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C:\Users\lei_j\Documents\FCI 2022\"/>
    </mc:Choice>
  </mc:AlternateContent>
  <xr:revisionPtr revIDLastSave="0" documentId="13_ncr:1_{55B91F05-BEF7-40A5-8B41-72E1D169DCB3}" xr6:coauthVersionLast="47" xr6:coauthVersionMax="47" xr10:uidLastSave="{00000000-0000-0000-0000-000000000000}"/>
  <workbookProtection workbookAlgorithmName="SHA-512" workbookHashValue="erAgXIcv7ijtznC29Z7TpUpCDtj/+ectupiVfwCCunAD5ZL8QJkL6DsXSyFPy+o/7zNLrEekIhS43sFDP8lNvQ==" workbookSaltValue="TUdxeDR6CRQd4nA136/+5Q==" workbookSpinCount="100000" lockStructure="1"/>
  <bookViews>
    <workbookView xWindow="-110" yWindow="-110" windowWidth="19420" windowHeight="10420" xr2:uid="{00000000-000D-0000-FFFF-FFFF00000000}"/>
  </bookViews>
  <sheets>
    <sheet name="Financiele conditie" sheetId="28" r:id="rId1"/>
    <sheet name="Inkomsten" sheetId="35" state="hidden" r:id="rId2"/>
    <sheet name="Balansprognose" sheetId="6" r:id="rId3"/>
    <sheet name="Investeringen &amp; financiering" sheetId="3" r:id="rId4"/>
    <sheet name="Inkomsten &amp; uitgaven" sheetId="1" r:id="rId5"/>
    <sheet name="Macrogegevens" sheetId="4" r:id="rId6"/>
    <sheet name="Data investeringen" sheetId="7" state="hidden" r:id="rId7"/>
    <sheet name="Data macro" sheetId="37" state="hidden" r:id="rId8"/>
    <sheet name="Inkomsten 2021" sheetId="33" state="hidden" r:id="rId9"/>
    <sheet name="Uitgaven" sheetId="25" state="hidden" r:id="rId10"/>
    <sheet name="Uitgaven 2021" sheetId="34" state="hidden" r:id="rId11"/>
    <sheet name="Data belastingen 2020" sheetId="27" state="hidden" r:id="rId12"/>
    <sheet name="Kengetallen 2020" sheetId="36" state="hidden" r:id="rId13"/>
    <sheet name="Kengetallen 2019" sheetId="30" state="hidden" r:id="rId14"/>
    <sheet name="Data belastingen 2022" sheetId="21" state="hidden" r:id="rId15"/>
    <sheet name="Data belastingen 2021" sheetId="32" state="hidden" r:id="rId16"/>
  </sheets>
  <externalReferences>
    <externalReference r:id="rId17"/>
  </externalReferences>
  <definedNames>
    <definedName name="_xlnm._FilterDatabase" localSheetId="5" hidden="1">Macrogegevens!$A$1:$C$19</definedName>
    <definedName name="gemc">[1]uitk_jr_18!$A$17:$A$18</definedName>
    <definedName name="over_uit">[1]overig!$A$3:$DP$384</definedName>
    <definedName name="solver_adj" localSheetId="5" hidden="1">Macrogegevens!$G$17</definedName>
    <definedName name="solver_cvg" localSheetId="5" hidden="1">0.0001</definedName>
    <definedName name="solver_drv" localSheetId="5" hidden="1">1</definedName>
    <definedName name="solver_eng" localSheetId="5" hidden="1">2</definedName>
    <definedName name="solver_est" localSheetId="5" hidden="1">1</definedName>
    <definedName name="solver_itr" localSheetId="5" hidden="1">2147483647</definedName>
    <definedName name="solver_lhs1" localSheetId="5" hidden="1">Macrogegevens!#REF!</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2</definedName>
    <definedName name="solver_nod" localSheetId="5" hidden="1">2147483647</definedName>
    <definedName name="solver_num" localSheetId="5" hidden="1">1</definedName>
    <definedName name="solver_nwt" localSheetId="5" hidden="1">1</definedName>
    <definedName name="solver_opt" localSheetId="5" hidden="1">Macrogegevens!#REF!</definedName>
    <definedName name="solver_pre" localSheetId="5" hidden="1">0.000001</definedName>
    <definedName name="solver_rbv" localSheetId="5" hidden="1">1</definedName>
    <definedName name="solver_rel1" localSheetId="5" hidden="1">1</definedName>
    <definedName name="solver_rhs1" localSheetId="5" hidden="1">Macrogegevens!#REF!</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2</definedName>
    <definedName name="solver_val" localSheetId="5" hidden="1">0</definedName>
    <definedName name="solver_ver" localSheetId="5" hidden="1">3</definedName>
  </definedNames>
  <calcPr calcId="191029"/>
  <customWorkbookViews>
    <customWorkbookView name="Jan van der Lei  - Persoonlijke weergave" guid="{B41B624D-DA5C-4FA3-85F1-D5B8087B6A65}" mergeInterval="0" personalView="1" maximized="1" xWindow="1" yWindow="1" windowWidth="1676" windowHeight="83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90" i="30" l="1"/>
  <c r="AN90" i="30"/>
  <c r="AO90" i="30"/>
  <c r="AP90" i="30"/>
  <c r="W349" i="35"/>
  <c r="X349" i="35"/>
  <c r="C9" i="4"/>
  <c r="C17" i="4"/>
  <c r="C16" i="4"/>
  <c r="C15" i="4"/>
  <c r="C14" i="4"/>
  <c r="C13" i="4"/>
  <c r="C8" i="4"/>
  <c r="C7" i="4"/>
  <c r="C6" i="4"/>
  <c r="C5" i="4"/>
  <c r="C4" i="4"/>
  <c r="BU347" i="34"/>
  <c r="BU346" i="34"/>
  <c r="BU345" i="34"/>
  <c r="BU344" i="34"/>
  <c r="BU343" i="34"/>
  <c r="BU342" i="34"/>
  <c r="BU341" i="34"/>
  <c r="BU340" i="34"/>
  <c r="BU339" i="34"/>
  <c r="BU338" i="34"/>
  <c r="BU337" i="34"/>
  <c r="BU336" i="34"/>
  <c r="BU335" i="34"/>
  <c r="BU334" i="34"/>
  <c r="BU333" i="34"/>
  <c r="BU332" i="34"/>
  <c r="BU331" i="34"/>
  <c r="BU330" i="34"/>
  <c r="BU329" i="34"/>
  <c r="BU328" i="34"/>
  <c r="BU327" i="34"/>
  <c r="BU326" i="34"/>
  <c r="BU325" i="34"/>
  <c r="BU324" i="34"/>
  <c r="BU323" i="34"/>
  <c r="BU322" i="34"/>
  <c r="BU321" i="34"/>
  <c r="BU320" i="34"/>
  <c r="BU319" i="34"/>
  <c r="BU318" i="34"/>
  <c r="BU317" i="34"/>
  <c r="BU316" i="34"/>
  <c r="BU315" i="34"/>
  <c r="BU314" i="34"/>
  <c r="BU313" i="34"/>
  <c r="BU312" i="34"/>
  <c r="BU311" i="34"/>
  <c r="BU310" i="34"/>
  <c r="BU309" i="34"/>
  <c r="BU308" i="34"/>
  <c r="BU307" i="34"/>
  <c r="BU306" i="34"/>
  <c r="BU305" i="34"/>
  <c r="BU304" i="34"/>
  <c r="BU303" i="34"/>
  <c r="BU302" i="34"/>
  <c r="BU301" i="34"/>
  <c r="BU300" i="34"/>
  <c r="BU299" i="34"/>
  <c r="BU298" i="34"/>
  <c r="BU297" i="34"/>
  <c r="BU296" i="34"/>
  <c r="BU295" i="34"/>
  <c r="BU294" i="34"/>
  <c r="BU293" i="34"/>
  <c r="BU292" i="34"/>
  <c r="BU291" i="34"/>
  <c r="BU290" i="34"/>
  <c r="BU289" i="34"/>
  <c r="BU288" i="34"/>
  <c r="BU287" i="34"/>
  <c r="BU286" i="34"/>
  <c r="BU285" i="34"/>
  <c r="BU284" i="34"/>
  <c r="BU283" i="34"/>
  <c r="BU282" i="34"/>
  <c r="BU281" i="34"/>
  <c r="BU280" i="34"/>
  <c r="BU279" i="34"/>
  <c r="BU278" i="34"/>
  <c r="BU277" i="34"/>
  <c r="BU276" i="34"/>
  <c r="BU275" i="34"/>
  <c r="BU274" i="34"/>
  <c r="BU273" i="34"/>
  <c r="BU272" i="34"/>
  <c r="BU271" i="34"/>
  <c r="BU270" i="34"/>
  <c r="BU269" i="34"/>
  <c r="BU268" i="34"/>
  <c r="BU267" i="34"/>
  <c r="BU266" i="34"/>
  <c r="BU265" i="34"/>
  <c r="BU264" i="34"/>
  <c r="BU263" i="34"/>
  <c r="BU262" i="34"/>
  <c r="BU261" i="34"/>
  <c r="BU260" i="34"/>
  <c r="BU259" i="34"/>
  <c r="BU258" i="34"/>
  <c r="BU257" i="34"/>
  <c r="BU256" i="34"/>
  <c r="BU255" i="34"/>
  <c r="BU254" i="34"/>
  <c r="BU253" i="34"/>
  <c r="BU252" i="34"/>
  <c r="BU251" i="34"/>
  <c r="BU250" i="34"/>
  <c r="BU249" i="34"/>
  <c r="BU248" i="34"/>
  <c r="BU247" i="34"/>
  <c r="BU246" i="34"/>
  <c r="BU245" i="34"/>
  <c r="BU244" i="34"/>
  <c r="BU243" i="34"/>
  <c r="BU242" i="34"/>
  <c r="BU241" i="34"/>
  <c r="BU240" i="34"/>
  <c r="BU239" i="34"/>
  <c r="BU238" i="34"/>
  <c r="BU237" i="34"/>
  <c r="BU236" i="34"/>
  <c r="BU235" i="34"/>
  <c r="BU234" i="34"/>
  <c r="BU233" i="34"/>
  <c r="BU232" i="34"/>
  <c r="BU231" i="34"/>
  <c r="BU230" i="34"/>
  <c r="BU229" i="34"/>
  <c r="BU228" i="34"/>
  <c r="BU227" i="34"/>
  <c r="BU226" i="34"/>
  <c r="BU225" i="34"/>
  <c r="BU224" i="34"/>
  <c r="BU223" i="34"/>
  <c r="BU222" i="34"/>
  <c r="BU221" i="34"/>
  <c r="BU220" i="34"/>
  <c r="BU219" i="34"/>
  <c r="BU218" i="34"/>
  <c r="BU217" i="34"/>
  <c r="BU216" i="34"/>
  <c r="BU215" i="34"/>
  <c r="BU214" i="34"/>
  <c r="BU213" i="34"/>
  <c r="BU212" i="34"/>
  <c r="BU211" i="34"/>
  <c r="BU210" i="34"/>
  <c r="BU209" i="34"/>
  <c r="BU208" i="34"/>
  <c r="BU207" i="34"/>
  <c r="BU206" i="34"/>
  <c r="BU205" i="34"/>
  <c r="BU204" i="34"/>
  <c r="BU203" i="34"/>
  <c r="BU202" i="34"/>
  <c r="BU201" i="34"/>
  <c r="BU200" i="34"/>
  <c r="BU199" i="34"/>
  <c r="BU198" i="34"/>
  <c r="BU197" i="34"/>
  <c r="BU196" i="34"/>
  <c r="BU195" i="34"/>
  <c r="BU194" i="34"/>
  <c r="BU193" i="34"/>
  <c r="BU192" i="34"/>
  <c r="BU191" i="34"/>
  <c r="BU190" i="34"/>
  <c r="BU189" i="34"/>
  <c r="BU188" i="34"/>
  <c r="BU187" i="34"/>
  <c r="BU186" i="34"/>
  <c r="BU185" i="34"/>
  <c r="BU184" i="34"/>
  <c r="BU183" i="34"/>
  <c r="BU182" i="34"/>
  <c r="BU181" i="34"/>
  <c r="BU180" i="34"/>
  <c r="BU179" i="34"/>
  <c r="BU178" i="34"/>
  <c r="BU177" i="34"/>
  <c r="BU176" i="34"/>
  <c r="BU175" i="34"/>
  <c r="BU174" i="34"/>
  <c r="BU173" i="34"/>
  <c r="BU172" i="34"/>
  <c r="BU171" i="34"/>
  <c r="BU170" i="34"/>
  <c r="BU169" i="34"/>
  <c r="BU168" i="34"/>
  <c r="BU167" i="34"/>
  <c r="BU166" i="34"/>
  <c r="BU165" i="34"/>
  <c r="BU164" i="34"/>
  <c r="BU163" i="34"/>
  <c r="BU162" i="34"/>
  <c r="BU161" i="34"/>
  <c r="BU160" i="34"/>
  <c r="BU159" i="34"/>
  <c r="BU158" i="34"/>
  <c r="BU157" i="34"/>
  <c r="BU156" i="34"/>
  <c r="BU155" i="34"/>
  <c r="BU154" i="34"/>
  <c r="BU153" i="34"/>
  <c r="BU152" i="34"/>
  <c r="BU151" i="34"/>
  <c r="BU150" i="34"/>
  <c r="BU149" i="34"/>
  <c r="BU148" i="34"/>
  <c r="BU147" i="34"/>
  <c r="BU146" i="34"/>
  <c r="BU145" i="34"/>
  <c r="BU144" i="34"/>
  <c r="BU143" i="34"/>
  <c r="BU142" i="34"/>
  <c r="BU141" i="34"/>
  <c r="BU140" i="34"/>
  <c r="BU139" i="34"/>
  <c r="BU138" i="34"/>
  <c r="BU137" i="34"/>
  <c r="BU136" i="34"/>
  <c r="BU135" i="34"/>
  <c r="BU134" i="34"/>
  <c r="BU133" i="34"/>
  <c r="BU132" i="34"/>
  <c r="BU131" i="34"/>
  <c r="BU130" i="34"/>
  <c r="BU129" i="34"/>
  <c r="BU128" i="34"/>
  <c r="BU127" i="34"/>
  <c r="BU126" i="34"/>
  <c r="BU125" i="34"/>
  <c r="BU124" i="34"/>
  <c r="BU123" i="34"/>
  <c r="BU122" i="34"/>
  <c r="BU121" i="34"/>
  <c r="BU120" i="34"/>
  <c r="BU119" i="34"/>
  <c r="BU118" i="34"/>
  <c r="BU117" i="34"/>
  <c r="BU116" i="34"/>
  <c r="BU115" i="34"/>
  <c r="BU114" i="34"/>
  <c r="BU113" i="34"/>
  <c r="BU112" i="34"/>
  <c r="BU111" i="34"/>
  <c r="BU110" i="34"/>
  <c r="BU109" i="34"/>
  <c r="BU108" i="34"/>
  <c r="BU107" i="34"/>
  <c r="BU106" i="34"/>
  <c r="BU105" i="34"/>
  <c r="BU104" i="34"/>
  <c r="BU103" i="34"/>
  <c r="BU102" i="34"/>
  <c r="BU101" i="34"/>
  <c r="BU100" i="34"/>
  <c r="BU99" i="34"/>
  <c r="BU98" i="34"/>
  <c r="BU97" i="34"/>
  <c r="BU96" i="34"/>
  <c r="BU95" i="34"/>
  <c r="BU94" i="34"/>
  <c r="BU93" i="34"/>
  <c r="BU92" i="34"/>
  <c r="BU91" i="34"/>
  <c r="BU90" i="34"/>
  <c r="BU89" i="34"/>
  <c r="BU88" i="34"/>
  <c r="BU87" i="34"/>
  <c r="BU86" i="34"/>
  <c r="BU85" i="34"/>
  <c r="BU84" i="34"/>
  <c r="BU83" i="34"/>
  <c r="BU82" i="34"/>
  <c r="BU81" i="34"/>
  <c r="BU80" i="34"/>
  <c r="BU79" i="34"/>
  <c r="BU78" i="34"/>
  <c r="BU77" i="34"/>
  <c r="BU76" i="34"/>
  <c r="BU75" i="34"/>
  <c r="BU74" i="34"/>
  <c r="BU73" i="34"/>
  <c r="BU72" i="34"/>
  <c r="BU71" i="34"/>
  <c r="BU70" i="34"/>
  <c r="BU69" i="34"/>
  <c r="BU68" i="34"/>
  <c r="BU67" i="34"/>
  <c r="BU66" i="34"/>
  <c r="BU65" i="34"/>
  <c r="BU64" i="34"/>
  <c r="BU63" i="34"/>
  <c r="BU62" i="34"/>
  <c r="BU61" i="34"/>
  <c r="BU60" i="34"/>
  <c r="BU59" i="34"/>
  <c r="BU58" i="34"/>
  <c r="BU57" i="34"/>
  <c r="BU56" i="34"/>
  <c r="BU55" i="34"/>
  <c r="BU54" i="34"/>
  <c r="BU53" i="34"/>
  <c r="BU52" i="34"/>
  <c r="BU51" i="34"/>
  <c r="BU50" i="34"/>
  <c r="BU49" i="34"/>
  <c r="BU48" i="34"/>
  <c r="BU47" i="34"/>
  <c r="BU46" i="34"/>
  <c r="BU45" i="34"/>
  <c r="BU44" i="34"/>
  <c r="BU43" i="34"/>
  <c r="BU42" i="34"/>
  <c r="BU41" i="34"/>
  <c r="BU40" i="34"/>
  <c r="BU39" i="34"/>
  <c r="BU38" i="34"/>
  <c r="BU37" i="34"/>
  <c r="BU36" i="34"/>
  <c r="BU35" i="34"/>
  <c r="BU34" i="34"/>
  <c r="BU33" i="34"/>
  <c r="BU32" i="34"/>
  <c r="BU31" i="34"/>
  <c r="BU30" i="34"/>
  <c r="BU29" i="34"/>
  <c r="BU28" i="34"/>
  <c r="BU27" i="34"/>
  <c r="BU26" i="34"/>
  <c r="BU25" i="34"/>
  <c r="BU24" i="34"/>
  <c r="BU23" i="34"/>
  <c r="BU22" i="34"/>
  <c r="BU21" i="34"/>
  <c r="BU20" i="34"/>
  <c r="BU19" i="34"/>
  <c r="BU18" i="34"/>
  <c r="BU17" i="34"/>
  <c r="BU16" i="34"/>
  <c r="BU15" i="34"/>
  <c r="BU14" i="34"/>
  <c r="BU13" i="34"/>
  <c r="BU12" i="34"/>
  <c r="BU11" i="34"/>
  <c r="BU10" i="34"/>
  <c r="BU9" i="34"/>
  <c r="BU8" i="34"/>
  <c r="BU7" i="34"/>
  <c r="BU6" i="34"/>
  <c r="BU5" i="34"/>
  <c r="BU4" i="34"/>
  <c r="BU3" i="34"/>
  <c r="BU2" i="34"/>
  <c r="AS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S388" i="30"/>
  <c r="AD388" i="30"/>
  <c r="AB388" i="30"/>
  <c r="AA388" i="30"/>
  <c r="Z388" i="30"/>
  <c r="AO388" i="30" s="1"/>
  <c r="Y388" i="30"/>
  <c r="X388" i="30"/>
  <c r="W388" i="30"/>
  <c r="V388" i="30"/>
  <c r="AJ388" i="30" s="1"/>
  <c r="U388" i="30"/>
  <c r="T388" i="30"/>
  <c r="S388" i="30"/>
  <c r="R388" i="30"/>
  <c r="Q388" i="30"/>
  <c r="P388" i="30"/>
  <c r="O388" i="30"/>
  <c r="N388" i="30"/>
  <c r="M388" i="30"/>
  <c r="L388" i="30"/>
  <c r="K388" i="30"/>
  <c r="J388" i="30"/>
  <c r="I388" i="30"/>
  <c r="H388" i="30"/>
  <c r="G388" i="30"/>
  <c r="F388" i="30"/>
  <c r="AF388" i="30" s="1"/>
  <c r="E388" i="30"/>
  <c r="D388" i="30"/>
  <c r="C388" i="30"/>
  <c r="B388" i="30"/>
  <c r="AS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S381" i="30"/>
  <c r="AS75" i="30"/>
  <c r="AB381" i="30"/>
  <c r="AA381" i="30"/>
  <c r="Z381" i="30"/>
  <c r="Y381" i="30"/>
  <c r="X381" i="30"/>
  <c r="W381" i="30"/>
  <c r="AG381" i="30" s="1"/>
  <c r="V381" i="30"/>
  <c r="U381" i="30"/>
  <c r="T381" i="30"/>
  <c r="S381" i="30"/>
  <c r="R381" i="30"/>
  <c r="Q381" i="30"/>
  <c r="P381" i="30"/>
  <c r="O381" i="30"/>
  <c r="N381" i="30"/>
  <c r="M381" i="30"/>
  <c r="L381" i="30"/>
  <c r="K381" i="30"/>
  <c r="J381" i="30"/>
  <c r="I381" i="30"/>
  <c r="H381" i="30"/>
  <c r="G381" i="30"/>
  <c r="F381" i="30"/>
  <c r="E381" i="30"/>
  <c r="D381" i="30"/>
  <c r="C381" i="30"/>
  <c r="B381" i="30"/>
  <c r="AB75" i="30"/>
  <c r="AA75" i="30"/>
  <c r="Z75" i="30"/>
  <c r="Y75" i="30"/>
  <c r="X75" i="30"/>
  <c r="W75" i="30"/>
  <c r="V75" i="30"/>
  <c r="U75" i="30"/>
  <c r="T75" i="30"/>
  <c r="S75" i="30"/>
  <c r="R75" i="30"/>
  <c r="Q75" i="30"/>
  <c r="P75" i="30"/>
  <c r="O75" i="30"/>
  <c r="N75" i="30"/>
  <c r="M75" i="30"/>
  <c r="L75" i="30"/>
  <c r="K75" i="30"/>
  <c r="J75" i="30"/>
  <c r="I75" i="30"/>
  <c r="H75" i="30"/>
  <c r="G75" i="30"/>
  <c r="F75" i="30"/>
  <c r="E75" i="30"/>
  <c r="D75" i="30"/>
  <c r="C75" i="30"/>
  <c r="B75" i="30"/>
  <c r="AS377" i="30"/>
  <c r="AR377" i="30"/>
  <c r="AQ377" i="30"/>
  <c r="AP377" i="30"/>
  <c r="AO377" i="30"/>
  <c r="AB377" i="30"/>
  <c r="AA377" i="30"/>
  <c r="Z377" i="30"/>
  <c r="Y377" i="30"/>
  <c r="X377" i="30"/>
  <c r="W377" i="30"/>
  <c r="V377" i="30"/>
  <c r="U377" i="30"/>
  <c r="T377" i="30"/>
  <c r="S377" i="30"/>
  <c r="R377" i="30"/>
  <c r="Q377" i="30"/>
  <c r="P377" i="30"/>
  <c r="O377" i="30"/>
  <c r="N377" i="30"/>
  <c r="M377" i="30"/>
  <c r="L377" i="30"/>
  <c r="K377" i="30"/>
  <c r="J377" i="30"/>
  <c r="I377" i="30"/>
  <c r="H377" i="30"/>
  <c r="G377" i="30"/>
  <c r="F377" i="30"/>
  <c r="E377" i="30"/>
  <c r="D377" i="30"/>
  <c r="C377" i="30"/>
  <c r="B377" i="30"/>
  <c r="M177" i="35"/>
  <c r="M186" i="35"/>
  <c r="AT178" i="36"/>
  <c r="AT373" i="36"/>
  <c r="AS373" i="36"/>
  <c r="AR373" i="36"/>
  <c r="AQ373" i="36"/>
  <c r="AP373" i="36"/>
  <c r="AL369" i="36"/>
  <c r="AL373" i="36"/>
  <c r="AK373" i="36"/>
  <c r="AJ373" i="36"/>
  <c r="AI373" i="36"/>
  <c r="AH373" i="36"/>
  <c r="AG373" i="36"/>
  <c r="AF373" i="36"/>
  <c r="AD373" i="36"/>
  <c r="AC373" i="36"/>
  <c r="AB373" i="36"/>
  <c r="AA373" i="36"/>
  <c r="Z373" i="36"/>
  <c r="Y373" i="36"/>
  <c r="X373" i="36"/>
  <c r="W373" i="36"/>
  <c r="V373" i="36"/>
  <c r="U373" i="36"/>
  <c r="T373" i="36"/>
  <c r="S373" i="36"/>
  <c r="R373" i="36"/>
  <c r="Q373" i="36"/>
  <c r="P373" i="36"/>
  <c r="O373" i="36"/>
  <c r="N373" i="36"/>
  <c r="M373" i="36"/>
  <c r="L373" i="36"/>
  <c r="K373" i="36"/>
  <c r="J373" i="36"/>
  <c r="I373" i="36"/>
  <c r="H373" i="36"/>
  <c r="G373" i="36"/>
  <c r="F373" i="36"/>
  <c r="E373" i="36"/>
  <c r="D373" i="36"/>
  <c r="C373" i="36"/>
  <c r="B373" i="36"/>
  <c r="AU369" i="36"/>
  <c r="AT369" i="36"/>
  <c r="AN369" i="36"/>
  <c r="AM369" i="36"/>
  <c r="AD369" i="36"/>
  <c r="AC369" i="36"/>
  <c r="AB369" i="36"/>
  <c r="AR369" i="36" s="1"/>
  <c r="AA369" i="36"/>
  <c r="AQ369" i="36" s="1"/>
  <c r="Z369" i="36"/>
  <c r="X369" i="36"/>
  <c r="W369" i="36"/>
  <c r="V369" i="36"/>
  <c r="T369" i="36"/>
  <c r="S369" i="36"/>
  <c r="R369" i="36"/>
  <c r="Q369" i="36"/>
  <c r="P369" i="36"/>
  <c r="O369" i="36"/>
  <c r="N369" i="36"/>
  <c r="M369" i="36"/>
  <c r="L369" i="36"/>
  <c r="K369" i="36"/>
  <c r="J369" i="36"/>
  <c r="I369" i="36"/>
  <c r="H369" i="36"/>
  <c r="G369" i="36"/>
  <c r="F369" i="36"/>
  <c r="AH369" i="36" s="1"/>
  <c r="E369" i="36"/>
  <c r="D369" i="36"/>
  <c r="C369" i="36"/>
  <c r="B369" i="36"/>
  <c r="AD362" i="36"/>
  <c r="AC362" i="36"/>
  <c r="AB362" i="36"/>
  <c r="AA362" i="36"/>
  <c r="Z362" i="36"/>
  <c r="X362" i="36"/>
  <c r="W362" i="36"/>
  <c r="V362" i="36"/>
  <c r="T362" i="36"/>
  <c r="S362" i="36"/>
  <c r="Q362" i="36"/>
  <c r="P362" i="36"/>
  <c r="O362" i="36"/>
  <c r="N362" i="36"/>
  <c r="M362" i="36"/>
  <c r="K362" i="36"/>
  <c r="J362" i="36"/>
  <c r="I362" i="36"/>
  <c r="H362" i="36"/>
  <c r="G362" i="36"/>
  <c r="F362" i="36"/>
  <c r="E362" i="36"/>
  <c r="D362" i="36"/>
  <c r="C362" i="36"/>
  <c r="B362" i="36"/>
  <c r="L18" i="36"/>
  <c r="AF18" i="36" s="1"/>
  <c r="Y18" i="36"/>
  <c r="U18" i="36" s="1"/>
  <c r="AH18" i="36"/>
  <c r="AI18" i="36"/>
  <c r="AK18" i="36"/>
  <c r="AP18" i="36"/>
  <c r="AQ18" i="36"/>
  <c r="AR18" i="36"/>
  <c r="AS18" i="36"/>
  <c r="AD357" i="36"/>
  <c r="AC357" i="36"/>
  <c r="AB357" i="36"/>
  <c r="AA357" i="36"/>
  <c r="Z357" i="36"/>
  <c r="X357" i="36"/>
  <c r="W357" i="36"/>
  <c r="V357" i="36"/>
  <c r="T357" i="36"/>
  <c r="S357" i="36"/>
  <c r="Q357" i="36"/>
  <c r="P357" i="36"/>
  <c r="O357" i="36"/>
  <c r="N357" i="36"/>
  <c r="M357" i="36"/>
  <c r="K357" i="36"/>
  <c r="J357" i="36"/>
  <c r="I357" i="36"/>
  <c r="H357" i="36"/>
  <c r="G357" i="36"/>
  <c r="F357" i="36"/>
  <c r="E357" i="36"/>
  <c r="D357" i="36"/>
  <c r="C357" i="36"/>
  <c r="B357" i="36"/>
  <c r="AU353" i="36"/>
  <c r="AT353" i="36"/>
  <c r="AD353" i="36"/>
  <c r="AC353" i="36"/>
  <c r="AB353" i="36"/>
  <c r="AA353" i="36"/>
  <c r="Z353" i="36"/>
  <c r="X353" i="36"/>
  <c r="W353" i="36"/>
  <c r="V353" i="36"/>
  <c r="T353" i="36"/>
  <c r="S353" i="36"/>
  <c r="R353" i="36"/>
  <c r="Q353" i="36"/>
  <c r="P353" i="36"/>
  <c r="O353" i="36"/>
  <c r="N353" i="36"/>
  <c r="M353" i="36"/>
  <c r="L353" i="36"/>
  <c r="K353" i="36"/>
  <c r="J353" i="36"/>
  <c r="I353" i="36"/>
  <c r="H353" i="36"/>
  <c r="G353" i="36"/>
  <c r="F353" i="36"/>
  <c r="E353" i="36"/>
  <c r="D353" i="36"/>
  <c r="C353" i="36"/>
  <c r="B353" i="36"/>
  <c r="P346" i="21"/>
  <c r="P345" i="21"/>
  <c r="P344" i="21"/>
  <c r="P343" i="21"/>
  <c r="P342" i="21"/>
  <c r="P341" i="21"/>
  <c r="P340" i="21"/>
  <c r="P339" i="21"/>
  <c r="P338" i="21"/>
  <c r="P337" i="21"/>
  <c r="P336" i="21"/>
  <c r="P335" i="21"/>
  <c r="P334" i="21"/>
  <c r="P333" i="21"/>
  <c r="P332" i="21"/>
  <c r="P331" i="21"/>
  <c r="P330" i="21"/>
  <c r="P329" i="21"/>
  <c r="P328" i="21"/>
  <c r="P327" i="21"/>
  <c r="P326" i="21"/>
  <c r="P325" i="21"/>
  <c r="P324" i="21"/>
  <c r="P323" i="21"/>
  <c r="P322" i="21"/>
  <c r="P321" i="21"/>
  <c r="P320" i="21"/>
  <c r="P319" i="21"/>
  <c r="P318" i="21"/>
  <c r="P317" i="21"/>
  <c r="P316" i="21"/>
  <c r="P315" i="21"/>
  <c r="P314" i="21"/>
  <c r="P313" i="21"/>
  <c r="P312" i="21"/>
  <c r="P311" i="21"/>
  <c r="P310" i="21"/>
  <c r="P309" i="21"/>
  <c r="P308" i="21"/>
  <c r="P307" i="21"/>
  <c r="P306" i="21"/>
  <c r="P305" i="21"/>
  <c r="P304" i="21"/>
  <c r="P303" i="21"/>
  <c r="P302" i="21"/>
  <c r="P301" i="21"/>
  <c r="P300" i="21"/>
  <c r="P299" i="21"/>
  <c r="P298" i="21"/>
  <c r="P297" i="21"/>
  <c r="P296" i="21"/>
  <c r="P295" i="21"/>
  <c r="P294" i="21"/>
  <c r="P293" i="21"/>
  <c r="P292" i="21"/>
  <c r="P291" i="21"/>
  <c r="P290" i="21"/>
  <c r="P289" i="21"/>
  <c r="P288" i="21"/>
  <c r="P287" i="21"/>
  <c r="P286" i="21"/>
  <c r="P285" i="21"/>
  <c r="P284" i="21"/>
  <c r="P283" i="21"/>
  <c r="P282"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P4" i="21"/>
  <c r="P3" i="21"/>
  <c r="P2" i="21"/>
  <c r="S347" i="32"/>
  <c r="S346" i="32"/>
  <c r="S345" i="32"/>
  <c r="S344" i="32"/>
  <c r="S343" i="32"/>
  <c r="S342" i="32"/>
  <c r="S341" i="32"/>
  <c r="S340" i="32"/>
  <c r="S339" i="32"/>
  <c r="S338" i="32"/>
  <c r="S337" i="32"/>
  <c r="S336" i="32"/>
  <c r="S335" i="32"/>
  <c r="S334" i="32"/>
  <c r="S333" i="32"/>
  <c r="S332" i="32"/>
  <c r="S331" i="32"/>
  <c r="S330" i="32"/>
  <c r="S329" i="32"/>
  <c r="S328" i="32"/>
  <c r="S327" i="32"/>
  <c r="S326" i="32"/>
  <c r="S325" i="32"/>
  <c r="S324" i="32"/>
  <c r="S323" i="32"/>
  <c r="S322" i="32"/>
  <c r="S321" i="32"/>
  <c r="S320" i="32"/>
  <c r="S319" i="32"/>
  <c r="S318" i="32"/>
  <c r="S317" i="32"/>
  <c r="S316" i="32"/>
  <c r="S315" i="32"/>
  <c r="S314" i="32"/>
  <c r="S313" i="32"/>
  <c r="S312" i="32"/>
  <c r="S311" i="32"/>
  <c r="S310" i="32"/>
  <c r="S309" i="32"/>
  <c r="S308" i="32"/>
  <c r="S307" i="32"/>
  <c r="S306" i="32"/>
  <c r="S305" i="32"/>
  <c r="S304" i="32"/>
  <c r="S303" i="32"/>
  <c r="S302" i="32"/>
  <c r="S301" i="32"/>
  <c r="S300" i="32"/>
  <c r="S299" i="32"/>
  <c r="S298" i="32"/>
  <c r="S297" i="32"/>
  <c r="S296" i="32"/>
  <c r="S295" i="32"/>
  <c r="S294" i="32"/>
  <c r="S293" i="32"/>
  <c r="S292" i="32"/>
  <c r="S291" i="32"/>
  <c r="S290" i="32"/>
  <c r="S289" i="32"/>
  <c r="S288" i="32"/>
  <c r="S287" i="32"/>
  <c r="S286" i="32"/>
  <c r="S285" i="32"/>
  <c r="S284" i="32"/>
  <c r="S283" i="32"/>
  <c r="S282" i="32"/>
  <c r="S281" i="32"/>
  <c r="S280" i="32"/>
  <c r="S279" i="32"/>
  <c r="S278" i="32"/>
  <c r="S277" i="32"/>
  <c r="S276" i="32"/>
  <c r="S275" i="32"/>
  <c r="S274" i="32"/>
  <c r="S273" i="32"/>
  <c r="S272" i="32"/>
  <c r="S271" i="32"/>
  <c r="S270" i="32"/>
  <c r="S269" i="32"/>
  <c r="S268" i="32"/>
  <c r="S267" i="32"/>
  <c r="S266" i="32"/>
  <c r="S265" i="32"/>
  <c r="S264" i="32"/>
  <c r="S263" i="32"/>
  <c r="S262" i="32"/>
  <c r="S261" i="32"/>
  <c r="S260" i="32"/>
  <c r="S259" i="32"/>
  <c r="S258" i="32"/>
  <c r="S257" i="32"/>
  <c r="S256" i="32"/>
  <c r="S255" i="32"/>
  <c r="S254" i="32"/>
  <c r="S253" i="32"/>
  <c r="S252" i="32"/>
  <c r="S251" i="32"/>
  <c r="S250" i="32"/>
  <c r="S249" i="32"/>
  <c r="S248" i="32"/>
  <c r="S247" i="32"/>
  <c r="S246" i="32"/>
  <c r="S245" i="32"/>
  <c r="S244" i="32"/>
  <c r="S243" i="32"/>
  <c r="S242" i="32"/>
  <c r="S241" i="32"/>
  <c r="S240" i="32"/>
  <c r="S239" i="32"/>
  <c r="S238" i="32"/>
  <c r="S237" i="32"/>
  <c r="S236" i="32"/>
  <c r="S235" i="32"/>
  <c r="S234" i="32"/>
  <c r="S233" i="32"/>
  <c r="S232" i="32"/>
  <c r="S231" i="32"/>
  <c r="S230" i="32"/>
  <c r="S229" i="32"/>
  <c r="S228" i="32"/>
  <c r="S227" i="32"/>
  <c r="S226" i="32"/>
  <c r="S225" i="32"/>
  <c r="S224" i="32"/>
  <c r="S223" i="32"/>
  <c r="S222" i="32"/>
  <c r="S221" i="32"/>
  <c r="S220" i="32"/>
  <c r="S219" i="32"/>
  <c r="S218" i="32"/>
  <c r="S217" i="32"/>
  <c r="S216" i="32"/>
  <c r="S215" i="32"/>
  <c r="S214" i="32"/>
  <c r="S213" i="32"/>
  <c r="S212" i="32"/>
  <c r="S211" i="32"/>
  <c r="S210" i="32"/>
  <c r="S209" i="32"/>
  <c r="S208" i="32"/>
  <c r="S207" i="32"/>
  <c r="S206" i="32"/>
  <c r="S205" i="32"/>
  <c r="S204" i="32"/>
  <c r="S203" i="32"/>
  <c r="S202" i="32"/>
  <c r="S201" i="32"/>
  <c r="S200" i="32"/>
  <c r="S199" i="32"/>
  <c r="S198" i="32"/>
  <c r="S197" i="32"/>
  <c r="S196" i="32"/>
  <c r="S195" i="32"/>
  <c r="S194" i="32"/>
  <c r="S193" i="32"/>
  <c r="S192" i="32"/>
  <c r="S191" i="32"/>
  <c r="S190" i="32"/>
  <c r="S189" i="32"/>
  <c r="S188" i="32"/>
  <c r="S187" i="32"/>
  <c r="S186" i="32"/>
  <c r="S185" i="32"/>
  <c r="S184" i="32"/>
  <c r="S183" i="32"/>
  <c r="S182" i="32"/>
  <c r="S181" i="32"/>
  <c r="S180" i="32"/>
  <c r="S179" i="32"/>
  <c r="S178" i="32"/>
  <c r="S177" i="32"/>
  <c r="S176" i="32"/>
  <c r="S175" i="32"/>
  <c r="S174" i="32"/>
  <c r="S173" i="32"/>
  <c r="S172" i="32"/>
  <c r="S171" i="32"/>
  <c r="S170" i="32"/>
  <c r="S169" i="32"/>
  <c r="S168" i="32"/>
  <c r="S167" i="32"/>
  <c r="S166" i="32"/>
  <c r="S165" i="32"/>
  <c r="S164" i="32"/>
  <c r="S163" i="32"/>
  <c r="S162" i="32"/>
  <c r="S161" i="32"/>
  <c r="S160" i="32"/>
  <c r="S159" i="32"/>
  <c r="S158" i="32"/>
  <c r="S157" i="32"/>
  <c r="S156" i="32"/>
  <c r="S155" i="32"/>
  <c r="S154" i="32"/>
  <c r="S153" i="32"/>
  <c r="S152" i="32"/>
  <c r="S151" i="32"/>
  <c r="S150" i="32"/>
  <c r="S149" i="32"/>
  <c r="S148" i="32"/>
  <c r="S147" i="32"/>
  <c r="S146" i="32"/>
  <c r="S145" i="32"/>
  <c r="S144" i="32"/>
  <c r="S143" i="32"/>
  <c r="S142" i="32"/>
  <c r="S141" i="32"/>
  <c r="S140" i="32"/>
  <c r="S139" i="32"/>
  <c r="S138" i="32"/>
  <c r="S137" i="32"/>
  <c r="S136" i="32"/>
  <c r="S135" i="32"/>
  <c r="S134" i="32"/>
  <c r="S133" i="32"/>
  <c r="S132" i="32"/>
  <c r="S131" i="32"/>
  <c r="S130" i="32"/>
  <c r="S129" i="32"/>
  <c r="S128" i="32"/>
  <c r="S127" i="32"/>
  <c r="S126" i="32"/>
  <c r="S125" i="32"/>
  <c r="S124" i="32"/>
  <c r="S123" i="32"/>
  <c r="S122" i="32"/>
  <c r="S121" i="32"/>
  <c r="S120" i="32"/>
  <c r="S119" i="32"/>
  <c r="S118" i="32"/>
  <c r="S117" i="32"/>
  <c r="S116" i="32"/>
  <c r="S115" i="32"/>
  <c r="S114" i="32"/>
  <c r="S113" i="32"/>
  <c r="S112" i="32"/>
  <c r="S111" i="32"/>
  <c r="S110" i="32"/>
  <c r="S109" i="32"/>
  <c r="S108" i="32"/>
  <c r="S107" i="32"/>
  <c r="S106" i="32"/>
  <c r="S105" i="32"/>
  <c r="S104" i="32"/>
  <c r="S103" i="32"/>
  <c r="S102" i="32"/>
  <c r="S101" i="32"/>
  <c r="S100" i="32"/>
  <c r="S99" i="32"/>
  <c r="S98" i="32"/>
  <c r="S97" i="32"/>
  <c r="S96" i="32"/>
  <c r="S95" i="32"/>
  <c r="S94" i="32"/>
  <c r="S93" i="32"/>
  <c r="S92" i="32"/>
  <c r="S91" i="32"/>
  <c r="S90" i="32"/>
  <c r="S89" i="32"/>
  <c r="S88" i="32"/>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S5" i="32"/>
  <c r="S4" i="32"/>
  <c r="S3" i="32"/>
  <c r="S2" i="32"/>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C5" i="21"/>
  <c r="C4" i="21"/>
  <c r="C3" i="21"/>
  <c r="C2" i="21"/>
  <c r="AQ346" i="25"/>
  <c r="AP346" i="25"/>
  <c r="AQ231" i="25"/>
  <c r="AP231" i="25"/>
  <c r="AQ72" i="25"/>
  <c r="AP72" i="25"/>
  <c r="AF347" i="25"/>
  <c r="AF346" i="25"/>
  <c r="AF345" i="25"/>
  <c r="AF344" i="25"/>
  <c r="AF343" i="25"/>
  <c r="AF342" i="25"/>
  <c r="AF341" i="25"/>
  <c r="AF340" i="25"/>
  <c r="AF339" i="25"/>
  <c r="AF338" i="25"/>
  <c r="AF337" i="25"/>
  <c r="AF336" i="25"/>
  <c r="AF335" i="25"/>
  <c r="AF334" i="25"/>
  <c r="AF333" i="25"/>
  <c r="AF332" i="25"/>
  <c r="AF331" i="25"/>
  <c r="AF330" i="25"/>
  <c r="AF329" i="25"/>
  <c r="AF328" i="25"/>
  <c r="AF327" i="25"/>
  <c r="AF326" i="25"/>
  <c r="AF325" i="25"/>
  <c r="AF324" i="25"/>
  <c r="AF323" i="25"/>
  <c r="AF322" i="25"/>
  <c r="AF321" i="25"/>
  <c r="AF320" i="25"/>
  <c r="AF319" i="25"/>
  <c r="AF318" i="25"/>
  <c r="AF317" i="25"/>
  <c r="AF316" i="25"/>
  <c r="AF315" i="25"/>
  <c r="AF314" i="25"/>
  <c r="AF313" i="25"/>
  <c r="AF312" i="25"/>
  <c r="AF311" i="25"/>
  <c r="AF310" i="25"/>
  <c r="AF309" i="25"/>
  <c r="AF308" i="25"/>
  <c r="AF307" i="25"/>
  <c r="AF306" i="25"/>
  <c r="AF305" i="25"/>
  <c r="AF304" i="25"/>
  <c r="AF303" i="25"/>
  <c r="AF302" i="25"/>
  <c r="AF301" i="25"/>
  <c r="AF300" i="25"/>
  <c r="AF299" i="25"/>
  <c r="AF298" i="25"/>
  <c r="AF297" i="25"/>
  <c r="AF296" i="25"/>
  <c r="AF295" i="25"/>
  <c r="AF294" i="25"/>
  <c r="AF293" i="25"/>
  <c r="AF292" i="25"/>
  <c r="AF291" i="25"/>
  <c r="AF290" i="25"/>
  <c r="AF289" i="25"/>
  <c r="AF288" i="25"/>
  <c r="AF287" i="25"/>
  <c r="AF286" i="25"/>
  <c r="AF285" i="25"/>
  <c r="AF284" i="25"/>
  <c r="AF283" i="25"/>
  <c r="AF282" i="25"/>
  <c r="AF281" i="25"/>
  <c r="AF280" i="25"/>
  <c r="AF279" i="25"/>
  <c r="AF278" i="25"/>
  <c r="AF277" i="25"/>
  <c r="AF276" i="25"/>
  <c r="AF275" i="25"/>
  <c r="AF274" i="25"/>
  <c r="AF273" i="25"/>
  <c r="AF272" i="25"/>
  <c r="AF271" i="25"/>
  <c r="AF270" i="25"/>
  <c r="AF269" i="25"/>
  <c r="AF268" i="25"/>
  <c r="AF267" i="25"/>
  <c r="AF266" i="25"/>
  <c r="AF265" i="25"/>
  <c r="AF264" i="25"/>
  <c r="AF263" i="25"/>
  <c r="AF262" i="25"/>
  <c r="AF261" i="25"/>
  <c r="AF260" i="25"/>
  <c r="AF259" i="25"/>
  <c r="AF258" i="25"/>
  <c r="AF257" i="25"/>
  <c r="AF256" i="25"/>
  <c r="AF255" i="25"/>
  <c r="AF254" i="25"/>
  <c r="AF253" i="25"/>
  <c r="AF252" i="25"/>
  <c r="AF251" i="25"/>
  <c r="AF250" i="25"/>
  <c r="AF249" i="25"/>
  <c r="AF248" i="25"/>
  <c r="AF247" i="25"/>
  <c r="AF246" i="25"/>
  <c r="AF245" i="25"/>
  <c r="AF244" i="25"/>
  <c r="AF243" i="25"/>
  <c r="AF242" i="25"/>
  <c r="AF241" i="25"/>
  <c r="AF240" i="25"/>
  <c r="AF239" i="25"/>
  <c r="AF238" i="25"/>
  <c r="AF237" i="25"/>
  <c r="AF236" i="25"/>
  <c r="AF235" i="25"/>
  <c r="AF234" i="25"/>
  <c r="AF233" i="25"/>
  <c r="AF232" i="25"/>
  <c r="AF231" i="25"/>
  <c r="AF230" i="25"/>
  <c r="AF229" i="25"/>
  <c r="AF228" i="25"/>
  <c r="AF227" i="25"/>
  <c r="AF226" i="25"/>
  <c r="AF225" i="25"/>
  <c r="AF224" i="25"/>
  <c r="AF223" i="25"/>
  <c r="AF222" i="25"/>
  <c r="AF221" i="25"/>
  <c r="AF220" i="25"/>
  <c r="AF219" i="25"/>
  <c r="AF218" i="25"/>
  <c r="AF217" i="25"/>
  <c r="AF216" i="25"/>
  <c r="AF215" i="25"/>
  <c r="AF214" i="25"/>
  <c r="AF213" i="25"/>
  <c r="AF212" i="25"/>
  <c r="AF211" i="25"/>
  <c r="AF210" i="25"/>
  <c r="AF209" i="25"/>
  <c r="AF208" i="25"/>
  <c r="AF207" i="25"/>
  <c r="AF206" i="25"/>
  <c r="AF205" i="25"/>
  <c r="AF204" i="25"/>
  <c r="AF203" i="25"/>
  <c r="AF202" i="25"/>
  <c r="AF201" i="25"/>
  <c r="AF200" i="25"/>
  <c r="AF199" i="25"/>
  <c r="AF198" i="25"/>
  <c r="AF197" i="25"/>
  <c r="AF196" i="25"/>
  <c r="AF195" i="25"/>
  <c r="AF194" i="25"/>
  <c r="AF193" i="25"/>
  <c r="AF192" i="25"/>
  <c r="AF191" i="25"/>
  <c r="AF190" i="25"/>
  <c r="AF189" i="25"/>
  <c r="AF188" i="25"/>
  <c r="AF187" i="25"/>
  <c r="AF186" i="25"/>
  <c r="AF185" i="25"/>
  <c r="AF184" i="25"/>
  <c r="AF183" i="25"/>
  <c r="AF182" i="25"/>
  <c r="AF181" i="25"/>
  <c r="AF180" i="25"/>
  <c r="AF179" i="25"/>
  <c r="AF178" i="25"/>
  <c r="AF177" i="25"/>
  <c r="AF176" i="25"/>
  <c r="AF175" i="25"/>
  <c r="AF174" i="25"/>
  <c r="AF173" i="25"/>
  <c r="AF172" i="25"/>
  <c r="AF171" i="25"/>
  <c r="AF170" i="25"/>
  <c r="AF169" i="25"/>
  <c r="AF168" i="25"/>
  <c r="AF167" i="25"/>
  <c r="AF166" i="25"/>
  <c r="AF165" i="25"/>
  <c r="AF164" i="25"/>
  <c r="AF163" i="25"/>
  <c r="AF162" i="25"/>
  <c r="AF161" i="25"/>
  <c r="AF160" i="25"/>
  <c r="AF159" i="25"/>
  <c r="AF158" i="25"/>
  <c r="AF157" i="25"/>
  <c r="AF156" i="25"/>
  <c r="AF155" i="25"/>
  <c r="AF154" i="25"/>
  <c r="AF153" i="25"/>
  <c r="AF152" i="25"/>
  <c r="AF151" i="25"/>
  <c r="AF150" i="25"/>
  <c r="AF149" i="25"/>
  <c r="AF148" i="25"/>
  <c r="AF147" i="25"/>
  <c r="AF146" i="25"/>
  <c r="AF145" i="25"/>
  <c r="AF144" i="25"/>
  <c r="AF143" i="25"/>
  <c r="AF142" i="25"/>
  <c r="AF141" i="25"/>
  <c r="AF140" i="25"/>
  <c r="AF139" i="25"/>
  <c r="AF138" i="25"/>
  <c r="AF137" i="25"/>
  <c r="AF136" i="25"/>
  <c r="AF135" i="25"/>
  <c r="AF134" i="25"/>
  <c r="AF133" i="25"/>
  <c r="AF132" i="25"/>
  <c r="AF131" i="25"/>
  <c r="AF130" i="25"/>
  <c r="AF129" i="25"/>
  <c r="AF128" i="25"/>
  <c r="AF127" i="25"/>
  <c r="AF126" i="25"/>
  <c r="AF125" i="25"/>
  <c r="AF124" i="25"/>
  <c r="AF123" i="25"/>
  <c r="AF122" i="25"/>
  <c r="AF121" i="25"/>
  <c r="AF120" i="25"/>
  <c r="AF119" i="25"/>
  <c r="AF118" i="25"/>
  <c r="AF117" i="25"/>
  <c r="AF116" i="25"/>
  <c r="AF115" i="25"/>
  <c r="AF114" i="25"/>
  <c r="AF113" i="25"/>
  <c r="AF112" i="25"/>
  <c r="AF111" i="25"/>
  <c r="AF110" i="25"/>
  <c r="AF109" i="25"/>
  <c r="AF108" i="25"/>
  <c r="AF107" i="25"/>
  <c r="AF106" i="25"/>
  <c r="AF105" i="25"/>
  <c r="AF104" i="25"/>
  <c r="AF103" i="25"/>
  <c r="AF102" i="25"/>
  <c r="AF101" i="25"/>
  <c r="AF100" i="25"/>
  <c r="AF99" i="25"/>
  <c r="AF98" i="25"/>
  <c r="AF97" i="25"/>
  <c r="AF96" i="25"/>
  <c r="AF95" i="25"/>
  <c r="AF94" i="25"/>
  <c r="AF93" i="25"/>
  <c r="AF92" i="25"/>
  <c r="AF91" i="25"/>
  <c r="AF90" i="25"/>
  <c r="AF89" i="25"/>
  <c r="AF88" i="25"/>
  <c r="AF87" i="25"/>
  <c r="AF86" i="25"/>
  <c r="AF85" i="25"/>
  <c r="AF84" i="25"/>
  <c r="AF83" i="25"/>
  <c r="AF82" i="25"/>
  <c r="AF81" i="25"/>
  <c r="AF80" i="25"/>
  <c r="AF79" i="25"/>
  <c r="AF78" i="25"/>
  <c r="AF77" i="25"/>
  <c r="AF76" i="25"/>
  <c r="AF75" i="25"/>
  <c r="AF74" i="25"/>
  <c r="AF73" i="25"/>
  <c r="AF72" i="25"/>
  <c r="AF71" i="25"/>
  <c r="AF70" i="25"/>
  <c r="AF69" i="25"/>
  <c r="AF68" i="25"/>
  <c r="AF67" i="25"/>
  <c r="AF66" i="25"/>
  <c r="AF65" i="25"/>
  <c r="AF64" i="25"/>
  <c r="AF63" i="25"/>
  <c r="AF62" i="25"/>
  <c r="AF61" i="25"/>
  <c r="AF60" i="25"/>
  <c r="AF59" i="25"/>
  <c r="AF58" i="25"/>
  <c r="AF57" i="25"/>
  <c r="AF56" i="25"/>
  <c r="AF55" i="25"/>
  <c r="AF54" i="25"/>
  <c r="AF53" i="25"/>
  <c r="AF52" i="25"/>
  <c r="AF51" i="25"/>
  <c r="AF50" i="25"/>
  <c r="AF49" i="25"/>
  <c r="AF48" i="25"/>
  <c r="AF47" i="25"/>
  <c r="AF46" i="25"/>
  <c r="AF45" i="25"/>
  <c r="AF44" i="25"/>
  <c r="AF43" i="25"/>
  <c r="AF42" i="25"/>
  <c r="AF41" i="25"/>
  <c r="AF40" i="25"/>
  <c r="AF39" i="25"/>
  <c r="AF38" i="25"/>
  <c r="AF37" i="25"/>
  <c r="AF36" i="25"/>
  <c r="AF35" i="25"/>
  <c r="AF34" i="25"/>
  <c r="AF33" i="25"/>
  <c r="AF32" i="25"/>
  <c r="AF31" i="25"/>
  <c r="AF30" i="25"/>
  <c r="AF29" i="25"/>
  <c r="AF28" i="25"/>
  <c r="AF27" i="25"/>
  <c r="AF26" i="25"/>
  <c r="AF25" i="25"/>
  <c r="AF24" i="25"/>
  <c r="AF23" i="25"/>
  <c r="AF22" i="25"/>
  <c r="AF21" i="25"/>
  <c r="AF20" i="25"/>
  <c r="AF19" i="25"/>
  <c r="AF18" i="25"/>
  <c r="AF17" i="25"/>
  <c r="AF16" i="25"/>
  <c r="AF15" i="25"/>
  <c r="AF14" i="25"/>
  <c r="AF13" i="25"/>
  <c r="AF12" i="25"/>
  <c r="AF11" i="25"/>
  <c r="AF10" i="25"/>
  <c r="AF9" i="25"/>
  <c r="AF8" i="25"/>
  <c r="AF7" i="25"/>
  <c r="AF6" i="25"/>
  <c r="AF5" i="25"/>
  <c r="AF4" i="25"/>
  <c r="AF3" i="25"/>
  <c r="AF2" i="25"/>
  <c r="CC347" i="34"/>
  <c r="CC231" i="34"/>
  <c r="CC72" i="34"/>
  <c r="F16" i="28"/>
  <c r="BQ347" i="34"/>
  <c r="BQ346" i="34"/>
  <c r="BQ345" i="34"/>
  <c r="BQ344" i="34"/>
  <c r="BQ343" i="34"/>
  <c r="BQ342" i="34"/>
  <c r="BQ341" i="34"/>
  <c r="BQ340" i="34"/>
  <c r="BQ339" i="34"/>
  <c r="BQ338" i="34"/>
  <c r="BQ337" i="34"/>
  <c r="BQ336" i="34"/>
  <c r="BQ335" i="34"/>
  <c r="BQ334" i="34"/>
  <c r="BQ333" i="34"/>
  <c r="BQ332" i="34"/>
  <c r="BQ331" i="34"/>
  <c r="BQ330" i="34"/>
  <c r="BQ329" i="34"/>
  <c r="BQ328" i="34"/>
  <c r="BQ327" i="34"/>
  <c r="BQ326" i="34"/>
  <c r="BQ325" i="34"/>
  <c r="BQ324" i="34"/>
  <c r="BQ323" i="34"/>
  <c r="BQ322" i="34"/>
  <c r="BQ321" i="34"/>
  <c r="BQ320" i="34"/>
  <c r="BQ319" i="34"/>
  <c r="BQ318" i="34"/>
  <c r="BQ317" i="34"/>
  <c r="BQ316" i="34"/>
  <c r="BQ315" i="34"/>
  <c r="BQ314" i="34"/>
  <c r="BQ313" i="34"/>
  <c r="BQ312" i="34"/>
  <c r="BQ311" i="34"/>
  <c r="BQ310" i="34"/>
  <c r="BQ309" i="34"/>
  <c r="BQ308" i="34"/>
  <c r="BQ307" i="34"/>
  <c r="BQ306" i="34"/>
  <c r="BQ305" i="34"/>
  <c r="BQ304" i="34"/>
  <c r="BQ303" i="34"/>
  <c r="BQ302" i="34"/>
  <c r="BQ301" i="34"/>
  <c r="BQ300" i="34"/>
  <c r="BQ299" i="34"/>
  <c r="BQ298" i="34"/>
  <c r="BQ297" i="34"/>
  <c r="BQ296" i="34"/>
  <c r="BQ295" i="34"/>
  <c r="BQ294" i="34"/>
  <c r="BQ293" i="34"/>
  <c r="BQ292" i="34"/>
  <c r="BQ291" i="34"/>
  <c r="BQ290" i="34"/>
  <c r="BQ289" i="34"/>
  <c r="BQ288" i="34"/>
  <c r="BQ287" i="34"/>
  <c r="BQ286" i="34"/>
  <c r="BQ285" i="34"/>
  <c r="BQ284" i="34"/>
  <c r="BQ283" i="34"/>
  <c r="BQ282" i="34"/>
  <c r="BQ281" i="34"/>
  <c r="BQ280" i="34"/>
  <c r="BQ279" i="34"/>
  <c r="BQ278" i="34"/>
  <c r="BQ277" i="34"/>
  <c r="BQ276" i="34"/>
  <c r="BQ275" i="34"/>
  <c r="BQ274" i="34"/>
  <c r="BQ273" i="34"/>
  <c r="BQ272" i="34"/>
  <c r="BQ271" i="34"/>
  <c r="BQ270" i="34"/>
  <c r="BQ269" i="34"/>
  <c r="BQ268" i="34"/>
  <c r="BQ267" i="34"/>
  <c r="BQ266" i="34"/>
  <c r="BQ265" i="34"/>
  <c r="BQ264" i="34"/>
  <c r="BQ263" i="34"/>
  <c r="BQ262" i="34"/>
  <c r="BQ261" i="34"/>
  <c r="BQ260" i="34"/>
  <c r="BQ259" i="34"/>
  <c r="BQ258" i="34"/>
  <c r="BQ257" i="34"/>
  <c r="BQ256" i="34"/>
  <c r="BQ255" i="34"/>
  <c r="BQ254" i="34"/>
  <c r="BQ253" i="34"/>
  <c r="BQ252" i="34"/>
  <c r="BQ251" i="34"/>
  <c r="BQ250" i="34"/>
  <c r="BQ249" i="34"/>
  <c r="BQ248" i="34"/>
  <c r="BQ247" i="34"/>
  <c r="BQ246" i="34"/>
  <c r="BQ245" i="34"/>
  <c r="BQ244" i="34"/>
  <c r="BQ243" i="34"/>
  <c r="BQ242" i="34"/>
  <c r="BQ241" i="34"/>
  <c r="BQ240" i="34"/>
  <c r="BQ239" i="34"/>
  <c r="BQ238" i="34"/>
  <c r="BQ237" i="34"/>
  <c r="BQ236" i="34"/>
  <c r="BQ235" i="34"/>
  <c r="BQ234" i="34"/>
  <c r="BQ233" i="34"/>
  <c r="BQ232" i="34"/>
  <c r="BQ231" i="34"/>
  <c r="BQ230" i="34"/>
  <c r="BQ229" i="34"/>
  <c r="BQ228" i="34"/>
  <c r="BQ227" i="34"/>
  <c r="BQ226" i="34"/>
  <c r="BQ225" i="34"/>
  <c r="BQ224" i="34"/>
  <c r="BQ223" i="34"/>
  <c r="BQ222" i="34"/>
  <c r="BQ221" i="34"/>
  <c r="BQ220" i="34"/>
  <c r="BQ219" i="34"/>
  <c r="BQ218" i="34"/>
  <c r="BQ217" i="34"/>
  <c r="BQ216" i="34"/>
  <c r="BQ215" i="34"/>
  <c r="BQ214" i="34"/>
  <c r="BQ213" i="34"/>
  <c r="BQ212" i="34"/>
  <c r="BQ211" i="34"/>
  <c r="BQ210" i="34"/>
  <c r="BQ209" i="34"/>
  <c r="BQ208" i="34"/>
  <c r="BQ207" i="34"/>
  <c r="BQ206" i="34"/>
  <c r="BQ205" i="34"/>
  <c r="BQ204" i="34"/>
  <c r="BQ203" i="34"/>
  <c r="BQ202" i="34"/>
  <c r="BQ201" i="34"/>
  <c r="BQ200" i="34"/>
  <c r="BQ199" i="34"/>
  <c r="BQ198" i="34"/>
  <c r="BQ197" i="34"/>
  <c r="BQ196" i="34"/>
  <c r="BQ195" i="34"/>
  <c r="BQ194" i="34"/>
  <c r="BQ193" i="34"/>
  <c r="BQ192" i="34"/>
  <c r="BQ191" i="34"/>
  <c r="BQ190" i="34"/>
  <c r="BQ189" i="34"/>
  <c r="BQ188" i="34"/>
  <c r="BQ187" i="34"/>
  <c r="BQ186" i="34"/>
  <c r="BQ185" i="34"/>
  <c r="BQ184" i="34"/>
  <c r="BQ183" i="34"/>
  <c r="BQ182" i="34"/>
  <c r="BQ181" i="34"/>
  <c r="BQ180" i="34"/>
  <c r="BQ179" i="34"/>
  <c r="BQ178" i="34"/>
  <c r="BQ177" i="34"/>
  <c r="BQ176" i="34"/>
  <c r="BQ175" i="34"/>
  <c r="BQ174" i="34"/>
  <c r="BQ173" i="34"/>
  <c r="BQ172" i="34"/>
  <c r="BQ171" i="34"/>
  <c r="BQ170" i="34"/>
  <c r="BQ169" i="34"/>
  <c r="BQ168" i="34"/>
  <c r="BQ167" i="34"/>
  <c r="BQ166" i="34"/>
  <c r="BQ165" i="34"/>
  <c r="BQ164" i="34"/>
  <c r="BQ163" i="34"/>
  <c r="BQ162" i="34"/>
  <c r="BQ161" i="34"/>
  <c r="BQ160" i="34"/>
  <c r="BQ159" i="34"/>
  <c r="BQ158" i="34"/>
  <c r="BQ157" i="34"/>
  <c r="BQ156" i="34"/>
  <c r="BQ155" i="34"/>
  <c r="BQ154" i="34"/>
  <c r="BQ153" i="34"/>
  <c r="BQ152" i="34"/>
  <c r="BQ151" i="34"/>
  <c r="BQ150" i="34"/>
  <c r="BQ149" i="34"/>
  <c r="BQ148" i="34"/>
  <c r="BQ147" i="34"/>
  <c r="BQ146" i="34"/>
  <c r="BQ145" i="34"/>
  <c r="BQ144" i="34"/>
  <c r="BQ143" i="34"/>
  <c r="BQ142" i="34"/>
  <c r="BQ141" i="34"/>
  <c r="BQ140" i="34"/>
  <c r="BQ139" i="34"/>
  <c r="BQ138" i="34"/>
  <c r="BQ137" i="34"/>
  <c r="BQ136" i="34"/>
  <c r="BQ135" i="34"/>
  <c r="BQ134" i="34"/>
  <c r="BQ133" i="34"/>
  <c r="BQ132" i="34"/>
  <c r="BQ131" i="34"/>
  <c r="BQ130" i="34"/>
  <c r="BQ129" i="34"/>
  <c r="BQ128" i="34"/>
  <c r="BQ127" i="34"/>
  <c r="BQ126" i="34"/>
  <c r="BQ125" i="34"/>
  <c r="BQ124" i="34"/>
  <c r="BQ123" i="34"/>
  <c r="BQ122" i="34"/>
  <c r="BQ121" i="34"/>
  <c r="BQ120" i="34"/>
  <c r="BQ119" i="34"/>
  <c r="BQ118" i="34"/>
  <c r="BQ117" i="34"/>
  <c r="BQ116" i="34"/>
  <c r="BQ115" i="34"/>
  <c r="BQ114" i="34"/>
  <c r="BQ113" i="34"/>
  <c r="BQ112" i="34"/>
  <c r="BQ111" i="34"/>
  <c r="BQ110" i="34"/>
  <c r="BQ109" i="34"/>
  <c r="BQ108" i="34"/>
  <c r="BQ107" i="34"/>
  <c r="BQ106" i="34"/>
  <c r="BQ105" i="34"/>
  <c r="BQ104" i="34"/>
  <c r="BQ103" i="34"/>
  <c r="BQ102" i="34"/>
  <c r="BQ101" i="34"/>
  <c r="BQ100" i="34"/>
  <c r="BQ99" i="34"/>
  <c r="BQ98" i="34"/>
  <c r="BQ97" i="34"/>
  <c r="BQ96" i="34"/>
  <c r="BQ95" i="34"/>
  <c r="BQ94" i="34"/>
  <c r="BQ93" i="34"/>
  <c r="BQ92" i="34"/>
  <c r="BQ91" i="34"/>
  <c r="BQ90" i="34"/>
  <c r="BQ89" i="34"/>
  <c r="BQ88" i="34"/>
  <c r="BQ87" i="34"/>
  <c r="BQ86" i="34"/>
  <c r="BQ85" i="34"/>
  <c r="BQ84" i="34"/>
  <c r="BQ83" i="34"/>
  <c r="BQ82" i="34"/>
  <c r="BQ81" i="34"/>
  <c r="BQ80" i="34"/>
  <c r="BQ79" i="34"/>
  <c r="BQ78" i="34"/>
  <c r="BQ77" i="34"/>
  <c r="BQ76" i="34"/>
  <c r="BQ75" i="34"/>
  <c r="BQ74" i="34"/>
  <c r="BQ73" i="34"/>
  <c r="BQ72" i="34"/>
  <c r="BQ71" i="34"/>
  <c r="BQ70" i="34"/>
  <c r="BQ69" i="34"/>
  <c r="BQ68" i="34"/>
  <c r="BQ67" i="34"/>
  <c r="BQ66" i="34"/>
  <c r="BQ65" i="34"/>
  <c r="BQ64" i="34"/>
  <c r="BQ63" i="34"/>
  <c r="BQ62" i="34"/>
  <c r="BQ61" i="34"/>
  <c r="BQ60" i="34"/>
  <c r="BQ59" i="34"/>
  <c r="BQ58" i="34"/>
  <c r="BQ57" i="34"/>
  <c r="BQ56" i="34"/>
  <c r="BQ55" i="34"/>
  <c r="BQ54" i="34"/>
  <c r="BQ53" i="34"/>
  <c r="BQ52" i="34"/>
  <c r="BQ51" i="34"/>
  <c r="BQ50" i="34"/>
  <c r="BQ49" i="34"/>
  <c r="BQ48" i="34"/>
  <c r="BQ47" i="34"/>
  <c r="BQ46" i="34"/>
  <c r="BQ45" i="34"/>
  <c r="BQ44" i="34"/>
  <c r="BQ43" i="34"/>
  <c r="BQ42" i="34"/>
  <c r="BQ41" i="34"/>
  <c r="BQ40" i="34"/>
  <c r="BQ39" i="34"/>
  <c r="BQ38" i="34"/>
  <c r="BQ37" i="34"/>
  <c r="BQ36" i="34"/>
  <c r="BQ35" i="34"/>
  <c r="BQ34" i="34"/>
  <c r="BQ33" i="34"/>
  <c r="BQ32" i="34"/>
  <c r="BQ31" i="34"/>
  <c r="BQ30" i="34"/>
  <c r="BQ29" i="34"/>
  <c r="BQ28" i="34"/>
  <c r="BQ27" i="34"/>
  <c r="BQ26" i="34"/>
  <c r="BQ25" i="34"/>
  <c r="BQ24" i="34"/>
  <c r="BQ23" i="34"/>
  <c r="BQ22" i="34"/>
  <c r="BQ21" i="34"/>
  <c r="BQ20" i="34"/>
  <c r="BQ19" i="34"/>
  <c r="BQ18" i="34"/>
  <c r="BQ17" i="34"/>
  <c r="BQ16" i="34"/>
  <c r="BQ15" i="34"/>
  <c r="BQ14" i="34"/>
  <c r="BQ13" i="34"/>
  <c r="BQ12" i="34"/>
  <c r="BQ11" i="34"/>
  <c r="BQ10" i="34"/>
  <c r="BQ9" i="34"/>
  <c r="BQ8" i="34"/>
  <c r="BQ7" i="34"/>
  <c r="BQ6" i="34"/>
  <c r="BQ5" i="34"/>
  <c r="BQ4" i="34"/>
  <c r="BQ3" i="34"/>
  <c r="BQ2" i="34"/>
  <c r="F18" i="28"/>
  <c r="V346" i="35"/>
  <c r="V345" i="35"/>
  <c r="V344" i="35"/>
  <c r="V343" i="35"/>
  <c r="V342" i="35"/>
  <c r="V341" i="35"/>
  <c r="V340" i="35"/>
  <c r="V339" i="35"/>
  <c r="V338" i="35"/>
  <c r="V337" i="35"/>
  <c r="V336" i="35"/>
  <c r="V335" i="35"/>
  <c r="V334" i="35"/>
  <c r="V333" i="35"/>
  <c r="V332" i="35"/>
  <c r="V331" i="35"/>
  <c r="V330" i="35"/>
  <c r="V329" i="35"/>
  <c r="V328" i="35"/>
  <c r="V327" i="35"/>
  <c r="V326" i="35"/>
  <c r="V325" i="35"/>
  <c r="V324" i="35"/>
  <c r="V323" i="35"/>
  <c r="V322" i="35"/>
  <c r="V321" i="35"/>
  <c r="V320" i="35"/>
  <c r="V319" i="35"/>
  <c r="V318" i="35"/>
  <c r="V317" i="35"/>
  <c r="V316" i="35"/>
  <c r="V315" i="35"/>
  <c r="V314" i="35"/>
  <c r="V313" i="35"/>
  <c r="V312" i="35"/>
  <c r="V311" i="35"/>
  <c r="V310" i="35"/>
  <c r="V309" i="35"/>
  <c r="V308" i="35"/>
  <c r="V307" i="35"/>
  <c r="V306" i="35"/>
  <c r="V305" i="35"/>
  <c r="V304" i="35"/>
  <c r="V303" i="35"/>
  <c r="V302" i="35"/>
  <c r="V301" i="35"/>
  <c r="V300" i="35"/>
  <c r="V299" i="35"/>
  <c r="V298" i="35"/>
  <c r="V297" i="35"/>
  <c r="V296" i="35"/>
  <c r="V295" i="35"/>
  <c r="V294" i="35"/>
  <c r="V293" i="35"/>
  <c r="V292" i="35"/>
  <c r="V291" i="35"/>
  <c r="V290" i="35"/>
  <c r="V289" i="35"/>
  <c r="V288" i="35"/>
  <c r="V287" i="35"/>
  <c r="V286" i="35"/>
  <c r="V285" i="35"/>
  <c r="V284" i="35"/>
  <c r="V283" i="35"/>
  <c r="V282" i="35"/>
  <c r="V281" i="35"/>
  <c r="V280" i="35"/>
  <c r="V279" i="35"/>
  <c r="V278" i="35"/>
  <c r="V277" i="35"/>
  <c r="V276" i="35"/>
  <c r="V275" i="35"/>
  <c r="V274" i="35"/>
  <c r="V273" i="35"/>
  <c r="V272" i="35"/>
  <c r="V271" i="35"/>
  <c r="V270" i="35"/>
  <c r="V269" i="35"/>
  <c r="V268" i="35"/>
  <c r="V267" i="35"/>
  <c r="V266" i="35"/>
  <c r="V265" i="35"/>
  <c r="V264" i="35"/>
  <c r="V263" i="35"/>
  <c r="V262" i="35"/>
  <c r="V261" i="35"/>
  <c r="V260" i="35"/>
  <c r="V259" i="35"/>
  <c r="V258" i="35"/>
  <c r="V257" i="35"/>
  <c r="V256" i="35"/>
  <c r="V255" i="35"/>
  <c r="V254" i="35"/>
  <c r="V253" i="35"/>
  <c r="V252" i="35"/>
  <c r="V251" i="35"/>
  <c r="V250" i="35"/>
  <c r="V249" i="35"/>
  <c r="V248" i="35"/>
  <c r="V247" i="35"/>
  <c r="V246" i="35"/>
  <c r="V245" i="35"/>
  <c r="V244" i="35"/>
  <c r="V243" i="35"/>
  <c r="V242" i="35"/>
  <c r="V241" i="35"/>
  <c r="V240" i="35"/>
  <c r="V239" i="35"/>
  <c r="V238" i="35"/>
  <c r="V237" i="35"/>
  <c r="V236" i="35"/>
  <c r="V235" i="35"/>
  <c r="V234" i="35"/>
  <c r="V233" i="35"/>
  <c r="V232" i="35"/>
  <c r="V231" i="35"/>
  <c r="V230" i="35"/>
  <c r="V229" i="35"/>
  <c r="V228" i="35"/>
  <c r="V227" i="35"/>
  <c r="V226" i="35"/>
  <c r="V225" i="35"/>
  <c r="V224" i="35"/>
  <c r="V223" i="35"/>
  <c r="V222" i="35"/>
  <c r="V221" i="35"/>
  <c r="V220" i="35"/>
  <c r="V219" i="35"/>
  <c r="V218" i="35"/>
  <c r="V217" i="35"/>
  <c r="V216" i="35"/>
  <c r="V215" i="35"/>
  <c r="V214" i="35"/>
  <c r="V213" i="35"/>
  <c r="V212" i="35"/>
  <c r="V211" i="35"/>
  <c r="V210" i="35"/>
  <c r="V209" i="35"/>
  <c r="V208" i="35"/>
  <c r="V207" i="35"/>
  <c r="V206" i="35"/>
  <c r="V205" i="35"/>
  <c r="V204" i="35"/>
  <c r="V203" i="35"/>
  <c r="V202" i="35"/>
  <c r="V201" i="35"/>
  <c r="V200" i="35"/>
  <c r="V199" i="35"/>
  <c r="V198" i="35"/>
  <c r="V197" i="35"/>
  <c r="V196" i="35"/>
  <c r="V195" i="35"/>
  <c r="V194" i="35"/>
  <c r="V193" i="35"/>
  <c r="V192" i="35"/>
  <c r="V191" i="35"/>
  <c r="V190" i="35"/>
  <c r="V189" i="35"/>
  <c r="V188" i="35"/>
  <c r="V187" i="35"/>
  <c r="V185" i="35"/>
  <c r="V184" i="35"/>
  <c r="V183" i="35"/>
  <c r="V182" i="35"/>
  <c r="V181" i="35"/>
  <c r="V180" i="35"/>
  <c r="V179" i="35"/>
  <c r="V178" i="35"/>
  <c r="V176" i="35"/>
  <c r="V175" i="35"/>
  <c r="V174" i="35"/>
  <c r="V173" i="35"/>
  <c r="V172" i="35"/>
  <c r="V171" i="35"/>
  <c r="V170" i="35"/>
  <c r="V169" i="35"/>
  <c r="V168" i="35"/>
  <c r="V167" i="35"/>
  <c r="V166" i="35"/>
  <c r="V165" i="35"/>
  <c r="V164" i="35"/>
  <c r="V163" i="35"/>
  <c r="V162" i="35"/>
  <c r="V161" i="35"/>
  <c r="V160" i="35"/>
  <c r="V159" i="35"/>
  <c r="V158" i="35"/>
  <c r="V157" i="35"/>
  <c r="V156" i="35"/>
  <c r="V155" i="35"/>
  <c r="V154" i="35"/>
  <c r="V153" i="35"/>
  <c r="V152" i="35"/>
  <c r="V151" i="35"/>
  <c r="V150" i="35"/>
  <c r="V149" i="35"/>
  <c r="V148" i="35"/>
  <c r="V147" i="35"/>
  <c r="V146" i="35"/>
  <c r="V145" i="35"/>
  <c r="V144" i="35"/>
  <c r="V143" i="35"/>
  <c r="V142" i="35"/>
  <c r="V141" i="35"/>
  <c r="V140" i="35"/>
  <c r="V139" i="35"/>
  <c r="V138" i="35"/>
  <c r="V137" i="35"/>
  <c r="V136" i="35"/>
  <c r="V135" i="35"/>
  <c r="V134" i="35"/>
  <c r="V133" i="35"/>
  <c r="V132" i="35"/>
  <c r="V131" i="35"/>
  <c r="V130" i="35"/>
  <c r="V129" i="35"/>
  <c r="V128" i="35"/>
  <c r="V127" i="35"/>
  <c r="V126" i="35"/>
  <c r="V125" i="35"/>
  <c r="V124" i="35"/>
  <c r="V123" i="35"/>
  <c r="V122" i="35"/>
  <c r="V121" i="35"/>
  <c r="V120" i="35"/>
  <c r="V119" i="35"/>
  <c r="V118" i="35"/>
  <c r="V117" i="35"/>
  <c r="V116" i="35"/>
  <c r="V115" i="35"/>
  <c r="V114" i="35"/>
  <c r="V113" i="35"/>
  <c r="V112" i="35"/>
  <c r="V111" i="35"/>
  <c r="V110" i="35"/>
  <c r="V109" i="35"/>
  <c r="V108" i="35"/>
  <c r="V107" i="35"/>
  <c r="V106" i="35"/>
  <c r="V105" i="35"/>
  <c r="V104" i="35"/>
  <c r="V103" i="35"/>
  <c r="V102" i="35"/>
  <c r="V101" i="35"/>
  <c r="V100" i="35"/>
  <c r="V99" i="35"/>
  <c r="V98" i="35"/>
  <c r="V97" i="35"/>
  <c r="V96" i="35"/>
  <c r="V95" i="35"/>
  <c r="V94" i="35"/>
  <c r="V93" i="35"/>
  <c r="V92" i="35"/>
  <c r="V91" i="35"/>
  <c r="V90" i="35"/>
  <c r="V89" i="35"/>
  <c r="V88" i="35"/>
  <c r="V87" i="35"/>
  <c r="V86" i="35"/>
  <c r="V85" i="35"/>
  <c r="V84" i="35"/>
  <c r="V83" i="35"/>
  <c r="V82" i="35"/>
  <c r="V81" i="35"/>
  <c r="V80" i="35"/>
  <c r="V79" i="35"/>
  <c r="V78" i="35"/>
  <c r="V77" i="35"/>
  <c r="V76" i="35"/>
  <c r="V75" i="35"/>
  <c r="V74" i="35"/>
  <c r="V73" i="35"/>
  <c r="V72" i="35"/>
  <c r="V71" i="35"/>
  <c r="V70" i="35"/>
  <c r="V69" i="35"/>
  <c r="V68" i="35"/>
  <c r="V67" i="35"/>
  <c r="V66" i="35"/>
  <c r="V65" i="35"/>
  <c r="V64" i="35"/>
  <c r="V63" i="35"/>
  <c r="V62" i="35"/>
  <c r="V61" i="35"/>
  <c r="V60" i="35"/>
  <c r="V59" i="35"/>
  <c r="V58" i="35"/>
  <c r="V57" i="35"/>
  <c r="V56" i="35"/>
  <c r="V55" i="35"/>
  <c r="V54" i="35"/>
  <c r="V53" i="35"/>
  <c r="V52" i="35"/>
  <c r="V51" i="35"/>
  <c r="V50" i="35"/>
  <c r="V49" i="35"/>
  <c r="V48" i="35"/>
  <c r="V47" i="35"/>
  <c r="V46" i="35"/>
  <c r="V45" i="35"/>
  <c r="V44" i="35"/>
  <c r="V43" i="35"/>
  <c r="V42" i="35"/>
  <c r="V41" i="35"/>
  <c r="V40" i="35"/>
  <c r="V39" i="35"/>
  <c r="V38" i="35"/>
  <c r="V37" i="35"/>
  <c r="V36" i="35"/>
  <c r="V35" i="35"/>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V4" i="35"/>
  <c r="V3" i="35"/>
  <c r="V2" i="35"/>
  <c r="AI388" i="30" l="1"/>
  <c r="AE388" i="30"/>
  <c r="AP388" i="30"/>
  <c r="AN381" i="30"/>
  <c r="AG388" i="30"/>
  <c r="AH388" i="30" s="1"/>
  <c r="AN388" i="30"/>
  <c r="AE161" i="30"/>
  <c r="AJ161" i="30"/>
  <c r="AF161" i="30"/>
  <c r="AI161" i="30"/>
  <c r="AG161" i="30"/>
  <c r="AH161" i="30" s="1"/>
  <c r="AN161" i="30"/>
  <c r="AO161" i="30"/>
  <c r="AP161" i="30"/>
  <c r="AD161" i="30"/>
  <c r="AD381" i="30"/>
  <c r="AJ381" i="30"/>
  <c r="AN75" i="30"/>
  <c r="AP75" i="30"/>
  <c r="AG377" i="30"/>
  <c r="AO75" i="30"/>
  <c r="AG182" i="30"/>
  <c r="AO381" i="30"/>
  <c r="AP381" i="30"/>
  <c r="AP182" i="30"/>
  <c r="AF182" i="30"/>
  <c r="AD182" i="30"/>
  <c r="AE381" i="30"/>
  <c r="AI381" i="30"/>
  <c r="AF381" i="30"/>
  <c r="AE182" i="30"/>
  <c r="AI182" i="30"/>
  <c r="AJ182" i="30"/>
  <c r="AN182" i="30"/>
  <c r="AO182" i="30"/>
  <c r="AD377" i="30"/>
  <c r="AJ377" i="30"/>
  <c r="AD75" i="30"/>
  <c r="AJ75" i="30"/>
  <c r="AI377" i="30"/>
  <c r="AE377" i="30"/>
  <c r="AI75" i="30"/>
  <c r="AG75" i="30"/>
  <c r="AE75" i="30"/>
  <c r="AF377" i="30"/>
  <c r="AF75" i="30"/>
  <c r="AI369" i="36"/>
  <c r="AK369" i="36"/>
  <c r="AG369" i="36"/>
  <c r="AP369" i="36"/>
  <c r="AF369" i="36"/>
  <c r="AS369" i="36"/>
  <c r="AS362" i="36"/>
  <c r="AH362" i="36"/>
  <c r="AP362" i="36"/>
  <c r="AQ362" i="36"/>
  <c r="AR362" i="36"/>
  <c r="AI362" i="36"/>
  <c r="AI357" i="36"/>
  <c r="AH357" i="36"/>
  <c r="AP357" i="36"/>
  <c r="AG18" i="36"/>
  <c r="AJ18" i="36" s="1"/>
  <c r="AQ357" i="36"/>
  <c r="AR357" i="36"/>
  <c r="AS357" i="36"/>
  <c r="AL18" i="36"/>
  <c r="AO18" i="36" s="1"/>
  <c r="AQ353" i="36"/>
  <c r="AR353" i="36"/>
  <c r="AS353" i="36"/>
  <c r="AG353" i="36"/>
  <c r="AK353" i="36"/>
  <c r="AI353" i="36"/>
  <c r="AF353" i="36"/>
  <c r="AP353" i="36"/>
  <c r="AH353" i="36"/>
  <c r="AD347" i="25"/>
  <c r="AC347" i="25"/>
  <c r="AB347" i="25"/>
  <c r="AA347" i="25"/>
  <c r="Z347" i="25"/>
  <c r="Y347" i="25"/>
  <c r="X347" i="25"/>
  <c r="W347" i="25"/>
  <c r="V347" i="25"/>
  <c r="U347" i="25"/>
  <c r="Q347" i="25"/>
  <c r="P347" i="25"/>
  <c r="O347" i="25"/>
  <c r="N347" i="25"/>
  <c r="M347" i="25"/>
  <c r="L347" i="25"/>
  <c r="K347" i="25"/>
  <c r="J347" i="25"/>
  <c r="I347" i="25"/>
  <c r="H347" i="25"/>
  <c r="G347" i="25"/>
  <c r="F347" i="25"/>
  <c r="E347" i="25"/>
  <c r="D347" i="25"/>
  <c r="C347" i="25"/>
  <c r="Q347" i="33"/>
  <c r="O347" i="33"/>
  <c r="N347" i="33"/>
  <c r="K347" i="33"/>
  <c r="J347" i="33"/>
  <c r="I347" i="33"/>
  <c r="H347" i="33"/>
  <c r="G347" i="33"/>
  <c r="F347" i="33"/>
  <c r="E347" i="33"/>
  <c r="D347" i="33"/>
  <c r="C347" i="33"/>
  <c r="B347" i="33"/>
  <c r="AC347" i="7"/>
  <c r="C347" i="35"/>
  <c r="D347" i="35"/>
  <c r="E347" i="35"/>
  <c r="F347" i="35"/>
  <c r="G347" i="35"/>
  <c r="H347" i="35"/>
  <c r="I347" i="35"/>
  <c r="M347" i="35"/>
  <c r="N347" i="35"/>
  <c r="O347" i="35"/>
  <c r="P347" i="35"/>
  <c r="Q347" i="35"/>
  <c r="R347" i="35"/>
  <c r="S347" i="35"/>
  <c r="T347" i="35"/>
  <c r="U347" i="35"/>
  <c r="H347" i="7"/>
  <c r="G347" i="7"/>
  <c r="E347" i="7"/>
  <c r="AH381" i="30" l="1"/>
  <c r="AH182" i="30"/>
  <c r="AH377" i="30"/>
  <c r="AH75" i="30"/>
  <c r="AJ369" i="36"/>
  <c r="AJ353" i="36"/>
  <c r="V347" i="35"/>
  <c r="G35" i="1"/>
  <c r="G36" i="1"/>
  <c r="G37" i="1"/>
  <c r="W305" i="32"/>
  <c r="W366" i="32"/>
  <c r="V366" i="32"/>
  <c r="U366" i="32"/>
  <c r="T366" i="32"/>
  <c r="S366" i="32"/>
  <c r="R366" i="32"/>
  <c r="Q366" i="32"/>
  <c r="P366" i="32"/>
  <c r="O366" i="32"/>
  <c r="N366" i="32"/>
  <c r="M366" i="32"/>
  <c r="L366" i="32"/>
  <c r="K366" i="32"/>
  <c r="J366" i="32"/>
  <c r="I366" i="32"/>
  <c r="H366" i="32"/>
  <c r="G366" i="32"/>
  <c r="F366" i="32"/>
  <c r="E366" i="32"/>
  <c r="D366" i="32"/>
  <c r="C366" i="32"/>
  <c r="V363" i="32"/>
  <c r="R363" i="32"/>
  <c r="P363" i="32"/>
  <c r="O363" i="32"/>
  <c r="N363" i="32"/>
  <c r="M363" i="32"/>
  <c r="L363" i="32"/>
  <c r="K363" i="32"/>
  <c r="J363" i="32"/>
  <c r="I363" i="32"/>
  <c r="H363" i="32"/>
  <c r="G363" i="32"/>
  <c r="F363" i="32"/>
  <c r="E363" i="32"/>
  <c r="D363" i="32"/>
  <c r="V360" i="32"/>
  <c r="R360" i="32"/>
  <c r="P360" i="32"/>
  <c r="O360" i="32"/>
  <c r="N360" i="32"/>
  <c r="M360" i="32"/>
  <c r="L360" i="32"/>
  <c r="K360" i="32"/>
  <c r="J360" i="32"/>
  <c r="I360" i="32"/>
  <c r="H360" i="32"/>
  <c r="G360" i="32"/>
  <c r="F360" i="32"/>
  <c r="E360" i="32"/>
  <c r="D360" i="32"/>
  <c r="V357" i="32"/>
  <c r="R357" i="32"/>
  <c r="P357" i="32"/>
  <c r="O357" i="32"/>
  <c r="N357" i="32"/>
  <c r="M357" i="32"/>
  <c r="L357" i="32"/>
  <c r="K357" i="32"/>
  <c r="J357" i="32"/>
  <c r="I357" i="32"/>
  <c r="H357" i="32"/>
  <c r="G357" i="32"/>
  <c r="F357" i="32"/>
  <c r="E357" i="32"/>
  <c r="D357" i="32"/>
  <c r="Q386" i="33"/>
  <c r="N386" i="33"/>
  <c r="O386" i="33" s="1"/>
  <c r="M386" i="33"/>
  <c r="K386" i="33"/>
  <c r="J386" i="33"/>
  <c r="I386" i="33"/>
  <c r="H386" i="33"/>
  <c r="G386" i="33"/>
  <c r="F386" i="33"/>
  <c r="E386" i="33"/>
  <c r="D386" i="33"/>
  <c r="C386" i="33"/>
  <c r="B386" i="33"/>
  <c r="Q383" i="33"/>
  <c r="N383" i="33"/>
  <c r="M383" i="33"/>
  <c r="K383" i="33"/>
  <c r="J383" i="33"/>
  <c r="I383" i="33"/>
  <c r="H383" i="33"/>
  <c r="G383" i="33"/>
  <c r="F383" i="33"/>
  <c r="E383" i="33"/>
  <c r="D383" i="33"/>
  <c r="C383" i="33"/>
  <c r="B383" i="33"/>
  <c r="Q380" i="33"/>
  <c r="N380" i="33"/>
  <c r="M380" i="33"/>
  <c r="K380" i="33"/>
  <c r="J380" i="33"/>
  <c r="I380" i="33"/>
  <c r="H380" i="33"/>
  <c r="G380" i="33"/>
  <c r="F380" i="33"/>
  <c r="E380" i="33"/>
  <c r="D380" i="33"/>
  <c r="C380" i="33"/>
  <c r="B380" i="33"/>
  <c r="Q377" i="33"/>
  <c r="N377" i="33"/>
  <c r="M377" i="33"/>
  <c r="K377" i="33"/>
  <c r="H377" i="33"/>
  <c r="G377" i="33"/>
  <c r="F377" i="33"/>
  <c r="E377" i="33"/>
  <c r="D377" i="33"/>
  <c r="C377" i="33"/>
  <c r="B377" i="33"/>
  <c r="O375" i="33"/>
  <c r="O383" i="33" l="1"/>
  <c r="O380" i="33"/>
  <c r="O377" i="33"/>
  <c r="Y54" i="3" l="1"/>
  <c r="AA28" i="3"/>
  <c r="AB28" i="3" s="1"/>
  <c r="D346" i="7"/>
  <c r="D345" i="7"/>
  <c r="D344" i="7"/>
  <c r="D343" i="7"/>
  <c r="D342" i="7"/>
  <c r="D341" i="7"/>
  <c r="D340" i="7"/>
  <c r="D339" i="7"/>
  <c r="D338" i="7"/>
  <c r="D337" i="7"/>
  <c r="D336" i="7"/>
  <c r="D335" i="7"/>
  <c r="D334" i="7"/>
  <c r="D333" i="7"/>
  <c r="D332" i="7"/>
  <c r="D331" i="7"/>
  <c r="D330" i="7"/>
  <c r="D329" i="7"/>
  <c r="D328" i="7"/>
  <c r="D327" i="7"/>
  <c r="D326" i="7"/>
  <c r="D325" i="7"/>
  <c r="D324" i="7"/>
  <c r="D323" i="7"/>
  <c r="D322" i="7"/>
  <c r="D321"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3" i="7"/>
  <c r="D2" i="7"/>
  <c r="C2" i="7"/>
  <c r="D347" i="7" l="1"/>
  <c r="AA347" i="7"/>
  <c r="AG347" i="25"/>
  <c r="C346" i="37"/>
  <c r="C345" i="37"/>
  <c r="C344" i="37"/>
  <c r="C343" i="37"/>
  <c r="C342" i="37"/>
  <c r="C341" i="37"/>
  <c r="C340" i="37"/>
  <c r="C339" i="37"/>
  <c r="C338" i="37"/>
  <c r="C337" i="37"/>
  <c r="C336" i="37"/>
  <c r="C335" i="37"/>
  <c r="C334" i="37"/>
  <c r="C333" i="37"/>
  <c r="C332" i="37"/>
  <c r="C331" i="37"/>
  <c r="C330" i="37"/>
  <c r="C329" i="37"/>
  <c r="C328" i="37"/>
  <c r="C327" i="37"/>
  <c r="C326" i="37"/>
  <c r="C325" i="37"/>
  <c r="C324" i="37"/>
  <c r="C323" i="37"/>
  <c r="C322" i="37"/>
  <c r="C321" i="37"/>
  <c r="C320" i="37"/>
  <c r="C319" i="37"/>
  <c r="C318" i="37"/>
  <c r="C317" i="37"/>
  <c r="C316" i="37"/>
  <c r="C315" i="37"/>
  <c r="C314" i="37"/>
  <c r="C313" i="37"/>
  <c r="C312" i="37"/>
  <c r="C311" i="37"/>
  <c r="C310" i="37"/>
  <c r="C309" i="37"/>
  <c r="C308" i="37"/>
  <c r="C307" i="37"/>
  <c r="C306" i="37"/>
  <c r="C305" i="37"/>
  <c r="C304" i="37"/>
  <c r="C303" i="37"/>
  <c r="C302" i="37"/>
  <c r="C301" i="37"/>
  <c r="C300" i="37"/>
  <c r="C299" i="37"/>
  <c r="C298" i="37"/>
  <c r="C297" i="37"/>
  <c r="C296" i="37"/>
  <c r="C295" i="37"/>
  <c r="C294" i="37"/>
  <c r="C293" i="37"/>
  <c r="C292" i="37"/>
  <c r="C291" i="37"/>
  <c r="C290" i="37"/>
  <c r="C289" i="37"/>
  <c r="C288" i="37"/>
  <c r="C287" i="37"/>
  <c r="C286" i="37"/>
  <c r="C285" i="37"/>
  <c r="C284" i="37"/>
  <c r="C283" i="37"/>
  <c r="C282" i="37"/>
  <c r="C281" i="37"/>
  <c r="C280" i="37"/>
  <c r="C279" i="37"/>
  <c r="C278" i="37"/>
  <c r="C277" i="37"/>
  <c r="C276" i="37"/>
  <c r="C275" i="37"/>
  <c r="C274" i="37"/>
  <c r="C273" i="37"/>
  <c r="C272" i="37"/>
  <c r="C271" i="37"/>
  <c r="C270" i="37"/>
  <c r="C269" i="37"/>
  <c r="C268" i="37"/>
  <c r="C267" i="37"/>
  <c r="C266" i="37"/>
  <c r="C265" i="37"/>
  <c r="C264" i="37"/>
  <c r="C263" i="37"/>
  <c r="C262" i="37"/>
  <c r="C261" i="37"/>
  <c r="C260" i="37"/>
  <c r="C259" i="37"/>
  <c r="C258" i="37"/>
  <c r="C257" i="37"/>
  <c r="C256" i="37"/>
  <c r="C255" i="37"/>
  <c r="C254" i="37"/>
  <c r="C253" i="37"/>
  <c r="C252" i="37"/>
  <c r="C251" i="37"/>
  <c r="C250" i="37"/>
  <c r="C249" i="37"/>
  <c r="C248" i="37"/>
  <c r="C247" i="37"/>
  <c r="C246" i="37"/>
  <c r="C245" i="37"/>
  <c r="C244" i="37"/>
  <c r="C243" i="37"/>
  <c r="C242" i="37"/>
  <c r="C241" i="37"/>
  <c r="C240" i="37"/>
  <c r="C239" i="37"/>
  <c r="C238" i="37"/>
  <c r="C237" i="37"/>
  <c r="C236" i="37"/>
  <c r="C235" i="37"/>
  <c r="C234" i="37"/>
  <c r="C233" i="37"/>
  <c r="C232" i="37"/>
  <c r="C231" i="37"/>
  <c r="C230" i="37"/>
  <c r="C229" i="37"/>
  <c r="C228" i="37"/>
  <c r="C227" i="37"/>
  <c r="C226" i="37"/>
  <c r="C225" i="37"/>
  <c r="C224" i="37"/>
  <c r="C223" i="37"/>
  <c r="C222" i="37"/>
  <c r="C221" i="37"/>
  <c r="C220" i="37"/>
  <c r="C219" i="37"/>
  <c r="C218" i="37"/>
  <c r="C217" i="37"/>
  <c r="C216" i="37"/>
  <c r="C215" i="37"/>
  <c r="C214" i="37"/>
  <c r="C213" i="37"/>
  <c r="C212" i="37"/>
  <c r="C211" i="37"/>
  <c r="C210" i="37"/>
  <c r="C209" i="37"/>
  <c r="C208" i="37"/>
  <c r="C207" i="37"/>
  <c r="C206" i="37"/>
  <c r="C205" i="37"/>
  <c r="C204" i="37"/>
  <c r="C203" i="37"/>
  <c r="C202" i="37"/>
  <c r="C201" i="37"/>
  <c r="C200" i="37"/>
  <c r="C199" i="37"/>
  <c r="C198" i="37"/>
  <c r="C197" i="37"/>
  <c r="C196" i="37"/>
  <c r="C195" i="37"/>
  <c r="C194" i="37"/>
  <c r="C193" i="37"/>
  <c r="C192" i="37"/>
  <c r="C191" i="37"/>
  <c r="C190" i="37"/>
  <c r="C189" i="37"/>
  <c r="C188" i="37"/>
  <c r="C187" i="37"/>
  <c r="C186" i="37"/>
  <c r="C185" i="37"/>
  <c r="C184" i="37"/>
  <c r="C183" i="37"/>
  <c r="C182" i="37"/>
  <c r="C181" i="37"/>
  <c r="C180" i="37"/>
  <c r="C179" i="37"/>
  <c r="C178" i="37"/>
  <c r="C177" i="37"/>
  <c r="C176" i="37"/>
  <c r="C175" i="37"/>
  <c r="C174" i="37"/>
  <c r="C173" i="37"/>
  <c r="C172" i="37"/>
  <c r="C171" i="37"/>
  <c r="C170" i="37"/>
  <c r="C169" i="37"/>
  <c r="C168" i="37"/>
  <c r="C167" i="37"/>
  <c r="C166" i="37"/>
  <c r="C165" i="37"/>
  <c r="C164" i="37"/>
  <c r="C163" i="37"/>
  <c r="C162" i="37"/>
  <c r="C161" i="37"/>
  <c r="C160" i="37"/>
  <c r="C159" i="37"/>
  <c r="C158" i="37"/>
  <c r="C157" i="37"/>
  <c r="C156" i="37"/>
  <c r="C155" i="37"/>
  <c r="C154" i="37"/>
  <c r="C153" i="37"/>
  <c r="C152" i="37"/>
  <c r="C151" i="37"/>
  <c r="C150" i="37"/>
  <c r="C149" i="37"/>
  <c r="C148" i="37"/>
  <c r="C147" i="37"/>
  <c r="C146" i="37"/>
  <c r="C145" i="37"/>
  <c r="C144" i="37"/>
  <c r="C143" i="37"/>
  <c r="C142" i="37"/>
  <c r="C141" i="37"/>
  <c r="C140" i="37"/>
  <c r="C139" i="37"/>
  <c r="C138" i="37"/>
  <c r="C137" i="37"/>
  <c r="C136" i="37"/>
  <c r="C135" i="37"/>
  <c r="C134" i="37"/>
  <c r="C133" i="37"/>
  <c r="C132" i="37"/>
  <c r="C131" i="37"/>
  <c r="C130" i="37"/>
  <c r="C129" i="37"/>
  <c r="C128" i="37"/>
  <c r="C127" i="37"/>
  <c r="C126" i="37"/>
  <c r="C125" i="37"/>
  <c r="C124" i="37"/>
  <c r="C123" i="37"/>
  <c r="C122" i="37"/>
  <c r="C121" i="37"/>
  <c r="C120" i="37"/>
  <c r="C119" i="37"/>
  <c r="C118" i="37"/>
  <c r="C117" i="37"/>
  <c r="C116" i="37"/>
  <c r="C115" i="37"/>
  <c r="C114" i="37"/>
  <c r="C113" i="37"/>
  <c r="C112" i="37"/>
  <c r="C111" i="37"/>
  <c r="C110" i="37"/>
  <c r="C109" i="37"/>
  <c r="C108" i="37"/>
  <c r="C107" i="37"/>
  <c r="C106" i="37"/>
  <c r="C105" i="37"/>
  <c r="C104" i="37"/>
  <c r="C103" i="37"/>
  <c r="C102" i="37"/>
  <c r="C101" i="37"/>
  <c r="C100" i="37"/>
  <c r="C99" i="37"/>
  <c r="C98" i="37"/>
  <c r="C97" i="37"/>
  <c r="C96" i="37"/>
  <c r="C95" i="37"/>
  <c r="C94" i="37"/>
  <c r="C93" i="37"/>
  <c r="C92" i="37"/>
  <c r="C91" i="37"/>
  <c r="C90" i="37"/>
  <c r="C89" i="37"/>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C51" i="37"/>
  <c r="C50" i="37"/>
  <c r="C49" i="37"/>
  <c r="C48" i="37"/>
  <c r="C47" i="37"/>
  <c r="C46" i="37"/>
  <c r="C45" i="37"/>
  <c r="C44" i="37"/>
  <c r="C43" i="37"/>
  <c r="C42" i="37"/>
  <c r="C41" i="37"/>
  <c r="C40" i="37"/>
  <c r="C39" i="37"/>
  <c r="C38" i="37"/>
  <c r="C37" i="37"/>
  <c r="C36" i="37"/>
  <c r="C35" i="37"/>
  <c r="C34" i="37"/>
  <c r="C33" i="37"/>
  <c r="C32" i="37"/>
  <c r="C31" i="37"/>
  <c r="C30" i="37"/>
  <c r="C29" i="37"/>
  <c r="C28" i="37"/>
  <c r="C27" i="37"/>
  <c r="C26" i="37"/>
  <c r="C25" i="37"/>
  <c r="C24" i="37"/>
  <c r="C23" i="37"/>
  <c r="C22" i="37"/>
  <c r="C21" i="37"/>
  <c r="C20" i="37"/>
  <c r="C19" i="37"/>
  <c r="C18" i="37"/>
  <c r="C17" i="37"/>
  <c r="C16" i="37"/>
  <c r="C15" i="37"/>
  <c r="C14" i="37"/>
  <c r="C13" i="37"/>
  <c r="C12" i="37"/>
  <c r="C11" i="37"/>
  <c r="C10" i="37"/>
  <c r="C9" i="37"/>
  <c r="C8" i="37"/>
  <c r="C7" i="37"/>
  <c r="C6" i="37"/>
  <c r="C5" i="37"/>
  <c r="C4" i="37"/>
  <c r="C3" i="37"/>
  <c r="C2" i="37"/>
  <c r="G3" i="1"/>
  <c r="T346" i="25"/>
  <c r="T345" i="25"/>
  <c r="T344" i="25"/>
  <c r="T343" i="25"/>
  <c r="T342" i="25"/>
  <c r="T341" i="25"/>
  <c r="T340" i="25"/>
  <c r="T339" i="25"/>
  <c r="T338" i="25"/>
  <c r="T337" i="25"/>
  <c r="T336" i="25"/>
  <c r="T335" i="25"/>
  <c r="T334" i="25"/>
  <c r="T333" i="25"/>
  <c r="T332" i="25"/>
  <c r="T331" i="25"/>
  <c r="T330" i="25"/>
  <c r="T329" i="25"/>
  <c r="T328" i="25"/>
  <c r="T327" i="25"/>
  <c r="T326" i="25"/>
  <c r="T325" i="25"/>
  <c r="T324" i="25"/>
  <c r="T323" i="25"/>
  <c r="T322" i="25"/>
  <c r="T321" i="25"/>
  <c r="T320" i="25"/>
  <c r="T319" i="25"/>
  <c r="T318" i="25"/>
  <c r="T317" i="25"/>
  <c r="T316" i="25"/>
  <c r="T315" i="25"/>
  <c r="T314" i="25"/>
  <c r="T313" i="25"/>
  <c r="T312" i="25"/>
  <c r="T311" i="25"/>
  <c r="T310" i="25"/>
  <c r="T309" i="25"/>
  <c r="T308" i="25"/>
  <c r="T307" i="25"/>
  <c r="T306" i="25"/>
  <c r="T305" i="25"/>
  <c r="T304" i="25"/>
  <c r="T303" i="25"/>
  <c r="T302" i="25"/>
  <c r="T301" i="25"/>
  <c r="T300" i="25"/>
  <c r="T299" i="25"/>
  <c r="T298" i="25"/>
  <c r="T297" i="25"/>
  <c r="T296" i="25"/>
  <c r="T295" i="25"/>
  <c r="T294" i="25"/>
  <c r="T293" i="25"/>
  <c r="T292" i="25"/>
  <c r="T291" i="25"/>
  <c r="T290" i="25"/>
  <c r="T289" i="25"/>
  <c r="T288" i="25"/>
  <c r="T287" i="25"/>
  <c r="T286" i="25"/>
  <c r="T285" i="25"/>
  <c r="T284" i="25"/>
  <c r="T283" i="25"/>
  <c r="T282" i="25"/>
  <c r="T281" i="25"/>
  <c r="T280" i="25"/>
  <c r="T279" i="25"/>
  <c r="T278" i="25"/>
  <c r="T277" i="25"/>
  <c r="T276" i="25"/>
  <c r="T275" i="25"/>
  <c r="T274" i="25"/>
  <c r="T273" i="25"/>
  <c r="T272" i="25"/>
  <c r="T271" i="25"/>
  <c r="T270" i="25"/>
  <c r="T269" i="25"/>
  <c r="T268" i="25"/>
  <c r="T267" i="25"/>
  <c r="T266" i="25"/>
  <c r="T265" i="25"/>
  <c r="T264" i="25"/>
  <c r="T263" i="25"/>
  <c r="T262" i="25"/>
  <c r="T261" i="25"/>
  <c r="T260" i="25"/>
  <c r="T259" i="25"/>
  <c r="T258" i="25"/>
  <c r="T257" i="25"/>
  <c r="T256" i="25"/>
  <c r="T255" i="25"/>
  <c r="T254" i="25"/>
  <c r="T253" i="25"/>
  <c r="T252" i="25"/>
  <c r="T251" i="25"/>
  <c r="T250" i="25"/>
  <c r="T249" i="25"/>
  <c r="T248" i="25"/>
  <c r="T247" i="25"/>
  <c r="T246" i="25"/>
  <c r="T245" i="25"/>
  <c r="T244" i="25"/>
  <c r="T243" i="25"/>
  <c r="T242" i="25"/>
  <c r="T241" i="25"/>
  <c r="T240" i="25"/>
  <c r="T239" i="25"/>
  <c r="T238" i="25"/>
  <c r="T237" i="25"/>
  <c r="T236" i="25"/>
  <c r="T235" i="25"/>
  <c r="T234" i="25"/>
  <c r="T233" i="25"/>
  <c r="T232" i="25"/>
  <c r="T231" i="25"/>
  <c r="T230" i="25"/>
  <c r="T229" i="25"/>
  <c r="T228" i="25"/>
  <c r="T227" i="25"/>
  <c r="T226" i="25"/>
  <c r="T225" i="25"/>
  <c r="T224" i="25"/>
  <c r="T223" i="25"/>
  <c r="T222" i="25"/>
  <c r="T221" i="25"/>
  <c r="T220" i="25"/>
  <c r="T219" i="25"/>
  <c r="T218" i="25"/>
  <c r="T217" i="25"/>
  <c r="T216" i="25"/>
  <c r="T215" i="25"/>
  <c r="T214" i="25"/>
  <c r="T213" i="25"/>
  <c r="T212" i="25"/>
  <c r="T211" i="25"/>
  <c r="T210" i="25"/>
  <c r="T209" i="25"/>
  <c r="T208" i="25"/>
  <c r="T207" i="25"/>
  <c r="T206" i="25"/>
  <c r="T205" i="25"/>
  <c r="T204" i="25"/>
  <c r="T203" i="25"/>
  <c r="T202" i="25"/>
  <c r="T201" i="25"/>
  <c r="T200" i="25"/>
  <c r="T199" i="25"/>
  <c r="T198" i="25"/>
  <c r="T197" i="25"/>
  <c r="T196" i="25"/>
  <c r="T195" i="25"/>
  <c r="T194" i="25"/>
  <c r="T193" i="25"/>
  <c r="T192" i="25"/>
  <c r="T191" i="25"/>
  <c r="T190" i="25"/>
  <c r="T189" i="25"/>
  <c r="T188" i="25"/>
  <c r="T187" i="25"/>
  <c r="T186" i="25"/>
  <c r="T185" i="25"/>
  <c r="T184" i="25"/>
  <c r="T183" i="25"/>
  <c r="T182" i="25"/>
  <c r="T181" i="25"/>
  <c r="T180" i="25"/>
  <c r="T179" i="25"/>
  <c r="T178" i="25"/>
  <c r="T177" i="25"/>
  <c r="T176" i="25"/>
  <c r="T175" i="25"/>
  <c r="T174" i="25"/>
  <c r="T173" i="25"/>
  <c r="T172" i="25"/>
  <c r="T171" i="25"/>
  <c r="T170" i="25"/>
  <c r="T169" i="25"/>
  <c r="T168" i="25"/>
  <c r="T167" i="25"/>
  <c r="T166" i="25"/>
  <c r="T165" i="25"/>
  <c r="T164" i="25"/>
  <c r="T163" i="25"/>
  <c r="T162" i="25"/>
  <c r="T161" i="25"/>
  <c r="T160" i="25"/>
  <c r="T159" i="25"/>
  <c r="T158" i="25"/>
  <c r="T157" i="25"/>
  <c r="T156" i="25"/>
  <c r="T155" i="25"/>
  <c r="T154" i="25"/>
  <c r="T153" i="25"/>
  <c r="T152" i="25"/>
  <c r="T151" i="25"/>
  <c r="T150" i="25"/>
  <c r="T149" i="25"/>
  <c r="T148" i="25"/>
  <c r="T147" i="25"/>
  <c r="T146" i="25"/>
  <c r="T145" i="25"/>
  <c r="T144" i="25"/>
  <c r="T143" i="25"/>
  <c r="T142" i="25"/>
  <c r="T141" i="25"/>
  <c r="T140" i="25"/>
  <c r="T139" i="25"/>
  <c r="T138" i="25"/>
  <c r="T137" i="25"/>
  <c r="T136" i="25"/>
  <c r="T135" i="25"/>
  <c r="T134" i="25"/>
  <c r="T133" i="25"/>
  <c r="T132" i="25"/>
  <c r="T131" i="25"/>
  <c r="T130" i="25"/>
  <c r="T129" i="25"/>
  <c r="T128" i="25"/>
  <c r="T127" i="25"/>
  <c r="T126" i="25"/>
  <c r="T125" i="25"/>
  <c r="T124" i="25"/>
  <c r="T123" i="25"/>
  <c r="T122" i="25"/>
  <c r="T121" i="25"/>
  <c r="T120" i="25"/>
  <c r="T119" i="25"/>
  <c r="T118" i="25"/>
  <c r="T117" i="25"/>
  <c r="T116" i="25"/>
  <c r="T115" i="25"/>
  <c r="T114" i="25"/>
  <c r="T113" i="25"/>
  <c r="T112" i="25"/>
  <c r="T111" i="25"/>
  <c r="T110" i="25"/>
  <c r="T109" i="25"/>
  <c r="T108" i="25"/>
  <c r="T107" i="25"/>
  <c r="T106" i="25"/>
  <c r="T105" i="25"/>
  <c r="T104" i="25"/>
  <c r="T103" i="25"/>
  <c r="T102" i="25"/>
  <c r="T101" i="25"/>
  <c r="T100" i="25"/>
  <c r="T99" i="25"/>
  <c r="T98" i="25"/>
  <c r="T97" i="25"/>
  <c r="T96" i="25"/>
  <c r="T95" i="25"/>
  <c r="T94" i="25"/>
  <c r="T93" i="25"/>
  <c r="T92" i="25"/>
  <c r="T91" i="25"/>
  <c r="T90" i="25"/>
  <c r="T89" i="25"/>
  <c r="T88" i="25"/>
  <c r="T87" i="25"/>
  <c r="T86" i="25"/>
  <c r="T85" i="25"/>
  <c r="T84" i="25"/>
  <c r="T83" i="25"/>
  <c r="T82" i="25"/>
  <c r="T81" i="25"/>
  <c r="T80" i="25"/>
  <c r="T79" i="25"/>
  <c r="T78" i="25"/>
  <c r="T77" i="25"/>
  <c r="T76" i="25"/>
  <c r="T75" i="25"/>
  <c r="T74" i="25"/>
  <c r="T73" i="25"/>
  <c r="T72" i="25"/>
  <c r="T71" i="25"/>
  <c r="T70" i="25"/>
  <c r="T69" i="25"/>
  <c r="T68" i="25"/>
  <c r="T67" i="25"/>
  <c r="T66" i="25"/>
  <c r="T65" i="25"/>
  <c r="T64" i="25"/>
  <c r="T63" i="25"/>
  <c r="T62" i="25"/>
  <c r="T61" i="25"/>
  <c r="T60" i="25"/>
  <c r="T59" i="25"/>
  <c r="T58" i="25"/>
  <c r="T57" i="25"/>
  <c r="T56" i="25"/>
  <c r="T55" i="25"/>
  <c r="T54" i="25"/>
  <c r="T53" i="25"/>
  <c r="T52" i="25"/>
  <c r="T51" i="25"/>
  <c r="T50" i="25"/>
  <c r="T49" i="25"/>
  <c r="T48" i="25"/>
  <c r="T47" i="25"/>
  <c r="T46" i="25"/>
  <c r="T45" i="25"/>
  <c r="T44" i="25"/>
  <c r="T43" i="25"/>
  <c r="T42" i="25"/>
  <c r="T41" i="25"/>
  <c r="T40" i="25"/>
  <c r="T39" i="25"/>
  <c r="T38" i="25"/>
  <c r="T37" i="25"/>
  <c r="T36" i="25"/>
  <c r="T35" i="25"/>
  <c r="T34" i="25"/>
  <c r="T33" i="25"/>
  <c r="T32" i="25"/>
  <c r="T31" i="25"/>
  <c r="T30" i="25"/>
  <c r="T29" i="25"/>
  <c r="T28" i="25"/>
  <c r="T27" i="25"/>
  <c r="T26" i="25"/>
  <c r="T25" i="25"/>
  <c r="T24" i="25"/>
  <c r="T23" i="25"/>
  <c r="T22" i="25"/>
  <c r="T21" i="25"/>
  <c r="T20" i="25"/>
  <c r="T19" i="25"/>
  <c r="T18" i="25"/>
  <c r="T17" i="25"/>
  <c r="T16" i="25"/>
  <c r="T15" i="25"/>
  <c r="T14" i="25"/>
  <c r="T13" i="25"/>
  <c r="T12" i="25"/>
  <c r="T11" i="25"/>
  <c r="T10" i="25"/>
  <c r="T9" i="25"/>
  <c r="T8" i="25"/>
  <c r="T7" i="25"/>
  <c r="T6" i="25"/>
  <c r="T5" i="25"/>
  <c r="T4" i="25"/>
  <c r="T3" i="25"/>
  <c r="T2" i="25"/>
  <c r="T347" i="25" l="1"/>
  <c r="AL347" i="7"/>
  <c r="C391" i="37"/>
  <c r="X391" i="37"/>
  <c r="W391" i="37"/>
  <c r="V391" i="37"/>
  <c r="U391" i="37"/>
  <c r="T391" i="37"/>
  <c r="S391" i="37"/>
  <c r="R391" i="37"/>
  <c r="Q391" i="37"/>
  <c r="P391" i="37"/>
  <c r="O391" i="37"/>
  <c r="M391" i="37"/>
  <c r="L391" i="37"/>
  <c r="K391" i="37"/>
  <c r="J391" i="37"/>
  <c r="I391" i="37"/>
  <c r="H391" i="37"/>
  <c r="F391" i="37"/>
  <c r="X384" i="37"/>
  <c r="W384" i="37"/>
  <c r="V384" i="37"/>
  <c r="U384" i="37"/>
  <c r="T384" i="37"/>
  <c r="S384" i="37"/>
  <c r="R384" i="37"/>
  <c r="Q384" i="37"/>
  <c r="P384" i="37"/>
  <c r="O384" i="37"/>
  <c r="M384" i="37"/>
  <c r="L384" i="37"/>
  <c r="K384" i="37"/>
  <c r="J384" i="37"/>
  <c r="I384" i="37"/>
  <c r="H384" i="37"/>
  <c r="F384" i="37"/>
  <c r="X380" i="37"/>
  <c r="W380" i="37"/>
  <c r="V380" i="37"/>
  <c r="U380" i="37"/>
  <c r="T380" i="37"/>
  <c r="S380" i="37"/>
  <c r="R380" i="37"/>
  <c r="Q380" i="37"/>
  <c r="P380" i="37"/>
  <c r="O380" i="37"/>
  <c r="M380" i="37"/>
  <c r="L380" i="37"/>
  <c r="K380" i="37"/>
  <c r="J380" i="37"/>
  <c r="I380" i="37"/>
  <c r="H380" i="37"/>
  <c r="F380" i="37"/>
  <c r="X376" i="37"/>
  <c r="W376" i="37"/>
  <c r="V376" i="37"/>
  <c r="U376" i="37"/>
  <c r="T376" i="37"/>
  <c r="S376" i="37"/>
  <c r="R376" i="37"/>
  <c r="Q376" i="37"/>
  <c r="P376" i="37"/>
  <c r="O376" i="37"/>
  <c r="M376" i="37"/>
  <c r="L376" i="37"/>
  <c r="K376" i="37"/>
  <c r="J376" i="37"/>
  <c r="I376" i="37"/>
  <c r="H376" i="37"/>
  <c r="F376" i="37"/>
  <c r="O347" i="21"/>
  <c r="N347" i="21"/>
  <c r="M347" i="21"/>
  <c r="L347" i="21"/>
  <c r="K347" i="21"/>
  <c r="J347" i="21"/>
  <c r="I347" i="21"/>
  <c r="H347" i="21"/>
  <c r="G347" i="21"/>
  <c r="F347" i="21"/>
  <c r="E347" i="21"/>
  <c r="D347" i="21"/>
  <c r="R347" i="21"/>
  <c r="Q347" i="21"/>
  <c r="P347" i="21"/>
  <c r="W347" i="21"/>
  <c r="V385" i="32"/>
  <c r="R385" i="32"/>
  <c r="P385" i="32"/>
  <c r="O385" i="32"/>
  <c r="N385" i="32"/>
  <c r="M385" i="32"/>
  <c r="L385" i="32"/>
  <c r="K385" i="32"/>
  <c r="J385" i="32"/>
  <c r="I385" i="32"/>
  <c r="H385" i="32"/>
  <c r="G385" i="32"/>
  <c r="F385" i="32"/>
  <c r="E385" i="32"/>
  <c r="D385" i="32"/>
  <c r="V378" i="32"/>
  <c r="R378" i="32"/>
  <c r="P378" i="32"/>
  <c r="O378" i="32"/>
  <c r="N378" i="32"/>
  <c r="M378" i="32"/>
  <c r="L378" i="32"/>
  <c r="K378" i="32"/>
  <c r="J378" i="32"/>
  <c r="I378" i="32"/>
  <c r="H378" i="32"/>
  <c r="G378" i="32"/>
  <c r="F378" i="32"/>
  <c r="E378" i="32"/>
  <c r="D378" i="32"/>
  <c r="V374" i="32"/>
  <c r="R374" i="32"/>
  <c r="P374" i="32"/>
  <c r="O374" i="32"/>
  <c r="N374" i="32"/>
  <c r="M374" i="32"/>
  <c r="L374" i="32"/>
  <c r="K374" i="32"/>
  <c r="J374" i="32"/>
  <c r="I374" i="32"/>
  <c r="H374" i="32"/>
  <c r="G374" i="32"/>
  <c r="F374" i="32"/>
  <c r="E374" i="32"/>
  <c r="D374" i="32"/>
  <c r="V370" i="32"/>
  <c r="R370" i="32"/>
  <c r="P370" i="32"/>
  <c r="O370" i="32"/>
  <c r="N370" i="32"/>
  <c r="M370" i="32"/>
  <c r="L370" i="32"/>
  <c r="K370" i="32"/>
  <c r="J370" i="32"/>
  <c r="I370" i="32"/>
  <c r="H370" i="32"/>
  <c r="G370" i="32"/>
  <c r="F370" i="32"/>
  <c r="E370" i="32"/>
  <c r="D370" i="32"/>
  <c r="V353" i="32"/>
  <c r="R353" i="32"/>
  <c r="Q353" i="32"/>
  <c r="P353" i="32"/>
  <c r="O353" i="32"/>
  <c r="N353" i="32"/>
  <c r="M353" i="32"/>
  <c r="L353" i="32"/>
  <c r="K353" i="32"/>
  <c r="J353" i="32"/>
  <c r="I353" i="32"/>
  <c r="H353" i="32"/>
  <c r="G353" i="32"/>
  <c r="F353" i="32"/>
  <c r="F36" i="6"/>
  <c r="F35" i="6"/>
  <c r="M347" i="33"/>
  <c r="P157" i="33"/>
  <c r="Q373" i="33"/>
  <c r="O373" i="33"/>
  <c r="N373" i="33"/>
  <c r="M373" i="33"/>
  <c r="K373" i="33"/>
  <c r="H373" i="33"/>
  <c r="G373" i="33"/>
  <c r="F373" i="33"/>
  <c r="E373" i="33"/>
  <c r="D373" i="33"/>
  <c r="C373" i="33"/>
  <c r="B373" i="33"/>
  <c r="P87" i="33"/>
  <c r="Q366" i="33"/>
  <c r="M366" i="33"/>
  <c r="O366" i="33" s="1"/>
  <c r="K366" i="33"/>
  <c r="H366" i="33"/>
  <c r="G366" i="33"/>
  <c r="F366" i="33"/>
  <c r="E366" i="33"/>
  <c r="D366" i="33"/>
  <c r="C366" i="33"/>
  <c r="B366" i="33"/>
  <c r="P72" i="33"/>
  <c r="Q361" i="33"/>
  <c r="O361" i="33"/>
  <c r="N361" i="33"/>
  <c r="M361" i="33"/>
  <c r="K361" i="33"/>
  <c r="H361" i="33"/>
  <c r="G361" i="33"/>
  <c r="F361" i="33"/>
  <c r="E361" i="33"/>
  <c r="D361" i="33"/>
  <c r="C361" i="33"/>
  <c r="B361" i="33"/>
  <c r="P177" i="33"/>
  <c r="Q357" i="33"/>
  <c r="O357" i="33"/>
  <c r="N357" i="33"/>
  <c r="M357" i="33"/>
  <c r="K357" i="33"/>
  <c r="H357" i="33"/>
  <c r="G357" i="33"/>
  <c r="F357" i="33"/>
  <c r="E357" i="33"/>
  <c r="D357" i="33"/>
  <c r="C357" i="33"/>
  <c r="B357" i="33"/>
  <c r="P230" i="33"/>
  <c r="Q353" i="33"/>
  <c r="O353" i="33"/>
  <c r="N353" i="33"/>
  <c r="M353" i="33"/>
  <c r="K353" i="33"/>
  <c r="H353" i="33"/>
  <c r="G353" i="33"/>
  <c r="F353" i="33"/>
  <c r="E353" i="33"/>
  <c r="D353" i="33"/>
  <c r="C353" i="33"/>
  <c r="B353" i="33"/>
  <c r="L347" i="33"/>
  <c r="P347" i="33" s="1"/>
  <c r="L346" i="33"/>
  <c r="P346" i="33" s="1"/>
  <c r="L345" i="33"/>
  <c r="P345" i="33" s="1"/>
  <c r="L344" i="33"/>
  <c r="P344" i="33" s="1"/>
  <c r="L343" i="33"/>
  <c r="P343" i="33" s="1"/>
  <c r="L342" i="33"/>
  <c r="P342" i="33" s="1"/>
  <c r="L341" i="33"/>
  <c r="P341" i="33" s="1"/>
  <c r="L340" i="33"/>
  <c r="P340" i="33" s="1"/>
  <c r="L339" i="33"/>
  <c r="P339" i="33" s="1"/>
  <c r="L338" i="33"/>
  <c r="P338" i="33" s="1"/>
  <c r="L337" i="33"/>
  <c r="P337" i="33" s="1"/>
  <c r="L336" i="33"/>
  <c r="P336" i="33" s="1"/>
  <c r="L335" i="33"/>
  <c r="P335" i="33" s="1"/>
  <c r="L334" i="33"/>
  <c r="P334" i="33" s="1"/>
  <c r="L333" i="33"/>
  <c r="P333" i="33" s="1"/>
  <c r="L332" i="33"/>
  <c r="P332" i="33" s="1"/>
  <c r="L331" i="33"/>
  <c r="P331" i="33" s="1"/>
  <c r="L330" i="33"/>
  <c r="P330" i="33" s="1"/>
  <c r="L329" i="33"/>
  <c r="P329" i="33" s="1"/>
  <c r="L328" i="33"/>
  <c r="P328" i="33" s="1"/>
  <c r="L327" i="33"/>
  <c r="P327" i="33" s="1"/>
  <c r="L326" i="33"/>
  <c r="P326" i="33" s="1"/>
  <c r="L325" i="33"/>
  <c r="P325" i="33" s="1"/>
  <c r="L324" i="33"/>
  <c r="P324" i="33" s="1"/>
  <c r="L323" i="33"/>
  <c r="P323" i="33" s="1"/>
  <c r="L322" i="33"/>
  <c r="P322" i="33" s="1"/>
  <c r="L321" i="33"/>
  <c r="P321" i="33" s="1"/>
  <c r="L320" i="33"/>
  <c r="P320" i="33" s="1"/>
  <c r="L319" i="33"/>
  <c r="P319" i="33" s="1"/>
  <c r="L318" i="33"/>
  <c r="P318" i="33" s="1"/>
  <c r="L317" i="33"/>
  <c r="P317" i="33" s="1"/>
  <c r="L316" i="33"/>
  <c r="P316" i="33" s="1"/>
  <c r="L315" i="33"/>
  <c r="P315" i="33" s="1"/>
  <c r="L314" i="33"/>
  <c r="P314" i="33" s="1"/>
  <c r="L313" i="33"/>
  <c r="P313" i="33" s="1"/>
  <c r="L312" i="33"/>
  <c r="P312" i="33" s="1"/>
  <c r="L311" i="33"/>
  <c r="P311" i="33" s="1"/>
  <c r="L310" i="33"/>
  <c r="P310" i="33" s="1"/>
  <c r="L309" i="33"/>
  <c r="P309" i="33" s="1"/>
  <c r="L308" i="33"/>
  <c r="P308" i="33" s="1"/>
  <c r="L307" i="33"/>
  <c r="P307" i="33" s="1"/>
  <c r="L306" i="33"/>
  <c r="P306" i="33" s="1"/>
  <c r="L385" i="33"/>
  <c r="P385" i="33" s="1"/>
  <c r="L304" i="33"/>
  <c r="P304" i="33" s="1"/>
  <c r="L303" i="33"/>
  <c r="P303" i="33" s="1"/>
  <c r="L302" i="33"/>
  <c r="P302" i="33" s="1"/>
  <c r="L301" i="33"/>
  <c r="P301" i="33" s="1"/>
  <c r="L300" i="33"/>
  <c r="P300" i="33" s="1"/>
  <c r="L299" i="33"/>
  <c r="P299" i="33" s="1"/>
  <c r="L298" i="33"/>
  <c r="P298" i="33" s="1"/>
  <c r="L297" i="33"/>
  <c r="P297" i="33" s="1"/>
  <c r="L296" i="33"/>
  <c r="P296" i="33" s="1"/>
  <c r="L295" i="33"/>
  <c r="P295" i="33" s="1"/>
  <c r="L294" i="33"/>
  <c r="P294" i="33" s="1"/>
  <c r="L293" i="33"/>
  <c r="P293" i="33" s="1"/>
  <c r="L292" i="33"/>
  <c r="P292" i="33" s="1"/>
  <c r="L291" i="33"/>
  <c r="P291" i="33" s="1"/>
  <c r="L290" i="33"/>
  <c r="P290" i="33" s="1"/>
  <c r="L289" i="33"/>
  <c r="P289" i="33" s="1"/>
  <c r="L288" i="33"/>
  <c r="P288" i="33" s="1"/>
  <c r="L287" i="33"/>
  <c r="P287" i="33" s="1"/>
  <c r="L286" i="33"/>
  <c r="P286" i="33" s="1"/>
  <c r="L285" i="33"/>
  <c r="P285" i="33" s="1"/>
  <c r="L284" i="33"/>
  <c r="P284" i="33" s="1"/>
  <c r="L283" i="33"/>
  <c r="P283" i="33" s="1"/>
  <c r="L356" i="33"/>
  <c r="P356" i="33" s="1"/>
  <c r="L282" i="33"/>
  <c r="P282" i="33" s="1"/>
  <c r="L281" i="33"/>
  <c r="P281" i="33" s="1"/>
  <c r="L280" i="33"/>
  <c r="P280" i="33" s="1"/>
  <c r="L279" i="33"/>
  <c r="P279" i="33" s="1"/>
  <c r="L382" i="33"/>
  <c r="P382" i="33" s="1"/>
  <c r="L277" i="33"/>
  <c r="P277" i="33" s="1"/>
  <c r="L276" i="33"/>
  <c r="P276" i="33" s="1"/>
  <c r="L275" i="33"/>
  <c r="P275" i="33" s="1"/>
  <c r="L274" i="33"/>
  <c r="P274" i="33" s="1"/>
  <c r="L273" i="33"/>
  <c r="P273" i="33" s="1"/>
  <c r="L272" i="33"/>
  <c r="P272" i="33" s="1"/>
  <c r="L271" i="33"/>
  <c r="P271" i="33" s="1"/>
  <c r="L270" i="33"/>
  <c r="P270" i="33" s="1"/>
  <c r="L269" i="33"/>
  <c r="P269" i="33" s="1"/>
  <c r="L268" i="33"/>
  <c r="P268" i="33" s="1"/>
  <c r="L267" i="33"/>
  <c r="P267" i="33" s="1"/>
  <c r="L266" i="33"/>
  <c r="P266" i="33" s="1"/>
  <c r="L265" i="33"/>
  <c r="P265" i="33" s="1"/>
  <c r="L264" i="33"/>
  <c r="P264" i="33" s="1"/>
  <c r="L263" i="33"/>
  <c r="P263" i="33" s="1"/>
  <c r="L262" i="33"/>
  <c r="P262" i="33" s="1"/>
  <c r="L261" i="33"/>
  <c r="P261" i="33" s="1"/>
  <c r="L260" i="33"/>
  <c r="P260" i="33" s="1"/>
  <c r="L259" i="33"/>
  <c r="P259" i="33" s="1"/>
  <c r="L258" i="33"/>
  <c r="P258" i="33" s="1"/>
  <c r="L257" i="33"/>
  <c r="P257" i="33" s="1"/>
  <c r="L256" i="33"/>
  <c r="P256" i="33" s="1"/>
  <c r="L372" i="33"/>
  <c r="P372" i="33" s="1"/>
  <c r="L255" i="33"/>
  <c r="P255" i="33" s="1"/>
  <c r="L254" i="33"/>
  <c r="P254" i="33" s="1"/>
  <c r="L253" i="33"/>
  <c r="P253" i="33" s="1"/>
  <c r="L252" i="33"/>
  <c r="P252" i="33" s="1"/>
  <c r="L251" i="33"/>
  <c r="P251" i="33" s="1"/>
  <c r="L250" i="33"/>
  <c r="P250" i="33" s="1"/>
  <c r="L249" i="33"/>
  <c r="P249" i="33" s="1"/>
  <c r="L248" i="33"/>
  <c r="P248" i="33" s="1"/>
  <c r="L247" i="33"/>
  <c r="P247" i="33" s="1"/>
  <c r="L246" i="33"/>
  <c r="P246" i="33" s="1"/>
  <c r="L245" i="33"/>
  <c r="P245" i="33" s="1"/>
  <c r="L244" i="33"/>
  <c r="P244" i="33" s="1"/>
  <c r="L243" i="33"/>
  <c r="P243" i="33" s="1"/>
  <c r="L242" i="33"/>
  <c r="P242" i="33" s="1"/>
  <c r="L241" i="33"/>
  <c r="P241" i="33" s="1"/>
  <c r="L240" i="33"/>
  <c r="P240" i="33" s="1"/>
  <c r="L239" i="33"/>
  <c r="P239" i="33" s="1"/>
  <c r="L238" i="33"/>
  <c r="P238" i="33" s="1"/>
  <c r="L237" i="33"/>
  <c r="P237" i="33" s="1"/>
  <c r="L236" i="33"/>
  <c r="P236" i="33" s="1"/>
  <c r="L235" i="33"/>
  <c r="P235" i="33" s="1"/>
  <c r="L234" i="33"/>
  <c r="P234" i="33" s="1"/>
  <c r="L233" i="33"/>
  <c r="P233" i="33" s="1"/>
  <c r="L232" i="33"/>
  <c r="P232" i="33" s="1"/>
  <c r="L231" i="33"/>
  <c r="P231" i="33" s="1"/>
  <c r="L351" i="33"/>
  <c r="P351" i="33" s="1"/>
  <c r="L229" i="33"/>
  <c r="P229" i="33" s="1"/>
  <c r="L228" i="33"/>
  <c r="P228" i="33" s="1"/>
  <c r="L227" i="33"/>
  <c r="P227" i="33" s="1"/>
  <c r="L226" i="33"/>
  <c r="P226" i="33" s="1"/>
  <c r="L225" i="33"/>
  <c r="P225" i="33" s="1"/>
  <c r="L224" i="33"/>
  <c r="P224" i="33" s="1"/>
  <c r="L223" i="33"/>
  <c r="P223" i="33" s="1"/>
  <c r="L222" i="33"/>
  <c r="P222" i="33" s="1"/>
  <c r="L221" i="33"/>
  <c r="P221" i="33" s="1"/>
  <c r="L220" i="33"/>
  <c r="P220" i="33" s="1"/>
  <c r="L219" i="33"/>
  <c r="P219" i="33" s="1"/>
  <c r="L218" i="33"/>
  <c r="P218" i="33" s="1"/>
  <c r="L217" i="33"/>
  <c r="P217" i="33" s="1"/>
  <c r="L216" i="33"/>
  <c r="P216" i="33" s="1"/>
  <c r="L215" i="33"/>
  <c r="P215" i="33" s="1"/>
  <c r="L214" i="33"/>
  <c r="P214" i="33" s="1"/>
  <c r="L213" i="33"/>
  <c r="P213" i="33" s="1"/>
  <c r="L212" i="33"/>
  <c r="P212" i="33" s="1"/>
  <c r="L211" i="33"/>
  <c r="P211" i="33" s="1"/>
  <c r="L210" i="33"/>
  <c r="P210" i="33" s="1"/>
  <c r="L379" i="33"/>
  <c r="P379" i="33" s="1"/>
  <c r="L208" i="33"/>
  <c r="P208" i="33" s="1"/>
  <c r="L207" i="33"/>
  <c r="P207" i="33" s="1"/>
  <c r="L206" i="33"/>
  <c r="P206" i="33" s="1"/>
  <c r="L205" i="33"/>
  <c r="P205" i="33" s="1"/>
  <c r="L204" i="33"/>
  <c r="P204" i="33" s="1"/>
  <c r="L203" i="33"/>
  <c r="P203" i="33" s="1"/>
  <c r="L202" i="33"/>
  <c r="P202" i="33" s="1"/>
  <c r="L201" i="33"/>
  <c r="P201" i="33" s="1"/>
  <c r="L200" i="33"/>
  <c r="P200" i="33" s="1"/>
  <c r="L199" i="33"/>
  <c r="P199" i="33" s="1"/>
  <c r="L198" i="33"/>
  <c r="P198" i="33" s="1"/>
  <c r="L197" i="33"/>
  <c r="P197" i="33" s="1"/>
  <c r="L196" i="33"/>
  <c r="P196" i="33" s="1"/>
  <c r="L195" i="33"/>
  <c r="P195" i="33" s="1"/>
  <c r="L194" i="33"/>
  <c r="P194" i="33" s="1"/>
  <c r="L193" i="33"/>
  <c r="P193" i="33" s="1"/>
  <c r="L192" i="33"/>
  <c r="P192" i="33" s="1"/>
  <c r="L191" i="33"/>
  <c r="P191" i="33" s="1"/>
  <c r="L190" i="33"/>
  <c r="P190" i="33" s="1"/>
  <c r="L189" i="33"/>
  <c r="P189" i="33" s="1"/>
  <c r="L188" i="33"/>
  <c r="P188" i="33" s="1"/>
  <c r="L368" i="33"/>
  <c r="P368" i="33" s="1"/>
  <c r="L187" i="33"/>
  <c r="P187" i="33" s="1"/>
  <c r="L186" i="33"/>
  <c r="P186" i="33" s="1"/>
  <c r="L185" i="33"/>
  <c r="P185" i="33" s="1"/>
  <c r="L184" i="33"/>
  <c r="P184" i="33" s="1"/>
  <c r="L183" i="33"/>
  <c r="P183" i="33" s="1"/>
  <c r="L182" i="33"/>
  <c r="P182" i="33" s="1"/>
  <c r="L181" i="33"/>
  <c r="P181" i="33" s="1"/>
  <c r="L180" i="33"/>
  <c r="P180" i="33" s="1"/>
  <c r="L179" i="33"/>
  <c r="P179" i="33" s="1"/>
  <c r="L178" i="33"/>
  <c r="P178" i="33" s="1"/>
  <c r="L176" i="33"/>
  <c r="P176" i="33" s="1"/>
  <c r="L175" i="33"/>
  <c r="P175" i="33" s="1"/>
  <c r="L174" i="33"/>
  <c r="P174" i="33" s="1"/>
  <c r="L365" i="33"/>
  <c r="P365" i="33" s="1"/>
  <c r="L173" i="33"/>
  <c r="P173" i="33" s="1"/>
  <c r="L172" i="33"/>
  <c r="P172" i="33" s="1"/>
  <c r="L171" i="33"/>
  <c r="P171" i="33" s="1"/>
  <c r="L170" i="33"/>
  <c r="P170" i="33" s="1"/>
  <c r="L169" i="33"/>
  <c r="P169" i="33" s="1"/>
  <c r="L168" i="33"/>
  <c r="P168" i="33" s="1"/>
  <c r="L167" i="33"/>
  <c r="P167" i="33" s="1"/>
  <c r="L166" i="33"/>
  <c r="P166" i="33" s="1"/>
  <c r="L165" i="33"/>
  <c r="P165" i="33" s="1"/>
  <c r="L164" i="33"/>
  <c r="P164" i="33" s="1"/>
  <c r="L163" i="33"/>
  <c r="P163" i="33" s="1"/>
  <c r="L162" i="33"/>
  <c r="P162" i="33" s="1"/>
  <c r="L161" i="33"/>
  <c r="P161" i="33" s="1"/>
  <c r="L160" i="33"/>
  <c r="P160" i="33" s="1"/>
  <c r="L360" i="33"/>
  <c r="P360" i="33" s="1"/>
  <c r="L159" i="33"/>
  <c r="P159" i="33" s="1"/>
  <c r="L158" i="33"/>
  <c r="P158" i="33" s="1"/>
  <c r="L355" i="33"/>
  <c r="P355" i="33" s="1"/>
  <c r="L156" i="33"/>
  <c r="P156" i="33" s="1"/>
  <c r="L155" i="33"/>
  <c r="P155" i="33" s="1"/>
  <c r="L154" i="33"/>
  <c r="P154" i="33" s="1"/>
  <c r="L153" i="33"/>
  <c r="P153" i="33" s="1"/>
  <c r="L152" i="33"/>
  <c r="P152" i="33" s="1"/>
  <c r="L151" i="33"/>
  <c r="P151" i="33" s="1"/>
  <c r="L150" i="33"/>
  <c r="P150" i="33" s="1"/>
  <c r="L149" i="33"/>
  <c r="P149" i="33" s="1"/>
  <c r="L148" i="33"/>
  <c r="P148" i="33" s="1"/>
  <c r="L147" i="33"/>
  <c r="P147" i="33" s="1"/>
  <c r="L146" i="33"/>
  <c r="P146" i="33" s="1"/>
  <c r="L145" i="33"/>
  <c r="P145" i="33" s="1"/>
  <c r="L144" i="33"/>
  <c r="P144" i="33" s="1"/>
  <c r="L143" i="33"/>
  <c r="P143" i="33" s="1"/>
  <c r="L142" i="33"/>
  <c r="P142" i="33" s="1"/>
  <c r="L141" i="33"/>
  <c r="P141" i="33" s="1"/>
  <c r="L140" i="33"/>
  <c r="P140" i="33" s="1"/>
  <c r="L139" i="33"/>
  <c r="P139" i="33" s="1"/>
  <c r="L138" i="33"/>
  <c r="P138" i="33" s="1"/>
  <c r="L137" i="33"/>
  <c r="P137" i="33" s="1"/>
  <c r="L136" i="33"/>
  <c r="P136" i="33" s="1"/>
  <c r="L135" i="33"/>
  <c r="P135" i="33" s="1"/>
  <c r="L134" i="33"/>
  <c r="P134" i="33" s="1"/>
  <c r="L133" i="33"/>
  <c r="P133" i="33" s="1"/>
  <c r="L132" i="33"/>
  <c r="P132" i="33" s="1"/>
  <c r="L131" i="33"/>
  <c r="P131" i="33" s="1"/>
  <c r="L130" i="33"/>
  <c r="P130" i="33" s="1"/>
  <c r="L129" i="33"/>
  <c r="P129" i="33" s="1"/>
  <c r="L128" i="33"/>
  <c r="P128" i="33" s="1"/>
  <c r="L127" i="33"/>
  <c r="P127" i="33" s="1"/>
  <c r="L126" i="33"/>
  <c r="P126" i="33" s="1"/>
  <c r="L125" i="33"/>
  <c r="P125" i="33" s="1"/>
  <c r="L124" i="33"/>
  <c r="P124" i="33" s="1"/>
  <c r="L359" i="33"/>
  <c r="P359" i="33" s="1"/>
  <c r="L123" i="33"/>
  <c r="P123" i="33" s="1"/>
  <c r="L122" i="33"/>
  <c r="P122" i="33" s="1"/>
  <c r="L121" i="33"/>
  <c r="P121" i="33" s="1"/>
  <c r="L120" i="33"/>
  <c r="P120" i="33" s="1"/>
  <c r="L119" i="33"/>
  <c r="P119" i="33" s="1"/>
  <c r="L118" i="33"/>
  <c r="P118" i="33" s="1"/>
  <c r="L117" i="33"/>
  <c r="P117" i="33" s="1"/>
  <c r="L116" i="33"/>
  <c r="P116" i="33" s="1"/>
  <c r="L115" i="33"/>
  <c r="P115" i="33" s="1"/>
  <c r="L114" i="33"/>
  <c r="P114" i="33" s="1"/>
  <c r="L113" i="33"/>
  <c r="P113" i="33" s="1"/>
  <c r="L112" i="33"/>
  <c r="P112" i="33" s="1"/>
  <c r="L375" i="33"/>
  <c r="L111" i="33"/>
  <c r="P111" i="33" s="1"/>
  <c r="L110" i="33"/>
  <c r="P110" i="33" s="1"/>
  <c r="L109" i="33"/>
  <c r="P109" i="33" s="1"/>
  <c r="L371" i="33"/>
  <c r="P371" i="33" s="1"/>
  <c r="L108" i="33"/>
  <c r="P108" i="33" s="1"/>
  <c r="L107" i="33"/>
  <c r="P107" i="33" s="1"/>
  <c r="L106" i="33"/>
  <c r="P106" i="33" s="1"/>
  <c r="L105" i="33"/>
  <c r="P105" i="33" s="1"/>
  <c r="L104" i="33"/>
  <c r="P104" i="33" s="1"/>
  <c r="L103" i="33"/>
  <c r="P103" i="33" s="1"/>
  <c r="L102" i="33"/>
  <c r="P102" i="33" s="1"/>
  <c r="L101" i="33"/>
  <c r="P101" i="33" s="1"/>
  <c r="L100" i="33"/>
  <c r="P100" i="33" s="1"/>
  <c r="L99" i="33"/>
  <c r="P99" i="33" s="1"/>
  <c r="L98" i="33"/>
  <c r="P98" i="33" s="1"/>
  <c r="L97" i="33"/>
  <c r="P97" i="33" s="1"/>
  <c r="L96" i="33"/>
  <c r="P96" i="33" s="1"/>
  <c r="L95" i="33"/>
  <c r="P95" i="33" s="1"/>
  <c r="L94" i="33"/>
  <c r="P94" i="33" s="1"/>
  <c r="L93" i="33"/>
  <c r="P93" i="33" s="1"/>
  <c r="L92" i="33"/>
  <c r="P92" i="33" s="1"/>
  <c r="L91" i="33"/>
  <c r="P91" i="33" s="1"/>
  <c r="L90" i="33"/>
  <c r="P90" i="33" s="1"/>
  <c r="L89" i="33"/>
  <c r="P89" i="33" s="1"/>
  <c r="L88" i="33"/>
  <c r="P88" i="33" s="1"/>
  <c r="L86" i="33"/>
  <c r="P86" i="33" s="1"/>
  <c r="L85" i="33"/>
  <c r="P85" i="33" s="1"/>
  <c r="L84" i="33"/>
  <c r="P84" i="33" s="1"/>
  <c r="L83" i="33"/>
  <c r="P83" i="33" s="1"/>
  <c r="L82" i="33"/>
  <c r="P82" i="33" s="1"/>
  <c r="L81" i="33"/>
  <c r="P81" i="33" s="1"/>
  <c r="L80" i="33"/>
  <c r="P80" i="33" s="1"/>
  <c r="L79" i="33"/>
  <c r="P79" i="33" s="1"/>
  <c r="L78" i="33"/>
  <c r="P78" i="33" s="1"/>
  <c r="L77" i="33"/>
  <c r="P77" i="33" s="1"/>
  <c r="L76" i="33"/>
  <c r="P76" i="33" s="1"/>
  <c r="L75" i="33"/>
  <c r="P75" i="33" s="1"/>
  <c r="L74" i="33"/>
  <c r="P74" i="33" s="1"/>
  <c r="L73" i="33"/>
  <c r="P73" i="33" s="1"/>
  <c r="L71" i="33"/>
  <c r="P71" i="33" s="1"/>
  <c r="L70" i="33"/>
  <c r="P70" i="33" s="1"/>
  <c r="L69" i="33"/>
  <c r="P69" i="33" s="1"/>
  <c r="L68" i="33"/>
  <c r="P68" i="33" s="1"/>
  <c r="L364" i="33"/>
  <c r="P364" i="33" s="1"/>
  <c r="L67" i="33"/>
  <c r="P67" i="33" s="1"/>
  <c r="L66" i="33"/>
  <c r="P66" i="33" s="1"/>
  <c r="L65" i="33"/>
  <c r="P65" i="33" s="1"/>
  <c r="L64" i="33"/>
  <c r="P64" i="33" s="1"/>
  <c r="L63" i="33"/>
  <c r="P63" i="33" s="1"/>
  <c r="L62" i="33"/>
  <c r="P62" i="33" s="1"/>
  <c r="L61" i="33"/>
  <c r="P61" i="33" s="1"/>
  <c r="L60" i="33"/>
  <c r="P60" i="33" s="1"/>
  <c r="L370" i="33"/>
  <c r="P370" i="33" s="1"/>
  <c r="L59" i="33"/>
  <c r="P59" i="33" s="1"/>
  <c r="L58" i="33"/>
  <c r="P58" i="33" s="1"/>
  <c r="L57" i="33"/>
  <c r="P57" i="33" s="1"/>
  <c r="L56" i="33"/>
  <c r="P56" i="33" s="1"/>
  <c r="L55" i="33"/>
  <c r="P55" i="33" s="1"/>
  <c r="L54" i="33"/>
  <c r="P54" i="33" s="1"/>
  <c r="L53" i="33"/>
  <c r="P53" i="33" s="1"/>
  <c r="L52" i="33"/>
  <c r="P52" i="33" s="1"/>
  <c r="L51" i="33"/>
  <c r="P51" i="33" s="1"/>
  <c r="L50" i="33"/>
  <c r="P50" i="33" s="1"/>
  <c r="L49" i="33"/>
  <c r="P49" i="33" s="1"/>
  <c r="L48" i="33"/>
  <c r="P48" i="33" s="1"/>
  <c r="L376" i="33"/>
  <c r="P376" i="33" s="1"/>
  <c r="L369" i="33"/>
  <c r="P369" i="33" s="1"/>
  <c r="L46" i="33"/>
  <c r="P46" i="33" s="1"/>
  <c r="L45" i="33"/>
  <c r="P45" i="33" s="1"/>
  <c r="L44" i="33"/>
  <c r="P44" i="33" s="1"/>
  <c r="L43" i="33"/>
  <c r="P43" i="33" s="1"/>
  <c r="L42" i="33"/>
  <c r="P42" i="33" s="1"/>
  <c r="L41" i="33"/>
  <c r="P41" i="33" s="1"/>
  <c r="L40" i="33"/>
  <c r="P40" i="33" s="1"/>
  <c r="L39" i="33"/>
  <c r="P39" i="33" s="1"/>
  <c r="L38" i="33"/>
  <c r="P38" i="33" s="1"/>
  <c r="L37" i="33"/>
  <c r="P37" i="33" s="1"/>
  <c r="L36" i="33"/>
  <c r="P36" i="33" s="1"/>
  <c r="L35" i="33"/>
  <c r="P35" i="33" s="1"/>
  <c r="L34" i="33"/>
  <c r="P34" i="33" s="1"/>
  <c r="L33" i="33"/>
  <c r="P33" i="33" s="1"/>
  <c r="L32" i="33"/>
  <c r="P32" i="33" s="1"/>
  <c r="L31" i="33"/>
  <c r="P31" i="33" s="1"/>
  <c r="L30" i="33"/>
  <c r="P30" i="33" s="1"/>
  <c r="L29" i="33"/>
  <c r="P29" i="33" s="1"/>
  <c r="L28" i="33"/>
  <c r="P28" i="33" s="1"/>
  <c r="L352" i="33"/>
  <c r="P352" i="33" s="1"/>
  <c r="L27" i="33"/>
  <c r="P27" i="33" s="1"/>
  <c r="L26" i="33"/>
  <c r="P26" i="33" s="1"/>
  <c r="L25" i="33"/>
  <c r="P25" i="33" s="1"/>
  <c r="L24" i="33"/>
  <c r="P24" i="33" s="1"/>
  <c r="L23" i="33"/>
  <c r="P23" i="33" s="1"/>
  <c r="L22" i="33"/>
  <c r="P22" i="33" s="1"/>
  <c r="L21" i="33"/>
  <c r="P21" i="33" s="1"/>
  <c r="L20" i="33"/>
  <c r="P20" i="33" s="1"/>
  <c r="L19" i="33"/>
  <c r="P19" i="33" s="1"/>
  <c r="L363" i="33"/>
  <c r="P363" i="33" s="1"/>
  <c r="L18" i="33"/>
  <c r="P18" i="33" s="1"/>
  <c r="L17" i="33"/>
  <c r="P17" i="33" s="1"/>
  <c r="L16" i="33"/>
  <c r="P16" i="33" s="1"/>
  <c r="L15" i="33"/>
  <c r="P15" i="33" s="1"/>
  <c r="L14" i="33"/>
  <c r="P14" i="33" s="1"/>
  <c r="L13" i="33"/>
  <c r="P13" i="33" s="1"/>
  <c r="L12" i="33"/>
  <c r="P12" i="33" s="1"/>
  <c r="L11" i="33"/>
  <c r="P11" i="33" s="1"/>
  <c r="F13" i="28" s="1"/>
  <c r="L10" i="33"/>
  <c r="P10" i="33" s="1"/>
  <c r="L9" i="33"/>
  <c r="P9" i="33" s="1"/>
  <c r="L8" i="33"/>
  <c r="P8" i="33" s="1"/>
  <c r="L7" i="33"/>
  <c r="P7" i="33" s="1"/>
  <c r="L6" i="33"/>
  <c r="P6" i="33" s="1"/>
  <c r="L5" i="33"/>
  <c r="P5" i="33" s="1"/>
  <c r="L4" i="33"/>
  <c r="P4" i="33" s="1"/>
  <c r="L3" i="33"/>
  <c r="P3" i="33" s="1"/>
  <c r="L2" i="33"/>
  <c r="P2" i="33" s="1"/>
  <c r="BS157" i="34"/>
  <c r="BR359" i="34"/>
  <c r="BM359" i="34"/>
  <c r="BL359" i="34"/>
  <c r="BK359" i="34"/>
  <c r="BJ359" i="34"/>
  <c r="BI359" i="34"/>
  <c r="BH359" i="34"/>
  <c r="BG359" i="34"/>
  <c r="BF359" i="34"/>
  <c r="BE359" i="34"/>
  <c r="BD359" i="34"/>
  <c r="BC359" i="34"/>
  <c r="BB359" i="34"/>
  <c r="BA359" i="34"/>
  <c r="AW359" i="34"/>
  <c r="AV359" i="34"/>
  <c r="AU359" i="34"/>
  <c r="AT359" i="34"/>
  <c r="AS359" i="34"/>
  <c r="AR359" i="34"/>
  <c r="AQ359" i="34"/>
  <c r="AP359" i="34"/>
  <c r="AO359" i="34"/>
  <c r="AN359" i="34"/>
  <c r="AM359" i="34"/>
  <c r="AL359" i="34"/>
  <c r="AK359" i="34"/>
  <c r="AJ359" i="34"/>
  <c r="AI359" i="34"/>
  <c r="AH359" i="34"/>
  <c r="AG359" i="34"/>
  <c r="AF359" i="34"/>
  <c r="AE359" i="34"/>
  <c r="AD359" i="34"/>
  <c r="AC359" i="34"/>
  <c r="AB359" i="34"/>
  <c r="AA359" i="34"/>
  <c r="Z359" i="34"/>
  <c r="Y359" i="34"/>
  <c r="X359" i="34"/>
  <c r="W359" i="34"/>
  <c r="V359" i="34"/>
  <c r="U359" i="34"/>
  <c r="T359" i="34"/>
  <c r="S359" i="34"/>
  <c r="R359" i="34"/>
  <c r="Q359" i="34"/>
  <c r="P359" i="34"/>
  <c r="D359" i="34"/>
  <c r="C359" i="34"/>
  <c r="B359" i="34"/>
  <c r="BS177" i="34"/>
  <c r="BR367" i="34"/>
  <c r="BM367" i="34"/>
  <c r="BL367" i="34"/>
  <c r="BK367" i="34"/>
  <c r="BJ367" i="34"/>
  <c r="BI367" i="34"/>
  <c r="BH367" i="34"/>
  <c r="BG367" i="34"/>
  <c r="BF367" i="34"/>
  <c r="BE367" i="34"/>
  <c r="BD367" i="34"/>
  <c r="BC367" i="34"/>
  <c r="BB367" i="34"/>
  <c r="BA367" i="34"/>
  <c r="AW367" i="34"/>
  <c r="AV367" i="34"/>
  <c r="AU367" i="34"/>
  <c r="AT367" i="34"/>
  <c r="AS367" i="34"/>
  <c r="AR367" i="34"/>
  <c r="AQ367" i="34"/>
  <c r="AP367" i="34"/>
  <c r="AO367" i="34"/>
  <c r="AN367" i="34"/>
  <c r="AM367" i="34"/>
  <c r="AL367" i="34"/>
  <c r="AK367" i="34"/>
  <c r="AJ367" i="34"/>
  <c r="AI367" i="34"/>
  <c r="AH367" i="34"/>
  <c r="AG367" i="34"/>
  <c r="AF367" i="34"/>
  <c r="AE367" i="34"/>
  <c r="AD367" i="34"/>
  <c r="AC367" i="34"/>
  <c r="AB367" i="34"/>
  <c r="AA367" i="34"/>
  <c r="Z367" i="34"/>
  <c r="Y367" i="34"/>
  <c r="X367" i="34"/>
  <c r="W367" i="34"/>
  <c r="V367" i="34"/>
  <c r="U367" i="34"/>
  <c r="T367" i="34"/>
  <c r="S367" i="34"/>
  <c r="R367" i="34"/>
  <c r="Q367" i="34"/>
  <c r="P367" i="34"/>
  <c r="D367" i="34"/>
  <c r="C367" i="34"/>
  <c r="B367" i="34"/>
  <c r="BS230" i="34"/>
  <c r="BR363" i="34"/>
  <c r="BM363" i="34"/>
  <c r="BL363" i="34"/>
  <c r="BK363" i="34"/>
  <c r="BJ363" i="34"/>
  <c r="BI363" i="34"/>
  <c r="BH363" i="34"/>
  <c r="BG363" i="34"/>
  <c r="BF363" i="34"/>
  <c r="BE363" i="34"/>
  <c r="BD363" i="34"/>
  <c r="BC363" i="34"/>
  <c r="BB363" i="34"/>
  <c r="BA363" i="34"/>
  <c r="AW363" i="34"/>
  <c r="AV363" i="34"/>
  <c r="AU363" i="34"/>
  <c r="AT363" i="34"/>
  <c r="AS363" i="34"/>
  <c r="AR363" i="34"/>
  <c r="AQ363" i="34"/>
  <c r="AP363" i="34"/>
  <c r="AO363" i="34"/>
  <c r="AN363" i="34"/>
  <c r="AM363" i="34"/>
  <c r="AL363" i="34"/>
  <c r="AK363" i="34"/>
  <c r="AJ363" i="34"/>
  <c r="AI363" i="34"/>
  <c r="AH363" i="34"/>
  <c r="AG363" i="34"/>
  <c r="AF363" i="34"/>
  <c r="AE363" i="34"/>
  <c r="AD363" i="34"/>
  <c r="AC363" i="34"/>
  <c r="AB363" i="34"/>
  <c r="AA363" i="34"/>
  <c r="Z363" i="34"/>
  <c r="Y363" i="34"/>
  <c r="X363" i="34"/>
  <c r="W363" i="34"/>
  <c r="V363" i="34"/>
  <c r="U363" i="34"/>
  <c r="T363" i="34"/>
  <c r="S363" i="34"/>
  <c r="R363" i="34"/>
  <c r="Q363" i="34"/>
  <c r="P363" i="34"/>
  <c r="D363" i="34"/>
  <c r="C363" i="34"/>
  <c r="B363" i="34"/>
  <c r="BR352" i="34"/>
  <c r="BM352" i="34"/>
  <c r="BL352" i="34"/>
  <c r="BK352" i="34"/>
  <c r="BJ352" i="34"/>
  <c r="BI352" i="34"/>
  <c r="BH352" i="34"/>
  <c r="BG352" i="34"/>
  <c r="BF352" i="34"/>
  <c r="BE352" i="34"/>
  <c r="BD352" i="34"/>
  <c r="BC352" i="34"/>
  <c r="BB352" i="34"/>
  <c r="BA352" i="34"/>
  <c r="AW352" i="34"/>
  <c r="AV352" i="34"/>
  <c r="AU352" i="34"/>
  <c r="AT352" i="34"/>
  <c r="AS352" i="34"/>
  <c r="AR352" i="34"/>
  <c r="AQ352" i="34"/>
  <c r="AP352" i="34"/>
  <c r="AO352" i="34"/>
  <c r="AN352" i="34"/>
  <c r="AM352" i="34"/>
  <c r="AL352" i="34"/>
  <c r="AK352" i="34"/>
  <c r="AJ352" i="34"/>
  <c r="AI352" i="34"/>
  <c r="AH352" i="34"/>
  <c r="AG352" i="34"/>
  <c r="AF352" i="34"/>
  <c r="AE352" i="34"/>
  <c r="AD352" i="34"/>
  <c r="AC352" i="34"/>
  <c r="AB352" i="34"/>
  <c r="AA352" i="34"/>
  <c r="Z352" i="34"/>
  <c r="Y352" i="34"/>
  <c r="X352" i="34"/>
  <c r="W352" i="34"/>
  <c r="V352" i="34"/>
  <c r="U352" i="34"/>
  <c r="T352" i="34"/>
  <c r="S352" i="34"/>
  <c r="R352" i="34"/>
  <c r="Q352" i="34"/>
  <c r="P352" i="34"/>
  <c r="D352" i="34"/>
  <c r="C352" i="34"/>
  <c r="B352" i="34"/>
  <c r="G36" i="6"/>
  <c r="G35" i="6"/>
  <c r="L386" i="33" l="1"/>
  <c r="P386" i="33" s="1"/>
  <c r="L380" i="33"/>
  <c r="P380" i="33" s="1"/>
  <c r="L383" i="33"/>
  <c r="P383" i="33" s="1"/>
  <c r="P375" i="33"/>
  <c r="L377" i="33"/>
  <c r="P377" i="33" s="1"/>
  <c r="E391" i="37"/>
  <c r="C384" i="37"/>
  <c r="E384" i="37"/>
  <c r="E380" i="37"/>
  <c r="C376" i="37"/>
  <c r="C380" i="37"/>
  <c r="E376" i="37"/>
  <c r="L373" i="33"/>
  <c r="P373" i="33" s="1"/>
  <c r="L366" i="33"/>
  <c r="P366" i="33" s="1"/>
  <c r="L361" i="33"/>
  <c r="P361" i="33" s="1"/>
  <c r="L357" i="33"/>
  <c r="P357" i="33" s="1"/>
  <c r="L353" i="33"/>
  <c r="P353" i="33" s="1"/>
  <c r="C18" i="28"/>
  <c r="L347" i="35"/>
  <c r="L346" i="35"/>
  <c r="L345" i="35"/>
  <c r="L344" i="35"/>
  <c r="L343" i="35"/>
  <c r="L342" i="35"/>
  <c r="L341" i="35"/>
  <c r="L340" i="35"/>
  <c r="L339" i="35"/>
  <c r="L338" i="35"/>
  <c r="L337" i="35"/>
  <c r="L336" i="35"/>
  <c r="L335" i="35"/>
  <c r="L334" i="35"/>
  <c r="L333" i="35"/>
  <c r="L332" i="35"/>
  <c r="L331" i="35"/>
  <c r="L330" i="35"/>
  <c r="L329" i="35"/>
  <c r="L328" i="35"/>
  <c r="L327" i="35"/>
  <c r="L326" i="35"/>
  <c r="L325" i="35"/>
  <c r="L324" i="35"/>
  <c r="L323" i="35"/>
  <c r="L322" i="35"/>
  <c r="L321" i="35"/>
  <c r="L320" i="35"/>
  <c r="L319" i="35"/>
  <c r="L318" i="35"/>
  <c r="L317" i="35"/>
  <c r="L316" i="35"/>
  <c r="L315" i="35"/>
  <c r="L314" i="35"/>
  <c r="L313" i="35"/>
  <c r="L312" i="35"/>
  <c r="L311" i="35"/>
  <c r="L310" i="35"/>
  <c r="L309" i="35"/>
  <c r="L308" i="35"/>
  <c r="L307" i="35"/>
  <c r="L306" i="35"/>
  <c r="L305" i="35"/>
  <c r="L304" i="35"/>
  <c r="L303" i="35"/>
  <c r="L302" i="35"/>
  <c r="L301" i="35"/>
  <c r="L300" i="35"/>
  <c r="L299" i="35"/>
  <c r="L298" i="35"/>
  <c r="L297" i="35"/>
  <c r="L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3" i="35"/>
  <c r="L2" i="35"/>
  <c r="J25" i="1"/>
  <c r="J24" i="1"/>
  <c r="J22" i="1"/>
  <c r="J21" i="1"/>
  <c r="J20" i="1"/>
  <c r="J19" i="1"/>
  <c r="J18" i="1"/>
  <c r="J23" i="1"/>
  <c r="J17" i="1"/>
  <c r="BB356" i="36" l="1"/>
  <c r="BC356" i="36" s="1"/>
  <c r="BB355" i="36"/>
  <c r="BC355" i="36" s="1"/>
  <c r="BB238" i="36"/>
  <c r="BC238" i="36" s="1"/>
  <c r="BB237" i="36"/>
  <c r="BC237" i="36" s="1"/>
  <c r="BB72" i="36"/>
  <c r="BC72" i="36" s="1"/>
  <c r="BB71" i="36"/>
  <c r="BC71" i="36" s="1"/>
  <c r="AP162" i="36" l="1"/>
  <c r="B24" i="6"/>
  <c r="F29" i="3" s="1"/>
  <c r="B21" i="6"/>
  <c r="B20" i="6"/>
  <c r="B17" i="6"/>
  <c r="E29" i="3" s="1"/>
  <c r="B14" i="6"/>
  <c r="D29" i="3" s="1"/>
  <c r="B13" i="6"/>
  <c r="C29" i="3" s="1"/>
  <c r="B11" i="6"/>
  <c r="B8" i="6"/>
  <c r="B7" i="6"/>
  <c r="B6" i="6"/>
  <c r="S352" i="32"/>
  <c r="C352" i="32"/>
  <c r="S355" i="32"/>
  <c r="C355" i="32"/>
  <c r="S351" i="32"/>
  <c r="C351" i="32"/>
  <c r="S350" i="32"/>
  <c r="C350" i="32"/>
  <c r="AM283" i="30"/>
  <c r="AD283" i="30"/>
  <c r="AM310" i="30"/>
  <c r="AD310" i="30"/>
  <c r="AM214" i="30"/>
  <c r="AD214" i="30"/>
  <c r="AM49" i="30"/>
  <c r="AD49" i="30"/>
  <c r="AM115" i="30"/>
  <c r="AD115" i="30"/>
  <c r="AM178" i="30"/>
  <c r="AD178" i="30"/>
  <c r="AM70" i="30"/>
  <c r="AD70" i="30"/>
  <c r="AM19" i="30"/>
  <c r="AD19" i="30"/>
  <c r="F3" i="28"/>
  <c r="E372" i="37"/>
  <c r="C372" i="37"/>
  <c r="E371" i="37"/>
  <c r="C371" i="37"/>
  <c r="E370" i="37"/>
  <c r="C370" i="37"/>
  <c r="X368" i="37"/>
  <c r="W368" i="37"/>
  <c r="V368" i="37"/>
  <c r="U368" i="37"/>
  <c r="T368" i="37"/>
  <c r="S368" i="37"/>
  <c r="R368" i="37"/>
  <c r="Q368" i="37"/>
  <c r="P368" i="37"/>
  <c r="O368" i="37"/>
  <c r="M368" i="37"/>
  <c r="L368" i="37"/>
  <c r="K368" i="37"/>
  <c r="J368" i="37"/>
  <c r="I368" i="37"/>
  <c r="H368" i="37"/>
  <c r="F368" i="37"/>
  <c r="E367" i="37"/>
  <c r="C367" i="37"/>
  <c r="X365" i="37"/>
  <c r="W365" i="37"/>
  <c r="V365" i="37"/>
  <c r="U365" i="37"/>
  <c r="T365" i="37"/>
  <c r="S365" i="37"/>
  <c r="R365" i="37"/>
  <c r="Q365" i="37"/>
  <c r="P365" i="37"/>
  <c r="O365" i="37"/>
  <c r="M365" i="37"/>
  <c r="L365" i="37"/>
  <c r="K365" i="37"/>
  <c r="J365" i="37"/>
  <c r="I365" i="37"/>
  <c r="H365" i="37"/>
  <c r="F365" i="37"/>
  <c r="E364" i="37"/>
  <c r="C364" i="37"/>
  <c r="X362" i="37"/>
  <c r="W362" i="37"/>
  <c r="V362" i="37"/>
  <c r="U362" i="37"/>
  <c r="T362" i="37"/>
  <c r="S362" i="37"/>
  <c r="R362" i="37"/>
  <c r="Q362" i="37"/>
  <c r="P362" i="37"/>
  <c r="O362" i="37"/>
  <c r="M362" i="37"/>
  <c r="L362" i="37"/>
  <c r="K362" i="37"/>
  <c r="J362" i="37"/>
  <c r="I362" i="37"/>
  <c r="H362" i="37"/>
  <c r="F362" i="37"/>
  <c r="E361" i="37"/>
  <c r="C361" i="37"/>
  <c r="X359" i="37"/>
  <c r="W359" i="37"/>
  <c r="V359" i="37"/>
  <c r="U359" i="37"/>
  <c r="T359" i="37"/>
  <c r="S359" i="37"/>
  <c r="R359" i="37"/>
  <c r="Q359" i="37"/>
  <c r="P359" i="37"/>
  <c r="O359" i="37"/>
  <c r="M359" i="37"/>
  <c r="L359" i="37"/>
  <c r="K359" i="37"/>
  <c r="J359" i="37"/>
  <c r="I359" i="37"/>
  <c r="H359" i="37"/>
  <c r="F359" i="37"/>
  <c r="E358" i="37"/>
  <c r="C358" i="37"/>
  <c r="E356" i="37"/>
  <c r="C356" i="37"/>
  <c r="X354" i="37"/>
  <c r="W354" i="37"/>
  <c r="V354" i="37"/>
  <c r="U354" i="37"/>
  <c r="T354" i="37"/>
  <c r="S354" i="37"/>
  <c r="R354" i="37"/>
  <c r="Q354" i="37"/>
  <c r="P354" i="37"/>
  <c r="O354" i="37"/>
  <c r="M354" i="37"/>
  <c r="L354" i="37"/>
  <c r="K354" i="37"/>
  <c r="J354" i="37"/>
  <c r="I354" i="37"/>
  <c r="H354" i="37"/>
  <c r="F354" i="37"/>
  <c r="E353" i="37"/>
  <c r="C353" i="37"/>
  <c r="E352" i="37"/>
  <c r="C352" i="37"/>
  <c r="E351" i="37"/>
  <c r="C351" i="37"/>
  <c r="X347" i="37"/>
  <c r="W347" i="37"/>
  <c r="V347" i="37"/>
  <c r="U347" i="37"/>
  <c r="C347" i="37" s="1"/>
  <c r="T347" i="37"/>
  <c r="S347" i="37"/>
  <c r="R347" i="37"/>
  <c r="Q347" i="37"/>
  <c r="P347" i="37"/>
  <c r="O347" i="37"/>
  <c r="M347" i="37"/>
  <c r="L347" i="37"/>
  <c r="K347" i="37"/>
  <c r="J347" i="37"/>
  <c r="I347" i="37"/>
  <c r="H347" i="37"/>
  <c r="F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4" i="37"/>
  <c r="E303" i="37"/>
  <c r="E302" i="37"/>
  <c r="E301" i="37"/>
  <c r="E300" i="37"/>
  <c r="E299" i="37"/>
  <c r="E298" i="37"/>
  <c r="E297" i="37"/>
  <c r="E296" i="37"/>
  <c r="E295" i="37"/>
  <c r="E294" i="37"/>
  <c r="E293" i="37"/>
  <c r="E292" i="37"/>
  <c r="E291" i="37"/>
  <c r="E290" i="37"/>
  <c r="E289" i="37"/>
  <c r="E288" i="37"/>
  <c r="E287" i="37"/>
  <c r="E286" i="37"/>
  <c r="E285" i="37"/>
  <c r="E284" i="37"/>
  <c r="E283" i="37"/>
  <c r="E383" i="37"/>
  <c r="C383" i="37"/>
  <c r="E282" i="37"/>
  <c r="E281" i="37"/>
  <c r="E280" i="37"/>
  <c r="E279" i="37"/>
  <c r="E277" i="37"/>
  <c r="E276" i="37"/>
  <c r="E275" i="37"/>
  <c r="E274" i="37"/>
  <c r="E273" i="37"/>
  <c r="E272" i="37"/>
  <c r="E271" i="37"/>
  <c r="E270" i="37"/>
  <c r="E269" i="37"/>
  <c r="E268" i="37"/>
  <c r="E267" i="37"/>
  <c r="E266" i="37"/>
  <c r="E265" i="37"/>
  <c r="E264" i="37"/>
  <c r="E263" i="37"/>
  <c r="E262" i="37"/>
  <c r="E261" i="37"/>
  <c r="E260" i="37"/>
  <c r="E259" i="37"/>
  <c r="E258" i="37"/>
  <c r="E257" i="37"/>
  <c r="E256" i="37"/>
  <c r="E390" i="37"/>
  <c r="C390"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375" i="37"/>
  <c r="C375" i="37"/>
  <c r="E229" i="37"/>
  <c r="E228" i="37"/>
  <c r="E227" i="37"/>
  <c r="E226" i="37"/>
  <c r="E225" i="37"/>
  <c r="E224" i="37"/>
  <c r="E223" i="37"/>
  <c r="E222" i="37"/>
  <c r="E221" i="37"/>
  <c r="E220" i="37"/>
  <c r="E219" i="37"/>
  <c r="E218" i="37"/>
  <c r="E217" i="37"/>
  <c r="E216" i="37"/>
  <c r="E215" i="37"/>
  <c r="E214" i="37"/>
  <c r="E213" i="37"/>
  <c r="E212" i="37"/>
  <c r="E211" i="37"/>
  <c r="E210" i="37"/>
  <c r="E208" i="37"/>
  <c r="E207" i="37"/>
  <c r="E206" i="37"/>
  <c r="E205" i="37"/>
  <c r="E204" i="37"/>
  <c r="E203" i="37"/>
  <c r="E202" i="37"/>
  <c r="E201" i="37"/>
  <c r="E200" i="37"/>
  <c r="E199" i="37"/>
  <c r="E198" i="37"/>
  <c r="E197" i="37"/>
  <c r="E196" i="37"/>
  <c r="E195" i="37"/>
  <c r="E194" i="37"/>
  <c r="E193" i="37"/>
  <c r="E192" i="37"/>
  <c r="E191" i="37"/>
  <c r="E190" i="37"/>
  <c r="E189" i="37"/>
  <c r="E188" i="37"/>
  <c r="E389" i="37"/>
  <c r="C389" i="37"/>
  <c r="E187" i="37"/>
  <c r="E186" i="37"/>
  <c r="E185" i="37"/>
  <c r="E184" i="37"/>
  <c r="E183" i="37"/>
  <c r="E182" i="37"/>
  <c r="E181" i="37"/>
  <c r="E180" i="37"/>
  <c r="E179" i="37"/>
  <c r="E178" i="37"/>
  <c r="E176" i="37"/>
  <c r="E175" i="37"/>
  <c r="E174" i="37"/>
  <c r="E173" i="37"/>
  <c r="E172" i="37"/>
  <c r="E171" i="37"/>
  <c r="E170" i="37"/>
  <c r="E169" i="37"/>
  <c r="E168" i="37"/>
  <c r="E167" i="37"/>
  <c r="E166" i="37"/>
  <c r="E165" i="37"/>
  <c r="E164" i="37"/>
  <c r="E163" i="37"/>
  <c r="E162" i="37"/>
  <c r="E161" i="37"/>
  <c r="E160" i="37"/>
  <c r="E379" i="37"/>
  <c r="C379" i="37"/>
  <c r="E159" i="37"/>
  <c r="E158" i="37"/>
  <c r="E382" i="37"/>
  <c r="C382"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378" i="37"/>
  <c r="C378" i="37"/>
  <c r="E123" i="37"/>
  <c r="E122" i="37"/>
  <c r="E121" i="37"/>
  <c r="E120" i="37"/>
  <c r="E119" i="37"/>
  <c r="E118" i="37"/>
  <c r="E117" i="37"/>
  <c r="E116" i="37"/>
  <c r="E115" i="37"/>
  <c r="E114" i="37"/>
  <c r="E113" i="37"/>
  <c r="E112" i="37"/>
  <c r="E111" i="37"/>
  <c r="E110" i="37"/>
  <c r="E109" i="37"/>
  <c r="E388" i="37"/>
  <c r="C388" i="37"/>
  <c r="E108" i="37"/>
  <c r="E107" i="37"/>
  <c r="E106" i="37"/>
  <c r="E105" i="37"/>
  <c r="E104" i="37"/>
  <c r="E103" i="37"/>
  <c r="E102" i="37"/>
  <c r="E101" i="37"/>
  <c r="E100" i="37"/>
  <c r="E99" i="37"/>
  <c r="E98" i="37"/>
  <c r="E97" i="37"/>
  <c r="E96" i="37"/>
  <c r="E95" i="37"/>
  <c r="E94" i="37"/>
  <c r="E93" i="37"/>
  <c r="E92" i="37"/>
  <c r="E91" i="37"/>
  <c r="E90" i="37"/>
  <c r="E89" i="37"/>
  <c r="E88" i="37"/>
  <c r="E86" i="37"/>
  <c r="E85" i="37"/>
  <c r="E84" i="37"/>
  <c r="E83" i="37"/>
  <c r="E82" i="37"/>
  <c r="E81" i="37"/>
  <c r="E80" i="37"/>
  <c r="E79" i="37"/>
  <c r="E78" i="37"/>
  <c r="E77" i="37"/>
  <c r="E76" i="37"/>
  <c r="E75" i="37"/>
  <c r="E74" i="37"/>
  <c r="E73" i="37"/>
  <c r="E71" i="37"/>
  <c r="E70" i="37"/>
  <c r="E69" i="37"/>
  <c r="E68" i="37"/>
  <c r="E67" i="37"/>
  <c r="E66" i="37"/>
  <c r="E65" i="37"/>
  <c r="E64" i="37"/>
  <c r="E63" i="37"/>
  <c r="E62" i="37"/>
  <c r="E61" i="37"/>
  <c r="E60" i="37"/>
  <c r="E387" i="37"/>
  <c r="C387" i="37"/>
  <c r="E59" i="37"/>
  <c r="E58" i="37"/>
  <c r="E57" i="37"/>
  <c r="E56" i="37"/>
  <c r="E55" i="37"/>
  <c r="E54" i="37"/>
  <c r="E53" i="37"/>
  <c r="E52" i="37"/>
  <c r="E51" i="37"/>
  <c r="E50" i="37"/>
  <c r="E49" i="37"/>
  <c r="E48" i="37"/>
  <c r="E386" i="37"/>
  <c r="C386" i="37"/>
  <c r="E46" i="37"/>
  <c r="E45" i="37"/>
  <c r="E44" i="37"/>
  <c r="E43" i="37"/>
  <c r="E42" i="37"/>
  <c r="E41" i="37"/>
  <c r="E40" i="37"/>
  <c r="E39" i="37"/>
  <c r="E38" i="37"/>
  <c r="E37" i="37"/>
  <c r="E36" i="37"/>
  <c r="E35" i="37"/>
  <c r="E34" i="37"/>
  <c r="E33" i="37"/>
  <c r="E32" i="37"/>
  <c r="E31" i="37"/>
  <c r="E30" i="37"/>
  <c r="E29" i="37"/>
  <c r="E28" i="37"/>
  <c r="E374" i="37"/>
  <c r="C374" i="37"/>
  <c r="E27" i="37"/>
  <c r="E26" i="37"/>
  <c r="E25" i="37"/>
  <c r="E24" i="37"/>
  <c r="E23" i="37"/>
  <c r="E22" i="37"/>
  <c r="E21" i="37"/>
  <c r="E20" i="37"/>
  <c r="E19" i="37"/>
  <c r="E18" i="37"/>
  <c r="E17" i="37"/>
  <c r="E16" i="37"/>
  <c r="E15" i="37"/>
  <c r="E14" i="37"/>
  <c r="E13" i="37"/>
  <c r="E12" i="37"/>
  <c r="E11" i="37"/>
  <c r="E10" i="37"/>
  <c r="E9" i="37"/>
  <c r="E8" i="37"/>
  <c r="E7" i="37"/>
  <c r="E6" i="37"/>
  <c r="E5" i="37"/>
  <c r="E4" i="37"/>
  <c r="E3" i="37"/>
  <c r="E2" i="37"/>
  <c r="C362" i="37" l="1"/>
  <c r="C365" i="37"/>
  <c r="C368" i="37"/>
  <c r="E354" i="37"/>
  <c r="E359" i="37"/>
  <c r="C354" i="37"/>
  <c r="C359" i="37"/>
  <c r="E362" i="37"/>
  <c r="E368" i="37"/>
  <c r="E365" i="37"/>
  <c r="T352" i="32"/>
  <c r="W352" i="32" s="1"/>
  <c r="T355" i="32"/>
  <c r="W355" i="32" s="1"/>
  <c r="T350" i="32"/>
  <c r="U350" i="32" s="1"/>
  <c r="T351" i="32"/>
  <c r="U351" i="32" s="1"/>
  <c r="E347" i="37"/>
  <c r="U352" i="32" l="1"/>
  <c r="W350" i="32"/>
  <c r="U355" i="32"/>
  <c r="W351" i="32"/>
  <c r="AR347" i="7"/>
  <c r="AQ347" i="7"/>
  <c r="AP347" i="7"/>
  <c r="X347" i="7"/>
  <c r="W347" i="7"/>
  <c r="V347" i="7"/>
  <c r="U347" i="7"/>
  <c r="T347" i="7"/>
  <c r="S347" i="7"/>
  <c r="R347" i="7"/>
  <c r="Q347" i="7"/>
  <c r="P347" i="7"/>
  <c r="O347" i="7"/>
  <c r="N347" i="7"/>
  <c r="M347" i="7"/>
  <c r="L347" i="7"/>
  <c r="K347" i="7"/>
  <c r="J347" i="7"/>
  <c r="I347" i="7"/>
  <c r="I357" i="27"/>
  <c r="H357" i="27"/>
  <c r="G357" i="27"/>
  <c r="F357" i="27"/>
  <c r="R357" i="27" l="1"/>
  <c r="Q357" i="27"/>
  <c r="P357" i="27"/>
  <c r="AQ347" i="36"/>
  <c r="AQ346" i="36"/>
  <c r="AQ345" i="36"/>
  <c r="AQ344" i="36"/>
  <c r="AQ343" i="36"/>
  <c r="AQ342" i="36"/>
  <c r="AQ341" i="36"/>
  <c r="AQ340" i="36"/>
  <c r="AQ339" i="36"/>
  <c r="AQ338" i="36"/>
  <c r="AQ337" i="36"/>
  <c r="AQ336" i="36"/>
  <c r="AQ335" i="36"/>
  <c r="AQ334" i="36"/>
  <c r="AQ333" i="36"/>
  <c r="AQ332" i="36"/>
  <c r="AQ331" i="36"/>
  <c r="AQ330" i="36"/>
  <c r="AQ329" i="36"/>
  <c r="AQ328" i="36"/>
  <c r="AQ327" i="36"/>
  <c r="AQ326" i="36"/>
  <c r="AQ325" i="36"/>
  <c r="AQ324" i="36"/>
  <c r="AQ323" i="36"/>
  <c r="AQ322" i="36"/>
  <c r="AQ321" i="36"/>
  <c r="AQ320" i="36"/>
  <c r="AQ319" i="36"/>
  <c r="AQ318" i="36"/>
  <c r="AQ317" i="36"/>
  <c r="AQ316" i="36"/>
  <c r="AQ315" i="36"/>
  <c r="AQ314" i="36"/>
  <c r="AQ313" i="36"/>
  <c r="AQ312" i="36"/>
  <c r="AQ311" i="36"/>
  <c r="AQ310" i="36"/>
  <c r="AQ309" i="36"/>
  <c r="AQ308" i="36"/>
  <c r="AQ307" i="36"/>
  <c r="AQ306" i="36"/>
  <c r="AQ305" i="36"/>
  <c r="AQ304" i="36"/>
  <c r="AQ303" i="36"/>
  <c r="AQ302" i="36"/>
  <c r="AQ301" i="36"/>
  <c r="AQ300" i="36"/>
  <c r="AQ299" i="36"/>
  <c r="AQ298" i="36"/>
  <c r="AQ297" i="36"/>
  <c r="AQ296" i="36"/>
  <c r="AQ295" i="36"/>
  <c r="AQ294" i="36"/>
  <c r="AQ293" i="36"/>
  <c r="AQ292" i="36"/>
  <c r="AQ291" i="36"/>
  <c r="AQ290" i="36"/>
  <c r="AQ289" i="36"/>
  <c r="AQ288" i="36"/>
  <c r="AQ287" i="36"/>
  <c r="AQ286" i="36"/>
  <c r="AQ285" i="36"/>
  <c r="AQ284" i="36"/>
  <c r="AQ372" i="36"/>
  <c r="AQ283" i="36"/>
  <c r="AQ282" i="36"/>
  <c r="AQ281" i="36"/>
  <c r="AQ280" i="36"/>
  <c r="AQ279" i="36"/>
  <c r="AQ278" i="36"/>
  <c r="AQ277" i="36"/>
  <c r="AQ276" i="36"/>
  <c r="AQ275" i="36"/>
  <c r="AQ274" i="36"/>
  <c r="AQ273" i="36"/>
  <c r="AQ272" i="36"/>
  <c r="AQ271" i="36"/>
  <c r="AQ270" i="36"/>
  <c r="AQ269" i="36"/>
  <c r="AQ268" i="36"/>
  <c r="AQ267" i="36"/>
  <c r="AQ266" i="36"/>
  <c r="AQ265" i="36"/>
  <c r="AQ264" i="36"/>
  <c r="AQ263" i="36"/>
  <c r="AQ262" i="36"/>
  <c r="AQ261" i="36"/>
  <c r="AQ260" i="36"/>
  <c r="AQ259" i="36"/>
  <c r="AQ258" i="36"/>
  <c r="AQ257" i="36"/>
  <c r="AQ368" i="36"/>
  <c r="AQ256" i="36"/>
  <c r="AQ255" i="36"/>
  <c r="AQ254" i="36"/>
  <c r="AQ253" i="36"/>
  <c r="AQ252" i="36"/>
  <c r="AQ251" i="36"/>
  <c r="AQ250" i="36"/>
  <c r="AQ249" i="36"/>
  <c r="AQ248" i="36"/>
  <c r="AQ247" i="36"/>
  <c r="AQ246" i="36"/>
  <c r="AQ245" i="36"/>
  <c r="AQ244" i="36"/>
  <c r="AQ243" i="36"/>
  <c r="AQ242" i="36"/>
  <c r="AQ241" i="36"/>
  <c r="AQ240" i="36"/>
  <c r="AQ239" i="36"/>
  <c r="AQ238" i="36"/>
  <c r="AQ237" i="36"/>
  <c r="AQ236" i="36"/>
  <c r="AQ235" i="36"/>
  <c r="AQ234" i="36"/>
  <c r="AQ233" i="36"/>
  <c r="AQ232" i="36"/>
  <c r="AQ356" i="36"/>
  <c r="AQ230" i="36"/>
  <c r="AQ229" i="36"/>
  <c r="AQ228" i="36"/>
  <c r="AQ227" i="36"/>
  <c r="AQ226" i="36"/>
  <c r="AQ225" i="36"/>
  <c r="AQ224" i="36"/>
  <c r="AQ223" i="36"/>
  <c r="AQ222" i="36"/>
  <c r="AQ221" i="36"/>
  <c r="AQ220" i="36"/>
  <c r="AQ219" i="36"/>
  <c r="AQ218" i="36"/>
  <c r="AQ217" i="36"/>
  <c r="AQ216" i="36"/>
  <c r="AQ215" i="36"/>
  <c r="AQ214" i="36"/>
  <c r="AQ213" i="36"/>
  <c r="AQ212" i="36"/>
  <c r="AQ211" i="36"/>
  <c r="AQ210" i="36"/>
  <c r="AQ209" i="36"/>
  <c r="AQ208" i="36"/>
  <c r="AQ207" i="36"/>
  <c r="AQ206" i="36"/>
  <c r="AQ205" i="36"/>
  <c r="AQ204" i="36"/>
  <c r="AQ203" i="36"/>
  <c r="AQ202" i="36"/>
  <c r="AQ201" i="36"/>
  <c r="AQ200" i="36"/>
  <c r="AQ199" i="36"/>
  <c r="AQ198" i="36"/>
  <c r="AQ197" i="36"/>
  <c r="AQ196" i="36"/>
  <c r="AQ195" i="36"/>
  <c r="AQ194" i="36"/>
  <c r="AQ193" i="36"/>
  <c r="AQ192" i="36"/>
  <c r="AQ191" i="36"/>
  <c r="AQ190" i="36"/>
  <c r="AQ189" i="36"/>
  <c r="AQ367" i="36"/>
  <c r="AQ188" i="36"/>
  <c r="AQ187" i="36"/>
  <c r="AQ186" i="36"/>
  <c r="AQ185" i="36"/>
  <c r="AQ184" i="36"/>
  <c r="AQ183" i="36"/>
  <c r="AQ182" i="36"/>
  <c r="AQ181" i="36"/>
  <c r="AQ180" i="36"/>
  <c r="AQ179" i="36"/>
  <c r="AQ177" i="36"/>
  <c r="AQ176" i="36"/>
  <c r="AQ175" i="36"/>
  <c r="AQ361" i="36"/>
  <c r="AQ174" i="36"/>
  <c r="AQ173" i="36"/>
  <c r="AQ172" i="36"/>
  <c r="AQ171" i="36"/>
  <c r="AQ170" i="36"/>
  <c r="AQ169" i="36"/>
  <c r="AQ168" i="36"/>
  <c r="AQ167" i="36"/>
  <c r="AQ166" i="36"/>
  <c r="AQ165" i="36"/>
  <c r="AQ164" i="36"/>
  <c r="AQ163" i="36"/>
  <c r="AQ162" i="36"/>
  <c r="AQ161" i="36"/>
  <c r="AQ352" i="36"/>
  <c r="AQ160" i="36"/>
  <c r="AQ159" i="36"/>
  <c r="AQ371" i="36"/>
  <c r="AQ157" i="36"/>
  <c r="AQ156" i="36"/>
  <c r="AQ155" i="36"/>
  <c r="AQ154" i="36"/>
  <c r="AQ153" i="36"/>
  <c r="AQ152" i="36"/>
  <c r="AQ151" i="36"/>
  <c r="AQ150" i="36"/>
  <c r="AQ149" i="36"/>
  <c r="AQ148" i="36"/>
  <c r="AQ147" i="36"/>
  <c r="AQ146" i="36"/>
  <c r="AQ145" i="36"/>
  <c r="AQ144" i="36"/>
  <c r="AQ143" i="36"/>
  <c r="AQ142" i="36"/>
  <c r="AQ141" i="36"/>
  <c r="AQ140" i="36"/>
  <c r="AQ139" i="36"/>
  <c r="AQ138" i="36"/>
  <c r="AQ137" i="36"/>
  <c r="AQ136" i="36"/>
  <c r="AQ135" i="36"/>
  <c r="AQ134" i="36"/>
  <c r="AQ133" i="36"/>
  <c r="AQ132" i="36"/>
  <c r="AQ131" i="36"/>
  <c r="AQ130" i="36"/>
  <c r="AQ129" i="36"/>
  <c r="AQ128" i="36"/>
  <c r="AQ127" i="36"/>
  <c r="AQ126" i="36"/>
  <c r="AQ125" i="36"/>
  <c r="AQ351" i="36"/>
  <c r="AQ124" i="36"/>
  <c r="AQ123" i="36"/>
  <c r="AQ122" i="36"/>
  <c r="AQ121" i="36"/>
  <c r="AQ120" i="36"/>
  <c r="AQ119" i="36"/>
  <c r="AQ118" i="36"/>
  <c r="AQ117" i="36"/>
  <c r="AQ116" i="36"/>
  <c r="AQ115" i="36"/>
  <c r="AQ114" i="36"/>
  <c r="AQ113" i="36"/>
  <c r="AQ112" i="36"/>
  <c r="AQ111" i="36"/>
  <c r="AQ110" i="36"/>
  <c r="AQ109" i="36"/>
  <c r="AQ366" i="36"/>
  <c r="AQ108" i="36"/>
  <c r="AQ107" i="36"/>
  <c r="AQ106" i="36"/>
  <c r="AQ105" i="36"/>
  <c r="AQ104" i="36"/>
  <c r="AQ103" i="36"/>
  <c r="AQ102" i="36"/>
  <c r="AQ101" i="36"/>
  <c r="AQ100" i="36"/>
  <c r="AQ99" i="36"/>
  <c r="AQ98" i="36"/>
  <c r="AQ97" i="36"/>
  <c r="AQ96" i="36"/>
  <c r="AQ95" i="36"/>
  <c r="AQ94" i="36"/>
  <c r="AQ93" i="36"/>
  <c r="AQ92" i="36"/>
  <c r="AQ91" i="36"/>
  <c r="AQ90" i="36"/>
  <c r="AQ89" i="36"/>
  <c r="AQ88" i="36"/>
  <c r="AQ86" i="36"/>
  <c r="AQ85" i="36"/>
  <c r="AQ84" i="36"/>
  <c r="AQ83" i="36"/>
  <c r="AQ82" i="36"/>
  <c r="AQ81" i="36"/>
  <c r="AQ80" i="36"/>
  <c r="AQ79" i="36"/>
  <c r="AQ78" i="36"/>
  <c r="AQ77" i="36"/>
  <c r="AQ76" i="36"/>
  <c r="AQ75" i="36"/>
  <c r="AQ74" i="36"/>
  <c r="AQ73" i="36"/>
  <c r="AQ71" i="36"/>
  <c r="AQ70" i="36"/>
  <c r="AQ69" i="36"/>
  <c r="AQ68" i="36"/>
  <c r="AQ360" i="36"/>
  <c r="AQ67" i="36"/>
  <c r="AQ66" i="36"/>
  <c r="AQ65" i="36"/>
  <c r="AQ64" i="36"/>
  <c r="AQ63" i="36"/>
  <c r="AQ62" i="36"/>
  <c r="AQ61" i="36"/>
  <c r="AQ60" i="36"/>
  <c r="AQ365" i="36"/>
  <c r="AQ59" i="36"/>
  <c r="AQ58" i="36"/>
  <c r="AQ57" i="36"/>
  <c r="AQ56" i="36"/>
  <c r="AQ55" i="36"/>
  <c r="AQ54" i="36"/>
  <c r="AQ53" i="36"/>
  <c r="AQ52" i="36"/>
  <c r="AQ51" i="36"/>
  <c r="AQ50" i="36"/>
  <c r="AQ49" i="36"/>
  <c r="AQ48" i="36"/>
  <c r="AQ47" i="36"/>
  <c r="AQ364" i="36"/>
  <c r="AQ46" i="36"/>
  <c r="AQ45" i="36"/>
  <c r="AQ44" i="36"/>
  <c r="AQ43" i="36"/>
  <c r="AQ42" i="36"/>
  <c r="AQ41" i="36"/>
  <c r="AQ40" i="36"/>
  <c r="AQ39" i="36"/>
  <c r="AQ38" i="36"/>
  <c r="AQ37" i="36"/>
  <c r="AQ36" i="36"/>
  <c r="AQ35" i="36"/>
  <c r="AQ34" i="36"/>
  <c r="AQ33" i="36"/>
  <c r="AQ32" i="36"/>
  <c r="AQ31" i="36"/>
  <c r="AQ30" i="36"/>
  <c r="AQ29" i="36"/>
  <c r="AQ28" i="36"/>
  <c r="AQ355" i="36"/>
  <c r="AQ27" i="36"/>
  <c r="AQ26" i="36"/>
  <c r="AQ25" i="36"/>
  <c r="AQ24" i="36"/>
  <c r="AQ23" i="36"/>
  <c r="AQ22" i="36"/>
  <c r="AQ21" i="36"/>
  <c r="AQ20" i="36"/>
  <c r="AQ19" i="36"/>
  <c r="AQ359" i="36"/>
  <c r="AQ17" i="36"/>
  <c r="AQ16" i="36"/>
  <c r="AQ15" i="36"/>
  <c r="AQ14" i="36"/>
  <c r="AQ13" i="36"/>
  <c r="AQ12" i="36"/>
  <c r="AQ11" i="36"/>
  <c r="AQ10" i="36"/>
  <c r="AQ9" i="36"/>
  <c r="AQ8" i="36"/>
  <c r="AQ7" i="36"/>
  <c r="AQ6" i="36"/>
  <c r="AQ5" i="36"/>
  <c r="AQ4" i="36"/>
  <c r="AQ3" i="36"/>
  <c r="AQ2" i="36"/>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V357" i="27"/>
  <c r="S315" i="27"/>
  <c r="T315" i="27" s="1"/>
  <c r="S287" i="27"/>
  <c r="S217" i="27"/>
  <c r="T217" i="27" s="1"/>
  <c r="S50" i="27"/>
  <c r="S116" i="27"/>
  <c r="S181" i="27"/>
  <c r="S72" i="27"/>
  <c r="T72" i="27" s="1"/>
  <c r="S19" i="27"/>
  <c r="T19" i="27" s="1"/>
  <c r="C12" i="28" l="1"/>
  <c r="T116" i="27"/>
  <c r="T287" i="27"/>
  <c r="U287" i="27" s="1"/>
  <c r="T50" i="27"/>
  <c r="U50" i="27" s="1"/>
  <c r="T181" i="27"/>
  <c r="W181" i="27" s="1"/>
  <c r="U315" i="27"/>
  <c r="W315" i="27"/>
  <c r="W287" i="27"/>
  <c r="W217" i="27"/>
  <c r="U217" i="27"/>
  <c r="W116" i="27"/>
  <c r="U116" i="27"/>
  <c r="W72" i="27"/>
  <c r="U72" i="27"/>
  <c r="U19" i="27"/>
  <c r="W19" i="27"/>
  <c r="W50" i="27" l="1"/>
  <c r="U181" i="27"/>
  <c r="AS347" i="36"/>
  <c r="AS346" i="36"/>
  <c r="AS345" i="36"/>
  <c r="AS344" i="36"/>
  <c r="AS343" i="36"/>
  <c r="AS342" i="36"/>
  <c r="AS341" i="36"/>
  <c r="AS340" i="36"/>
  <c r="AS339" i="36"/>
  <c r="AS338" i="36"/>
  <c r="AS337" i="36"/>
  <c r="AS336" i="36"/>
  <c r="AS335" i="36"/>
  <c r="AS334" i="36"/>
  <c r="AS333" i="36"/>
  <c r="AS332" i="36"/>
  <c r="AS331" i="36"/>
  <c r="AS330" i="36"/>
  <c r="AS329" i="36"/>
  <c r="AS328" i="36"/>
  <c r="AS327" i="36"/>
  <c r="AS326" i="36"/>
  <c r="AS325" i="36"/>
  <c r="AS324" i="36"/>
  <c r="AS323" i="36"/>
  <c r="AS322" i="36"/>
  <c r="AS321" i="36"/>
  <c r="AS320" i="36"/>
  <c r="AS319" i="36"/>
  <c r="AS318" i="36"/>
  <c r="AS317" i="36"/>
  <c r="AS316" i="36"/>
  <c r="AS315" i="36"/>
  <c r="AS314" i="36"/>
  <c r="AS313" i="36"/>
  <c r="AS312" i="36"/>
  <c r="AS311" i="36"/>
  <c r="AS310" i="36"/>
  <c r="AS309" i="36"/>
  <c r="AS308" i="36"/>
  <c r="AS307" i="36"/>
  <c r="AS306" i="36"/>
  <c r="AS305" i="36"/>
  <c r="AS304" i="36"/>
  <c r="AS303" i="36"/>
  <c r="AS302" i="36"/>
  <c r="AS301" i="36"/>
  <c r="AS300" i="36"/>
  <c r="AS299" i="36"/>
  <c r="AS298" i="36"/>
  <c r="AS297" i="36"/>
  <c r="AS296" i="36"/>
  <c r="AS295" i="36"/>
  <c r="AS294" i="36"/>
  <c r="AS293" i="36"/>
  <c r="AS292" i="36"/>
  <c r="AS291" i="36"/>
  <c r="AS290" i="36"/>
  <c r="AS289" i="36"/>
  <c r="AS288" i="36"/>
  <c r="AS287" i="36"/>
  <c r="AS286" i="36"/>
  <c r="AS285" i="36"/>
  <c r="AS284" i="36"/>
  <c r="AS372" i="36"/>
  <c r="AS283" i="36"/>
  <c r="AS282" i="36"/>
  <c r="AS281" i="36"/>
  <c r="AS280" i="36"/>
  <c r="AS279" i="36"/>
  <c r="AS278" i="36"/>
  <c r="AS277" i="36"/>
  <c r="AS276" i="36"/>
  <c r="AS275" i="36"/>
  <c r="AS274" i="36"/>
  <c r="AS273" i="36"/>
  <c r="AS272" i="36"/>
  <c r="AS271" i="36"/>
  <c r="AS270" i="36"/>
  <c r="AS269" i="36"/>
  <c r="AS268" i="36"/>
  <c r="AS267" i="36"/>
  <c r="AS266" i="36"/>
  <c r="AS265" i="36"/>
  <c r="AS264" i="36"/>
  <c r="AS263" i="36"/>
  <c r="AS262" i="36"/>
  <c r="AS261" i="36"/>
  <c r="AS260" i="36"/>
  <c r="AS259" i="36"/>
  <c r="AS258" i="36"/>
  <c r="AS257" i="36"/>
  <c r="AS368" i="36"/>
  <c r="AS256" i="36"/>
  <c r="AS255" i="36"/>
  <c r="AS254" i="36"/>
  <c r="AS253" i="36"/>
  <c r="AS252" i="36"/>
  <c r="AS251" i="36"/>
  <c r="AS250" i="36"/>
  <c r="AS249" i="36"/>
  <c r="AS248" i="36"/>
  <c r="AS247" i="36"/>
  <c r="AS246" i="36"/>
  <c r="AS245" i="36"/>
  <c r="AS244" i="36"/>
  <c r="AS243" i="36"/>
  <c r="AS242" i="36"/>
  <c r="AS241" i="36"/>
  <c r="AS240" i="36"/>
  <c r="AS239" i="36"/>
  <c r="AS238" i="36"/>
  <c r="AS237" i="36"/>
  <c r="AS236" i="36"/>
  <c r="AS235" i="36"/>
  <c r="AS234" i="36"/>
  <c r="AS233" i="36"/>
  <c r="AS232" i="36"/>
  <c r="AS356" i="36"/>
  <c r="AS230" i="36"/>
  <c r="AS229" i="36"/>
  <c r="AS228" i="36"/>
  <c r="AS227" i="36"/>
  <c r="AS226" i="36"/>
  <c r="AS225" i="36"/>
  <c r="AS224" i="36"/>
  <c r="AS223" i="36"/>
  <c r="AS222" i="36"/>
  <c r="AS221" i="36"/>
  <c r="AS220" i="36"/>
  <c r="AS219" i="36"/>
  <c r="AS218" i="36"/>
  <c r="AS217" i="36"/>
  <c r="AS216" i="36"/>
  <c r="AS215" i="36"/>
  <c r="AS214" i="36"/>
  <c r="AS213" i="36"/>
  <c r="AS212" i="36"/>
  <c r="AS211" i="36"/>
  <c r="AS210" i="36"/>
  <c r="AS209" i="36"/>
  <c r="AS208" i="36"/>
  <c r="AS207" i="36"/>
  <c r="AS206" i="36"/>
  <c r="AS205" i="36"/>
  <c r="AS204" i="36"/>
  <c r="AS203" i="36"/>
  <c r="AS202" i="36"/>
  <c r="AS201" i="36"/>
  <c r="AS200" i="36"/>
  <c r="AS199" i="36"/>
  <c r="AS198" i="36"/>
  <c r="AS197" i="36"/>
  <c r="AS196" i="36"/>
  <c r="AS195" i="36"/>
  <c r="AS194" i="36"/>
  <c r="AS193" i="36"/>
  <c r="AS192" i="36"/>
  <c r="AS191" i="36"/>
  <c r="AS190" i="36"/>
  <c r="AS189" i="36"/>
  <c r="AS367" i="36"/>
  <c r="AS188" i="36"/>
  <c r="AS187" i="36"/>
  <c r="AS186" i="36"/>
  <c r="AS185" i="36"/>
  <c r="AS184" i="36"/>
  <c r="AS183" i="36"/>
  <c r="AS182" i="36"/>
  <c r="AS181" i="36"/>
  <c r="AS180" i="36"/>
  <c r="AS179" i="36"/>
  <c r="AS177" i="36"/>
  <c r="AS176" i="36"/>
  <c r="AS175" i="36"/>
  <c r="AS361" i="36"/>
  <c r="AS174" i="36"/>
  <c r="AS173" i="36"/>
  <c r="AS172" i="36"/>
  <c r="AS171" i="36"/>
  <c r="AS170" i="36"/>
  <c r="AS169" i="36"/>
  <c r="AS168" i="36"/>
  <c r="AS167" i="36"/>
  <c r="AS166" i="36"/>
  <c r="AS165" i="36"/>
  <c r="AS164" i="36"/>
  <c r="AS163" i="36"/>
  <c r="AS162" i="36"/>
  <c r="AS161" i="36"/>
  <c r="AS352" i="36"/>
  <c r="AS160" i="36"/>
  <c r="AS159" i="36"/>
  <c r="AS371" i="36"/>
  <c r="AS157" i="36"/>
  <c r="AS156" i="36"/>
  <c r="AS155" i="36"/>
  <c r="AS154" i="36"/>
  <c r="AS153" i="36"/>
  <c r="AS152" i="36"/>
  <c r="AS151" i="36"/>
  <c r="AS150" i="36"/>
  <c r="AS149" i="36"/>
  <c r="AS148" i="36"/>
  <c r="AS147" i="36"/>
  <c r="AS146" i="36"/>
  <c r="AS145" i="36"/>
  <c r="AS144" i="36"/>
  <c r="AS143" i="36"/>
  <c r="AS142" i="36"/>
  <c r="AS141" i="36"/>
  <c r="AS140" i="36"/>
  <c r="AS139" i="36"/>
  <c r="AS138" i="36"/>
  <c r="AS137" i="36"/>
  <c r="AS136" i="36"/>
  <c r="AS135" i="36"/>
  <c r="AS134" i="36"/>
  <c r="AS133" i="36"/>
  <c r="AS132" i="36"/>
  <c r="AS131" i="36"/>
  <c r="AS130" i="36"/>
  <c r="AS129" i="36"/>
  <c r="AS128" i="36"/>
  <c r="AS127" i="36"/>
  <c r="AS126" i="36"/>
  <c r="AS125" i="36"/>
  <c r="AS351" i="36"/>
  <c r="AS124" i="36"/>
  <c r="AS123" i="36"/>
  <c r="AS122" i="36"/>
  <c r="AS121" i="36"/>
  <c r="AS120" i="36"/>
  <c r="AS119" i="36"/>
  <c r="AS118" i="36"/>
  <c r="AS117" i="36"/>
  <c r="AS116" i="36"/>
  <c r="AS115" i="36"/>
  <c r="AS114" i="36"/>
  <c r="AS113" i="36"/>
  <c r="AS112" i="36"/>
  <c r="AS111" i="36"/>
  <c r="AS110" i="36"/>
  <c r="AS109" i="36"/>
  <c r="AS366" i="36"/>
  <c r="AS108" i="36"/>
  <c r="AS107" i="36"/>
  <c r="AS106" i="36"/>
  <c r="AS105" i="36"/>
  <c r="AS104" i="36"/>
  <c r="AS103" i="36"/>
  <c r="AS102" i="36"/>
  <c r="AS101" i="36"/>
  <c r="AS100" i="36"/>
  <c r="AS99" i="36"/>
  <c r="AS98" i="36"/>
  <c r="AS97" i="36"/>
  <c r="AS96" i="36"/>
  <c r="AS95" i="36"/>
  <c r="AS94" i="36"/>
  <c r="AS93" i="36"/>
  <c r="AS92" i="36"/>
  <c r="AS91" i="36"/>
  <c r="AS90" i="36"/>
  <c r="AS89" i="36"/>
  <c r="AS88" i="36"/>
  <c r="AS86" i="36"/>
  <c r="AS85" i="36"/>
  <c r="AS84" i="36"/>
  <c r="AS83" i="36"/>
  <c r="AS82" i="36"/>
  <c r="AS81" i="36"/>
  <c r="AS80" i="36"/>
  <c r="AS79" i="36"/>
  <c r="AS78" i="36"/>
  <c r="AS77" i="36"/>
  <c r="AS76" i="36"/>
  <c r="AS75" i="36"/>
  <c r="AS74" i="36"/>
  <c r="AS73" i="36"/>
  <c r="AS71" i="36"/>
  <c r="AS70" i="36"/>
  <c r="AS69" i="36"/>
  <c r="AS68" i="36"/>
  <c r="AS360" i="36"/>
  <c r="AS67" i="36"/>
  <c r="AS66" i="36"/>
  <c r="AS65" i="36"/>
  <c r="AS64" i="36"/>
  <c r="AS63" i="36"/>
  <c r="AS62" i="36"/>
  <c r="AS61" i="36"/>
  <c r="AS60" i="36"/>
  <c r="AS365" i="36"/>
  <c r="AS59" i="36"/>
  <c r="AS58" i="36"/>
  <c r="AS57" i="36"/>
  <c r="AS56" i="36"/>
  <c r="AS55" i="36"/>
  <c r="AS54" i="36"/>
  <c r="AS53" i="36"/>
  <c r="AS52" i="36"/>
  <c r="AS51" i="36"/>
  <c r="AS50" i="36"/>
  <c r="AS49" i="36"/>
  <c r="AS48" i="36"/>
  <c r="AS47" i="36"/>
  <c r="AS364" i="36"/>
  <c r="AS46" i="36"/>
  <c r="AS45" i="36"/>
  <c r="AS44" i="36"/>
  <c r="AS43" i="36"/>
  <c r="AS42" i="36"/>
  <c r="AS41" i="36"/>
  <c r="AS40" i="36"/>
  <c r="AS39" i="36"/>
  <c r="AS38" i="36"/>
  <c r="AS37" i="36"/>
  <c r="AS36" i="36"/>
  <c r="AS35" i="36"/>
  <c r="AS34" i="36"/>
  <c r="AS33" i="36"/>
  <c r="AS32" i="36"/>
  <c r="AS31" i="36"/>
  <c r="AS30" i="36"/>
  <c r="AS29" i="36"/>
  <c r="AS28" i="36"/>
  <c r="AS355" i="36"/>
  <c r="AS27" i="36"/>
  <c r="AS26" i="36"/>
  <c r="AS25" i="36"/>
  <c r="AS24" i="36"/>
  <c r="AS23" i="36"/>
  <c r="AS22" i="36"/>
  <c r="AS21" i="36"/>
  <c r="AS20" i="36"/>
  <c r="AS19" i="36"/>
  <c r="AS359" i="36"/>
  <c r="AS17" i="36"/>
  <c r="AS16" i="36"/>
  <c r="AS15" i="36"/>
  <c r="AS14" i="36"/>
  <c r="AS13" i="36"/>
  <c r="AS12" i="36"/>
  <c r="AS11" i="36"/>
  <c r="AS10" i="36"/>
  <c r="AS9" i="36"/>
  <c r="AS8" i="36"/>
  <c r="AS7" i="36"/>
  <c r="AS6" i="36"/>
  <c r="AS5" i="36"/>
  <c r="AS4" i="36"/>
  <c r="AS3" i="36"/>
  <c r="AS2" i="36"/>
  <c r="AF236" i="36"/>
  <c r="Y347" i="36"/>
  <c r="Y346" i="36"/>
  <c r="Y345" i="36"/>
  <c r="Y344" i="36"/>
  <c r="Y343" i="36"/>
  <c r="Y342" i="36"/>
  <c r="Y341" i="36"/>
  <c r="Y340" i="36"/>
  <c r="Y339" i="36"/>
  <c r="Y338" i="36"/>
  <c r="Y337" i="36"/>
  <c r="Y336" i="36"/>
  <c r="Y335" i="36"/>
  <c r="Y334" i="36"/>
  <c r="Y333" i="36"/>
  <c r="Y332" i="36"/>
  <c r="Y331" i="36"/>
  <c r="Y330" i="36"/>
  <c r="Y329" i="36"/>
  <c r="Y328" i="36"/>
  <c r="Y327" i="36"/>
  <c r="Y326" i="36"/>
  <c r="Y325" i="36"/>
  <c r="Y324" i="36"/>
  <c r="Y323" i="36"/>
  <c r="Y322" i="36"/>
  <c r="Y321" i="36"/>
  <c r="Y320" i="36"/>
  <c r="Y319" i="36"/>
  <c r="Y318" i="36"/>
  <c r="Y317" i="36"/>
  <c r="Y316" i="36"/>
  <c r="Y315" i="36"/>
  <c r="Y314" i="36"/>
  <c r="Y313" i="36"/>
  <c r="Y312" i="36"/>
  <c r="Y311" i="36"/>
  <c r="Y310" i="36"/>
  <c r="Y309" i="36"/>
  <c r="Y308" i="36"/>
  <c r="U308" i="36" s="1"/>
  <c r="Y307" i="36"/>
  <c r="Y306" i="36"/>
  <c r="Y305" i="36"/>
  <c r="Y304" i="36"/>
  <c r="Y303" i="36"/>
  <c r="Y302" i="36"/>
  <c r="Y301" i="36"/>
  <c r="Y300" i="36"/>
  <c r="Y299" i="36"/>
  <c r="Y298" i="36"/>
  <c r="Y297" i="36"/>
  <c r="Y296" i="36"/>
  <c r="Y295" i="36"/>
  <c r="Y294" i="36"/>
  <c r="Y293" i="36"/>
  <c r="Y292" i="36"/>
  <c r="Y291" i="36"/>
  <c r="Y290" i="36"/>
  <c r="Y289" i="36"/>
  <c r="Y288" i="36"/>
  <c r="Y287" i="36"/>
  <c r="Y286" i="36"/>
  <c r="Y285" i="36"/>
  <c r="Y284" i="36"/>
  <c r="U284" i="36" s="1"/>
  <c r="Y372" i="36"/>
  <c r="Y283" i="36"/>
  <c r="Y282" i="36"/>
  <c r="Y281" i="36"/>
  <c r="Y280" i="36"/>
  <c r="Y279" i="36"/>
  <c r="Y278" i="36"/>
  <c r="Y277" i="36"/>
  <c r="Y276" i="36"/>
  <c r="Y275" i="36"/>
  <c r="Y274" i="36"/>
  <c r="Y273" i="36"/>
  <c r="Y272" i="36"/>
  <c r="Y271" i="36"/>
  <c r="Y270" i="36"/>
  <c r="Y269" i="36"/>
  <c r="Y268" i="36"/>
  <c r="Y267" i="36"/>
  <c r="Y266" i="36"/>
  <c r="Y265" i="36"/>
  <c r="Y264" i="36"/>
  <c r="Y263" i="36"/>
  <c r="Y262" i="36"/>
  <c r="Y261" i="36"/>
  <c r="Y260" i="36"/>
  <c r="Y259" i="36"/>
  <c r="Y258" i="36"/>
  <c r="Y257" i="36"/>
  <c r="Y368" i="36"/>
  <c r="Y256" i="36"/>
  <c r="Y255" i="36"/>
  <c r="Y254" i="36"/>
  <c r="Y253" i="36"/>
  <c r="Y252" i="36"/>
  <c r="Y251" i="36"/>
  <c r="Y250" i="36"/>
  <c r="Y249" i="36"/>
  <c r="Y248" i="36"/>
  <c r="Y247" i="36"/>
  <c r="Y246" i="36"/>
  <c r="U246" i="36" s="1"/>
  <c r="Y245" i="36"/>
  <c r="Y244" i="36"/>
  <c r="Y243" i="36"/>
  <c r="Y242" i="36"/>
  <c r="Y241" i="36"/>
  <c r="Y240" i="36"/>
  <c r="Y239" i="36"/>
  <c r="Y238" i="36"/>
  <c r="Y237" i="36"/>
  <c r="Y236" i="36"/>
  <c r="Y235" i="36"/>
  <c r="Y234" i="36"/>
  <c r="Y233" i="36"/>
  <c r="Y232" i="36"/>
  <c r="Y356" i="36"/>
  <c r="Y230" i="36"/>
  <c r="Y229" i="36"/>
  <c r="Y228" i="36"/>
  <c r="Y227" i="36"/>
  <c r="Y226" i="36"/>
  <c r="Y225" i="36"/>
  <c r="Y224" i="36"/>
  <c r="Y223" i="36"/>
  <c r="Y222" i="36"/>
  <c r="Y221" i="36"/>
  <c r="Y220" i="36"/>
  <c r="Y219" i="36"/>
  <c r="Y218" i="36"/>
  <c r="Y217" i="36"/>
  <c r="Y216" i="36"/>
  <c r="Y215" i="36"/>
  <c r="Y214" i="36"/>
  <c r="Y213" i="36"/>
  <c r="Y212" i="36"/>
  <c r="Y211" i="36"/>
  <c r="Y210" i="36"/>
  <c r="Y209" i="36"/>
  <c r="Y208" i="36"/>
  <c r="Y207" i="36"/>
  <c r="Y206" i="36"/>
  <c r="Y205" i="36"/>
  <c r="Y204" i="36"/>
  <c r="Y203" i="36"/>
  <c r="Y202" i="36"/>
  <c r="Y201" i="36"/>
  <c r="Y200" i="36"/>
  <c r="Y199" i="36"/>
  <c r="Y198" i="36"/>
  <c r="Y197" i="36"/>
  <c r="Y196" i="36"/>
  <c r="Y195" i="36"/>
  <c r="Y194" i="36"/>
  <c r="Y193" i="36"/>
  <c r="Y192" i="36"/>
  <c r="Y191" i="36"/>
  <c r="Y190" i="36"/>
  <c r="Y189" i="36"/>
  <c r="Y367" i="36"/>
  <c r="Y188" i="36"/>
  <c r="Y187" i="36"/>
  <c r="Y186" i="36"/>
  <c r="Y185" i="36"/>
  <c r="Y184" i="36"/>
  <c r="Y183" i="36"/>
  <c r="Y182" i="36"/>
  <c r="Y181" i="36"/>
  <c r="Y180" i="36"/>
  <c r="Y179" i="36"/>
  <c r="Y177" i="36"/>
  <c r="Y176" i="36"/>
  <c r="Y175" i="36"/>
  <c r="Y361" i="36"/>
  <c r="Y174" i="36"/>
  <c r="Y173" i="36"/>
  <c r="Y172" i="36"/>
  <c r="Y171" i="36"/>
  <c r="Y170" i="36"/>
  <c r="Y169" i="36"/>
  <c r="Y168" i="36"/>
  <c r="Y167" i="36"/>
  <c r="Y166" i="36"/>
  <c r="Y165" i="36"/>
  <c r="Y164" i="36"/>
  <c r="Y163" i="36"/>
  <c r="Y162" i="36"/>
  <c r="Y161" i="36"/>
  <c r="Y352" i="36"/>
  <c r="Y160" i="36"/>
  <c r="Y159" i="36"/>
  <c r="Y371" i="36"/>
  <c r="Y157" i="36"/>
  <c r="Y156" i="36"/>
  <c r="Y155" i="36"/>
  <c r="Y154" i="36"/>
  <c r="Y153" i="36"/>
  <c r="Y152" i="36"/>
  <c r="Y151" i="36"/>
  <c r="Y150" i="36"/>
  <c r="Y149" i="36"/>
  <c r="Y148" i="36"/>
  <c r="Y147" i="36"/>
  <c r="Y146" i="36"/>
  <c r="Y145" i="36"/>
  <c r="Y144" i="36"/>
  <c r="Y143" i="36"/>
  <c r="Y142" i="36"/>
  <c r="Y141" i="36"/>
  <c r="Y140" i="36"/>
  <c r="Y139" i="36"/>
  <c r="Y138" i="36"/>
  <c r="Y137" i="36"/>
  <c r="Y136" i="36"/>
  <c r="Y135" i="36"/>
  <c r="Y134" i="36"/>
  <c r="Y133" i="36"/>
  <c r="Y132" i="36"/>
  <c r="Y131" i="36"/>
  <c r="Y130" i="36"/>
  <c r="Y129" i="36"/>
  <c r="Y128" i="36"/>
  <c r="Y127" i="36"/>
  <c r="Y126" i="36"/>
  <c r="Y125" i="36"/>
  <c r="Y351" i="36"/>
  <c r="Y124" i="36"/>
  <c r="Y123" i="36"/>
  <c r="Y122" i="36"/>
  <c r="Y121" i="36"/>
  <c r="Y120" i="36"/>
  <c r="Y119" i="36"/>
  <c r="U119" i="36" s="1"/>
  <c r="Y118" i="36"/>
  <c r="Y117" i="36"/>
  <c r="Y116" i="36"/>
  <c r="Y115" i="36"/>
  <c r="Y114" i="36"/>
  <c r="Y113" i="36"/>
  <c r="Y112" i="36"/>
  <c r="Y111" i="36"/>
  <c r="Y110" i="36"/>
  <c r="Y109" i="36"/>
  <c r="Y366" i="36"/>
  <c r="Y108" i="36"/>
  <c r="Y107" i="36"/>
  <c r="Y106" i="36"/>
  <c r="Y105" i="36"/>
  <c r="Y104" i="36"/>
  <c r="Y103" i="36"/>
  <c r="Y102" i="36"/>
  <c r="Y101" i="36"/>
  <c r="Y100" i="36"/>
  <c r="Y99" i="36"/>
  <c r="Y98" i="36"/>
  <c r="Y97" i="36"/>
  <c r="Y96" i="36"/>
  <c r="U96" i="36" s="1"/>
  <c r="Y95" i="36"/>
  <c r="Y94" i="36"/>
  <c r="Y93" i="36"/>
  <c r="Y92" i="36"/>
  <c r="Y91" i="36"/>
  <c r="Y90" i="36"/>
  <c r="Y89" i="36"/>
  <c r="Y88" i="36"/>
  <c r="Y86" i="36"/>
  <c r="Y85" i="36"/>
  <c r="Y84" i="36"/>
  <c r="Y83" i="36"/>
  <c r="Y82" i="36"/>
  <c r="Y81" i="36"/>
  <c r="Y80" i="36"/>
  <c r="Y79" i="36"/>
  <c r="Y78" i="36"/>
  <c r="Y77" i="36"/>
  <c r="Y76" i="36"/>
  <c r="Y75" i="36"/>
  <c r="Y74" i="36"/>
  <c r="Y73" i="36"/>
  <c r="Y71" i="36"/>
  <c r="Y70" i="36"/>
  <c r="Y69" i="36"/>
  <c r="Y68" i="36"/>
  <c r="Y360" i="36"/>
  <c r="Y67" i="36"/>
  <c r="Y66" i="36"/>
  <c r="Y65" i="36"/>
  <c r="Y64" i="36"/>
  <c r="Y63" i="36"/>
  <c r="Y62" i="36"/>
  <c r="Y61" i="36"/>
  <c r="Y60" i="36"/>
  <c r="Y365" i="36"/>
  <c r="Y59" i="36"/>
  <c r="Y58" i="36"/>
  <c r="Y57" i="36"/>
  <c r="Y56" i="36"/>
  <c r="U56" i="36" s="1"/>
  <c r="Y55" i="36"/>
  <c r="Y54" i="36"/>
  <c r="Y53" i="36"/>
  <c r="Y52" i="36"/>
  <c r="Y51" i="36"/>
  <c r="Y50" i="36"/>
  <c r="Y49" i="36"/>
  <c r="Y48" i="36"/>
  <c r="Y47" i="36"/>
  <c r="Y364" i="36"/>
  <c r="Y46" i="36"/>
  <c r="Y45" i="36"/>
  <c r="Y44" i="36"/>
  <c r="Y43" i="36"/>
  <c r="Y42" i="36"/>
  <c r="Y41" i="36"/>
  <c r="Y40" i="36"/>
  <c r="Y39" i="36"/>
  <c r="Y38" i="36"/>
  <c r="Y37" i="36"/>
  <c r="Y36" i="36"/>
  <c r="Y35" i="36"/>
  <c r="Y34" i="36"/>
  <c r="Y33" i="36"/>
  <c r="U33" i="36" s="1"/>
  <c r="Y32" i="36"/>
  <c r="Y31" i="36"/>
  <c r="Y30" i="36"/>
  <c r="Y29" i="36"/>
  <c r="Y28" i="36"/>
  <c r="Y355" i="36"/>
  <c r="Y27" i="36"/>
  <c r="Y26" i="36"/>
  <c r="Y25" i="36"/>
  <c r="Y24" i="36"/>
  <c r="Y23" i="36"/>
  <c r="Y22" i="36"/>
  <c r="Y21" i="36"/>
  <c r="Y20" i="36"/>
  <c r="Y19" i="36"/>
  <c r="Y359" i="36"/>
  <c r="Y17" i="36"/>
  <c r="Y16" i="36"/>
  <c r="Y15" i="36"/>
  <c r="Y14" i="36"/>
  <c r="Y13" i="36"/>
  <c r="Y12" i="36"/>
  <c r="Y11" i="36"/>
  <c r="Y10" i="36"/>
  <c r="Y9" i="36"/>
  <c r="Y8" i="36"/>
  <c r="Y7" i="36"/>
  <c r="Y6" i="36"/>
  <c r="Y5" i="36"/>
  <c r="Y4" i="36"/>
  <c r="Y3" i="36"/>
  <c r="Y2" i="36"/>
  <c r="C35" i="6"/>
  <c r="G11" i="1"/>
  <c r="G18" i="1"/>
  <c r="G19" i="1"/>
  <c r="G27" i="1"/>
  <c r="G28" i="1"/>
  <c r="G20" i="1"/>
  <c r="G4" i="1"/>
  <c r="AH347" i="25"/>
  <c r="AH346" i="25"/>
  <c r="AH345" i="25"/>
  <c r="AH344" i="25"/>
  <c r="AH343" i="25"/>
  <c r="AH342" i="25"/>
  <c r="AH341" i="25"/>
  <c r="AH70" i="25"/>
  <c r="AH340" i="25"/>
  <c r="AH339" i="25"/>
  <c r="AH338" i="25"/>
  <c r="AH337" i="25"/>
  <c r="AH336" i="25"/>
  <c r="AH335" i="25"/>
  <c r="AH334" i="25"/>
  <c r="AH333" i="25"/>
  <c r="AH332" i="25"/>
  <c r="AH331" i="25"/>
  <c r="AH330" i="25"/>
  <c r="AH329" i="25"/>
  <c r="AH328" i="25"/>
  <c r="AH327" i="25"/>
  <c r="AH326" i="25"/>
  <c r="AH325" i="25"/>
  <c r="AH324" i="25"/>
  <c r="AH323" i="25"/>
  <c r="AH322" i="25"/>
  <c r="AH321" i="25"/>
  <c r="AH320" i="25"/>
  <c r="AH319" i="25"/>
  <c r="AH318" i="25"/>
  <c r="AH317" i="25"/>
  <c r="AH316" i="25"/>
  <c r="AH315" i="25"/>
  <c r="AH314" i="25"/>
  <c r="AH313" i="25"/>
  <c r="AH312" i="25"/>
  <c r="AH311" i="25"/>
  <c r="AH310" i="25"/>
  <c r="AH309" i="25"/>
  <c r="AH308" i="25"/>
  <c r="AH307" i="25"/>
  <c r="AH306" i="25"/>
  <c r="AH305" i="25"/>
  <c r="AH304" i="25"/>
  <c r="AH303" i="25"/>
  <c r="AH302" i="25"/>
  <c r="AH301" i="25"/>
  <c r="AH300" i="25"/>
  <c r="AH299" i="25"/>
  <c r="AH298" i="25"/>
  <c r="AH297" i="25"/>
  <c r="AH296" i="25"/>
  <c r="AH295" i="25"/>
  <c r="AH294" i="25"/>
  <c r="AH293" i="25"/>
  <c r="AH292" i="25"/>
  <c r="AH291" i="25"/>
  <c r="AH290" i="25"/>
  <c r="AH289" i="25"/>
  <c r="AH288" i="25"/>
  <c r="AH287" i="25"/>
  <c r="AH286" i="25"/>
  <c r="AH285" i="25"/>
  <c r="AH284" i="25"/>
  <c r="AH283" i="25"/>
  <c r="AH282" i="25"/>
  <c r="AH281" i="25"/>
  <c r="AH280" i="25"/>
  <c r="AH279" i="25"/>
  <c r="AH278" i="25"/>
  <c r="AH277" i="25"/>
  <c r="AH276" i="25"/>
  <c r="AH275" i="25"/>
  <c r="AH274" i="25"/>
  <c r="AH273" i="25"/>
  <c r="AH272" i="25"/>
  <c r="AH271" i="25"/>
  <c r="AH270" i="25"/>
  <c r="AH269" i="25"/>
  <c r="AH268" i="25"/>
  <c r="AH267" i="25"/>
  <c r="AH266" i="25"/>
  <c r="AH265" i="25"/>
  <c r="AH264" i="25"/>
  <c r="AH263" i="25"/>
  <c r="AH260" i="25"/>
  <c r="AH259" i="25"/>
  <c r="AH258" i="25"/>
  <c r="AH257" i="25"/>
  <c r="AH256" i="25"/>
  <c r="AH255" i="25"/>
  <c r="AH254" i="25"/>
  <c r="AH253" i="25"/>
  <c r="AH252" i="25"/>
  <c r="AH69" i="25"/>
  <c r="AH251" i="25"/>
  <c r="AH250" i="25"/>
  <c r="AH249" i="25"/>
  <c r="AH248" i="25"/>
  <c r="AH247" i="25"/>
  <c r="AH246" i="25"/>
  <c r="AH245" i="25"/>
  <c r="AH244" i="25"/>
  <c r="AH243" i="25"/>
  <c r="AH242" i="25"/>
  <c r="AH241" i="25"/>
  <c r="AH240" i="25"/>
  <c r="AH239" i="25"/>
  <c r="AH238" i="25"/>
  <c r="AH237" i="25"/>
  <c r="AH236" i="25"/>
  <c r="AH235" i="25"/>
  <c r="AH234" i="25"/>
  <c r="AH233" i="25"/>
  <c r="AH232" i="25"/>
  <c r="AH231" i="25"/>
  <c r="AH230" i="25"/>
  <c r="AH229" i="25"/>
  <c r="AH228" i="25"/>
  <c r="AH227" i="25"/>
  <c r="AH226" i="25"/>
  <c r="AH225" i="25"/>
  <c r="AH224" i="25"/>
  <c r="AH223" i="25"/>
  <c r="AH222" i="25"/>
  <c r="AH221" i="25"/>
  <c r="AH220" i="25"/>
  <c r="AH219" i="25"/>
  <c r="AH218" i="25"/>
  <c r="AH217" i="25"/>
  <c r="AH216" i="25"/>
  <c r="AH215" i="25"/>
  <c r="AH214" i="25"/>
  <c r="AH213" i="25"/>
  <c r="AH212" i="25"/>
  <c r="AH211" i="25"/>
  <c r="AH210" i="25"/>
  <c r="AH209" i="25"/>
  <c r="AH208" i="25"/>
  <c r="AH207" i="25"/>
  <c r="AH206" i="25"/>
  <c r="AH205" i="25"/>
  <c r="AH204" i="25"/>
  <c r="AH203" i="25"/>
  <c r="AH202" i="25"/>
  <c r="AH201" i="25"/>
  <c r="AH200" i="25"/>
  <c r="AH199" i="25"/>
  <c r="AH198" i="25"/>
  <c r="AH197" i="25"/>
  <c r="AH196" i="25"/>
  <c r="AH195" i="25"/>
  <c r="AH194" i="25"/>
  <c r="AH193" i="25"/>
  <c r="AH192" i="25"/>
  <c r="AH191" i="25"/>
  <c r="AH190" i="25"/>
  <c r="AH189" i="25"/>
  <c r="AH188" i="25"/>
  <c r="AH187" i="25"/>
  <c r="AH186" i="25"/>
  <c r="AH185" i="25"/>
  <c r="AH184" i="25"/>
  <c r="AH183" i="25"/>
  <c r="AH182" i="25"/>
  <c r="AH181" i="25"/>
  <c r="AH180" i="25"/>
  <c r="AH179" i="25"/>
  <c r="AH178" i="25"/>
  <c r="AH177" i="25"/>
  <c r="AH176" i="25"/>
  <c r="AH175" i="25"/>
  <c r="AH174" i="25"/>
  <c r="AH173" i="25"/>
  <c r="AH172" i="25"/>
  <c r="AH171" i="25"/>
  <c r="AH170" i="25"/>
  <c r="AH169" i="25"/>
  <c r="AH168" i="25"/>
  <c r="AH167" i="25"/>
  <c r="AH166" i="25"/>
  <c r="AH165" i="25"/>
  <c r="AH164" i="25"/>
  <c r="AH163" i="25"/>
  <c r="AH162" i="25"/>
  <c r="AH161" i="25"/>
  <c r="AH160" i="25"/>
  <c r="AH159" i="25"/>
  <c r="AH158" i="25"/>
  <c r="AH157" i="25"/>
  <c r="AH156" i="25"/>
  <c r="AH155" i="25"/>
  <c r="AH154" i="25"/>
  <c r="AH153" i="25"/>
  <c r="AH152" i="25"/>
  <c r="AH151" i="25"/>
  <c r="AH150" i="25"/>
  <c r="AH149" i="25"/>
  <c r="AH148" i="25"/>
  <c r="AH147" i="25"/>
  <c r="AH146" i="25"/>
  <c r="AH138" i="25"/>
  <c r="AH145" i="25"/>
  <c r="AH144" i="25"/>
  <c r="AH143" i="25"/>
  <c r="AH142" i="25"/>
  <c r="AH141" i="25"/>
  <c r="AH140" i="25"/>
  <c r="AH139" i="25"/>
  <c r="AH262" i="25"/>
  <c r="AH137" i="25"/>
  <c r="AH136" i="25"/>
  <c r="AH135" i="25"/>
  <c r="AH134" i="25"/>
  <c r="AH133" i="25"/>
  <c r="AH73" i="25"/>
  <c r="AH132" i="25"/>
  <c r="AH131" i="25"/>
  <c r="AH130" i="25"/>
  <c r="AH129" i="25"/>
  <c r="AH128" i="25"/>
  <c r="AH127" i="25"/>
  <c r="AH126" i="25"/>
  <c r="AH125" i="25"/>
  <c r="AH124" i="25"/>
  <c r="AH123" i="25"/>
  <c r="AH122" i="25"/>
  <c r="AH121" i="25"/>
  <c r="AH120" i="25"/>
  <c r="AH119" i="25"/>
  <c r="AH118" i="25"/>
  <c r="AH117" i="25"/>
  <c r="AH116" i="25"/>
  <c r="AH115" i="25"/>
  <c r="AH114" i="25"/>
  <c r="AH113" i="25"/>
  <c r="AH261" i="25"/>
  <c r="AH112" i="25"/>
  <c r="AH111" i="25"/>
  <c r="AH110" i="25"/>
  <c r="AH109" i="25"/>
  <c r="AH108" i="25"/>
  <c r="AH107" i="25"/>
  <c r="AH106" i="25"/>
  <c r="AH105" i="25"/>
  <c r="AH104" i="25"/>
  <c r="AH103" i="25"/>
  <c r="AH102" i="25"/>
  <c r="AH101" i="25"/>
  <c r="AH68" i="25"/>
  <c r="AH100" i="25"/>
  <c r="AH99" i="25"/>
  <c r="AH98" i="25"/>
  <c r="AH97" i="25"/>
  <c r="AH96" i="25"/>
  <c r="AH95" i="25"/>
  <c r="AH94" i="25"/>
  <c r="AH93" i="25"/>
  <c r="AH92" i="25"/>
  <c r="AH91" i="25"/>
  <c r="AH90" i="25"/>
  <c r="AH89" i="25"/>
  <c r="AH88" i="25"/>
  <c r="AH87" i="25"/>
  <c r="AH86" i="25"/>
  <c r="AH85" i="25"/>
  <c r="AH84" i="25"/>
  <c r="AH83" i="25"/>
  <c r="AH82" i="25"/>
  <c r="AH81" i="25"/>
  <c r="AH80" i="25"/>
  <c r="AH79" i="25"/>
  <c r="AH78" i="25"/>
  <c r="AH77" i="25"/>
  <c r="AH76" i="25"/>
  <c r="AH75" i="25"/>
  <c r="AH74" i="25"/>
  <c r="AH72" i="25"/>
  <c r="AH71" i="25"/>
  <c r="AH66" i="25"/>
  <c r="AH65" i="25"/>
  <c r="AH64" i="25"/>
  <c r="AH63" i="25"/>
  <c r="AH62" i="25"/>
  <c r="AH61" i="25"/>
  <c r="AH60" i="25"/>
  <c r="AH59" i="25"/>
  <c r="AH58" i="25"/>
  <c r="AH57" i="25"/>
  <c r="AH56" i="25"/>
  <c r="AH55" i="25"/>
  <c r="AH54" i="25"/>
  <c r="AH53" i="25"/>
  <c r="AH52" i="25"/>
  <c r="AH51" i="25"/>
  <c r="AH50" i="25"/>
  <c r="AH49" i="25"/>
  <c r="AH48" i="25"/>
  <c r="AH47" i="25"/>
  <c r="AH46" i="25"/>
  <c r="AH45" i="25"/>
  <c r="AH44" i="25"/>
  <c r="AH43" i="25"/>
  <c r="AH42" i="25"/>
  <c r="AH41" i="25"/>
  <c r="AH67" i="25"/>
  <c r="AH40" i="25"/>
  <c r="AH39" i="25"/>
  <c r="AH38" i="25"/>
  <c r="AH37" i="25"/>
  <c r="AH36" i="25"/>
  <c r="AH35" i="25"/>
  <c r="AH34" i="25"/>
  <c r="AH33" i="25"/>
  <c r="AH32" i="25"/>
  <c r="AH31" i="25"/>
  <c r="AH30" i="25"/>
  <c r="AH29" i="25"/>
  <c r="AH28" i="25"/>
  <c r="AH27" i="25"/>
  <c r="AH26" i="25"/>
  <c r="AH25" i="25"/>
  <c r="AH24" i="25"/>
  <c r="AH23" i="25"/>
  <c r="AH22" i="25"/>
  <c r="AH21" i="25"/>
  <c r="AH20" i="25"/>
  <c r="AH19" i="25"/>
  <c r="AH18" i="25"/>
  <c r="AH17" i="25"/>
  <c r="AH16" i="25"/>
  <c r="AH15" i="25"/>
  <c r="AH14" i="25"/>
  <c r="AH13" i="25"/>
  <c r="AH12" i="25"/>
  <c r="AH11" i="25"/>
  <c r="AH10" i="25"/>
  <c r="AH9" i="25"/>
  <c r="AH8" i="25"/>
  <c r="AH7" i="25"/>
  <c r="AH6" i="25"/>
  <c r="AH5" i="25"/>
  <c r="AH4" i="25"/>
  <c r="AH3" i="25"/>
  <c r="Y347" i="7"/>
  <c r="Z347" i="7"/>
  <c r="Y369" i="36" l="1"/>
  <c r="C16" i="28"/>
  <c r="Y362" i="36"/>
  <c r="AL362" i="36" s="1"/>
  <c r="Y357" i="36"/>
  <c r="AL357" i="36" s="1"/>
  <c r="Y353" i="36"/>
  <c r="AL353" i="36" s="1"/>
  <c r="AO353" i="36" s="1"/>
  <c r="AL308" i="36"/>
  <c r="AL246" i="36"/>
  <c r="AL364" i="36"/>
  <c r="U364" i="36"/>
  <c r="AL234" i="36"/>
  <c r="U234" i="36"/>
  <c r="AL8" i="36"/>
  <c r="U8" i="36"/>
  <c r="AL16" i="36"/>
  <c r="U16" i="36"/>
  <c r="AL23" i="36"/>
  <c r="U23" i="36"/>
  <c r="AL30" i="36"/>
  <c r="U30" i="36"/>
  <c r="AL38" i="36"/>
  <c r="U38" i="36"/>
  <c r="AL46" i="36"/>
  <c r="U46" i="36"/>
  <c r="AL53" i="36"/>
  <c r="U53" i="36"/>
  <c r="AL60" i="36"/>
  <c r="U60" i="36"/>
  <c r="AL193" i="36"/>
  <c r="U193" i="36"/>
  <c r="AL201" i="36"/>
  <c r="U201" i="36"/>
  <c r="AL209" i="36"/>
  <c r="U209" i="36"/>
  <c r="AL217" i="36"/>
  <c r="U217" i="36"/>
  <c r="AL225" i="36"/>
  <c r="U225" i="36"/>
  <c r="AL233" i="36"/>
  <c r="U233" i="36"/>
  <c r="AL241" i="36"/>
  <c r="U241" i="36"/>
  <c r="AL249" i="36"/>
  <c r="U249" i="36"/>
  <c r="AL368" i="36"/>
  <c r="U368" i="36"/>
  <c r="AL264" i="36"/>
  <c r="U264" i="36"/>
  <c r="AL272" i="36"/>
  <c r="U272" i="36"/>
  <c r="AL280" i="36"/>
  <c r="U280" i="36"/>
  <c r="AL287" i="36"/>
  <c r="U287" i="36"/>
  <c r="AL295" i="36"/>
  <c r="U295" i="36"/>
  <c r="AL303" i="36"/>
  <c r="U303" i="36"/>
  <c r="AL311" i="36"/>
  <c r="U311" i="36"/>
  <c r="AL319" i="36"/>
  <c r="U319" i="36"/>
  <c r="AL327" i="36"/>
  <c r="U327" i="36"/>
  <c r="AL335" i="36"/>
  <c r="U335" i="36"/>
  <c r="AL343" i="36"/>
  <c r="U343" i="36"/>
  <c r="AL284" i="36"/>
  <c r="AL39" i="36"/>
  <c r="U39" i="36"/>
  <c r="AL226" i="36"/>
  <c r="U226" i="36"/>
  <c r="AL265" i="36"/>
  <c r="U265" i="36"/>
  <c r="AL296" i="36"/>
  <c r="U296" i="36"/>
  <c r="AL328" i="36"/>
  <c r="U328" i="36"/>
  <c r="AL2" i="36"/>
  <c r="U2" i="36"/>
  <c r="AL10" i="36"/>
  <c r="U10" i="36"/>
  <c r="AL25" i="36"/>
  <c r="U25" i="36"/>
  <c r="AL32" i="36"/>
  <c r="U32" i="36"/>
  <c r="AL40" i="36"/>
  <c r="U40" i="36"/>
  <c r="AL47" i="36"/>
  <c r="U47" i="36"/>
  <c r="AL55" i="36"/>
  <c r="U55" i="36"/>
  <c r="AL62" i="36"/>
  <c r="U62" i="36"/>
  <c r="AL195" i="36"/>
  <c r="U195" i="36"/>
  <c r="AL203" i="36"/>
  <c r="U203" i="36"/>
  <c r="AL211" i="36"/>
  <c r="U211" i="36"/>
  <c r="AL219" i="36"/>
  <c r="U219" i="36"/>
  <c r="AL227" i="36"/>
  <c r="U227" i="36"/>
  <c r="AL235" i="36"/>
  <c r="U235" i="36"/>
  <c r="AL243" i="36"/>
  <c r="U243" i="36"/>
  <c r="AL251" i="36"/>
  <c r="U251" i="36"/>
  <c r="AL258" i="36"/>
  <c r="U258" i="36"/>
  <c r="AL266" i="36"/>
  <c r="U266" i="36"/>
  <c r="AL274" i="36"/>
  <c r="U274" i="36"/>
  <c r="AL282" i="36"/>
  <c r="U282" i="36"/>
  <c r="AL289" i="36"/>
  <c r="U289" i="36"/>
  <c r="AL297" i="36"/>
  <c r="U297" i="36"/>
  <c r="AL305" i="36"/>
  <c r="U305" i="36"/>
  <c r="AL313" i="36"/>
  <c r="U313" i="36"/>
  <c r="AL321" i="36"/>
  <c r="U321" i="36"/>
  <c r="AL329" i="36"/>
  <c r="U329" i="36"/>
  <c r="AL337" i="36"/>
  <c r="U337" i="36"/>
  <c r="AL345" i="36"/>
  <c r="U345" i="36"/>
  <c r="AL9" i="36"/>
  <c r="U9" i="36"/>
  <c r="AL61" i="36"/>
  <c r="U61" i="36"/>
  <c r="AL202" i="36"/>
  <c r="U202" i="36"/>
  <c r="AL250" i="36"/>
  <c r="U250" i="36"/>
  <c r="AL288" i="36"/>
  <c r="U288" i="36"/>
  <c r="AL336" i="36"/>
  <c r="U336" i="36"/>
  <c r="AL3" i="36"/>
  <c r="U3" i="36"/>
  <c r="AL11" i="36"/>
  <c r="U11" i="36"/>
  <c r="AL359" i="36"/>
  <c r="U359" i="36"/>
  <c r="AL26" i="36"/>
  <c r="U26" i="36"/>
  <c r="AL41" i="36"/>
  <c r="U41" i="36"/>
  <c r="AL48" i="36"/>
  <c r="U48" i="36"/>
  <c r="AL367" i="36"/>
  <c r="U367" i="36"/>
  <c r="AL196" i="36"/>
  <c r="U196" i="36"/>
  <c r="AL204" i="36"/>
  <c r="U204" i="36"/>
  <c r="AL212" i="36"/>
  <c r="U212" i="36"/>
  <c r="AL220" i="36"/>
  <c r="U220" i="36"/>
  <c r="AL228" i="36"/>
  <c r="U228" i="36"/>
  <c r="AL236" i="36"/>
  <c r="U236" i="36"/>
  <c r="AL244" i="36"/>
  <c r="U244" i="36"/>
  <c r="AL252" i="36"/>
  <c r="U252" i="36"/>
  <c r="AL259" i="36"/>
  <c r="U259" i="36"/>
  <c r="AL267" i="36"/>
  <c r="U267" i="36"/>
  <c r="AL275" i="36"/>
  <c r="U275" i="36"/>
  <c r="AL283" i="36"/>
  <c r="U283" i="36"/>
  <c r="AL290" i="36"/>
  <c r="U290" i="36"/>
  <c r="AL298" i="36"/>
  <c r="U298" i="36"/>
  <c r="AL306" i="36"/>
  <c r="U306" i="36"/>
  <c r="AL314" i="36"/>
  <c r="U314" i="36"/>
  <c r="AL322" i="36"/>
  <c r="U322" i="36"/>
  <c r="AL330" i="36"/>
  <c r="U330" i="36"/>
  <c r="AL338" i="36"/>
  <c r="U338" i="36"/>
  <c r="AL346" i="36"/>
  <c r="U346" i="36"/>
  <c r="AL31" i="36"/>
  <c r="U31" i="36"/>
  <c r="AL304" i="36"/>
  <c r="U304" i="36"/>
  <c r="AL42" i="36"/>
  <c r="U42" i="36"/>
  <c r="AL57" i="36"/>
  <c r="U57" i="36"/>
  <c r="AL189" i="36"/>
  <c r="U189" i="36"/>
  <c r="AL197" i="36"/>
  <c r="U197" i="36"/>
  <c r="AL205" i="36"/>
  <c r="U205" i="36"/>
  <c r="AL213" i="36"/>
  <c r="U213" i="36"/>
  <c r="AL221" i="36"/>
  <c r="U221" i="36"/>
  <c r="AL229" i="36"/>
  <c r="U229" i="36"/>
  <c r="AL237" i="36"/>
  <c r="U237" i="36"/>
  <c r="AL245" i="36"/>
  <c r="U245" i="36"/>
  <c r="AL253" i="36"/>
  <c r="U253" i="36"/>
  <c r="AL260" i="36"/>
  <c r="U260" i="36"/>
  <c r="AL268" i="36"/>
  <c r="U268" i="36"/>
  <c r="AL276" i="36"/>
  <c r="U276" i="36"/>
  <c r="AL372" i="36"/>
  <c r="U372" i="36"/>
  <c r="AL291" i="36"/>
  <c r="U291" i="36"/>
  <c r="AL299" i="36"/>
  <c r="U299" i="36"/>
  <c r="AL307" i="36"/>
  <c r="U307" i="36"/>
  <c r="AL315" i="36"/>
  <c r="U315" i="36"/>
  <c r="AL323" i="36"/>
  <c r="U323" i="36"/>
  <c r="AL331" i="36"/>
  <c r="U331" i="36"/>
  <c r="AL339" i="36"/>
  <c r="U339" i="36"/>
  <c r="AL347" i="36"/>
  <c r="U347" i="36"/>
  <c r="AL54" i="36"/>
  <c r="U54" i="36"/>
  <c r="AL194" i="36"/>
  <c r="U194" i="36"/>
  <c r="AL242" i="36"/>
  <c r="U242" i="36"/>
  <c r="AL312" i="36"/>
  <c r="U312" i="36"/>
  <c r="AL12" i="36"/>
  <c r="U12" i="36"/>
  <c r="AL27" i="36"/>
  <c r="U27" i="36"/>
  <c r="AL5" i="36"/>
  <c r="U5" i="36"/>
  <c r="AL13" i="36"/>
  <c r="U13" i="36"/>
  <c r="AL20" i="36"/>
  <c r="U20" i="36"/>
  <c r="AL355" i="36"/>
  <c r="U355" i="36"/>
  <c r="AL35" i="36"/>
  <c r="U35" i="36"/>
  <c r="AL43" i="36"/>
  <c r="U43" i="36"/>
  <c r="AL50" i="36"/>
  <c r="U50" i="36"/>
  <c r="AL58" i="36"/>
  <c r="U58" i="36"/>
  <c r="AL190" i="36"/>
  <c r="U190" i="36"/>
  <c r="AL198" i="36"/>
  <c r="U198" i="36"/>
  <c r="AL206" i="36"/>
  <c r="U206" i="36"/>
  <c r="AL214" i="36"/>
  <c r="U214" i="36"/>
  <c r="AL222" i="36"/>
  <c r="U222" i="36"/>
  <c r="AL230" i="36"/>
  <c r="U230" i="36"/>
  <c r="AL238" i="36"/>
  <c r="U238" i="36"/>
  <c r="AL254" i="36"/>
  <c r="U254" i="36"/>
  <c r="AL261" i="36"/>
  <c r="U261" i="36"/>
  <c r="AL269" i="36"/>
  <c r="U269" i="36"/>
  <c r="AL277" i="36"/>
  <c r="U277" i="36"/>
  <c r="AL292" i="36"/>
  <c r="U292" i="36"/>
  <c r="AL300" i="36"/>
  <c r="U300" i="36"/>
  <c r="AL316" i="36"/>
  <c r="U316" i="36"/>
  <c r="AL324" i="36"/>
  <c r="U324" i="36"/>
  <c r="AL332" i="36"/>
  <c r="U332" i="36"/>
  <c r="AL340" i="36"/>
  <c r="U340" i="36"/>
  <c r="AL33" i="36"/>
  <c r="AL17" i="36"/>
  <c r="U17" i="36"/>
  <c r="AL210" i="36"/>
  <c r="U210" i="36"/>
  <c r="AL273" i="36"/>
  <c r="U273" i="36"/>
  <c r="AL4" i="36"/>
  <c r="U4" i="36"/>
  <c r="AL34" i="36"/>
  <c r="U34" i="36"/>
  <c r="AL6" i="36"/>
  <c r="U6" i="36"/>
  <c r="AL14" i="36"/>
  <c r="U14" i="36"/>
  <c r="AL21" i="36"/>
  <c r="U21" i="36"/>
  <c r="AL28" i="36"/>
  <c r="U28" i="36"/>
  <c r="AL36" i="36"/>
  <c r="U36" i="36"/>
  <c r="AL44" i="36"/>
  <c r="U44" i="36"/>
  <c r="AL51" i="36"/>
  <c r="U51" i="36"/>
  <c r="AL59" i="36"/>
  <c r="U59" i="36"/>
  <c r="AL191" i="36"/>
  <c r="U191" i="36"/>
  <c r="AL199" i="36"/>
  <c r="U199" i="36"/>
  <c r="AL207" i="36"/>
  <c r="U207" i="36"/>
  <c r="AL215" i="36"/>
  <c r="U215" i="36"/>
  <c r="AL223" i="36"/>
  <c r="U223" i="36"/>
  <c r="AL356" i="36"/>
  <c r="U356" i="36"/>
  <c r="AL239" i="36"/>
  <c r="U239" i="36"/>
  <c r="AL247" i="36"/>
  <c r="U247" i="36"/>
  <c r="AL255" i="36"/>
  <c r="U255" i="36"/>
  <c r="AL262" i="36"/>
  <c r="U262" i="36"/>
  <c r="AL270" i="36"/>
  <c r="U270" i="36"/>
  <c r="AL278" i="36"/>
  <c r="U278" i="36"/>
  <c r="AL285" i="36"/>
  <c r="U285" i="36"/>
  <c r="AL293" i="36"/>
  <c r="U293" i="36"/>
  <c r="AL301" i="36"/>
  <c r="U301" i="36"/>
  <c r="AL309" i="36"/>
  <c r="U309" i="36"/>
  <c r="AL317" i="36"/>
  <c r="U317" i="36"/>
  <c r="AL325" i="36"/>
  <c r="U325" i="36"/>
  <c r="AL333" i="36"/>
  <c r="U333" i="36"/>
  <c r="AL341" i="36"/>
  <c r="U341" i="36"/>
  <c r="AL56" i="36"/>
  <c r="AL24" i="36"/>
  <c r="U24" i="36"/>
  <c r="AL218" i="36"/>
  <c r="U218" i="36"/>
  <c r="AL257" i="36"/>
  <c r="U257" i="36"/>
  <c r="AL281" i="36"/>
  <c r="U281" i="36"/>
  <c r="AL320" i="36"/>
  <c r="U320" i="36"/>
  <c r="AL344" i="36"/>
  <c r="U344" i="36"/>
  <c r="AL19" i="36"/>
  <c r="U19" i="36"/>
  <c r="AL49" i="36"/>
  <c r="U49" i="36"/>
  <c r="AL7" i="36"/>
  <c r="U7" i="36"/>
  <c r="AL15" i="36"/>
  <c r="U15" i="36"/>
  <c r="AL22" i="36"/>
  <c r="U22" i="36"/>
  <c r="AL29" i="36"/>
  <c r="U29" i="36"/>
  <c r="AL37" i="36"/>
  <c r="U37" i="36"/>
  <c r="AL45" i="36"/>
  <c r="U45" i="36"/>
  <c r="AL52" i="36"/>
  <c r="U52" i="36"/>
  <c r="AL365" i="36"/>
  <c r="U365" i="36"/>
  <c r="AL192" i="36"/>
  <c r="U192" i="36"/>
  <c r="AL200" i="36"/>
  <c r="U200" i="36"/>
  <c r="AL208" i="36"/>
  <c r="U208" i="36"/>
  <c r="AL216" i="36"/>
  <c r="U216" i="36"/>
  <c r="AL224" i="36"/>
  <c r="U224" i="36"/>
  <c r="AL232" i="36"/>
  <c r="U232" i="36"/>
  <c r="AL240" i="36"/>
  <c r="U240" i="36"/>
  <c r="AL248" i="36"/>
  <c r="U248" i="36"/>
  <c r="AL256" i="36"/>
  <c r="U256" i="36"/>
  <c r="AL263" i="36"/>
  <c r="U263" i="36"/>
  <c r="AL271" i="36"/>
  <c r="U271" i="36"/>
  <c r="AL279" i="36"/>
  <c r="U279" i="36"/>
  <c r="AL286" i="36"/>
  <c r="U286" i="36"/>
  <c r="AL294" i="36"/>
  <c r="U294" i="36"/>
  <c r="AL302" i="36"/>
  <c r="U302" i="36"/>
  <c r="AL310" i="36"/>
  <c r="U310" i="36"/>
  <c r="AL318" i="36"/>
  <c r="U318" i="36"/>
  <c r="AL326" i="36"/>
  <c r="U326" i="36"/>
  <c r="AL334" i="36"/>
  <c r="U334" i="36"/>
  <c r="AL342" i="36"/>
  <c r="U342" i="36"/>
  <c r="AL155" i="36"/>
  <c r="U155" i="36"/>
  <c r="AL133" i="36"/>
  <c r="U133" i="36"/>
  <c r="AL141" i="36"/>
  <c r="U141" i="36"/>
  <c r="AL149" i="36"/>
  <c r="U149" i="36"/>
  <c r="AL157" i="36"/>
  <c r="U157" i="36"/>
  <c r="AL164" i="36"/>
  <c r="U164" i="36"/>
  <c r="AL172" i="36"/>
  <c r="U172" i="36"/>
  <c r="AL180" i="36"/>
  <c r="U180" i="36"/>
  <c r="AL188" i="36"/>
  <c r="U188" i="36"/>
  <c r="AL139" i="36"/>
  <c r="U139" i="36"/>
  <c r="AL371" i="36"/>
  <c r="U371" i="36"/>
  <c r="AL147" i="36"/>
  <c r="U147" i="36"/>
  <c r="AL177" i="36"/>
  <c r="U177" i="36"/>
  <c r="AL140" i="36"/>
  <c r="U140" i="36"/>
  <c r="AL171" i="36"/>
  <c r="U171" i="36"/>
  <c r="AL126" i="36"/>
  <c r="U126" i="36"/>
  <c r="AL150" i="36"/>
  <c r="U150" i="36"/>
  <c r="AL173" i="36"/>
  <c r="U173" i="36"/>
  <c r="AL127" i="36"/>
  <c r="U127" i="36"/>
  <c r="AL135" i="36"/>
  <c r="U135" i="36"/>
  <c r="AL143" i="36"/>
  <c r="U143" i="36"/>
  <c r="AL151" i="36"/>
  <c r="U151" i="36"/>
  <c r="AL159" i="36"/>
  <c r="U159" i="36"/>
  <c r="AL166" i="36"/>
  <c r="U166" i="36"/>
  <c r="AL174" i="36"/>
  <c r="U174" i="36"/>
  <c r="AL182" i="36"/>
  <c r="U182" i="36"/>
  <c r="AL131" i="36"/>
  <c r="U131" i="36"/>
  <c r="AL162" i="36"/>
  <c r="U162" i="36"/>
  <c r="AL132" i="36"/>
  <c r="U132" i="36"/>
  <c r="AL163" i="36"/>
  <c r="U163" i="36"/>
  <c r="AL134" i="36"/>
  <c r="U134" i="36"/>
  <c r="AL165" i="36"/>
  <c r="U165" i="36"/>
  <c r="AL128" i="36"/>
  <c r="U128" i="36"/>
  <c r="AL136" i="36"/>
  <c r="U136" i="36"/>
  <c r="AL144" i="36"/>
  <c r="U144" i="36"/>
  <c r="AL152" i="36"/>
  <c r="U152" i="36"/>
  <c r="AL160" i="36"/>
  <c r="U160" i="36"/>
  <c r="AL167" i="36"/>
  <c r="U167" i="36"/>
  <c r="AL361" i="36"/>
  <c r="U361" i="36"/>
  <c r="AL183" i="36"/>
  <c r="U183" i="36"/>
  <c r="AL170" i="36"/>
  <c r="U170" i="36"/>
  <c r="AL156" i="36"/>
  <c r="U156" i="36"/>
  <c r="AL187" i="36"/>
  <c r="U187" i="36"/>
  <c r="AL142" i="36"/>
  <c r="U142" i="36"/>
  <c r="AL181" i="36"/>
  <c r="U181" i="36"/>
  <c r="AL129" i="36"/>
  <c r="U129" i="36"/>
  <c r="AL137" i="36"/>
  <c r="U137" i="36"/>
  <c r="AL145" i="36"/>
  <c r="U145" i="36"/>
  <c r="AL153" i="36"/>
  <c r="U153" i="36"/>
  <c r="AL352" i="36"/>
  <c r="U352" i="36"/>
  <c r="AL168" i="36"/>
  <c r="U168" i="36"/>
  <c r="AL175" i="36"/>
  <c r="U175" i="36"/>
  <c r="AL184" i="36"/>
  <c r="U184" i="36"/>
  <c r="AL186" i="36"/>
  <c r="U186" i="36"/>
  <c r="AL148" i="36"/>
  <c r="U148" i="36"/>
  <c r="AL179" i="36"/>
  <c r="U179" i="36"/>
  <c r="AL130" i="36"/>
  <c r="U130" i="36"/>
  <c r="AL138" i="36"/>
  <c r="U138" i="36"/>
  <c r="AL146" i="36"/>
  <c r="U146" i="36"/>
  <c r="AL154" i="36"/>
  <c r="U154" i="36"/>
  <c r="AL161" i="36"/>
  <c r="U161" i="36"/>
  <c r="AL169" i="36"/>
  <c r="U169" i="36"/>
  <c r="AL176" i="36"/>
  <c r="U176" i="36"/>
  <c r="AL185" i="36"/>
  <c r="U185" i="36"/>
  <c r="AL120" i="36"/>
  <c r="U120" i="36"/>
  <c r="AL65" i="36"/>
  <c r="U65" i="36"/>
  <c r="AL73" i="36"/>
  <c r="U73" i="36"/>
  <c r="AL81" i="36"/>
  <c r="U81" i="36"/>
  <c r="AL90" i="36"/>
  <c r="U90" i="36"/>
  <c r="AL98" i="36"/>
  <c r="U98" i="36"/>
  <c r="AL106" i="36"/>
  <c r="U106" i="36"/>
  <c r="AL113" i="36"/>
  <c r="U113" i="36"/>
  <c r="AL121" i="36"/>
  <c r="U121" i="36"/>
  <c r="AL70" i="36"/>
  <c r="U70" i="36"/>
  <c r="AL104" i="36"/>
  <c r="U104" i="36"/>
  <c r="AL71" i="36"/>
  <c r="U71" i="36"/>
  <c r="AL112" i="36"/>
  <c r="U112" i="36"/>
  <c r="AL66" i="36"/>
  <c r="U66" i="36"/>
  <c r="AL74" i="36"/>
  <c r="U74" i="36"/>
  <c r="AL82" i="36"/>
  <c r="U82" i="36"/>
  <c r="AL91" i="36"/>
  <c r="U91" i="36"/>
  <c r="AL99" i="36"/>
  <c r="U99" i="36"/>
  <c r="AL107" i="36"/>
  <c r="U107" i="36"/>
  <c r="AL114" i="36"/>
  <c r="U114" i="36"/>
  <c r="AL122" i="36"/>
  <c r="U122" i="36"/>
  <c r="AL63" i="36"/>
  <c r="U63" i="36"/>
  <c r="AL111" i="36"/>
  <c r="U111" i="36"/>
  <c r="AL64" i="36"/>
  <c r="U64" i="36"/>
  <c r="AL105" i="36"/>
  <c r="U105" i="36"/>
  <c r="AL67" i="36"/>
  <c r="U67" i="36"/>
  <c r="AL75" i="36"/>
  <c r="U75" i="36"/>
  <c r="AL83" i="36"/>
  <c r="U83" i="36"/>
  <c r="AL92" i="36"/>
  <c r="U92" i="36"/>
  <c r="AL100" i="36"/>
  <c r="U100" i="36"/>
  <c r="AL108" i="36"/>
  <c r="U108" i="36"/>
  <c r="AL115" i="36"/>
  <c r="U115" i="36"/>
  <c r="AL123" i="36"/>
  <c r="U123" i="36"/>
  <c r="AL96" i="36"/>
  <c r="AL97" i="36"/>
  <c r="U97" i="36"/>
  <c r="AL360" i="36"/>
  <c r="U360" i="36"/>
  <c r="AL76" i="36"/>
  <c r="U76" i="36"/>
  <c r="AL84" i="36"/>
  <c r="U84" i="36"/>
  <c r="AL93" i="36"/>
  <c r="U93" i="36"/>
  <c r="AL101" i="36"/>
  <c r="U101" i="36"/>
  <c r="AL366" i="36"/>
  <c r="U366" i="36"/>
  <c r="AL116" i="36"/>
  <c r="U116" i="36"/>
  <c r="AL124" i="36"/>
  <c r="U124" i="36"/>
  <c r="AL119" i="36"/>
  <c r="AL79" i="36"/>
  <c r="U79" i="36"/>
  <c r="AL89" i="36"/>
  <c r="U89" i="36"/>
  <c r="AL77" i="36"/>
  <c r="U77" i="36"/>
  <c r="AL94" i="36"/>
  <c r="U94" i="36"/>
  <c r="AL102" i="36"/>
  <c r="U102" i="36"/>
  <c r="AL117" i="36"/>
  <c r="U117" i="36"/>
  <c r="AL351" i="36"/>
  <c r="U351" i="36"/>
  <c r="U353" i="36" s="1"/>
  <c r="AL88" i="36"/>
  <c r="U88" i="36"/>
  <c r="AL80" i="36"/>
  <c r="U80" i="36"/>
  <c r="AL68" i="36"/>
  <c r="U68" i="36"/>
  <c r="AL85" i="36"/>
  <c r="U85" i="36"/>
  <c r="AL109" i="36"/>
  <c r="U109" i="36"/>
  <c r="AL69" i="36"/>
  <c r="U69" i="36"/>
  <c r="AL78" i="36"/>
  <c r="U78" i="36"/>
  <c r="AL86" i="36"/>
  <c r="U86" i="36"/>
  <c r="AL95" i="36"/>
  <c r="U95" i="36"/>
  <c r="AL103" i="36"/>
  <c r="U103" i="36"/>
  <c r="AL110" i="36"/>
  <c r="U110" i="36"/>
  <c r="AL118" i="36"/>
  <c r="U118" i="36"/>
  <c r="AL125" i="36"/>
  <c r="U125" i="36"/>
  <c r="G32" i="1"/>
  <c r="AH2" i="25"/>
  <c r="C10" i="28" l="1"/>
  <c r="U369" i="36"/>
  <c r="U362" i="36"/>
  <c r="U357" i="36"/>
  <c r="U350" i="36"/>
  <c r="AD348" i="36"/>
  <c r="AS348" i="36" s="1"/>
  <c r="AB348" i="36"/>
  <c r="Z348" i="36"/>
  <c r="X348" i="36"/>
  <c r="W348" i="36"/>
  <c r="AQ348" i="36" s="1"/>
  <c r="V348" i="36"/>
  <c r="U348" i="36"/>
  <c r="Q348" i="36"/>
  <c r="P348" i="36"/>
  <c r="O348" i="36"/>
  <c r="N348" i="36"/>
  <c r="J348" i="36"/>
  <c r="I348" i="36"/>
  <c r="H348" i="36"/>
  <c r="G348" i="36"/>
  <c r="F348" i="36"/>
  <c r="E348" i="36"/>
  <c r="D348" i="36"/>
  <c r="C348" i="36"/>
  <c r="B348" i="36"/>
  <c r="AR347" i="36"/>
  <c r="AR346" i="36"/>
  <c r="AR345" i="36"/>
  <c r="AR344" i="36"/>
  <c r="AR343" i="36"/>
  <c r="AR342" i="36"/>
  <c r="AR341" i="36"/>
  <c r="AR340" i="36"/>
  <c r="AR339" i="36"/>
  <c r="AR338" i="36"/>
  <c r="AR337" i="36"/>
  <c r="AR336" i="36"/>
  <c r="AR335" i="36"/>
  <c r="AR334" i="36"/>
  <c r="AR333" i="36"/>
  <c r="AR332" i="36"/>
  <c r="AR331" i="36"/>
  <c r="AR330" i="36"/>
  <c r="AR329" i="36"/>
  <c r="AR328" i="36"/>
  <c r="AR327" i="36"/>
  <c r="AR326" i="36"/>
  <c r="AR325" i="36"/>
  <c r="AR324" i="36"/>
  <c r="AR323" i="36"/>
  <c r="AR322" i="36"/>
  <c r="AR321" i="36"/>
  <c r="AR320" i="36"/>
  <c r="AR319" i="36"/>
  <c r="AR318" i="36"/>
  <c r="AR317" i="36"/>
  <c r="AR316" i="36"/>
  <c r="AR315" i="36"/>
  <c r="AR314" i="36"/>
  <c r="AR313" i="36"/>
  <c r="AR312" i="36"/>
  <c r="AR311" i="36"/>
  <c r="AR310" i="36"/>
  <c r="AR309" i="36"/>
  <c r="AR308" i="36"/>
  <c r="AR307" i="36"/>
  <c r="AR306" i="36"/>
  <c r="AR305" i="36"/>
  <c r="AR304" i="36"/>
  <c r="AR303" i="36"/>
  <c r="AR302" i="36"/>
  <c r="AR301" i="36"/>
  <c r="AR300" i="36"/>
  <c r="AR299" i="36"/>
  <c r="AR298" i="36"/>
  <c r="AR297" i="36"/>
  <c r="AR296" i="36"/>
  <c r="AR295" i="36"/>
  <c r="AR294" i="36"/>
  <c r="AR293" i="36"/>
  <c r="AR292" i="36"/>
  <c r="AR291" i="36"/>
  <c r="AR290" i="36"/>
  <c r="AR289" i="36"/>
  <c r="AR288" i="36"/>
  <c r="AR287" i="36"/>
  <c r="AR286" i="36"/>
  <c r="AR285" i="36"/>
  <c r="AR284" i="36"/>
  <c r="AR372" i="36"/>
  <c r="AR283" i="36"/>
  <c r="AR282" i="36"/>
  <c r="AR281" i="36"/>
  <c r="AR280" i="36"/>
  <c r="AR279" i="36"/>
  <c r="AR278" i="36"/>
  <c r="AR277" i="36"/>
  <c r="AR276" i="36"/>
  <c r="AR275" i="36"/>
  <c r="AR274" i="36"/>
  <c r="AR273" i="36"/>
  <c r="AR272" i="36"/>
  <c r="AR271" i="36"/>
  <c r="AR270" i="36"/>
  <c r="AR269" i="36"/>
  <c r="AR268" i="36"/>
  <c r="AR267" i="36"/>
  <c r="AR266" i="36"/>
  <c r="AR265" i="36"/>
  <c r="AR264" i="36"/>
  <c r="AR263" i="36"/>
  <c r="AR262" i="36"/>
  <c r="AR261" i="36"/>
  <c r="AR260" i="36"/>
  <c r="AR259" i="36"/>
  <c r="AR258" i="36"/>
  <c r="AR257" i="36"/>
  <c r="AR368" i="36"/>
  <c r="AR256" i="36"/>
  <c r="AR255" i="36"/>
  <c r="AR254" i="36"/>
  <c r="AR253" i="36"/>
  <c r="AR252" i="36"/>
  <c r="AR251" i="36"/>
  <c r="AR250" i="36"/>
  <c r="AR249" i="36"/>
  <c r="AR248" i="36"/>
  <c r="AR247" i="36"/>
  <c r="AR246" i="36"/>
  <c r="AR245" i="36"/>
  <c r="AR244" i="36"/>
  <c r="AR243" i="36"/>
  <c r="AR242" i="36"/>
  <c r="AR241" i="36"/>
  <c r="AR240" i="36"/>
  <c r="AR239" i="36"/>
  <c r="AR238" i="36"/>
  <c r="AR237" i="36"/>
  <c r="AR236" i="36"/>
  <c r="AR235" i="36"/>
  <c r="AR234" i="36"/>
  <c r="AR233" i="36"/>
  <c r="AR232" i="36"/>
  <c r="AR356" i="36"/>
  <c r="AR230" i="36"/>
  <c r="AR229" i="36"/>
  <c r="AR228" i="36"/>
  <c r="AR227" i="36"/>
  <c r="AR226" i="36"/>
  <c r="AR225" i="36"/>
  <c r="AR224" i="36"/>
  <c r="AR223" i="36"/>
  <c r="AR222" i="36"/>
  <c r="AR221" i="36"/>
  <c r="AR220" i="36"/>
  <c r="AR219" i="36"/>
  <c r="AR218" i="36"/>
  <c r="AR217" i="36"/>
  <c r="AR216" i="36"/>
  <c r="AR215" i="36"/>
  <c r="AR214" i="36"/>
  <c r="AR213" i="36"/>
  <c r="AR212" i="36"/>
  <c r="AR211" i="36"/>
  <c r="AR210" i="36"/>
  <c r="AR209" i="36"/>
  <c r="AR208" i="36"/>
  <c r="AR207" i="36"/>
  <c r="AR206" i="36"/>
  <c r="AR205" i="36"/>
  <c r="AR204" i="36"/>
  <c r="AR203" i="36"/>
  <c r="AR202" i="36"/>
  <c r="AR201" i="36"/>
  <c r="AR200" i="36"/>
  <c r="AR199" i="36"/>
  <c r="AR198" i="36"/>
  <c r="AR197" i="36"/>
  <c r="AR196" i="36"/>
  <c r="AR195" i="36"/>
  <c r="AR194" i="36"/>
  <c r="AR193" i="36"/>
  <c r="AR192" i="36"/>
  <c r="AR191" i="36"/>
  <c r="AR190" i="36"/>
  <c r="AR189" i="36"/>
  <c r="AR367" i="36"/>
  <c r="AR188" i="36"/>
  <c r="AR187" i="36"/>
  <c r="AR186" i="36"/>
  <c r="AR185" i="36"/>
  <c r="AR184" i="36"/>
  <c r="AR183" i="36"/>
  <c r="AR182" i="36"/>
  <c r="AR181" i="36"/>
  <c r="AR180" i="36"/>
  <c r="AR179" i="36"/>
  <c r="AR177" i="36"/>
  <c r="AR176" i="36"/>
  <c r="AR175" i="36"/>
  <c r="AR361" i="36"/>
  <c r="AR174" i="36"/>
  <c r="AR173" i="36"/>
  <c r="AR172" i="36"/>
  <c r="AR171" i="36"/>
  <c r="AR170" i="36"/>
  <c r="AR169" i="36"/>
  <c r="AR168" i="36"/>
  <c r="AR167" i="36"/>
  <c r="AR166" i="36"/>
  <c r="AR165" i="36"/>
  <c r="AR164" i="36"/>
  <c r="AR163" i="36"/>
  <c r="AR162" i="36"/>
  <c r="AR161" i="36"/>
  <c r="AR352" i="36"/>
  <c r="AR160" i="36"/>
  <c r="AR159" i="36"/>
  <c r="AR371" i="36"/>
  <c r="AR157" i="36"/>
  <c r="AR156" i="36"/>
  <c r="AR155" i="36"/>
  <c r="AR154" i="36"/>
  <c r="AR153" i="36"/>
  <c r="AR152" i="36"/>
  <c r="AR151" i="36"/>
  <c r="AR150" i="36"/>
  <c r="AR149" i="36"/>
  <c r="AR148" i="36"/>
  <c r="AR147" i="36"/>
  <c r="AR146" i="36"/>
  <c r="AR145" i="36"/>
  <c r="AR144" i="36"/>
  <c r="AR143" i="36"/>
  <c r="AR142" i="36"/>
  <c r="AR141" i="36"/>
  <c r="AR140" i="36"/>
  <c r="AR139" i="36"/>
  <c r="AR138" i="36"/>
  <c r="AR137" i="36"/>
  <c r="AR136" i="36"/>
  <c r="AR135" i="36"/>
  <c r="AR134" i="36"/>
  <c r="AR133" i="36"/>
  <c r="AR132" i="36"/>
  <c r="AR131" i="36"/>
  <c r="AR130" i="36"/>
  <c r="AR129" i="36"/>
  <c r="AR128" i="36"/>
  <c r="AR127" i="36"/>
  <c r="AR126" i="36"/>
  <c r="AR125" i="36"/>
  <c r="AR351" i="36"/>
  <c r="AR124" i="36"/>
  <c r="AR123" i="36"/>
  <c r="AR122" i="36"/>
  <c r="AR121" i="36"/>
  <c r="AR120" i="36"/>
  <c r="AR119" i="36"/>
  <c r="AR118" i="36"/>
  <c r="AR117" i="36"/>
  <c r="AR116" i="36"/>
  <c r="AR115" i="36"/>
  <c r="AR114" i="36"/>
  <c r="AR113" i="36"/>
  <c r="AR112" i="36"/>
  <c r="AR111" i="36"/>
  <c r="AR110" i="36"/>
  <c r="AR109" i="36"/>
  <c r="AR366" i="36"/>
  <c r="AR108" i="36"/>
  <c r="AR107" i="36"/>
  <c r="AR106" i="36"/>
  <c r="AR105" i="36"/>
  <c r="AR104" i="36"/>
  <c r="AR103" i="36"/>
  <c r="AR102" i="36"/>
  <c r="AR101" i="36"/>
  <c r="AR100" i="36"/>
  <c r="AR99" i="36"/>
  <c r="AR98" i="36"/>
  <c r="AR97" i="36"/>
  <c r="AR96" i="36"/>
  <c r="AR95" i="36"/>
  <c r="AR94" i="36"/>
  <c r="AR93" i="36"/>
  <c r="AR92" i="36"/>
  <c r="AR91" i="36"/>
  <c r="AR90" i="36"/>
  <c r="AR89" i="36"/>
  <c r="AR88" i="36"/>
  <c r="AR86" i="36"/>
  <c r="AR85" i="36"/>
  <c r="AR84" i="36"/>
  <c r="AR83" i="36"/>
  <c r="AR82" i="36"/>
  <c r="AR81" i="36"/>
  <c r="AR80" i="36"/>
  <c r="AR79" i="36"/>
  <c r="AR78" i="36"/>
  <c r="AR77" i="36"/>
  <c r="AR76" i="36"/>
  <c r="AR75" i="36"/>
  <c r="AR74" i="36"/>
  <c r="AR73" i="36"/>
  <c r="AR71" i="36"/>
  <c r="AR70" i="36"/>
  <c r="AR69" i="36"/>
  <c r="AR68" i="36"/>
  <c r="AR360" i="36"/>
  <c r="AR67" i="36"/>
  <c r="AR66" i="36"/>
  <c r="AR65" i="36"/>
  <c r="AR64" i="36"/>
  <c r="AR63" i="36"/>
  <c r="AR62" i="36"/>
  <c r="AR61" i="36"/>
  <c r="AR60" i="36"/>
  <c r="AR365" i="36"/>
  <c r="AR59" i="36"/>
  <c r="AR58" i="36"/>
  <c r="AR57" i="36"/>
  <c r="AR56" i="36"/>
  <c r="AR55" i="36"/>
  <c r="AR54" i="36"/>
  <c r="AR53" i="36"/>
  <c r="AR52" i="36"/>
  <c r="AR51" i="36"/>
  <c r="AR50" i="36"/>
  <c r="AR49" i="36"/>
  <c r="AR48" i="36"/>
  <c r="AR47" i="36"/>
  <c r="AR364" i="36"/>
  <c r="AR46" i="36"/>
  <c r="AR45" i="36"/>
  <c r="AR44" i="36"/>
  <c r="AR43" i="36"/>
  <c r="AR42" i="36"/>
  <c r="AR41" i="36"/>
  <c r="AR40" i="36"/>
  <c r="AR39" i="36"/>
  <c r="AR38" i="36"/>
  <c r="AR37" i="36"/>
  <c r="AR36" i="36"/>
  <c r="AR35" i="36"/>
  <c r="AR34" i="36"/>
  <c r="AR33" i="36"/>
  <c r="AR32" i="36"/>
  <c r="AR31" i="36"/>
  <c r="AR30" i="36"/>
  <c r="AR29" i="36"/>
  <c r="AR28" i="36"/>
  <c r="AR355" i="36"/>
  <c r="AR27" i="36"/>
  <c r="AR26" i="36"/>
  <c r="AR25" i="36"/>
  <c r="AR24" i="36"/>
  <c r="AR23" i="36"/>
  <c r="AR22" i="36"/>
  <c r="AR21" i="36"/>
  <c r="AR20" i="36"/>
  <c r="AR19" i="36"/>
  <c r="AR359" i="36"/>
  <c r="AR17" i="36"/>
  <c r="AR16" i="36"/>
  <c r="AR15" i="36"/>
  <c r="AR14" i="36"/>
  <c r="AR13" i="36"/>
  <c r="AR12" i="36"/>
  <c r="AR11" i="36"/>
  <c r="AR10" i="36"/>
  <c r="AR9" i="36"/>
  <c r="AR8" i="36"/>
  <c r="AR7" i="36"/>
  <c r="AR6" i="36"/>
  <c r="AR5" i="36"/>
  <c r="AR4" i="36"/>
  <c r="AR3" i="36"/>
  <c r="AR2" i="36"/>
  <c r="AP347" i="36"/>
  <c r="AP346" i="36"/>
  <c r="AP345" i="36"/>
  <c r="AP344" i="36"/>
  <c r="AP343" i="36"/>
  <c r="AP342" i="36"/>
  <c r="AP341" i="36"/>
  <c r="AP340" i="36"/>
  <c r="AP339" i="36"/>
  <c r="AP338" i="36"/>
  <c r="AP337" i="36"/>
  <c r="AP336" i="36"/>
  <c r="AP335" i="36"/>
  <c r="AP334" i="36"/>
  <c r="AP333" i="36"/>
  <c r="AP332" i="36"/>
  <c r="AP331" i="36"/>
  <c r="AP330" i="36"/>
  <c r="AP329" i="36"/>
  <c r="AP328" i="36"/>
  <c r="AP327" i="36"/>
  <c r="AP326" i="36"/>
  <c r="AP325" i="36"/>
  <c r="AP324" i="36"/>
  <c r="AP323" i="36"/>
  <c r="AP322" i="36"/>
  <c r="AP321" i="36"/>
  <c r="AP320" i="36"/>
  <c r="AP319" i="36"/>
  <c r="AP318" i="36"/>
  <c r="AP317" i="36"/>
  <c r="AP316" i="36"/>
  <c r="AP315" i="36"/>
  <c r="AP314" i="36"/>
  <c r="AP313" i="36"/>
  <c r="AP312" i="36"/>
  <c r="AP311" i="36"/>
  <c r="AP310" i="36"/>
  <c r="AP309" i="36"/>
  <c r="AP308" i="36"/>
  <c r="AP307" i="36"/>
  <c r="AP306" i="36"/>
  <c r="AP305" i="36"/>
  <c r="AP304" i="36"/>
  <c r="AP303" i="36"/>
  <c r="AP302" i="36"/>
  <c r="AP301" i="36"/>
  <c r="AP300" i="36"/>
  <c r="AP299" i="36"/>
  <c r="AP298" i="36"/>
  <c r="AP297" i="36"/>
  <c r="AP296" i="36"/>
  <c r="AP295" i="36"/>
  <c r="AP294" i="36"/>
  <c r="AP293" i="36"/>
  <c r="AP292" i="36"/>
  <c r="AP291" i="36"/>
  <c r="AP290" i="36"/>
  <c r="AP289" i="36"/>
  <c r="AP288" i="36"/>
  <c r="AP287" i="36"/>
  <c r="AP286" i="36"/>
  <c r="AP285" i="36"/>
  <c r="AP284" i="36"/>
  <c r="AP372" i="36"/>
  <c r="AP283" i="36"/>
  <c r="AP282" i="36"/>
  <c r="AP281" i="36"/>
  <c r="AP280" i="36"/>
  <c r="AP279" i="36"/>
  <c r="AP278" i="36"/>
  <c r="AP277" i="36"/>
  <c r="AP276" i="36"/>
  <c r="AP275" i="36"/>
  <c r="AP274" i="36"/>
  <c r="AP273" i="36"/>
  <c r="AP272" i="36"/>
  <c r="AP271" i="36"/>
  <c r="AP270" i="36"/>
  <c r="AP269" i="36"/>
  <c r="AP268" i="36"/>
  <c r="AP267" i="36"/>
  <c r="AP266" i="36"/>
  <c r="AP265" i="36"/>
  <c r="AP264" i="36"/>
  <c r="AP263" i="36"/>
  <c r="AP262" i="36"/>
  <c r="AP261" i="36"/>
  <c r="AP260" i="36"/>
  <c r="AP259" i="36"/>
  <c r="AP258" i="36"/>
  <c r="AP257" i="36"/>
  <c r="AP368" i="36"/>
  <c r="AP256" i="36"/>
  <c r="AP255" i="36"/>
  <c r="AP254" i="36"/>
  <c r="AP253" i="36"/>
  <c r="AP252" i="36"/>
  <c r="AP251" i="36"/>
  <c r="AP250" i="36"/>
  <c r="AP249" i="36"/>
  <c r="AP248" i="36"/>
  <c r="AP247" i="36"/>
  <c r="AP246" i="36"/>
  <c r="AP245" i="36"/>
  <c r="AP244" i="36"/>
  <c r="AP243" i="36"/>
  <c r="AP242" i="36"/>
  <c r="AP241" i="36"/>
  <c r="AP240" i="36"/>
  <c r="AP239" i="36"/>
  <c r="AP238" i="36"/>
  <c r="AP237" i="36"/>
  <c r="AP236" i="36"/>
  <c r="AP235" i="36"/>
  <c r="AP234" i="36"/>
  <c r="AP233" i="36"/>
  <c r="AP232" i="36"/>
  <c r="AP356" i="36"/>
  <c r="AP230" i="36"/>
  <c r="AP229" i="36"/>
  <c r="AP228" i="36"/>
  <c r="AP227" i="36"/>
  <c r="AP226" i="36"/>
  <c r="AP225" i="36"/>
  <c r="AP224" i="36"/>
  <c r="AP223" i="36"/>
  <c r="AP222" i="36"/>
  <c r="AP221" i="36"/>
  <c r="AP220" i="36"/>
  <c r="AP219" i="36"/>
  <c r="AP218" i="36"/>
  <c r="AP217" i="36"/>
  <c r="AP216" i="36"/>
  <c r="AP215" i="36"/>
  <c r="AP214" i="36"/>
  <c r="AP213" i="36"/>
  <c r="AP212" i="36"/>
  <c r="AP211" i="36"/>
  <c r="AP210" i="36"/>
  <c r="AP209" i="36"/>
  <c r="AP208" i="36"/>
  <c r="AP207" i="36"/>
  <c r="AP206" i="36"/>
  <c r="AP205" i="36"/>
  <c r="AP204" i="36"/>
  <c r="AP203" i="36"/>
  <c r="AP202" i="36"/>
  <c r="AP201" i="36"/>
  <c r="AP200" i="36"/>
  <c r="AP199" i="36"/>
  <c r="AP198" i="36"/>
  <c r="AP197" i="36"/>
  <c r="AP196" i="36"/>
  <c r="AP195" i="36"/>
  <c r="AP194" i="36"/>
  <c r="AP193" i="36"/>
  <c r="AP192" i="36"/>
  <c r="AP191" i="36"/>
  <c r="AP190" i="36"/>
  <c r="AP189" i="36"/>
  <c r="AP367" i="36"/>
  <c r="AP188" i="36"/>
  <c r="AP187" i="36"/>
  <c r="AP186" i="36"/>
  <c r="AP185" i="36"/>
  <c r="AP184" i="36"/>
  <c r="AP183" i="36"/>
  <c r="AP182" i="36"/>
  <c r="AP181" i="36"/>
  <c r="AP180" i="36"/>
  <c r="AP179" i="36"/>
  <c r="AP177" i="36"/>
  <c r="AP176" i="36"/>
  <c r="AP175" i="36"/>
  <c r="AP361" i="36"/>
  <c r="AP174" i="36"/>
  <c r="AP173" i="36"/>
  <c r="AP172" i="36"/>
  <c r="AP171" i="36"/>
  <c r="AP170" i="36"/>
  <c r="AP169" i="36"/>
  <c r="AP168" i="36"/>
  <c r="AP167" i="36"/>
  <c r="AP166" i="36"/>
  <c r="AP165" i="36"/>
  <c r="AP164" i="36"/>
  <c r="AP163" i="36"/>
  <c r="AP161" i="36"/>
  <c r="AP352" i="36"/>
  <c r="AP160" i="36"/>
  <c r="AP159" i="36"/>
  <c r="AP371" i="36"/>
  <c r="AP157" i="36"/>
  <c r="AP156" i="36"/>
  <c r="AP155" i="36"/>
  <c r="AP154" i="36"/>
  <c r="AP153" i="36"/>
  <c r="AP152" i="36"/>
  <c r="AP151" i="36"/>
  <c r="AP150" i="36"/>
  <c r="AP149" i="36"/>
  <c r="AP148" i="36"/>
  <c r="AP147" i="36"/>
  <c r="AP146" i="36"/>
  <c r="AP145" i="36"/>
  <c r="AP144" i="36"/>
  <c r="AP143" i="36"/>
  <c r="AP142" i="36"/>
  <c r="AP141" i="36"/>
  <c r="AP140" i="36"/>
  <c r="AP139" i="36"/>
  <c r="AP138" i="36"/>
  <c r="AP137" i="36"/>
  <c r="AP136" i="36"/>
  <c r="AP135" i="36"/>
  <c r="AP134" i="36"/>
  <c r="AP133" i="36"/>
  <c r="AP132" i="36"/>
  <c r="AP131" i="36"/>
  <c r="AP130" i="36"/>
  <c r="AP129" i="36"/>
  <c r="AP128" i="36"/>
  <c r="AP127" i="36"/>
  <c r="AP126" i="36"/>
  <c r="AP125" i="36"/>
  <c r="AP351" i="36"/>
  <c r="AP124" i="36"/>
  <c r="AP123" i="36"/>
  <c r="AP122" i="36"/>
  <c r="AP121" i="36"/>
  <c r="AP120" i="36"/>
  <c r="AP119" i="36"/>
  <c r="AP118" i="36"/>
  <c r="AP117" i="36"/>
  <c r="AP116" i="36"/>
  <c r="AP115" i="36"/>
  <c r="AP114" i="36"/>
  <c r="AP113" i="36"/>
  <c r="AP112" i="36"/>
  <c r="AP111" i="36"/>
  <c r="AP110" i="36"/>
  <c r="AP109" i="36"/>
  <c r="AP366" i="36"/>
  <c r="AP108" i="36"/>
  <c r="AP107" i="36"/>
  <c r="AP106" i="36"/>
  <c r="AP105" i="36"/>
  <c r="AP104" i="36"/>
  <c r="AP103" i="36"/>
  <c r="AP102" i="36"/>
  <c r="AP101" i="36"/>
  <c r="AP100" i="36"/>
  <c r="AP99" i="36"/>
  <c r="AP98" i="36"/>
  <c r="AP97" i="36"/>
  <c r="AP96" i="36"/>
  <c r="AP95" i="36"/>
  <c r="AP94" i="36"/>
  <c r="AP93" i="36"/>
  <c r="AP92" i="36"/>
  <c r="AP91" i="36"/>
  <c r="AP90" i="36"/>
  <c r="AP89" i="36"/>
  <c r="AP88" i="36"/>
  <c r="AP86" i="36"/>
  <c r="AP85" i="36"/>
  <c r="AP84" i="36"/>
  <c r="AP83" i="36"/>
  <c r="AP82" i="36"/>
  <c r="AP81" i="36"/>
  <c r="AP80" i="36"/>
  <c r="AP79" i="36"/>
  <c r="AP78" i="36"/>
  <c r="AP77" i="36"/>
  <c r="AP76" i="36"/>
  <c r="AP75" i="36"/>
  <c r="AP74" i="36"/>
  <c r="AP73" i="36"/>
  <c r="AP71" i="36"/>
  <c r="AP70" i="36"/>
  <c r="AP69" i="36"/>
  <c r="AP68" i="36"/>
  <c r="AP360" i="36"/>
  <c r="AP67" i="36"/>
  <c r="AP66" i="36"/>
  <c r="AP65" i="36"/>
  <c r="AP64" i="36"/>
  <c r="AP63" i="36"/>
  <c r="AP62" i="36"/>
  <c r="AP61" i="36"/>
  <c r="AP60" i="36"/>
  <c r="AP365" i="36"/>
  <c r="AP59" i="36"/>
  <c r="AP58" i="36"/>
  <c r="AP57" i="36"/>
  <c r="AP56" i="36"/>
  <c r="AP55" i="36"/>
  <c r="AP54" i="36"/>
  <c r="AP53" i="36"/>
  <c r="AP52" i="36"/>
  <c r="AP51" i="36"/>
  <c r="AP50" i="36"/>
  <c r="AP49" i="36"/>
  <c r="AP48" i="36"/>
  <c r="AP47" i="36"/>
  <c r="AP364" i="36"/>
  <c r="AP46" i="36"/>
  <c r="AP45" i="36"/>
  <c r="AP44" i="36"/>
  <c r="AP43" i="36"/>
  <c r="AP42" i="36"/>
  <c r="AP41" i="36"/>
  <c r="AP40" i="36"/>
  <c r="AP39" i="36"/>
  <c r="AP38" i="36"/>
  <c r="AP37" i="36"/>
  <c r="AP36" i="36"/>
  <c r="AP35" i="36"/>
  <c r="AP34" i="36"/>
  <c r="AP33" i="36"/>
  <c r="AP32" i="36"/>
  <c r="AP31" i="36"/>
  <c r="AP30" i="36"/>
  <c r="AP29" i="36"/>
  <c r="AP28" i="36"/>
  <c r="AP355" i="36"/>
  <c r="AP27" i="36"/>
  <c r="AP26" i="36"/>
  <c r="AP25" i="36"/>
  <c r="AP24" i="36"/>
  <c r="AP23" i="36"/>
  <c r="AP22" i="36"/>
  <c r="AP21" i="36"/>
  <c r="AP20" i="36"/>
  <c r="AP19" i="36"/>
  <c r="AP359" i="36"/>
  <c r="AP17" i="36"/>
  <c r="AP16" i="36"/>
  <c r="AP15" i="36"/>
  <c r="AP14" i="36"/>
  <c r="AP13" i="36"/>
  <c r="AP12" i="36"/>
  <c r="AP11" i="36"/>
  <c r="AP10" i="36"/>
  <c r="AP9" i="36"/>
  <c r="AP8" i="36"/>
  <c r="AP7" i="36"/>
  <c r="AP6" i="36"/>
  <c r="AP5" i="36"/>
  <c r="AP4" i="36"/>
  <c r="AP3" i="36"/>
  <c r="AP2" i="36"/>
  <c r="AO339" i="36"/>
  <c r="AO323" i="36"/>
  <c r="AO276" i="36"/>
  <c r="AO260" i="36"/>
  <c r="AO213" i="36"/>
  <c r="AO197" i="36"/>
  <c r="AO151" i="36"/>
  <c r="AO135" i="36"/>
  <c r="AO89" i="36"/>
  <c r="AO71" i="36"/>
  <c r="AO42" i="36"/>
  <c r="AO347" i="36"/>
  <c r="AO346" i="36"/>
  <c r="AO345" i="36"/>
  <c r="AO344" i="36"/>
  <c r="AO343" i="36"/>
  <c r="AO342" i="36"/>
  <c r="AO341" i="36"/>
  <c r="AO340" i="36"/>
  <c r="AO338" i="36"/>
  <c r="AO337" i="36"/>
  <c r="AO336" i="36"/>
  <c r="AO335" i="36"/>
  <c r="AO334" i="36"/>
  <c r="AO333" i="36"/>
  <c r="AO332" i="36"/>
  <c r="AO331" i="36"/>
  <c r="AO330" i="36"/>
  <c r="AO329" i="36"/>
  <c r="AO328" i="36"/>
  <c r="AO327" i="36"/>
  <c r="AO326" i="36"/>
  <c r="AO325" i="36"/>
  <c r="AO324" i="36"/>
  <c r="AO322" i="36"/>
  <c r="AO321" i="36"/>
  <c r="AO320" i="36"/>
  <c r="AO319" i="36"/>
  <c r="AO318" i="36"/>
  <c r="AO317" i="36"/>
  <c r="AO316" i="36"/>
  <c r="AO315" i="36"/>
  <c r="AO314" i="36"/>
  <c r="AO313" i="36"/>
  <c r="AO312" i="36"/>
  <c r="AO311" i="36"/>
  <c r="AO310" i="36"/>
  <c r="AO309" i="36"/>
  <c r="AO308" i="36"/>
  <c r="AO307" i="36"/>
  <c r="AO306" i="36"/>
  <c r="AO305" i="36"/>
  <c r="AO304" i="36"/>
  <c r="AO303" i="36"/>
  <c r="AO302" i="36"/>
  <c r="AO301" i="36"/>
  <c r="AO300" i="36"/>
  <c r="AO299" i="36"/>
  <c r="AO298" i="36"/>
  <c r="AO297" i="36"/>
  <c r="AO296" i="36"/>
  <c r="AO295" i="36"/>
  <c r="AO294" i="36"/>
  <c r="AO293" i="36"/>
  <c r="AO292" i="36"/>
  <c r="AO291" i="36"/>
  <c r="AO290" i="36"/>
  <c r="AO289" i="36"/>
  <c r="AO288" i="36"/>
  <c r="AO287" i="36"/>
  <c r="AO286" i="36"/>
  <c r="AO285" i="36"/>
  <c r="AO284" i="36"/>
  <c r="AO372" i="36"/>
  <c r="AO283" i="36"/>
  <c r="AO282" i="36"/>
  <c r="AO281" i="36"/>
  <c r="AO280" i="36"/>
  <c r="AO279" i="36"/>
  <c r="AO278" i="36"/>
  <c r="AO277" i="36"/>
  <c r="AO275" i="36"/>
  <c r="AO274" i="36"/>
  <c r="AO273" i="36"/>
  <c r="AO272" i="36"/>
  <c r="AO271" i="36"/>
  <c r="AO270" i="36"/>
  <c r="AO269" i="36"/>
  <c r="AO268" i="36"/>
  <c r="AO267" i="36"/>
  <c r="AO266" i="36"/>
  <c r="AO265" i="36"/>
  <c r="AO264" i="36"/>
  <c r="AO263" i="36"/>
  <c r="AO262" i="36"/>
  <c r="AO261" i="36"/>
  <c r="AO259" i="36"/>
  <c r="AO258" i="36"/>
  <c r="AO257" i="36"/>
  <c r="AO368" i="36"/>
  <c r="AO256" i="36"/>
  <c r="AO255" i="36"/>
  <c r="AO254" i="36"/>
  <c r="AO253" i="36"/>
  <c r="AO252" i="36"/>
  <c r="AO251" i="36"/>
  <c r="AO250" i="36"/>
  <c r="AO249" i="36"/>
  <c r="AO248" i="36"/>
  <c r="AO247" i="36"/>
  <c r="AO246" i="36"/>
  <c r="AO245" i="36"/>
  <c r="AO244" i="36"/>
  <c r="AO243" i="36"/>
  <c r="AO242" i="36"/>
  <c r="AO241" i="36"/>
  <c r="AO240" i="36"/>
  <c r="AO239" i="36"/>
  <c r="AO238" i="36"/>
  <c r="AO237" i="36"/>
  <c r="AO236" i="36"/>
  <c r="AO235" i="36"/>
  <c r="AO234" i="36"/>
  <c r="AO233" i="36"/>
  <c r="AO232" i="36"/>
  <c r="AO356" i="36"/>
  <c r="AO230" i="36"/>
  <c r="AO229" i="36"/>
  <c r="AO228" i="36"/>
  <c r="AO227" i="36"/>
  <c r="AO226" i="36"/>
  <c r="AO225" i="36"/>
  <c r="AO224" i="36"/>
  <c r="AO223" i="36"/>
  <c r="AO222" i="36"/>
  <c r="AO221" i="36"/>
  <c r="AO220" i="36"/>
  <c r="AO219" i="36"/>
  <c r="AO218" i="36"/>
  <c r="AO217" i="36"/>
  <c r="AO216" i="36"/>
  <c r="AO215" i="36"/>
  <c r="AO214" i="36"/>
  <c r="AO212" i="36"/>
  <c r="AO211" i="36"/>
  <c r="AO210" i="36"/>
  <c r="AO209" i="36"/>
  <c r="AO208" i="36"/>
  <c r="AO207" i="36"/>
  <c r="AO206" i="36"/>
  <c r="AO205" i="36"/>
  <c r="AO204" i="36"/>
  <c r="AO203" i="36"/>
  <c r="AO202" i="36"/>
  <c r="AO201" i="36"/>
  <c r="AO200" i="36"/>
  <c r="AO199" i="36"/>
  <c r="AO198" i="36"/>
  <c r="AO196" i="36"/>
  <c r="AO195" i="36"/>
  <c r="AO194" i="36"/>
  <c r="AO193" i="36"/>
  <c r="AO192" i="36"/>
  <c r="AO191" i="36"/>
  <c r="AO190" i="36"/>
  <c r="AO189" i="36"/>
  <c r="AO367" i="36"/>
  <c r="AO188" i="36"/>
  <c r="AO187" i="36"/>
  <c r="AO186" i="36"/>
  <c r="AO185" i="36"/>
  <c r="AO184" i="36"/>
  <c r="AO183" i="36"/>
  <c r="AO182" i="36"/>
  <c r="AO181" i="36"/>
  <c r="AO180" i="36"/>
  <c r="AO179" i="36"/>
  <c r="AO177" i="36"/>
  <c r="AO176" i="36"/>
  <c r="AO175" i="36"/>
  <c r="AO361" i="36"/>
  <c r="AO174" i="36"/>
  <c r="AO173" i="36"/>
  <c r="AO172" i="36"/>
  <c r="AO171" i="36"/>
  <c r="AO170" i="36"/>
  <c r="AO169" i="36"/>
  <c r="AO168" i="36"/>
  <c r="AO167" i="36"/>
  <c r="AO166" i="36"/>
  <c r="AO165" i="36"/>
  <c r="AO164" i="36"/>
  <c r="AO163" i="36"/>
  <c r="AO162" i="36"/>
  <c r="AO161" i="36"/>
  <c r="AO352" i="36"/>
  <c r="AO160" i="36"/>
  <c r="AO159" i="36"/>
  <c r="AO371" i="36"/>
  <c r="AO157" i="36"/>
  <c r="AO156" i="36"/>
  <c r="AO155" i="36"/>
  <c r="AO154" i="36"/>
  <c r="AO153" i="36"/>
  <c r="AO152" i="36"/>
  <c r="AO150" i="36"/>
  <c r="AO149" i="36"/>
  <c r="AO148" i="36"/>
  <c r="AO147" i="36"/>
  <c r="AO146" i="36"/>
  <c r="AO145" i="36"/>
  <c r="AO144" i="36"/>
  <c r="AO143" i="36"/>
  <c r="AO142" i="36"/>
  <c r="AO141" i="36"/>
  <c r="AO140" i="36"/>
  <c r="AO139" i="36"/>
  <c r="AO138" i="36"/>
  <c r="AO137" i="36"/>
  <c r="AO136" i="36"/>
  <c r="AO134" i="36"/>
  <c r="AO133" i="36"/>
  <c r="AO132" i="36"/>
  <c r="AO131" i="36"/>
  <c r="AO130" i="36"/>
  <c r="AO129" i="36"/>
  <c r="AO128" i="36"/>
  <c r="AO127" i="36"/>
  <c r="AO126" i="36"/>
  <c r="AO125" i="36"/>
  <c r="AO351" i="36"/>
  <c r="AO124" i="36"/>
  <c r="AO123" i="36"/>
  <c r="AO122" i="36"/>
  <c r="AO121" i="36"/>
  <c r="AO120" i="36"/>
  <c r="AO119" i="36"/>
  <c r="AO118" i="36"/>
  <c r="AO117" i="36"/>
  <c r="AO116" i="36"/>
  <c r="AO115" i="36"/>
  <c r="AO114" i="36"/>
  <c r="AO113" i="36"/>
  <c r="AO112" i="36"/>
  <c r="AO111" i="36"/>
  <c r="AO110" i="36"/>
  <c r="AO109" i="36"/>
  <c r="AO366" i="36"/>
  <c r="AO108" i="36"/>
  <c r="AO107" i="36"/>
  <c r="AO106" i="36"/>
  <c r="AO105" i="36"/>
  <c r="AO104" i="36"/>
  <c r="AO103" i="36"/>
  <c r="AO102" i="36"/>
  <c r="AO101" i="36"/>
  <c r="AO100" i="36"/>
  <c r="AO99" i="36"/>
  <c r="AO98" i="36"/>
  <c r="AO97" i="36"/>
  <c r="AO96" i="36"/>
  <c r="AO95" i="36"/>
  <c r="AO94" i="36"/>
  <c r="AO93" i="36"/>
  <c r="AO92" i="36"/>
  <c r="AO91" i="36"/>
  <c r="AO90" i="36"/>
  <c r="AO88" i="36"/>
  <c r="AO86" i="36"/>
  <c r="AO85" i="36"/>
  <c r="AO84" i="36"/>
  <c r="AO83" i="36"/>
  <c r="AO82" i="36"/>
  <c r="C11" i="28" s="1"/>
  <c r="AO81" i="36"/>
  <c r="AO80" i="36"/>
  <c r="AO79" i="36"/>
  <c r="AO78" i="36"/>
  <c r="AO77" i="36"/>
  <c r="AO76" i="36"/>
  <c r="AO75" i="36"/>
  <c r="AO74" i="36"/>
  <c r="AO73" i="36"/>
  <c r="AO70" i="36"/>
  <c r="AO69" i="36"/>
  <c r="AO68" i="36"/>
  <c r="AO360" i="36"/>
  <c r="AO67" i="36"/>
  <c r="AO66" i="36"/>
  <c r="AO65" i="36"/>
  <c r="AO64" i="36"/>
  <c r="AO63" i="36"/>
  <c r="AO62" i="36"/>
  <c r="AO61" i="36"/>
  <c r="AO60" i="36"/>
  <c r="AO365" i="36"/>
  <c r="AO59" i="36"/>
  <c r="AO58" i="36"/>
  <c r="AO57" i="36"/>
  <c r="AO56" i="36"/>
  <c r="AO55" i="36"/>
  <c r="AO54" i="36"/>
  <c r="AO53" i="36"/>
  <c r="AO52" i="36"/>
  <c r="AO51" i="36"/>
  <c r="AO50" i="36"/>
  <c r="AO49" i="36"/>
  <c r="AO48" i="36"/>
  <c r="AO47" i="36"/>
  <c r="AO364" i="36"/>
  <c r="AO46" i="36"/>
  <c r="AO45" i="36"/>
  <c r="AO44" i="36"/>
  <c r="AO43" i="36"/>
  <c r="AO41" i="36"/>
  <c r="AO40" i="36"/>
  <c r="AO39" i="36"/>
  <c r="AO38" i="36"/>
  <c r="AO37" i="36"/>
  <c r="AO36" i="36"/>
  <c r="AO35" i="36"/>
  <c r="AO34" i="36"/>
  <c r="AO33" i="36"/>
  <c r="AO32" i="36"/>
  <c r="AO31" i="36"/>
  <c r="AO30" i="36"/>
  <c r="AO29" i="36"/>
  <c r="AO28" i="36"/>
  <c r="AO355" i="36"/>
  <c r="AO27" i="36"/>
  <c r="AO26" i="36"/>
  <c r="AO25" i="36"/>
  <c r="AO24" i="36"/>
  <c r="AO23" i="36"/>
  <c r="AO22" i="36"/>
  <c r="AO21" i="36"/>
  <c r="AO20" i="36"/>
  <c r="AO19" i="36"/>
  <c r="AO359" i="36"/>
  <c r="AO17" i="36"/>
  <c r="AO16" i="36"/>
  <c r="AO15" i="36"/>
  <c r="AO14" i="36"/>
  <c r="AO13" i="36"/>
  <c r="AO12" i="36"/>
  <c r="AO11" i="36"/>
  <c r="AO10" i="36"/>
  <c r="AO9" i="36"/>
  <c r="AO8" i="36"/>
  <c r="AO7" i="36"/>
  <c r="AO6" i="36"/>
  <c r="AO5" i="36"/>
  <c r="AO4" i="36"/>
  <c r="AO3" i="36"/>
  <c r="AO2" i="36"/>
  <c r="AK347" i="36"/>
  <c r="AK344" i="36"/>
  <c r="AK343" i="36"/>
  <c r="AK342" i="36"/>
  <c r="AK341" i="36"/>
  <c r="AK340" i="36"/>
  <c r="AK338" i="36"/>
  <c r="AK337" i="36"/>
  <c r="AK336" i="36"/>
  <c r="AK334" i="36"/>
  <c r="AK333" i="36"/>
  <c r="AK332" i="36"/>
  <c r="AK331" i="36"/>
  <c r="AK330" i="36"/>
  <c r="AK328" i="36"/>
  <c r="AK327" i="36"/>
  <c r="AK326" i="36"/>
  <c r="AK325" i="36"/>
  <c r="AK324" i="36"/>
  <c r="AK323" i="36"/>
  <c r="AK322" i="36"/>
  <c r="AK321" i="36"/>
  <c r="AK319" i="36"/>
  <c r="AK316" i="36"/>
  <c r="AK315" i="36"/>
  <c r="AK313" i="36"/>
  <c r="AK310" i="36"/>
  <c r="AK309" i="36"/>
  <c r="AK308" i="36"/>
  <c r="AK306" i="36"/>
  <c r="AK305" i="36"/>
  <c r="AK303" i="36"/>
  <c r="AK301" i="36"/>
  <c r="AK300" i="36"/>
  <c r="AK298" i="36"/>
  <c r="AK297" i="36"/>
  <c r="AK295" i="36"/>
  <c r="AK293" i="36"/>
  <c r="AK292" i="36"/>
  <c r="AK291" i="36"/>
  <c r="AK290" i="36"/>
  <c r="AK289" i="36"/>
  <c r="AK288" i="36"/>
  <c r="AK287" i="36"/>
  <c r="AK285" i="36"/>
  <c r="AK284" i="36"/>
  <c r="AK372" i="36"/>
  <c r="AK283" i="36"/>
  <c r="AK282" i="36"/>
  <c r="AK281" i="36"/>
  <c r="AK280" i="36"/>
  <c r="AK279" i="36"/>
  <c r="AK278" i="36"/>
  <c r="AK277" i="36"/>
  <c r="AK276" i="36"/>
  <c r="AK275" i="36"/>
  <c r="AK274" i="36"/>
  <c r="AK273" i="36"/>
  <c r="AK272" i="36"/>
  <c r="AK271" i="36"/>
  <c r="AK270" i="36"/>
  <c r="AK269" i="36"/>
  <c r="AK268" i="36"/>
  <c r="AK267" i="36"/>
  <c r="AK266" i="36"/>
  <c r="AK265" i="36"/>
  <c r="AK264" i="36"/>
  <c r="AK263" i="36"/>
  <c r="AK262" i="36"/>
  <c r="AK261" i="36"/>
  <c r="AK260" i="36"/>
  <c r="AK259" i="36"/>
  <c r="AK258" i="36"/>
  <c r="AK257" i="36"/>
  <c r="AK368" i="36"/>
  <c r="AK256" i="36"/>
  <c r="AK255" i="36"/>
  <c r="AK254" i="36"/>
  <c r="AK253" i="36"/>
  <c r="AK252" i="36"/>
  <c r="AK251" i="36"/>
  <c r="AK250" i="36"/>
  <c r="AK249" i="36"/>
  <c r="AK248" i="36"/>
  <c r="AK246" i="36"/>
  <c r="AK243" i="36"/>
  <c r="AK242" i="36"/>
  <c r="AK241" i="36"/>
  <c r="AK240" i="36"/>
  <c r="AK239" i="36"/>
  <c r="AK238" i="36"/>
  <c r="AK237" i="36"/>
  <c r="AK236" i="36"/>
  <c r="AK235" i="36"/>
  <c r="AK234" i="36"/>
  <c r="AK233" i="36"/>
  <c r="AK232" i="36"/>
  <c r="AK230" i="36"/>
  <c r="AK229" i="36"/>
  <c r="AK228" i="36"/>
  <c r="AK227" i="36"/>
  <c r="AK226" i="36"/>
  <c r="AK225" i="36"/>
  <c r="AK224" i="36"/>
  <c r="AK222" i="36"/>
  <c r="AK221" i="36"/>
  <c r="AK220" i="36"/>
  <c r="AK219" i="36"/>
  <c r="AK217" i="36"/>
  <c r="AK215" i="36"/>
  <c r="AK214" i="36"/>
  <c r="AK212" i="36"/>
  <c r="AK211" i="36"/>
  <c r="AK210" i="36"/>
  <c r="AK209" i="36"/>
  <c r="AK207" i="36"/>
  <c r="AK205" i="36"/>
  <c r="AK204" i="36"/>
  <c r="AK203" i="36"/>
  <c r="AK202" i="36"/>
  <c r="AK201" i="36"/>
  <c r="AK200" i="36"/>
  <c r="AK199" i="36"/>
  <c r="AK198" i="36"/>
  <c r="AK197" i="36"/>
  <c r="AK196" i="36"/>
  <c r="AK193" i="36"/>
  <c r="AK192" i="36"/>
  <c r="AK191" i="36"/>
  <c r="AK190" i="36"/>
  <c r="AK189" i="36"/>
  <c r="AK367" i="36"/>
  <c r="AK188" i="36"/>
  <c r="AK187" i="36"/>
  <c r="AK186" i="36"/>
  <c r="AK184" i="36"/>
  <c r="AK183" i="36"/>
  <c r="AK182" i="36"/>
  <c r="AK181" i="36"/>
  <c r="AK180" i="36"/>
  <c r="AK176" i="36"/>
  <c r="AK175" i="36"/>
  <c r="AK361" i="36"/>
  <c r="AK174" i="36"/>
  <c r="AK172" i="36"/>
  <c r="AK171" i="36"/>
  <c r="AK169" i="36"/>
  <c r="AK168" i="36"/>
  <c r="AK167" i="36"/>
  <c r="AK166" i="36"/>
  <c r="AK165" i="36"/>
  <c r="AK164" i="36"/>
  <c r="AK163" i="36"/>
  <c r="AK162" i="36"/>
  <c r="AK161" i="36"/>
  <c r="AK352" i="36"/>
  <c r="AK160" i="36"/>
  <c r="AK159" i="36"/>
  <c r="AK371" i="36"/>
  <c r="AK157" i="36"/>
  <c r="AK156" i="36"/>
  <c r="AK154" i="36"/>
  <c r="AK153" i="36"/>
  <c r="AK152" i="36"/>
  <c r="AK151" i="36"/>
  <c r="AK150" i="36"/>
  <c r="AK149" i="36"/>
  <c r="AK148" i="36"/>
  <c r="AK147" i="36"/>
  <c r="AK146" i="36"/>
  <c r="AK145" i="36"/>
  <c r="AK144" i="36"/>
  <c r="AK143" i="36"/>
  <c r="AK142" i="36"/>
  <c r="AK141" i="36"/>
  <c r="AK140" i="36"/>
  <c r="AK139" i="36"/>
  <c r="AK138" i="36"/>
  <c r="AK137" i="36"/>
  <c r="AK136" i="36"/>
  <c r="AK135" i="36"/>
  <c r="AK134" i="36"/>
  <c r="AK133" i="36"/>
  <c r="AK132" i="36"/>
  <c r="AK131" i="36"/>
  <c r="AK130" i="36"/>
  <c r="AK129" i="36"/>
  <c r="AK128" i="36"/>
  <c r="AK127" i="36"/>
  <c r="AK125" i="36"/>
  <c r="AK351" i="36"/>
  <c r="AK123" i="36"/>
  <c r="AK121" i="36"/>
  <c r="AK120" i="36"/>
  <c r="AK119" i="36"/>
  <c r="AK118" i="36"/>
  <c r="AK116" i="36"/>
  <c r="AK115" i="36"/>
  <c r="AK114" i="36"/>
  <c r="AK113" i="36"/>
  <c r="AK112" i="36"/>
  <c r="AK111" i="36"/>
  <c r="AK110" i="36"/>
  <c r="AK109" i="36"/>
  <c r="AK366" i="36"/>
  <c r="AK108" i="36"/>
  <c r="AK104" i="36"/>
  <c r="AK103" i="36"/>
  <c r="AK102" i="36"/>
  <c r="AK101" i="36"/>
  <c r="AK98" i="36"/>
  <c r="AK96" i="36"/>
  <c r="AK95" i="36"/>
  <c r="AK94" i="36"/>
  <c r="AK93" i="36"/>
  <c r="AK92" i="36"/>
  <c r="AK91" i="36"/>
  <c r="AK90" i="36"/>
  <c r="AK88" i="36"/>
  <c r="AK86" i="36"/>
  <c r="AK85" i="36"/>
  <c r="AK82" i="36"/>
  <c r="AK81" i="36"/>
  <c r="AK80" i="36"/>
  <c r="AK78" i="36"/>
  <c r="AK76" i="36"/>
  <c r="AK75" i="36"/>
  <c r="AK74" i="36"/>
  <c r="AK73" i="36"/>
  <c r="AK71" i="36"/>
  <c r="AK70" i="36"/>
  <c r="AK69" i="36"/>
  <c r="AK68" i="36"/>
  <c r="AK67" i="36"/>
  <c r="AK66" i="36"/>
  <c r="AK65" i="36"/>
  <c r="AK64" i="36"/>
  <c r="AK62" i="36"/>
  <c r="AK61" i="36"/>
  <c r="AK60" i="36"/>
  <c r="AK365" i="36"/>
  <c r="AK59" i="36"/>
  <c r="AK57" i="36"/>
  <c r="AK56" i="36"/>
  <c r="AK54" i="36"/>
  <c r="AK53" i="36"/>
  <c r="AK52" i="36"/>
  <c r="AK51" i="36"/>
  <c r="AK50" i="36"/>
  <c r="AK49" i="36"/>
  <c r="AK48" i="36"/>
  <c r="AK47" i="36"/>
  <c r="AK364" i="36"/>
  <c r="AK46" i="36"/>
  <c r="AK45" i="36"/>
  <c r="AK44" i="36"/>
  <c r="AK43" i="36"/>
  <c r="AK42" i="36"/>
  <c r="AK41" i="36"/>
  <c r="AK40" i="36"/>
  <c r="AK39" i="36"/>
  <c r="AK38" i="36"/>
  <c r="AK37" i="36"/>
  <c r="AK36" i="36"/>
  <c r="AK35" i="36"/>
  <c r="AK34" i="36"/>
  <c r="AK33" i="36"/>
  <c r="AK32" i="36"/>
  <c r="AK29" i="36"/>
  <c r="AK28" i="36"/>
  <c r="AK355" i="36"/>
  <c r="AK27" i="36"/>
  <c r="AK26" i="36"/>
  <c r="AK25" i="36"/>
  <c r="AK24" i="36"/>
  <c r="AK23" i="36"/>
  <c r="AK22" i="36"/>
  <c r="AK21" i="36"/>
  <c r="AK19" i="36"/>
  <c r="AK17" i="36"/>
  <c r="AK16" i="36"/>
  <c r="AK15" i="36"/>
  <c r="AK14" i="36"/>
  <c r="AK13" i="36"/>
  <c r="AK12" i="36"/>
  <c r="AK11" i="36"/>
  <c r="AK10" i="36"/>
  <c r="AK9" i="36"/>
  <c r="AK8" i="36"/>
  <c r="AK7" i="36"/>
  <c r="AK5" i="36"/>
  <c r="AK4" i="36"/>
  <c r="AK3" i="36"/>
  <c r="AK2" i="36"/>
  <c r="AI347" i="36"/>
  <c r="AI346" i="36"/>
  <c r="AI345" i="36"/>
  <c r="AI344" i="36"/>
  <c r="AI343" i="36"/>
  <c r="AI342" i="36"/>
  <c r="AI341" i="36"/>
  <c r="AI340" i="36"/>
  <c r="AI339" i="36"/>
  <c r="AI338" i="36"/>
  <c r="AI337" i="36"/>
  <c r="AI336" i="36"/>
  <c r="AI335" i="36"/>
  <c r="AI334" i="36"/>
  <c r="AI333" i="36"/>
  <c r="AI332" i="36"/>
  <c r="AI331" i="36"/>
  <c r="AI330" i="36"/>
  <c r="AI329" i="36"/>
  <c r="AI328" i="36"/>
  <c r="AI327" i="36"/>
  <c r="AI326" i="36"/>
  <c r="AI325" i="36"/>
  <c r="AI324" i="36"/>
  <c r="AI323" i="36"/>
  <c r="AI322" i="36"/>
  <c r="AI321" i="36"/>
  <c r="AI320" i="36"/>
  <c r="AI319" i="36"/>
  <c r="AI318" i="36"/>
  <c r="AI317" i="36"/>
  <c r="AI316" i="36"/>
  <c r="AI315" i="36"/>
  <c r="AI314" i="36"/>
  <c r="AI313" i="36"/>
  <c r="AI312" i="36"/>
  <c r="AI311" i="36"/>
  <c r="AI310" i="36"/>
  <c r="AI309" i="36"/>
  <c r="AI308" i="36"/>
  <c r="AI307" i="36"/>
  <c r="AI306" i="36"/>
  <c r="AI305" i="36"/>
  <c r="AI304" i="36"/>
  <c r="AI303" i="36"/>
  <c r="AI302" i="36"/>
  <c r="AI301" i="36"/>
  <c r="AI300" i="36"/>
  <c r="AI299" i="36"/>
  <c r="AI298" i="36"/>
  <c r="AI297" i="36"/>
  <c r="AI296" i="36"/>
  <c r="AI295" i="36"/>
  <c r="AI294" i="36"/>
  <c r="AI293" i="36"/>
  <c r="AI292" i="36"/>
  <c r="AI291" i="36"/>
  <c r="AI290" i="36"/>
  <c r="AI289" i="36"/>
  <c r="AI288" i="36"/>
  <c r="AI287" i="36"/>
  <c r="AI286" i="36"/>
  <c r="AI285" i="36"/>
  <c r="AI284" i="36"/>
  <c r="AI372" i="36"/>
  <c r="AI283" i="36"/>
  <c r="AI282" i="36"/>
  <c r="AI281" i="36"/>
  <c r="AI280" i="36"/>
  <c r="AI279" i="36"/>
  <c r="AI278" i="36"/>
  <c r="AI277" i="36"/>
  <c r="AI276" i="36"/>
  <c r="AI275" i="36"/>
  <c r="AI274" i="36"/>
  <c r="AI273" i="36"/>
  <c r="AI272" i="36"/>
  <c r="AI271" i="36"/>
  <c r="AI270" i="36"/>
  <c r="AI269" i="36"/>
  <c r="AI268" i="36"/>
  <c r="AI267" i="36"/>
  <c r="AI266" i="36"/>
  <c r="AI265" i="36"/>
  <c r="AI264" i="36"/>
  <c r="AI263" i="36"/>
  <c r="AI262" i="36"/>
  <c r="AI261" i="36"/>
  <c r="AI260" i="36"/>
  <c r="AI259" i="36"/>
  <c r="AI258" i="36"/>
  <c r="AI257" i="36"/>
  <c r="AI368" i="36"/>
  <c r="AI256" i="36"/>
  <c r="AI255" i="36"/>
  <c r="AI254" i="36"/>
  <c r="AI253" i="36"/>
  <c r="AI252" i="36"/>
  <c r="AI251" i="36"/>
  <c r="AI250" i="36"/>
  <c r="AI249" i="36"/>
  <c r="AI248" i="36"/>
  <c r="AI247" i="36"/>
  <c r="AI246" i="36"/>
  <c r="AI245" i="36"/>
  <c r="AI244" i="36"/>
  <c r="AI243" i="36"/>
  <c r="AI242" i="36"/>
  <c r="AI241" i="36"/>
  <c r="AI240" i="36"/>
  <c r="AI239" i="36"/>
  <c r="AI238" i="36"/>
  <c r="AI237" i="36"/>
  <c r="AI236" i="36"/>
  <c r="AI235" i="36"/>
  <c r="AI234" i="36"/>
  <c r="AI233" i="36"/>
  <c r="AI232" i="36"/>
  <c r="AI356" i="36"/>
  <c r="AI230" i="36"/>
  <c r="AI229" i="36"/>
  <c r="AI228" i="36"/>
  <c r="AI227" i="36"/>
  <c r="AI226" i="36"/>
  <c r="AI225" i="36"/>
  <c r="AI224" i="36"/>
  <c r="AI223" i="36"/>
  <c r="AI222" i="36"/>
  <c r="AI221" i="36"/>
  <c r="AI220" i="36"/>
  <c r="AI219" i="36"/>
  <c r="AI218" i="36"/>
  <c r="AI217" i="36"/>
  <c r="AI216" i="36"/>
  <c r="AI215" i="36"/>
  <c r="AI214" i="36"/>
  <c r="AI213" i="36"/>
  <c r="AI212" i="36"/>
  <c r="AI211" i="36"/>
  <c r="AI210" i="36"/>
  <c r="AI209" i="36"/>
  <c r="AI208" i="36"/>
  <c r="AI207" i="36"/>
  <c r="AI206" i="36"/>
  <c r="AI205" i="36"/>
  <c r="AI204" i="36"/>
  <c r="AI203" i="36"/>
  <c r="AI202" i="36"/>
  <c r="AI201" i="36"/>
  <c r="AI200" i="36"/>
  <c r="AI199" i="36"/>
  <c r="AI198" i="36"/>
  <c r="AI197" i="36"/>
  <c r="AI196" i="36"/>
  <c r="AI195" i="36"/>
  <c r="AI194" i="36"/>
  <c r="AI193" i="36"/>
  <c r="AI192" i="36"/>
  <c r="AI191" i="36"/>
  <c r="AI190" i="36"/>
  <c r="AI189" i="36"/>
  <c r="AI367" i="36"/>
  <c r="AI188" i="36"/>
  <c r="AI187" i="36"/>
  <c r="AI186" i="36"/>
  <c r="AI185" i="36"/>
  <c r="AI184" i="36"/>
  <c r="AI183" i="36"/>
  <c r="AI182" i="36"/>
  <c r="AI181" i="36"/>
  <c r="AI180" i="36"/>
  <c r="AI179" i="36"/>
  <c r="AI177" i="36"/>
  <c r="AI176" i="36"/>
  <c r="AI175" i="36"/>
  <c r="AI361" i="36"/>
  <c r="AI174" i="36"/>
  <c r="AI173" i="36"/>
  <c r="AI172" i="36"/>
  <c r="AI171" i="36"/>
  <c r="AI170" i="36"/>
  <c r="AI169" i="36"/>
  <c r="AI168" i="36"/>
  <c r="AI167" i="36"/>
  <c r="AI166" i="36"/>
  <c r="AI165" i="36"/>
  <c r="AI164" i="36"/>
  <c r="AI163" i="36"/>
  <c r="AI162" i="36"/>
  <c r="AI161" i="36"/>
  <c r="AI352" i="36"/>
  <c r="AI160" i="36"/>
  <c r="AI159" i="36"/>
  <c r="AI371" i="36"/>
  <c r="AI157" i="36"/>
  <c r="AI156" i="36"/>
  <c r="AI155" i="36"/>
  <c r="AI154" i="36"/>
  <c r="AI153" i="36"/>
  <c r="AI152" i="36"/>
  <c r="AI151" i="36"/>
  <c r="AI150" i="36"/>
  <c r="AI149" i="36"/>
  <c r="AI148" i="36"/>
  <c r="AI147" i="36"/>
  <c r="AI146" i="36"/>
  <c r="AI145" i="36"/>
  <c r="AI144" i="36"/>
  <c r="AI143" i="36"/>
  <c r="AI142" i="36"/>
  <c r="AI141" i="36"/>
  <c r="AI140" i="36"/>
  <c r="AI139" i="36"/>
  <c r="AI138" i="36"/>
  <c r="AI137" i="36"/>
  <c r="AI136" i="36"/>
  <c r="AI135" i="36"/>
  <c r="AI134" i="36"/>
  <c r="AI133" i="36"/>
  <c r="AI132" i="36"/>
  <c r="AI131" i="36"/>
  <c r="AI130" i="36"/>
  <c r="AI129" i="36"/>
  <c r="AI128" i="36"/>
  <c r="AI127" i="36"/>
  <c r="AI126" i="36"/>
  <c r="AI125" i="36"/>
  <c r="AI351" i="36"/>
  <c r="AI124" i="36"/>
  <c r="AI123" i="36"/>
  <c r="AI122" i="36"/>
  <c r="AI121" i="36"/>
  <c r="AI120" i="36"/>
  <c r="AI119" i="36"/>
  <c r="AI118" i="36"/>
  <c r="AI117" i="36"/>
  <c r="AI116" i="36"/>
  <c r="AI115" i="36"/>
  <c r="AI114" i="36"/>
  <c r="AI113" i="36"/>
  <c r="AI112" i="36"/>
  <c r="AI111" i="36"/>
  <c r="AI110" i="36"/>
  <c r="AI109" i="36"/>
  <c r="AI366" i="36"/>
  <c r="AI108" i="36"/>
  <c r="AI107" i="36"/>
  <c r="AI106" i="36"/>
  <c r="AI105" i="36"/>
  <c r="AI104" i="36"/>
  <c r="AI103" i="36"/>
  <c r="AI102" i="36"/>
  <c r="AI101" i="36"/>
  <c r="AI100" i="36"/>
  <c r="AI99" i="36"/>
  <c r="AI98" i="36"/>
  <c r="AI97" i="36"/>
  <c r="AI96" i="36"/>
  <c r="AI95" i="36"/>
  <c r="AI94" i="36"/>
  <c r="AI93" i="36"/>
  <c r="AI92" i="36"/>
  <c r="AI91" i="36"/>
  <c r="AI90" i="36"/>
  <c r="AI89" i="36"/>
  <c r="AI88" i="36"/>
  <c r="AI86" i="36"/>
  <c r="AI85" i="36"/>
  <c r="AI84" i="36"/>
  <c r="AI83" i="36"/>
  <c r="AI82" i="36"/>
  <c r="AI81" i="36"/>
  <c r="AI80" i="36"/>
  <c r="AI79" i="36"/>
  <c r="AI78" i="36"/>
  <c r="AI77" i="36"/>
  <c r="AI76" i="36"/>
  <c r="AI75" i="36"/>
  <c r="AI74" i="36"/>
  <c r="AI73" i="36"/>
  <c r="AI71" i="36"/>
  <c r="AI70" i="36"/>
  <c r="AI69" i="36"/>
  <c r="AI68" i="36"/>
  <c r="AI360" i="36"/>
  <c r="AI67" i="36"/>
  <c r="AI66" i="36"/>
  <c r="AI65" i="36"/>
  <c r="AI64" i="36"/>
  <c r="AI63" i="36"/>
  <c r="AI62" i="36"/>
  <c r="AI61" i="36"/>
  <c r="AI60" i="36"/>
  <c r="AI365" i="36"/>
  <c r="AI59" i="36"/>
  <c r="AI58" i="36"/>
  <c r="AI57" i="36"/>
  <c r="AI56" i="36"/>
  <c r="AI55" i="36"/>
  <c r="AI54" i="36"/>
  <c r="AI53" i="36"/>
  <c r="AI52" i="36"/>
  <c r="AI51" i="36"/>
  <c r="AI50" i="36"/>
  <c r="AI49" i="36"/>
  <c r="AI48" i="36"/>
  <c r="AI47" i="36"/>
  <c r="AI364" i="36"/>
  <c r="AI46" i="36"/>
  <c r="AI45" i="36"/>
  <c r="AI44" i="36"/>
  <c r="AI43" i="36"/>
  <c r="AI42" i="36"/>
  <c r="AI41" i="36"/>
  <c r="AI40" i="36"/>
  <c r="AI39" i="36"/>
  <c r="AI38" i="36"/>
  <c r="AI37" i="36"/>
  <c r="AI36" i="36"/>
  <c r="AI35" i="36"/>
  <c r="AI34" i="36"/>
  <c r="AI33" i="36"/>
  <c r="AI32" i="36"/>
  <c r="AI31" i="36"/>
  <c r="AI30" i="36"/>
  <c r="AI29" i="36"/>
  <c r="AI28" i="36"/>
  <c r="AI355" i="36"/>
  <c r="AI27" i="36"/>
  <c r="AI26" i="36"/>
  <c r="AI25" i="36"/>
  <c r="AI24" i="36"/>
  <c r="AI23" i="36"/>
  <c r="AI22" i="36"/>
  <c r="AI21" i="36"/>
  <c r="AI20" i="36"/>
  <c r="AI19" i="36"/>
  <c r="AI359" i="36"/>
  <c r="AI17" i="36"/>
  <c r="AI16" i="36"/>
  <c r="AI15" i="36"/>
  <c r="AI14" i="36"/>
  <c r="AI13" i="36"/>
  <c r="AI12" i="36"/>
  <c r="AI11" i="36"/>
  <c r="AI10" i="36"/>
  <c r="AI9" i="36"/>
  <c r="AI8" i="36"/>
  <c r="AI7" i="36"/>
  <c r="AI6" i="36"/>
  <c r="AI5" i="36"/>
  <c r="AI4" i="36"/>
  <c r="AI3" i="36"/>
  <c r="AI2" i="36"/>
  <c r="AH347" i="36"/>
  <c r="AH346" i="36"/>
  <c r="AH345" i="36"/>
  <c r="AH344" i="36"/>
  <c r="AH343" i="36"/>
  <c r="AH342" i="36"/>
  <c r="AH341" i="36"/>
  <c r="AH340" i="36"/>
  <c r="AH339" i="36"/>
  <c r="AH338" i="36"/>
  <c r="AH337" i="36"/>
  <c r="AH336" i="36"/>
  <c r="AH335" i="36"/>
  <c r="AH334" i="36"/>
  <c r="AH333" i="36"/>
  <c r="AH332" i="36"/>
  <c r="AH331" i="36"/>
  <c r="AH330" i="36"/>
  <c r="AH329" i="36"/>
  <c r="AH328" i="36"/>
  <c r="AH327" i="36"/>
  <c r="AH326" i="36"/>
  <c r="AH325" i="36"/>
  <c r="AH324" i="36"/>
  <c r="AH323" i="36"/>
  <c r="AH322" i="36"/>
  <c r="AH321" i="36"/>
  <c r="AH320" i="36"/>
  <c r="AH319" i="36"/>
  <c r="AH318" i="36"/>
  <c r="AH317" i="36"/>
  <c r="AH316" i="36"/>
  <c r="AH315" i="36"/>
  <c r="AH314" i="36"/>
  <c r="AH313" i="36"/>
  <c r="AH312" i="36"/>
  <c r="AH311" i="36"/>
  <c r="AH310" i="36"/>
  <c r="AH309" i="36"/>
  <c r="AH308" i="36"/>
  <c r="AH307" i="36"/>
  <c r="AH306" i="36"/>
  <c r="AH305" i="36"/>
  <c r="AH304" i="36"/>
  <c r="AH303" i="36"/>
  <c r="AH302" i="36"/>
  <c r="AH301" i="36"/>
  <c r="AH300" i="36"/>
  <c r="AH299" i="36"/>
  <c r="AH298" i="36"/>
  <c r="AH297" i="36"/>
  <c r="AH296" i="36"/>
  <c r="AH295" i="36"/>
  <c r="AH294" i="36"/>
  <c r="AH293" i="36"/>
  <c r="AH292" i="36"/>
  <c r="AH291" i="36"/>
  <c r="AH290" i="36"/>
  <c r="AH289" i="36"/>
  <c r="AH288" i="36"/>
  <c r="AH287" i="36"/>
  <c r="AH286" i="36"/>
  <c r="AH285" i="36"/>
  <c r="AH284" i="36"/>
  <c r="AH372" i="36"/>
  <c r="AH283" i="36"/>
  <c r="AH282" i="36"/>
  <c r="AH281" i="36"/>
  <c r="AH280" i="36"/>
  <c r="AH279" i="36"/>
  <c r="AH278" i="36"/>
  <c r="AH277" i="36"/>
  <c r="AH276" i="36"/>
  <c r="AH275" i="36"/>
  <c r="AH274" i="36"/>
  <c r="AH273" i="36"/>
  <c r="AH272" i="36"/>
  <c r="AH271" i="36"/>
  <c r="AH270" i="36"/>
  <c r="AH269" i="36"/>
  <c r="AH268" i="36"/>
  <c r="AH267" i="36"/>
  <c r="AH266" i="36"/>
  <c r="AH265" i="36"/>
  <c r="AH264" i="36"/>
  <c r="AH263" i="36"/>
  <c r="AH262" i="36"/>
  <c r="AH261" i="36"/>
  <c r="AH260" i="36"/>
  <c r="AH259" i="36"/>
  <c r="AH258" i="36"/>
  <c r="AH257" i="36"/>
  <c r="AH368" i="36"/>
  <c r="AH256" i="36"/>
  <c r="AH255" i="36"/>
  <c r="AH254" i="36"/>
  <c r="AH253" i="36"/>
  <c r="AH252" i="36"/>
  <c r="AH251" i="36"/>
  <c r="AH250" i="36"/>
  <c r="AH249" i="36"/>
  <c r="AH248" i="36"/>
  <c r="AH247" i="36"/>
  <c r="AH246" i="36"/>
  <c r="AH245" i="36"/>
  <c r="AH244" i="36"/>
  <c r="AH243" i="36"/>
  <c r="AH242" i="36"/>
  <c r="AH241" i="36"/>
  <c r="AH240" i="36"/>
  <c r="AH239" i="36"/>
  <c r="AH238" i="36"/>
  <c r="AH237" i="36"/>
  <c r="AH236" i="36"/>
  <c r="AH235" i="36"/>
  <c r="AH234" i="36"/>
  <c r="AH233" i="36"/>
  <c r="AH232" i="36"/>
  <c r="AH356" i="36"/>
  <c r="AH230" i="36"/>
  <c r="AH229" i="36"/>
  <c r="AH228" i="36"/>
  <c r="AH227" i="36"/>
  <c r="AH226" i="36"/>
  <c r="AH225" i="36"/>
  <c r="AH224" i="36"/>
  <c r="AH223" i="36"/>
  <c r="AH222" i="36"/>
  <c r="AH221" i="36"/>
  <c r="AH220" i="36"/>
  <c r="AH219" i="36"/>
  <c r="AH218" i="36"/>
  <c r="AH217" i="36"/>
  <c r="AH216" i="36"/>
  <c r="AH215" i="36"/>
  <c r="AH214" i="36"/>
  <c r="AH213" i="36"/>
  <c r="AH212" i="36"/>
  <c r="AH211" i="36"/>
  <c r="AH210" i="36"/>
  <c r="AH209" i="36"/>
  <c r="AH208" i="36"/>
  <c r="AH207" i="36"/>
  <c r="AH206" i="36"/>
  <c r="AH205" i="36"/>
  <c r="AH204" i="36"/>
  <c r="AH203" i="36"/>
  <c r="AH202" i="36"/>
  <c r="AH201" i="36"/>
  <c r="AH200" i="36"/>
  <c r="AH199" i="36"/>
  <c r="AH198" i="36"/>
  <c r="AH197" i="36"/>
  <c r="AH196" i="36"/>
  <c r="AH195" i="36"/>
  <c r="AH194" i="36"/>
  <c r="AH193" i="36"/>
  <c r="AH192" i="36"/>
  <c r="AH191" i="36"/>
  <c r="AH190" i="36"/>
  <c r="AH189" i="36"/>
  <c r="AH367" i="36"/>
  <c r="AH188" i="36"/>
  <c r="AH187" i="36"/>
  <c r="AH186" i="36"/>
  <c r="AH185" i="36"/>
  <c r="AH184" i="36"/>
  <c r="AH183" i="36"/>
  <c r="AH182" i="36"/>
  <c r="AH181" i="36"/>
  <c r="AH180" i="36"/>
  <c r="AH179" i="36"/>
  <c r="AH177" i="36"/>
  <c r="AH176" i="36"/>
  <c r="AH175" i="36"/>
  <c r="AH361" i="36"/>
  <c r="AH174" i="36"/>
  <c r="AH173" i="36"/>
  <c r="AH172" i="36"/>
  <c r="AH171" i="36"/>
  <c r="AH170" i="36"/>
  <c r="AH169" i="36"/>
  <c r="AH168" i="36"/>
  <c r="AH167" i="36"/>
  <c r="AH166" i="36"/>
  <c r="AH165" i="36"/>
  <c r="AH164" i="36"/>
  <c r="AH163" i="36"/>
  <c r="AH162" i="36"/>
  <c r="AH161" i="36"/>
  <c r="AH352" i="36"/>
  <c r="AH160" i="36"/>
  <c r="AH159" i="36"/>
  <c r="AH371" i="36"/>
  <c r="AH157" i="36"/>
  <c r="AH156" i="36"/>
  <c r="AH155" i="36"/>
  <c r="AH154" i="36"/>
  <c r="AH153" i="36"/>
  <c r="AH152" i="36"/>
  <c r="AH151" i="36"/>
  <c r="AH150" i="36"/>
  <c r="AH149" i="36"/>
  <c r="AH148" i="36"/>
  <c r="AH147" i="36"/>
  <c r="AH146" i="36"/>
  <c r="AH145" i="36"/>
  <c r="AH144" i="36"/>
  <c r="AH143" i="36"/>
  <c r="AH142" i="36"/>
  <c r="AH141" i="36"/>
  <c r="AH140" i="36"/>
  <c r="AH139" i="36"/>
  <c r="AH138" i="36"/>
  <c r="AH137" i="36"/>
  <c r="AH136" i="36"/>
  <c r="AH135" i="36"/>
  <c r="AH134" i="36"/>
  <c r="AH133" i="36"/>
  <c r="AH132" i="36"/>
  <c r="AH131" i="36"/>
  <c r="AH130" i="36"/>
  <c r="AH129" i="36"/>
  <c r="AH128" i="36"/>
  <c r="AH127" i="36"/>
  <c r="AH126" i="36"/>
  <c r="AH125" i="36"/>
  <c r="AH351" i="36"/>
  <c r="AH124" i="36"/>
  <c r="AH123" i="36"/>
  <c r="AH122" i="36"/>
  <c r="AH121" i="36"/>
  <c r="AH120" i="36"/>
  <c r="AH119" i="36"/>
  <c r="AH118" i="36"/>
  <c r="AH117" i="36"/>
  <c r="AH116" i="36"/>
  <c r="AH115" i="36"/>
  <c r="AH114" i="36"/>
  <c r="AH113" i="36"/>
  <c r="AH112" i="36"/>
  <c r="AH111" i="36"/>
  <c r="AH110" i="36"/>
  <c r="AH109" i="36"/>
  <c r="AH366" i="36"/>
  <c r="AH108" i="36"/>
  <c r="AH107" i="36"/>
  <c r="AH106" i="36"/>
  <c r="AH105" i="36"/>
  <c r="AH104" i="36"/>
  <c r="AH103" i="36"/>
  <c r="AH102" i="36"/>
  <c r="AH101" i="36"/>
  <c r="AH100" i="36"/>
  <c r="AH99" i="36"/>
  <c r="AH98" i="36"/>
  <c r="AH97" i="36"/>
  <c r="AH96" i="36"/>
  <c r="AH95" i="36"/>
  <c r="AH94" i="36"/>
  <c r="AH93" i="36"/>
  <c r="AH92" i="36"/>
  <c r="AH91" i="36"/>
  <c r="AH90" i="36"/>
  <c r="AH89" i="36"/>
  <c r="AH88" i="36"/>
  <c r="AH86" i="36"/>
  <c r="AH85" i="36"/>
  <c r="AH84" i="36"/>
  <c r="AH83" i="36"/>
  <c r="AH82" i="36"/>
  <c r="AH81" i="36"/>
  <c r="AH80" i="36"/>
  <c r="AH79" i="36"/>
  <c r="AH78" i="36"/>
  <c r="AH77" i="36"/>
  <c r="AH76" i="36"/>
  <c r="AH75" i="36"/>
  <c r="AH74" i="36"/>
  <c r="AH73" i="36"/>
  <c r="AH71" i="36"/>
  <c r="AH70" i="36"/>
  <c r="AH69" i="36"/>
  <c r="AH68" i="36"/>
  <c r="AH360" i="36"/>
  <c r="AH67" i="36"/>
  <c r="AH66" i="36"/>
  <c r="AH65" i="36"/>
  <c r="AH64" i="36"/>
  <c r="AH63" i="36"/>
  <c r="AH62" i="36"/>
  <c r="AH61" i="36"/>
  <c r="AH60" i="36"/>
  <c r="AH365" i="36"/>
  <c r="AH59" i="36"/>
  <c r="AH58" i="36"/>
  <c r="AH57" i="36"/>
  <c r="AH56" i="36"/>
  <c r="AH55" i="36"/>
  <c r="AH54" i="36"/>
  <c r="AH53" i="36"/>
  <c r="AH52" i="36"/>
  <c r="AH51" i="36"/>
  <c r="AH50" i="36"/>
  <c r="AH49" i="36"/>
  <c r="AH48" i="36"/>
  <c r="AH47" i="36"/>
  <c r="AH364" i="36"/>
  <c r="AH46" i="36"/>
  <c r="AH45" i="36"/>
  <c r="AH44" i="36"/>
  <c r="AH43" i="36"/>
  <c r="AH42" i="36"/>
  <c r="AH41" i="36"/>
  <c r="AH40" i="36"/>
  <c r="AH39" i="36"/>
  <c r="AH38" i="36"/>
  <c r="AH37" i="36"/>
  <c r="AH36" i="36"/>
  <c r="AH35" i="36"/>
  <c r="AH34" i="36"/>
  <c r="AH33" i="36"/>
  <c r="AH32" i="36"/>
  <c r="AH31" i="36"/>
  <c r="AH30" i="36"/>
  <c r="AH29" i="36"/>
  <c r="AH28" i="36"/>
  <c r="AH355" i="36"/>
  <c r="AH27" i="36"/>
  <c r="AH26" i="36"/>
  <c r="AH25" i="36"/>
  <c r="AH24" i="36"/>
  <c r="AH23" i="36"/>
  <c r="AH22" i="36"/>
  <c r="AH21" i="36"/>
  <c r="AH20" i="36"/>
  <c r="AH19" i="36"/>
  <c r="AH359" i="36"/>
  <c r="AH17" i="36"/>
  <c r="AH16" i="36"/>
  <c r="AH15" i="36"/>
  <c r="AH14" i="36"/>
  <c r="AH13" i="36"/>
  <c r="AH12" i="36"/>
  <c r="AH11" i="36"/>
  <c r="AH10" i="36"/>
  <c r="AH9" i="36"/>
  <c r="AH8" i="36"/>
  <c r="AH7" i="36"/>
  <c r="AH6" i="36"/>
  <c r="AH5" i="36"/>
  <c r="AH4" i="36"/>
  <c r="AH3" i="36"/>
  <c r="AH2" i="36"/>
  <c r="AG347" i="36"/>
  <c r="AG344" i="36"/>
  <c r="AG343" i="36"/>
  <c r="AG342" i="36"/>
  <c r="AG341" i="36"/>
  <c r="AG340" i="36"/>
  <c r="AG338" i="36"/>
  <c r="AG337" i="36"/>
  <c r="AG336" i="36"/>
  <c r="AG334" i="36"/>
  <c r="AG333" i="36"/>
  <c r="AG332" i="36"/>
  <c r="AG331" i="36"/>
  <c r="AG330" i="36"/>
  <c r="AG328" i="36"/>
  <c r="AG327" i="36"/>
  <c r="AG326" i="36"/>
  <c r="AG325" i="36"/>
  <c r="AG324" i="36"/>
  <c r="AG323" i="36"/>
  <c r="AG322" i="36"/>
  <c r="AG321" i="36"/>
  <c r="AG319" i="36"/>
  <c r="AG316" i="36"/>
  <c r="AG315" i="36"/>
  <c r="AG313" i="36"/>
  <c r="AG310" i="36"/>
  <c r="AG309" i="36"/>
  <c r="AG308" i="36"/>
  <c r="AG306" i="36"/>
  <c r="AG305" i="36"/>
  <c r="AG303" i="36"/>
  <c r="AG301" i="36"/>
  <c r="AG300" i="36"/>
  <c r="AG298" i="36"/>
  <c r="AG297" i="36"/>
  <c r="AG295" i="36"/>
  <c r="AG293" i="36"/>
  <c r="AG292" i="36"/>
  <c r="AG291" i="36"/>
  <c r="AG290" i="36"/>
  <c r="AG289" i="36"/>
  <c r="AG288" i="36"/>
  <c r="AG287" i="36"/>
  <c r="AG285" i="36"/>
  <c r="AG284" i="36"/>
  <c r="AG372" i="36"/>
  <c r="AG283" i="36"/>
  <c r="AG282" i="36"/>
  <c r="AG281" i="36"/>
  <c r="AG280" i="36"/>
  <c r="AG279" i="36"/>
  <c r="AG278" i="36"/>
  <c r="AG277" i="36"/>
  <c r="AG276" i="36"/>
  <c r="AG275" i="36"/>
  <c r="AG274" i="36"/>
  <c r="AG273" i="36"/>
  <c r="AG272" i="36"/>
  <c r="AG271" i="36"/>
  <c r="AG270" i="36"/>
  <c r="AG269" i="36"/>
  <c r="AG268" i="36"/>
  <c r="AG267" i="36"/>
  <c r="AG266" i="36"/>
  <c r="AG265" i="36"/>
  <c r="AG264" i="36"/>
  <c r="AG263" i="36"/>
  <c r="AG262" i="36"/>
  <c r="AG261" i="36"/>
  <c r="AG260" i="36"/>
  <c r="AG259" i="36"/>
  <c r="AG258" i="36"/>
  <c r="AG257" i="36"/>
  <c r="AG368" i="36"/>
  <c r="AG256" i="36"/>
  <c r="AG255" i="36"/>
  <c r="AG254" i="36"/>
  <c r="AG253" i="36"/>
  <c r="AG252" i="36"/>
  <c r="AG251" i="36"/>
  <c r="AG250" i="36"/>
  <c r="AG249" i="36"/>
  <c r="AG248" i="36"/>
  <c r="AG246" i="36"/>
  <c r="AG243" i="36"/>
  <c r="AG242" i="36"/>
  <c r="AG241" i="36"/>
  <c r="AG240" i="36"/>
  <c r="AG239" i="36"/>
  <c r="AG238" i="36"/>
  <c r="AG237" i="36"/>
  <c r="AG236" i="36"/>
  <c r="AG235" i="36"/>
  <c r="AG234" i="36"/>
  <c r="AG233" i="36"/>
  <c r="AG232" i="36"/>
  <c r="AG230" i="36"/>
  <c r="AG229" i="36"/>
  <c r="AG228" i="36"/>
  <c r="AG227" i="36"/>
  <c r="AG226" i="36"/>
  <c r="AG225" i="36"/>
  <c r="AG224" i="36"/>
  <c r="AG222" i="36"/>
  <c r="AG221" i="36"/>
  <c r="AG220" i="36"/>
  <c r="AG219" i="36"/>
  <c r="AG217" i="36"/>
  <c r="AG215" i="36"/>
  <c r="AG214" i="36"/>
  <c r="AG212" i="36"/>
  <c r="AG211" i="36"/>
  <c r="AG210" i="36"/>
  <c r="AG209" i="36"/>
  <c r="AG207" i="36"/>
  <c r="AG205" i="36"/>
  <c r="AG204" i="36"/>
  <c r="AG203" i="36"/>
  <c r="AG202" i="36"/>
  <c r="AG201" i="36"/>
  <c r="AG200" i="36"/>
  <c r="AG199" i="36"/>
  <c r="AG198" i="36"/>
  <c r="AG197" i="36"/>
  <c r="AG196" i="36"/>
  <c r="AG193" i="36"/>
  <c r="AG192" i="36"/>
  <c r="AG191" i="36"/>
  <c r="AG190" i="36"/>
  <c r="AG189" i="36"/>
  <c r="AG367" i="36"/>
  <c r="AG188" i="36"/>
  <c r="AG187" i="36"/>
  <c r="AG186" i="36"/>
  <c r="AG184" i="36"/>
  <c r="AG183" i="36"/>
  <c r="AG182" i="36"/>
  <c r="AG181" i="36"/>
  <c r="AG180" i="36"/>
  <c r="AG176" i="36"/>
  <c r="AG175" i="36"/>
  <c r="AG361" i="36"/>
  <c r="AG174" i="36"/>
  <c r="AG172" i="36"/>
  <c r="AG171" i="36"/>
  <c r="AG169" i="36"/>
  <c r="AG168" i="36"/>
  <c r="AG167" i="36"/>
  <c r="AG166" i="36"/>
  <c r="AG165" i="36"/>
  <c r="AG164" i="36"/>
  <c r="AG163" i="36"/>
  <c r="AG162" i="36"/>
  <c r="AG161" i="36"/>
  <c r="AG352" i="36"/>
  <c r="AG160" i="36"/>
  <c r="AG159" i="36"/>
  <c r="AG371" i="36"/>
  <c r="AG157" i="36"/>
  <c r="AG156" i="36"/>
  <c r="AG154" i="36"/>
  <c r="AG153" i="36"/>
  <c r="AG152" i="36"/>
  <c r="AG151" i="36"/>
  <c r="AG150" i="36"/>
  <c r="AG149" i="36"/>
  <c r="AG148" i="36"/>
  <c r="AG147" i="36"/>
  <c r="AG146" i="36"/>
  <c r="AG145" i="36"/>
  <c r="AG144" i="36"/>
  <c r="AG143" i="36"/>
  <c r="AG142" i="36"/>
  <c r="AG141" i="36"/>
  <c r="AG140" i="36"/>
  <c r="AG139" i="36"/>
  <c r="AG138" i="36"/>
  <c r="AG137" i="36"/>
  <c r="AG136" i="36"/>
  <c r="AG135" i="36"/>
  <c r="AG134" i="36"/>
  <c r="AG133" i="36"/>
  <c r="AG132" i="36"/>
  <c r="AG131" i="36"/>
  <c r="AG130" i="36"/>
  <c r="AG129" i="36"/>
  <c r="AG128" i="36"/>
  <c r="AG127" i="36"/>
  <c r="AG125" i="36"/>
  <c r="AG351" i="36"/>
  <c r="AG123" i="36"/>
  <c r="AG121" i="36"/>
  <c r="AG120" i="36"/>
  <c r="AG119" i="36"/>
  <c r="AG118" i="36"/>
  <c r="AG116" i="36"/>
  <c r="AG115" i="36"/>
  <c r="AG114" i="36"/>
  <c r="AG113" i="36"/>
  <c r="AG112" i="36"/>
  <c r="AG111" i="36"/>
  <c r="AG110" i="36"/>
  <c r="AG109" i="36"/>
  <c r="AG366" i="36"/>
  <c r="AG108" i="36"/>
  <c r="AG104" i="36"/>
  <c r="AG103" i="36"/>
  <c r="AG102" i="36"/>
  <c r="AG101" i="36"/>
  <c r="AG98" i="36"/>
  <c r="AG96" i="36"/>
  <c r="AG95" i="36"/>
  <c r="AG94" i="36"/>
  <c r="AG93" i="36"/>
  <c r="AG92" i="36"/>
  <c r="AG91" i="36"/>
  <c r="AG90" i="36"/>
  <c r="AG88" i="36"/>
  <c r="AG86" i="36"/>
  <c r="AG85" i="36"/>
  <c r="AG82" i="36"/>
  <c r="AG81" i="36"/>
  <c r="AG80" i="36"/>
  <c r="AG76" i="36"/>
  <c r="AG75" i="36"/>
  <c r="AG74" i="36"/>
  <c r="AG73" i="36"/>
  <c r="AG71" i="36"/>
  <c r="AG70" i="36"/>
  <c r="AG69" i="36"/>
  <c r="AG68" i="36"/>
  <c r="AG67" i="36"/>
  <c r="AG66" i="36"/>
  <c r="AG65" i="36"/>
  <c r="AG64" i="36"/>
  <c r="AG62" i="36"/>
  <c r="AG61" i="36"/>
  <c r="AG60" i="36"/>
  <c r="AG365" i="36"/>
  <c r="AG59" i="36"/>
  <c r="AG57" i="36"/>
  <c r="AG56" i="36"/>
  <c r="AG54" i="36"/>
  <c r="AG53" i="36"/>
  <c r="AG52" i="36"/>
  <c r="AG51" i="36"/>
  <c r="AG50" i="36"/>
  <c r="AG49" i="36"/>
  <c r="AG48" i="36"/>
  <c r="AG47" i="36"/>
  <c r="AG364" i="36"/>
  <c r="AG46" i="36"/>
  <c r="AG45" i="36"/>
  <c r="AG44" i="36"/>
  <c r="AG43" i="36"/>
  <c r="AG42" i="36"/>
  <c r="AG41" i="36"/>
  <c r="AG40" i="36"/>
  <c r="AG39" i="36"/>
  <c r="AG38" i="36"/>
  <c r="AG37" i="36"/>
  <c r="AG36" i="36"/>
  <c r="AG35" i="36"/>
  <c r="AG34" i="36"/>
  <c r="AG33" i="36"/>
  <c r="AG32" i="36"/>
  <c r="AG29" i="36"/>
  <c r="AG28" i="36"/>
  <c r="AG355" i="36"/>
  <c r="AG27" i="36"/>
  <c r="AG26" i="36"/>
  <c r="AG25" i="36"/>
  <c r="AG24" i="36"/>
  <c r="AG23" i="36"/>
  <c r="AG22" i="36"/>
  <c r="AG21" i="36"/>
  <c r="AG19" i="36"/>
  <c r="AG17" i="36"/>
  <c r="AG16" i="36"/>
  <c r="AG15" i="36"/>
  <c r="AG14" i="36"/>
  <c r="AG13" i="36"/>
  <c r="AG12" i="36"/>
  <c r="AG11" i="36"/>
  <c r="AG10" i="36"/>
  <c r="AG9" i="36"/>
  <c r="AG8" i="36"/>
  <c r="AG7" i="36"/>
  <c r="AG5" i="36"/>
  <c r="AG4" i="36"/>
  <c r="AG3" i="36"/>
  <c r="AG2" i="36"/>
  <c r="AF347" i="36"/>
  <c r="AF344" i="36"/>
  <c r="AF343" i="36"/>
  <c r="AF342" i="36"/>
  <c r="AF341" i="36"/>
  <c r="AF340" i="36"/>
  <c r="AF338" i="36"/>
  <c r="AF337" i="36"/>
  <c r="AF336" i="36"/>
  <c r="AF335" i="36"/>
  <c r="AF334" i="36"/>
  <c r="AF333" i="36"/>
  <c r="AF332" i="36"/>
  <c r="AF331" i="36"/>
  <c r="AF330" i="36"/>
  <c r="AF329" i="36"/>
  <c r="AF328" i="36"/>
  <c r="AF327" i="36"/>
  <c r="AF326" i="36"/>
  <c r="AF325" i="36"/>
  <c r="AF324" i="36"/>
  <c r="AF323" i="36"/>
  <c r="AF322" i="36"/>
  <c r="AF321" i="36"/>
  <c r="AF320" i="36"/>
  <c r="AF319" i="36"/>
  <c r="AF316" i="36"/>
  <c r="AF315" i="36"/>
  <c r="AF313" i="36"/>
  <c r="AF310" i="36"/>
  <c r="AF309" i="36"/>
  <c r="AF308" i="36"/>
  <c r="AF306" i="36"/>
  <c r="AF305" i="36"/>
  <c r="AF303" i="36"/>
  <c r="AF301" i="36"/>
  <c r="AF300" i="36"/>
  <c r="AF299" i="36"/>
  <c r="AF298" i="36"/>
  <c r="AF297" i="36"/>
  <c r="AF295" i="36"/>
  <c r="AF293" i="36"/>
  <c r="AF292" i="36"/>
  <c r="AF291" i="36"/>
  <c r="AF290" i="36"/>
  <c r="AF289" i="36"/>
  <c r="AF288" i="36"/>
  <c r="AF287" i="36"/>
  <c r="AF285" i="36"/>
  <c r="AF284" i="36"/>
  <c r="AF372" i="36"/>
  <c r="AF283" i="36"/>
  <c r="AF282" i="36"/>
  <c r="AF281" i="36"/>
  <c r="AF280" i="36"/>
  <c r="AF279" i="36"/>
  <c r="AF278" i="36"/>
  <c r="AF277" i="36"/>
  <c r="AF276" i="36"/>
  <c r="AF275" i="36"/>
  <c r="AF274" i="36"/>
  <c r="AF273" i="36"/>
  <c r="AF272" i="36"/>
  <c r="AF271" i="36"/>
  <c r="AF270" i="36"/>
  <c r="AF269" i="36"/>
  <c r="AF268" i="36"/>
  <c r="AF267" i="36"/>
  <c r="AF266" i="36"/>
  <c r="AF265" i="36"/>
  <c r="AF264" i="36"/>
  <c r="AF263" i="36"/>
  <c r="AF262" i="36"/>
  <c r="AF261" i="36"/>
  <c r="AF260" i="36"/>
  <c r="AF259" i="36"/>
  <c r="AF258" i="36"/>
  <c r="AF257" i="36"/>
  <c r="AF368" i="36"/>
  <c r="AF256" i="36"/>
  <c r="AF255" i="36"/>
  <c r="AF254" i="36"/>
  <c r="AF253" i="36"/>
  <c r="AF252" i="36"/>
  <c r="AF251" i="36"/>
  <c r="AF250" i="36"/>
  <c r="AF249" i="36"/>
  <c r="AF248" i="36"/>
  <c r="AF247" i="36"/>
  <c r="AF246" i="36"/>
  <c r="AF244" i="36"/>
  <c r="AF243" i="36"/>
  <c r="AF242" i="36"/>
  <c r="AF241" i="36"/>
  <c r="AF240" i="36"/>
  <c r="AF239" i="36"/>
  <c r="AF238" i="36"/>
  <c r="AF237" i="36"/>
  <c r="AF235" i="36"/>
  <c r="AF234" i="36"/>
  <c r="AF233" i="36"/>
  <c r="AF232" i="36"/>
  <c r="AF230" i="36"/>
  <c r="AF229" i="36"/>
  <c r="AF228" i="36"/>
  <c r="AF227" i="36"/>
  <c r="AF226" i="36"/>
  <c r="AF225" i="36"/>
  <c r="AF224" i="36"/>
  <c r="AF222" i="36"/>
  <c r="AF221" i="36"/>
  <c r="AF220" i="36"/>
  <c r="AF219" i="36"/>
  <c r="AF218" i="36"/>
  <c r="AF217" i="36"/>
  <c r="AF215" i="36"/>
  <c r="AF214" i="36"/>
  <c r="AF212" i="36"/>
  <c r="AF211" i="36"/>
  <c r="AF210" i="36"/>
  <c r="AF209" i="36"/>
  <c r="AF207" i="36"/>
  <c r="AF205" i="36"/>
  <c r="AF204" i="36"/>
  <c r="AF203" i="36"/>
  <c r="AF202" i="36"/>
  <c r="AF201" i="36"/>
  <c r="AF200" i="36"/>
  <c r="AF199" i="36"/>
  <c r="AF198" i="36"/>
  <c r="AF197" i="36"/>
  <c r="AF196" i="36"/>
  <c r="AF195" i="36"/>
  <c r="AF193" i="36"/>
  <c r="AF192" i="36"/>
  <c r="AF191" i="36"/>
  <c r="AF190" i="36"/>
  <c r="AF189" i="36"/>
  <c r="AF367" i="36"/>
  <c r="AF188" i="36"/>
  <c r="AF187" i="36"/>
  <c r="AF186" i="36"/>
  <c r="AF184" i="36"/>
  <c r="AF183" i="36"/>
  <c r="AF182" i="36"/>
  <c r="AF181" i="36"/>
  <c r="AF180" i="36"/>
  <c r="AF176" i="36"/>
  <c r="AF175" i="36"/>
  <c r="AF361" i="36"/>
  <c r="AF174" i="36"/>
  <c r="AF172" i="36"/>
  <c r="AF171" i="36"/>
  <c r="AF169" i="36"/>
  <c r="AF168" i="36"/>
  <c r="AF167" i="36"/>
  <c r="AF166" i="36"/>
  <c r="AF165" i="36"/>
  <c r="AF164" i="36"/>
  <c r="AF163" i="36"/>
  <c r="AF162" i="36"/>
  <c r="AF161" i="36"/>
  <c r="AF352" i="36"/>
  <c r="AF160" i="36"/>
  <c r="AF159" i="36"/>
  <c r="AF371" i="36"/>
  <c r="AF157" i="36"/>
  <c r="AF156" i="36"/>
  <c r="AF154" i="36"/>
  <c r="AF153" i="36"/>
  <c r="AF152" i="36"/>
  <c r="AF151" i="36"/>
  <c r="AF150" i="36"/>
  <c r="AF149" i="36"/>
  <c r="AF148" i="36"/>
  <c r="AF147" i="36"/>
  <c r="AF146" i="36"/>
  <c r="AF145" i="36"/>
  <c r="AF144" i="36"/>
  <c r="AF143" i="36"/>
  <c r="AF142" i="36"/>
  <c r="AF141" i="36"/>
  <c r="AF140" i="36"/>
  <c r="AF139" i="36"/>
  <c r="AF138" i="36"/>
  <c r="AF137" i="36"/>
  <c r="AF136" i="36"/>
  <c r="AF135" i="36"/>
  <c r="AF134" i="36"/>
  <c r="AF133" i="36"/>
  <c r="AF132" i="36"/>
  <c r="AF131" i="36"/>
  <c r="AF130" i="36"/>
  <c r="AF129" i="36"/>
  <c r="AF128" i="36"/>
  <c r="AF127" i="36"/>
  <c r="AF125" i="36"/>
  <c r="AF351" i="36"/>
  <c r="AF123" i="36"/>
  <c r="AF121" i="36"/>
  <c r="AF120" i="36"/>
  <c r="AF119" i="36"/>
  <c r="AF118" i="36"/>
  <c r="AF117" i="36"/>
  <c r="AF116" i="36"/>
  <c r="AF115" i="36"/>
  <c r="AF114" i="36"/>
  <c r="AF113" i="36"/>
  <c r="AF112" i="36"/>
  <c r="AF111" i="36"/>
  <c r="AF110" i="36"/>
  <c r="AF109" i="36"/>
  <c r="AF366" i="36"/>
  <c r="AF108" i="36"/>
  <c r="AF104" i="36"/>
  <c r="AF103" i="36"/>
  <c r="AF102" i="36"/>
  <c r="AF101" i="36"/>
  <c r="AF100" i="36"/>
  <c r="AF98" i="36"/>
  <c r="AF96" i="36"/>
  <c r="AF95" i="36"/>
  <c r="AF94" i="36"/>
  <c r="AF93" i="36"/>
  <c r="AF92" i="36"/>
  <c r="AF91" i="36"/>
  <c r="AF90" i="36"/>
  <c r="AF88" i="36"/>
  <c r="AF86" i="36"/>
  <c r="AF85" i="36"/>
  <c r="AF83" i="36"/>
  <c r="AF82" i="36"/>
  <c r="AF81" i="36"/>
  <c r="AF80" i="36"/>
  <c r="AF76" i="36"/>
  <c r="AF75" i="36"/>
  <c r="AF74" i="36"/>
  <c r="AF73" i="36"/>
  <c r="AF71" i="36"/>
  <c r="AF70" i="36"/>
  <c r="AF69" i="36"/>
  <c r="AF68" i="36"/>
  <c r="AF67" i="36"/>
  <c r="AF66" i="36"/>
  <c r="AF65" i="36"/>
  <c r="AF64" i="36"/>
  <c r="AF62" i="36"/>
  <c r="AF61" i="36"/>
  <c r="AF60" i="36"/>
  <c r="AF365" i="36"/>
  <c r="AF59" i="36"/>
  <c r="AF57" i="36"/>
  <c r="AF56" i="36"/>
  <c r="AF54" i="36"/>
  <c r="AF53" i="36"/>
  <c r="AF52" i="36"/>
  <c r="AF51" i="36"/>
  <c r="AF50" i="36"/>
  <c r="AF49" i="36"/>
  <c r="AF48" i="36"/>
  <c r="AF47" i="36"/>
  <c r="AF364" i="36"/>
  <c r="AF46" i="36"/>
  <c r="AF45" i="36"/>
  <c r="AF44" i="36"/>
  <c r="AF43" i="36"/>
  <c r="AF42" i="36"/>
  <c r="AF41" i="36"/>
  <c r="AF40" i="36"/>
  <c r="AF39" i="36"/>
  <c r="AF38" i="36"/>
  <c r="AF37" i="36"/>
  <c r="AF36" i="36"/>
  <c r="AF35" i="36"/>
  <c r="AF34" i="36"/>
  <c r="AF33" i="36"/>
  <c r="AF32" i="36"/>
  <c r="AF30" i="36"/>
  <c r="AF29" i="36"/>
  <c r="AF28" i="36"/>
  <c r="AF355" i="36"/>
  <c r="AF27" i="36"/>
  <c r="AF26" i="36"/>
  <c r="AF25" i="36"/>
  <c r="AF24" i="36"/>
  <c r="AF23" i="36"/>
  <c r="AF22" i="36"/>
  <c r="AF21" i="36"/>
  <c r="AF19" i="36"/>
  <c r="AF17" i="36"/>
  <c r="AF16" i="36"/>
  <c r="AF15" i="36"/>
  <c r="AF14" i="36"/>
  <c r="AF13" i="36"/>
  <c r="AF12" i="36"/>
  <c r="AF11" i="36"/>
  <c r="AF10" i="36"/>
  <c r="AF9" i="36"/>
  <c r="AF8" i="36"/>
  <c r="AF7" i="36"/>
  <c r="AF5" i="36"/>
  <c r="AF4" i="36"/>
  <c r="AF3" i="36"/>
  <c r="AF2" i="36"/>
  <c r="C13" i="28" l="1"/>
  <c r="C15" i="28"/>
  <c r="AJ7" i="36"/>
  <c r="AJ15" i="36"/>
  <c r="AJ29" i="36"/>
  <c r="AJ248" i="36"/>
  <c r="AJ67" i="36"/>
  <c r="AJ240" i="36"/>
  <c r="AJ176" i="36"/>
  <c r="AJ22" i="36"/>
  <c r="AJ37" i="36"/>
  <c r="AJ45" i="36"/>
  <c r="AJ52" i="36"/>
  <c r="AJ108" i="36"/>
  <c r="AJ115" i="36"/>
  <c r="AJ310" i="36"/>
  <c r="AJ4" i="36"/>
  <c r="AJ27" i="36"/>
  <c r="AJ71" i="36"/>
  <c r="AJ80" i="36"/>
  <c r="AJ127" i="36"/>
  <c r="AJ135" i="36"/>
  <c r="AJ143" i="36"/>
  <c r="AJ151" i="36"/>
  <c r="AJ174" i="36"/>
  <c r="AJ192" i="36"/>
  <c r="AJ43" i="36"/>
  <c r="AJ328" i="36"/>
  <c r="AI348" i="36"/>
  <c r="Y348" i="36"/>
  <c r="AL348" i="36" s="1"/>
  <c r="AO348" i="36" s="1"/>
  <c r="AJ130" i="36"/>
  <c r="AJ138" i="36"/>
  <c r="AJ154" i="36"/>
  <c r="AJ200" i="36"/>
  <c r="AJ271" i="36"/>
  <c r="AJ334" i="36"/>
  <c r="AP348" i="36"/>
  <c r="AJ163" i="36"/>
  <c r="AJ289" i="36"/>
  <c r="AR348" i="36"/>
  <c r="AJ265" i="36"/>
  <c r="AJ26" i="36"/>
  <c r="AJ33" i="36"/>
  <c r="AJ41" i="36"/>
  <c r="AJ48" i="36"/>
  <c r="AJ111" i="36"/>
  <c r="AJ212" i="36"/>
  <c r="AJ252" i="36"/>
  <c r="AJ259" i="36"/>
  <c r="AJ267" i="36"/>
  <c r="AJ275" i="36"/>
  <c r="AJ283" i="36"/>
  <c r="AJ182" i="36"/>
  <c r="AJ189" i="36"/>
  <c r="AJ197" i="36"/>
  <c r="AJ205" i="36"/>
  <c r="AJ221" i="36"/>
  <c r="AJ229" i="36"/>
  <c r="AJ237" i="36"/>
  <c r="AJ253" i="36"/>
  <c r="AJ260" i="36"/>
  <c r="AJ268" i="36"/>
  <c r="AJ276" i="36"/>
  <c r="AJ372" i="36"/>
  <c r="AJ291" i="36"/>
  <c r="AJ132" i="36"/>
  <c r="AJ340" i="36"/>
  <c r="AJ12" i="36"/>
  <c r="AJ34" i="36"/>
  <c r="AJ42" i="36"/>
  <c r="AJ49" i="36"/>
  <c r="AJ57" i="36"/>
  <c r="AJ64" i="36"/>
  <c r="AJ112" i="36"/>
  <c r="AJ120" i="36"/>
  <c r="AJ5" i="36"/>
  <c r="AJ13" i="36"/>
  <c r="AJ355" i="36"/>
  <c r="AJ35" i="36"/>
  <c r="AJ50" i="36"/>
  <c r="AJ65" i="36"/>
  <c r="AJ73" i="36"/>
  <c r="AJ81" i="36"/>
  <c r="AJ90" i="36"/>
  <c r="AJ98" i="36"/>
  <c r="AJ113" i="36"/>
  <c r="AJ128" i="36"/>
  <c r="AJ136" i="36"/>
  <c r="AJ144" i="36"/>
  <c r="AJ152" i="36"/>
  <c r="AJ190" i="36"/>
  <c r="AJ198" i="36"/>
  <c r="AJ230" i="36"/>
  <c r="AJ277" i="36"/>
  <c r="AJ300" i="36"/>
  <c r="AJ316" i="36"/>
  <c r="AJ332" i="36"/>
  <c r="AJ227" i="36"/>
  <c r="AH348" i="36"/>
  <c r="AJ121" i="36"/>
  <c r="AJ160" i="36"/>
  <c r="AJ167" i="36"/>
  <c r="AJ361" i="36"/>
  <c r="AJ183" i="36"/>
  <c r="AJ214" i="36"/>
  <c r="AJ222" i="36"/>
  <c r="AJ238" i="36"/>
  <c r="AJ246" i="36"/>
  <c r="AJ254" i="36"/>
  <c r="AJ261" i="36"/>
  <c r="AJ269" i="36"/>
  <c r="AJ284" i="36"/>
  <c r="AJ292" i="36"/>
  <c r="AJ308" i="36"/>
  <c r="AJ324" i="36"/>
  <c r="AJ266" i="36"/>
  <c r="AJ159" i="36"/>
  <c r="AJ256" i="36"/>
  <c r="AJ279" i="36"/>
  <c r="AJ342" i="36"/>
  <c r="AJ166" i="36"/>
  <c r="AJ19" i="36"/>
  <c r="AJ75" i="36"/>
  <c r="AJ146" i="36"/>
  <c r="AJ9" i="36"/>
  <c r="AJ17" i="36"/>
  <c r="AJ24" i="36"/>
  <c r="AJ39" i="36"/>
  <c r="AJ364" i="36"/>
  <c r="AJ54" i="36"/>
  <c r="AJ61" i="36"/>
  <c r="AJ68" i="36"/>
  <c r="AJ85" i="36"/>
  <c r="AJ94" i="36"/>
  <c r="AJ102" i="36"/>
  <c r="AJ109" i="36"/>
  <c r="AJ351" i="36"/>
  <c r="AJ140" i="36"/>
  <c r="AJ148" i="36"/>
  <c r="AJ156" i="36"/>
  <c r="AJ171" i="36"/>
  <c r="AJ187" i="36"/>
  <c r="AJ202" i="36"/>
  <c r="AJ210" i="36"/>
  <c r="AJ226" i="36"/>
  <c r="AJ234" i="36"/>
  <c r="AJ242" i="36"/>
  <c r="AJ250" i="36"/>
  <c r="AJ257" i="36"/>
  <c r="AJ273" i="36"/>
  <c r="AJ281" i="36"/>
  <c r="AJ288" i="36"/>
  <c r="AJ336" i="36"/>
  <c r="AJ344" i="36"/>
  <c r="AJ365" i="36"/>
  <c r="AJ92" i="36"/>
  <c r="AJ123" i="36"/>
  <c r="AJ2" i="36"/>
  <c r="AJ10" i="36"/>
  <c r="AJ25" i="36"/>
  <c r="AJ32" i="36"/>
  <c r="AJ40" i="36"/>
  <c r="AJ47" i="36"/>
  <c r="AJ62" i="36"/>
  <c r="AJ69" i="36"/>
  <c r="AJ86" i="36"/>
  <c r="AJ95" i="36"/>
  <c r="AJ103" i="36"/>
  <c r="AJ110" i="36"/>
  <c r="AJ118" i="36"/>
  <c r="AJ125" i="36"/>
  <c r="AJ133" i="36"/>
  <c r="AJ141" i="36"/>
  <c r="AJ149" i="36"/>
  <c r="AJ157" i="36"/>
  <c r="AJ164" i="36"/>
  <c r="AJ172" i="36"/>
  <c r="AJ180" i="36"/>
  <c r="AJ188" i="36"/>
  <c r="AJ203" i="36"/>
  <c r="AJ211" i="36"/>
  <c r="AJ219" i="36"/>
  <c r="AJ235" i="36"/>
  <c r="AJ243" i="36"/>
  <c r="AJ251" i="36"/>
  <c r="AJ258" i="36"/>
  <c r="AJ274" i="36"/>
  <c r="AJ282" i="36"/>
  <c r="AJ297" i="36"/>
  <c r="AJ305" i="36"/>
  <c r="AJ313" i="36"/>
  <c r="AJ321" i="36"/>
  <c r="AJ337" i="36"/>
  <c r="AJ263" i="36"/>
  <c r="AJ326" i="36"/>
  <c r="AJ3" i="36"/>
  <c r="AJ11" i="36"/>
  <c r="AJ56" i="36"/>
  <c r="AJ70" i="36"/>
  <c r="AJ88" i="36"/>
  <c r="AJ96" i="36"/>
  <c r="AJ104" i="36"/>
  <c r="AJ119" i="36"/>
  <c r="AJ134" i="36"/>
  <c r="AJ142" i="36"/>
  <c r="AJ150" i="36"/>
  <c r="AJ371" i="36"/>
  <c r="AJ165" i="36"/>
  <c r="AJ181" i="36"/>
  <c r="AJ367" i="36"/>
  <c r="AJ196" i="36"/>
  <c r="AJ204" i="36"/>
  <c r="AJ220" i="36"/>
  <c r="AJ228" i="36"/>
  <c r="AJ236" i="36"/>
  <c r="AJ290" i="36"/>
  <c r="AJ298" i="36"/>
  <c r="AJ306" i="36"/>
  <c r="AJ322" i="36"/>
  <c r="AJ330" i="36"/>
  <c r="AJ338" i="36"/>
  <c r="AJ224" i="36"/>
  <c r="AJ8" i="36"/>
  <c r="AJ16" i="36"/>
  <c r="AJ23" i="36"/>
  <c r="AJ38" i="36"/>
  <c r="AJ46" i="36"/>
  <c r="AJ53" i="36"/>
  <c r="AJ60" i="36"/>
  <c r="AJ76" i="36"/>
  <c r="AJ93" i="36"/>
  <c r="AJ101" i="36"/>
  <c r="AJ366" i="36"/>
  <c r="AJ116" i="36"/>
  <c r="AJ131" i="36"/>
  <c r="AJ139" i="36"/>
  <c r="AJ147" i="36"/>
  <c r="AJ162" i="36"/>
  <c r="AJ186" i="36"/>
  <c r="AJ193" i="36"/>
  <c r="AJ201" i="36"/>
  <c r="AJ209" i="36"/>
  <c r="AJ217" i="36"/>
  <c r="AJ169" i="36"/>
  <c r="AJ232" i="36"/>
  <c r="AJ14" i="36"/>
  <c r="AJ21" i="36"/>
  <c r="AJ28" i="36"/>
  <c r="AJ36" i="36"/>
  <c r="AJ44" i="36"/>
  <c r="AJ51" i="36"/>
  <c r="AJ59" i="36"/>
  <c r="AJ66" i="36"/>
  <c r="AJ74" i="36"/>
  <c r="AJ82" i="36"/>
  <c r="AJ91" i="36"/>
  <c r="AJ114" i="36"/>
  <c r="AJ161" i="36"/>
  <c r="AJ315" i="36"/>
  <c r="AJ323" i="36"/>
  <c r="AJ331" i="36"/>
  <c r="AJ347" i="36"/>
  <c r="AJ129" i="36"/>
  <c r="AJ137" i="36"/>
  <c r="AJ145" i="36"/>
  <c r="AJ153" i="36"/>
  <c r="AJ352" i="36"/>
  <c r="AJ168" i="36"/>
  <c r="AJ175" i="36"/>
  <c r="AJ184" i="36"/>
  <c r="AJ191" i="36"/>
  <c r="AJ199" i="36"/>
  <c r="AJ207" i="36"/>
  <c r="AJ215" i="36"/>
  <c r="AJ239" i="36"/>
  <c r="AJ255" i="36"/>
  <c r="AJ262" i="36"/>
  <c r="AJ270" i="36"/>
  <c r="AJ278" i="36"/>
  <c r="AJ285" i="36"/>
  <c r="AJ293" i="36"/>
  <c r="AJ301" i="36"/>
  <c r="AJ309" i="36"/>
  <c r="AJ325" i="36"/>
  <c r="AJ333" i="36"/>
  <c r="AJ341" i="36"/>
  <c r="AJ225" i="36"/>
  <c r="AJ233" i="36"/>
  <c r="AJ241" i="36"/>
  <c r="AJ249" i="36"/>
  <c r="AJ368" i="36"/>
  <c r="AJ264" i="36"/>
  <c r="AJ272" i="36"/>
  <c r="AJ280" i="36"/>
  <c r="AJ287" i="36"/>
  <c r="AJ295" i="36"/>
  <c r="AJ303" i="36"/>
  <c r="AJ319" i="36"/>
  <c r="AJ327" i="36"/>
  <c r="AJ343" i="36"/>
  <c r="F19" i="6" l="1"/>
  <c r="L29" i="3" s="1"/>
  <c r="F12" i="6"/>
  <c r="J29" i="3" s="1"/>
  <c r="F11" i="6"/>
  <c r="I29" i="3" s="1"/>
  <c r="F8" i="6"/>
  <c r="R213" i="36"/>
  <c r="AK213" i="36" s="1"/>
  <c r="L213" i="36"/>
  <c r="R216" i="36"/>
  <c r="AK216" i="36" s="1"/>
  <c r="L216" i="36"/>
  <c r="T218" i="36"/>
  <c r="AK218" i="36" s="1"/>
  <c r="M218" i="36"/>
  <c r="R223" i="36"/>
  <c r="AK223" i="36" s="1"/>
  <c r="L223" i="36"/>
  <c r="R356" i="36"/>
  <c r="L356" i="36"/>
  <c r="L357" i="36" s="1"/>
  <c r="T244" i="36"/>
  <c r="AK244" i="36" s="1"/>
  <c r="M244" i="36"/>
  <c r="M247" i="36"/>
  <c r="T247" i="36"/>
  <c r="AK247" i="36" s="1"/>
  <c r="R294" i="36"/>
  <c r="AK294" i="36" s="1"/>
  <c r="L294" i="36"/>
  <c r="R296" i="36"/>
  <c r="AK296" i="36" s="1"/>
  <c r="L296" i="36"/>
  <c r="R206" i="36"/>
  <c r="AK206" i="36" s="1"/>
  <c r="L206" i="36"/>
  <c r="T299" i="36"/>
  <c r="AK299" i="36" s="1"/>
  <c r="M299" i="36"/>
  <c r="R302" i="36"/>
  <c r="AK302" i="36" s="1"/>
  <c r="L302" i="36"/>
  <c r="R304" i="36"/>
  <c r="AK304" i="36" s="1"/>
  <c r="L304" i="36"/>
  <c r="R307" i="36"/>
  <c r="AK307" i="36" s="1"/>
  <c r="L307" i="36"/>
  <c r="R185" i="36"/>
  <c r="AK185" i="36" s="1"/>
  <c r="L185" i="36"/>
  <c r="R179" i="36"/>
  <c r="AK179" i="36" s="1"/>
  <c r="L179" i="36"/>
  <c r="T177" i="36"/>
  <c r="F21" i="6" s="1"/>
  <c r="M177" i="36"/>
  <c r="B28" i="6" s="1"/>
  <c r="H29" i="3" s="1"/>
  <c r="R177" i="36"/>
  <c r="F17" i="6" s="1"/>
  <c r="K29" i="3" s="1"/>
  <c r="L177" i="36"/>
  <c r="B26" i="6" s="1"/>
  <c r="G29" i="3" s="1"/>
  <c r="R126" i="36"/>
  <c r="AK126" i="36" s="1"/>
  <c r="L126" i="36"/>
  <c r="R122" i="36"/>
  <c r="AK122" i="36" s="1"/>
  <c r="L122" i="36"/>
  <c r="T117" i="36"/>
  <c r="AK117" i="36" s="1"/>
  <c r="M117" i="36"/>
  <c r="R106" i="36"/>
  <c r="AK106" i="36" s="1"/>
  <c r="L106" i="36"/>
  <c r="R105" i="36"/>
  <c r="AK105" i="36" s="1"/>
  <c r="L105" i="36"/>
  <c r="R99" i="36"/>
  <c r="AK99" i="36" s="1"/>
  <c r="L99" i="36"/>
  <c r="R311" i="36"/>
  <c r="AK311" i="36" s="1"/>
  <c r="L311" i="36"/>
  <c r="R312" i="36"/>
  <c r="AK312" i="36" s="1"/>
  <c r="L312" i="36"/>
  <c r="R317" i="36"/>
  <c r="AK317" i="36" s="1"/>
  <c r="L317" i="36"/>
  <c r="R318" i="36"/>
  <c r="AK318" i="36" s="1"/>
  <c r="L318" i="36"/>
  <c r="T83" i="36"/>
  <c r="AK83" i="36" s="1"/>
  <c r="M83" i="36"/>
  <c r="T89" i="36"/>
  <c r="M89" i="36"/>
  <c r="R89" i="36"/>
  <c r="L89" i="36"/>
  <c r="R84" i="36"/>
  <c r="AK84" i="36" s="1"/>
  <c r="L84" i="36"/>
  <c r="R77" i="36"/>
  <c r="AK77" i="36" s="1"/>
  <c r="L77" i="36"/>
  <c r="T320" i="36"/>
  <c r="AK320" i="36" s="1"/>
  <c r="M320" i="36"/>
  <c r="T329" i="36"/>
  <c r="AK329" i="36" s="1"/>
  <c r="M329" i="36"/>
  <c r="R360" i="36"/>
  <c r="AK360" i="36" s="1"/>
  <c r="L360" i="36"/>
  <c r="L362" i="36" s="1"/>
  <c r="R63" i="36"/>
  <c r="AK63" i="36" s="1"/>
  <c r="L63" i="36"/>
  <c r="T30" i="36"/>
  <c r="M30" i="36"/>
  <c r="R31" i="36"/>
  <c r="AK31" i="36" s="1"/>
  <c r="L31" i="36"/>
  <c r="R20" i="36"/>
  <c r="AK20" i="36" s="1"/>
  <c r="L20" i="36"/>
  <c r="R6" i="36"/>
  <c r="L6" i="36"/>
  <c r="R346" i="36"/>
  <c r="AK346" i="36" s="1"/>
  <c r="L346" i="36"/>
  <c r="R345" i="36"/>
  <c r="AK345" i="36" s="1"/>
  <c r="L345" i="36"/>
  <c r="R339" i="36"/>
  <c r="T335" i="36"/>
  <c r="AK335" i="36" s="1"/>
  <c r="M335" i="36"/>
  <c r="R314" i="36"/>
  <c r="AK314" i="36" s="1"/>
  <c r="L314" i="36"/>
  <c r="T286" i="36"/>
  <c r="M286" i="36"/>
  <c r="R286" i="36"/>
  <c r="L286" i="36"/>
  <c r="R245" i="36"/>
  <c r="AK245" i="36" s="1"/>
  <c r="L245" i="36"/>
  <c r="R208" i="36"/>
  <c r="AK208" i="36" s="1"/>
  <c r="L208" i="36"/>
  <c r="M195" i="36"/>
  <c r="T195" i="36"/>
  <c r="AK195" i="36" s="1"/>
  <c r="R194" i="36"/>
  <c r="AK194" i="36" s="1"/>
  <c r="L194" i="36"/>
  <c r="R173" i="36"/>
  <c r="AK173" i="36" s="1"/>
  <c r="L173" i="36"/>
  <c r="R170" i="36"/>
  <c r="AK170" i="36" s="1"/>
  <c r="L170" i="36"/>
  <c r="R155" i="36"/>
  <c r="AK155" i="36" s="1"/>
  <c r="L155" i="36"/>
  <c r="R124" i="36"/>
  <c r="AK124" i="36" s="1"/>
  <c r="L124" i="36"/>
  <c r="R107" i="36"/>
  <c r="AK107" i="36" s="1"/>
  <c r="L107" i="36"/>
  <c r="T100" i="36"/>
  <c r="AK100" i="36" s="1"/>
  <c r="M100" i="36"/>
  <c r="R97" i="36"/>
  <c r="AK97" i="36" s="1"/>
  <c r="L97" i="36"/>
  <c r="R79" i="36"/>
  <c r="AK79" i="36" s="1"/>
  <c r="L79" i="36"/>
  <c r="L78" i="36"/>
  <c r="R58" i="36"/>
  <c r="L58" i="36"/>
  <c r="S58" i="36"/>
  <c r="S348" i="36" s="1"/>
  <c r="K58" i="36"/>
  <c r="K348" i="36" s="1"/>
  <c r="R55" i="36"/>
  <c r="AK55" i="36" s="1"/>
  <c r="L55" i="36"/>
  <c r="R359" i="36"/>
  <c r="R362" i="36" s="1"/>
  <c r="AK362" i="36" s="1"/>
  <c r="AG100" i="36" l="1"/>
  <c r="AJ100" i="36" s="1"/>
  <c r="AF362" i="36"/>
  <c r="AG362" i="36"/>
  <c r="AJ362" i="36" s="1"/>
  <c r="AK89" i="36"/>
  <c r="AK356" i="36"/>
  <c r="R357" i="36"/>
  <c r="AK357" i="36" s="1"/>
  <c r="AK286" i="36"/>
  <c r="AK58" i="36"/>
  <c r="AG335" i="36"/>
  <c r="AJ335" i="36" s="1"/>
  <c r="AG247" i="36"/>
  <c r="AJ247" i="36" s="1"/>
  <c r="M29" i="3"/>
  <c r="M348" i="36"/>
  <c r="AK30" i="36"/>
  <c r="T348" i="36"/>
  <c r="L348" i="36"/>
  <c r="AK6" i="36"/>
  <c r="R348" i="36"/>
  <c r="AG218" i="36"/>
  <c r="AJ218" i="36" s="1"/>
  <c r="AG345" i="36"/>
  <c r="AJ345" i="36" s="1"/>
  <c r="AF345" i="36"/>
  <c r="AG31" i="36"/>
  <c r="AJ31" i="36" s="1"/>
  <c r="AF31" i="36"/>
  <c r="AG329" i="36"/>
  <c r="AJ329" i="36" s="1"/>
  <c r="AG89" i="36"/>
  <c r="AJ89" i="36" s="1"/>
  <c r="AF89" i="36"/>
  <c r="AF317" i="36"/>
  <c r="AG317" i="36"/>
  <c r="AJ317" i="36" s="1"/>
  <c r="AG105" i="36"/>
  <c r="AJ105" i="36" s="1"/>
  <c r="AF105" i="36"/>
  <c r="AG126" i="36"/>
  <c r="AJ126" i="36" s="1"/>
  <c r="AF126" i="36"/>
  <c r="AF185" i="36"/>
  <c r="AG185" i="36"/>
  <c r="AJ185" i="36" s="1"/>
  <c r="AG299" i="36"/>
  <c r="AJ299" i="36" s="1"/>
  <c r="AG97" i="36"/>
  <c r="AJ97" i="36" s="1"/>
  <c r="AF97" i="36"/>
  <c r="AF155" i="36"/>
  <c r="AG155" i="36"/>
  <c r="AJ155" i="36" s="1"/>
  <c r="AG79" i="36"/>
  <c r="AJ79" i="36" s="1"/>
  <c r="AF79" i="36"/>
  <c r="AG339" i="36"/>
  <c r="AJ339" i="36" s="1"/>
  <c r="AF339" i="36"/>
  <c r="AK339" i="36"/>
  <c r="AG58" i="36"/>
  <c r="AJ58" i="36" s="1"/>
  <c r="AG195" i="36"/>
  <c r="AJ195" i="36" s="1"/>
  <c r="AG346" i="36"/>
  <c r="AJ346" i="36" s="1"/>
  <c r="AF346" i="36"/>
  <c r="AG30" i="36"/>
  <c r="AJ30" i="36" s="1"/>
  <c r="AG320" i="36"/>
  <c r="AJ320" i="36" s="1"/>
  <c r="AG312" i="36"/>
  <c r="AJ312" i="36" s="1"/>
  <c r="AF312" i="36"/>
  <c r="AG106" i="36"/>
  <c r="AJ106" i="36" s="1"/>
  <c r="AF106" i="36"/>
  <c r="AF177" i="36"/>
  <c r="C19" i="28" s="1"/>
  <c r="AG177" i="36"/>
  <c r="AG307" i="36"/>
  <c r="AJ307" i="36" s="1"/>
  <c r="AF307" i="36"/>
  <c r="AG206" i="36"/>
  <c r="AJ206" i="36" s="1"/>
  <c r="AF206" i="36"/>
  <c r="AG244" i="36"/>
  <c r="AJ244" i="36" s="1"/>
  <c r="AF216" i="36"/>
  <c r="AG216" i="36"/>
  <c r="AJ216" i="36" s="1"/>
  <c r="AF124" i="36"/>
  <c r="AG124" i="36"/>
  <c r="AJ124" i="36" s="1"/>
  <c r="AG55" i="36"/>
  <c r="AJ55" i="36" s="1"/>
  <c r="AF55" i="36"/>
  <c r="AF170" i="36"/>
  <c r="AG170" i="36"/>
  <c r="AJ170" i="36" s="1"/>
  <c r="AF208" i="36"/>
  <c r="AG208" i="36"/>
  <c r="AJ208" i="36" s="1"/>
  <c r="AG314" i="36"/>
  <c r="AJ314" i="36" s="1"/>
  <c r="AF314" i="36"/>
  <c r="AK177" i="36"/>
  <c r="C8" i="28" s="1"/>
  <c r="AK359" i="36"/>
  <c r="AG359" i="36"/>
  <c r="AJ359" i="36" s="1"/>
  <c r="AF359" i="36"/>
  <c r="AF286" i="36"/>
  <c r="AG286" i="36"/>
  <c r="AJ286" i="36" s="1"/>
  <c r="AF58" i="36"/>
  <c r="AF6" i="36"/>
  <c r="AG6" i="36"/>
  <c r="AJ6" i="36" s="1"/>
  <c r="AG63" i="36"/>
  <c r="AJ63" i="36" s="1"/>
  <c r="AF63" i="36"/>
  <c r="AG77" i="36"/>
  <c r="AJ77" i="36" s="1"/>
  <c r="AF77" i="36"/>
  <c r="AG83" i="36"/>
  <c r="AJ83" i="36" s="1"/>
  <c r="AF311" i="36"/>
  <c r="AG311" i="36"/>
  <c r="AJ311" i="36" s="1"/>
  <c r="AG117" i="36"/>
  <c r="AJ117" i="36" s="1"/>
  <c r="AG304" i="36"/>
  <c r="AJ304" i="36" s="1"/>
  <c r="AF304" i="36"/>
  <c r="AG296" i="36"/>
  <c r="AJ296" i="36" s="1"/>
  <c r="AF296" i="36"/>
  <c r="AF356" i="36"/>
  <c r="AG356" i="36"/>
  <c r="AJ356" i="36" s="1"/>
  <c r="AG213" i="36"/>
  <c r="AJ213" i="36" s="1"/>
  <c r="AF213" i="36"/>
  <c r="AF107" i="36"/>
  <c r="AG107" i="36"/>
  <c r="AJ107" i="36" s="1"/>
  <c r="AG173" i="36"/>
  <c r="AJ173" i="36" s="1"/>
  <c r="AF173" i="36"/>
  <c r="AG245" i="36"/>
  <c r="AJ245" i="36" s="1"/>
  <c r="AF245" i="36"/>
  <c r="AG78" i="36"/>
  <c r="AJ78" i="36" s="1"/>
  <c r="AF78" i="36"/>
  <c r="AG20" i="36"/>
  <c r="AJ20" i="36" s="1"/>
  <c r="AF20" i="36"/>
  <c r="AF360" i="36"/>
  <c r="AG360" i="36"/>
  <c r="AJ360" i="36" s="1"/>
  <c r="AF84" i="36"/>
  <c r="AG84" i="36"/>
  <c r="AJ84" i="36" s="1"/>
  <c r="AF318" i="36"/>
  <c r="AG318" i="36"/>
  <c r="AJ318" i="36" s="1"/>
  <c r="AF99" i="36"/>
  <c r="AG99" i="36"/>
  <c r="AJ99" i="36" s="1"/>
  <c r="AF122" i="36"/>
  <c r="AG122" i="36"/>
  <c r="AJ122" i="36" s="1"/>
  <c r="AG179" i="36"/>
  <c r="AJ179" i="36" s="1"/>
  <c r="AF179" i="36"/>
  <c r="AF302" i="36"/>
  <c r="AG302" i="36"/>
  <c r="AJ302" i="36" s="1"/>
  <c r="AF294" i="36"/>
  <c r="AG294" i="36"/>
  <c r="AJ294" i="36" s="1"/>
  <c r="AF223" i="36"/>
  <c r="AG223" i="36"/>
  <c r="AJ223" i="36" s="1"/>
  <c r="AG194" i="36"/>
  <c r="AJ194" i="36" s="1"/>
  <c r="AF194" i="36"/>
  <c r="AA27" i="3"/>
  <c r="AB27" i="3" s="1"/>
  <c r="AB347" i="7"/>
  <c r="AJ177" i="36" l="1"/>
  <c r="C7" i="28" s="1"/>
  <c r="C6" i="28"/>
  <c r="AF357" i="36"/>
  <c r="AG357" i="36"/>
  <c r="AJ357" i="36" s="1"/>
  <c r="AK348" i="36"/>
  <c r="AF348" i="36"/>
  <c r="AG348" i="36"/>
  <c r="AJ348" i="36" s="1"/>
  <c r="E6" i="3" l="1"/>
  <c r="AX346" i="34"/>
  <c r="BS346" i="34" s="1"/>
  <c r="AX345" i="34"/>
  <c r="BS345" i="34" s="1"/>
  <c r="AX344" i="34"/>
  <c r="BS344" i="34" s="1"/>
  <c r="AX343" i="34"/>
  <c r="BS343" i="34" s="1"/>
  <c r="AX342" i="34"/>
  <c r="BS342" i="34" s="1"/>
  <c r="AX341" i="34"/>
  <c r="BS341" i="34" s="1"/>
  <c r="AX340" i="34"/>
  <c r="BS340" i="34" s="1"/>
  <c r="AX339" i="34"/>
  <c r="BS339" i="34" s="1"/>
  <c r="AX338" i="34"/>
  <c r="BS338" i="34" s="1"/>
  <c r="AX337" i="34"/>
  <c r="BS337" i="34" s="1"/>
  <c r="AX336" i="34"/>
  <c r="BS336" i="34" s="1"/>
  <c r="AX335" i="34"/>
  <c r="BS335" i="34" s="1"/>
  <c r="AX334" i="34"/>
  <c r="BS334" i="34" s="1"/>
  <c r="AX333" i="34"/>
  <c r="BS333" i="34" s="1"/>
  <c r="AX332" i="34"/>
  <c r="BS332" i="34" s="1"/>
  <c r="AX331" i="34"/>
  <c r="BS331" i="34" s="1"/>
  <c r="AX330" i="34"/>
  <c r="BS330" i="34" s="1"/>
  <c r="AX329" i="34"/>
  <c r="BS329" i="34" s="1"/>
  <c r="AX328" i="34"/>
  <c r="BS328" i="34" s="1"/>
  <c r="AX327" i="34"/>
  <c r="BS327" i="34" s="1"/>
  <c r="AX326" i="34"/>
  <c r="BS326" i="34" s="1"/>
  <c r="AX325" i="34"/>
  <c r="BS325" i="34" s="1"/>
  <c r="AX324" i="34"/>
  <c r="BS324" i="34" s="1"/>
  <c r="AX323" i="34"/>
  <c r="BS323" i="34" s="1"/>
  <c r="AX322" i="34"/>
  <c r="BS322" i="34" s="1"/>
  <c r="AX321" i="34"/>
  <c r="BS321" i="34" s="1"/>
  <c r="AX320" i="34"/>
  <c r="BS320" i="34" s="1"/>
  <c r="AX319" i="34"/>
  <c r="BS319" i="34" s="1"/>
  <c r="AX318" i="34"/>
  <c r="BS318" i="34" s="1"/>
  <c r="AX317" i="34"/>
  <c r="BS317" i="34" s="1"/>
  <c r="AX316" i="34"/>
  <c r="AX315" i="34"/>
  <c r="BS316" i="34" s="1"/>
  <c r="AX314" i="34"/>
  <c r="BS314" i="34" s="1"/>
  <c r="AX313" i="34"/>
  <c r="BS313" i="34" s="1"/>
  <c r="AX312" i="34"/>
  <c r="BS312" i="34" s="1"/>
  <c r="AX311" i="34"/>
  <c r="BS311" i="34" s="1"/>
  <c r="AX310" i="34"/>
  <c r="BS310" i="34" s="1"/>
  <c r="AX309" i="34"/>
  <c r="BS309" i="34" s="1"/>
  <c r="AX308" i="34"/>
  <c r="BS308" i="34" s="1"/>
  <c r="AX307" i="34"/>
  <c r="BS307" i="34" s="1"/>
  <c r="AX306" i="34"/>
  <c r="BS306" i="34" s="1"/>
  <c r="AX305" i="34"/>
  <c r="BS305" i="34" s="1"/>
  <c r="AX304" i="34"/>
  <c r="BS304" i="34" s="1"/>
  <c r="AX303" i="34"/>
  <c r="BS303" i="34" s="1"/>
  <c r="AX302" i="34"/>
  <c r="BS302" i="34" s="1"/>
  <c r="AX301" i="34"/>
  <c r="BS301" i="34" s="1"/>
  <c r="AX300" i="34"/>
  <c r="BS300" i="34" s="1"/>
  <c r="AX299" i="34"/>
  <c r="BS299" i="34" s="1"/>
  <c r="AX298" i="34"/>
  <c r="BS298" i="34" s="1"/>
  <c r="AX297" i="34"/>
  <c r="BS297" i="34" s="1"/>
  <c r="AX296" i="34"/>
  <c r="BS296" i="34" s="1"/>
  <c r="AX295" i="34"/>
  <c r="BS295" i="34" s="1"/>
  <c r="AX294" i="34"/>
  <c r="BS294" i="34" s="1"/>
  <c r="AX293" i="34"/>
  <c r="BS293" i="34" s="1"/>
  <c r="AX292" i="34"/>
  <c r="BS292" i="34" s="1"/>
  <c r="AX291" i="34"/>
  <c r="BS291" i="34" s="1"/>
  <c r="AX290" i="34"/>
  <c r="BS290" i="34" s="1"/>
  <c r="AX289" i="34"/>
  <c r="BS289" i="34" s="1"/>
  <c r="AX288" i="34"/>
  <c r="BS288" i="34" s="1"/>
  <c r="AX287" i="34"/>
  <c r="BS287" i="34" s="1"/>
  <c r="AX286" i="34"/>
  <c r="BS286" i="34" s="1"/>
  <c r="AX285" i="34"/>
  <c r="BS285" i="34" s="1"/>
  <c r="AX284" i="34"/>
  <c r="BS284" i="34" s="1"/>
  <c r="AX283" i="34"/>
  <c r="BS283" i="34" s="1"/>
  <c r="AX365" i="34"/>
  <c r="AX282" i="34"/>
  <c r="BS282" i="34" s="1"/>
  <c r="AX281" i="34"/>
  <c r="BS281" i="34" s="1"/>
  <c r="AX280" i="34"/>
  <c r="BS280" i="34" s="1"/>
  <c r="AX279" i="34"/>
  <c r="BS279" i="34" s="1"/>
  <c r="AX278" i="34"/>
  <c r="BS278" i="34" s="1"/>
  <c r="AX277" i="34"/>
  <c r="BS277" i="34" s="1"/>
  <c r="AX276" i="34"/>
  <c r="BS276" i="34" s="1"/>
  <c r="AX275" i="34"/>
  <c r="BS275" i="34" s="1"/>
  <c r="AX274" i="34"/>
  <c r="BS274" i="34" s="1"/>
  <c r="AX273" i="34"/>
  <c r="BS273" i="34" s="1"/>
  <c r="AX272" i="34"/>
  <c r="BS272" i="34" s="1"/>
  <c r="AX271" i="34"/>
  <c r="BS271" i="34" s="1"/>
  <c r="AX270" i="34"/>
  <c r="BS270" i="34" s="1"/>
  <c r="AX269" i="34"/>
  <c r="BS269" i="34" s="1"/>
  <c r="AX268" i="34"/>
  <c r="BS268" i="34" s="1"/>
  <c r="AX267" i="34"/>
  <c r="BS267" i="34" s="1"/>
  <c r="AX266" i="34"/>
  <c r="BS266" i="34" s="1"/>
  <c r="AX265" i="34"/>
  <c r="BS265" i="34" s="1"/>
  <c r="AX264" i="34"/>
  <c r="BS264" i="34" s="1"/>
  <c r="AX263" i="34"/>
  <c r="BS263" i="34" s="1"/>
  <c r="AX262" i="34"/>
  <c r="BS262" i="34" s="1"/>
  <c r="AX261" i="34"/>
  <c r="BS261" i="34" s="1"/>
  <c r="AX260" i="34"/>
  <c r="BS260" i="34" s="1"/>
  <c r="AX259" i="34"/>
  <c r="BS259" i="34" s="1"/>
  <c r="AX258" i="34"/>
  <c r="BS258" i="34" s="1"/>
  <c r="AX257" i="34"/>
  <c r="BS257" i="34" s="1"/>
  <c r="AX256" i="34"/>
  <c r="BS256" i="34" s="1"/>
  <c r="AX358" i="34"/>
  <c r="BQ358" i="34" s="1"/>
  <c r="BS358" i="34" s="1"/>
  <c r="AX255" i="34"/>
  <c r="BS255" i="34" s="1"/>
  <c r="AX254" i="34"/>
  <c r="BS254" i="34" s="1"/>
  <c r="AX253" i="34"/>
  <c r="BS253" i="34" s="1"/>
  <c r="AX252" i="34"/>
  <c r="BS252" i="34" s="1"/>
  <c r="AX251" i="34"/>
  <c r="BS251" i="34" s="1"/>
  <c r="AX250" i="34"/>
  <c r="BS250" i="34" s="1"/>
  <c r="AX249" i="34"/>
  <c r="BS249" i="34" s="1"/>
  <c r="AX248" i="34"/>
  <c r="BS248" i="34" s="1"/>
  <c r="AX247" i="34"/>
  <c r="BS247" i="34" s="1"/>
  <c r="AX246" i="34"/>
  <c r="BS246" i="34" s="1"/>
  <c r="AX245" i="34"/>
  <c r="BS245" i="34" s="1"/>
  <c r="AX244" i="34"/>
  <c r="BS244" i="34" s="1"/>
  <c r="AX243" i="34"/>
  <c r="BS243" i="34" s="1"/>
  <c r="AX242" i="34"/>
  <c r="BS242" i="34" s="1"/>
  <c r="AX241" i="34"/>
  <c r="BS241" i="34" s="1"/>
  <c r="AX240" i="34"/>
  <c r="BS240" i="34" s="1"/>
  <c r="AX239" i="34"/>
  <c r="BS239" i="34" s="1"/>
  <c r="AX238" i="34"/>
  <c r="BS238" i="34" s="1"/>
  <c r="AX237" i="34"/>
  <c r="BS237" i="34" s="1"/>
  <c r="AX236" i="34"/>
  <c r="BS236" i="34" s="1"/>
  <c r="AX235" i="34"/>
  <c r="BS235" i="34" s="1"/>
  <c r="AX234" i="34"/>
  <c r="BS234" i="34" s="1"/>
  <c r="AX233" i="34"/>
  <c r="BS233" i="34" s="1"/>
  <c r="AX232" i="34"/>
  <c r="BS232" i="34" s="1"/>
  <c r="AX231" i="34"/>
  <c r="BS231" i="34" s="1"/>
  <c r="AX350" i="34"/>
  <c r="AX229" i="34"/>
  <c r="BS229" i="34" s="1"/>
  <c r="AX228" i="34"/>
  <c r="BS228" i="34" s="1"/>
  <c r="AX227" i="34"/>
  <c r="BS227" i="34" s="1"/>
  <c r="AX226" i="34"/>
  <c r="BS226" i="34" s="1"/>
  <c r="AX225" i="34"/>
  <c r="BS225" i="34" s="1"/>
  <c r="AX224" i="34"/>
  <c r="BS224" i="34" s="1"/>
  <c r="AX223" i="34"/>
  <c r="BS223" i="34" s="1"/>
  <c r="AX222" i="34"/>
  <c r="BS222" i="34" s="1"/>
  <c r="AX221" i="34"/>
  <c r="BS221" i="34" s="1"/>
  <c r="AX220" i="34"/>
  <c r="BS220" i="34" s="1"/>
  <c r="AX219" i="34"/>
  <c r="BS219" i="34" s="1"/>
  <c r="AX218" i="34"/>
  <c r="BS218" i="34" s="1"/>
  <c r="AX217" i="34"/>
  <c r="BS217" i="34" s="1"/>
  <c r="AX216" i="34"/>
  <c r="BS216" i="34" s="1"/>
  <c r="AX215" i="34"/>
  <c r="BS215" i="34" s="1"/>
  <c r="AX214" i="34"/>
  <c r="BS214" i="34" s="1"/>
  <c r="AX213" i="34"/>
  <c r="BS213" i="34" s="1"/>
  <c r="AX212" i="34"/>
  <c r="BS212" i="34" s="1"/>
  <c r="AX211" i="34"/>
  <c r="BS211" i="34" s="1"/>
  <c r="AX210" i="34"/>
  <c r="BS210" i="34" s="1"/>
  <c r="AX209" i="34"/>
  <c r="BS209" i="34" s="1"/>
  <c r="AX208" i="34"/>
  <c r="BS208" i="34" s="1"/>
  <c r="AX207" i="34"/>
  <c r="BS207" i="34" s="1"/>
  <c r="AX206" i="34"/>
  <c r="BS206" i="34" s="1"/>
  <c r="AX205" i="34"/>
  <c r="BS205" i="34" s="1"/>
  <c r="AX204" i="34"/>
  <c r="BS204" i="34" s="1"/>
  <c r="AX203" i="34"/>
  <c r="BS203" i="34" s="1"/>
  <c r="AX202" i="34"/>
  <c r="BS202" i="34" s="1"/>
  <c r="AX201" i="34"/>
  <c r="BS201" i="34" s="1"/>
  <c r="AX200" i="34"/>
  <c r="BS200" i="34" s="1"/>
  <c r="AX199" i="34"/>
  <c r="BS199" i="34" s="1"/>
  <c r="AX198" i="34"/>
  <c r="BS198" i="34" s="1"/>
  <c r="AX197" i="34"/>
  <c r="BS197" i="34" s="1"/>
  <c r="AX196" i="34"/>
  <c r="BS196" i="34" s="1"/>
  <c r="AX195" i="34"/>
  <c r="BS195" i="34" s="1"/>
  <c r="AX194" i="34"/>
  <c r="BS194" i="34" s="1"/>
  <c r="AX193" i="34"/>
  <c r="BS193" i="34" s="1"/>
  <c r="AX192" i="34"/>
  <c r="BS192" i="34" s="1"/>
  <c r="AX191" i="34"/>
  <c r="BS191" i="34" s="1"/>
  <c r="AX190" i="34"/>
  <c r="BS190" i="34" s="1"/>
  <c r="AX189" i="34"/>
  <c r="BS189" i="34" s="1"/>
  <c r="AX188" i="34"/>
  <c r="BS188" i="34" s="1"/>
  <c r="AX354" i="34"/>
  <c r="AX187" i="34"/>
  <c r="BS187" i="34" s="1"/>
  <c r="AX186" i="34"/>
  <c r="BS186" i="34" s="1"/>
  <c r="AX185" i="34"/>
  <c r="BS185" i="34" s="1"/>
  <c r="AX184" i="34"/>
  <c r="BS184" i="34" s="1"/>
  <c r="AX183" i="34"/>
  <c r="BS183" i="34" s="1"/>
  <c r="AX182" i="34"/>
  <c r="BS182" i="34" s="1"/>
  <c r="AX181" i="34"/>
  <c r="BS181" i="34" s="1"/>
  <c r="AX180" i="34"/>
  <c r="BS180" i="34" s="1"/>
  <c r="AX179" i="34"/>
  <c r="BS179" i="34" s="1"/>
  <c r="AX178" i="34"/>
  <c r="BS178" i="34" s="1"/>
  <c r="AX176" i="34"/>
  <c r="BS176" i="34" s="1"/>
  <c r="AX175" i="34"/>
  <c r="BS175" i="34" s="1"/>
  <c r="AX174" i="34"/>
  <c r="BS174" i="34" s="1"/>
  <c r="AX173" i="34"/>
  <c r="BS173" i="34" s="1"/>
  <c r="AX172" i="34"/>
  <c r="BS172" i="34" s="1"/>
  <c r="AX171" i="34"/>
  <c r="BS171" i="34" s="1"/>
  <c r="AX170" i="34"/>
  <c r="BS170" i="34" s="1"/>
  <c r="AX169" i="34"/>
  <c r="BS169" i="34" s="1"/>
  <c r="AX168" i="34"/>
  <c r="BS168" i="34" s="1"/>
  <c r="AX167" i="34"/>
  <c r="BS167" i="34" s="1"/>
  <c r="AX166" i="34"/>
  <c r="BS166" i="34" s="1"/>
  <c r="AX165" i="34"/>
  <c r="BS165" i="34" s="1"/>
  <c r="AX164" i="34"/>
  <c r="BS164" i="34" s="1"/>
  <c r="AX163" i="34"/>
  <c r="BS163" i="34" s="1"/>
  <c r="AX162" i="34"/>
  <c r="BS162" i="34" s="1"/>
  <c r="AX161" i="34"/>
  <c r="BS161" i="34" s="1"/>
  <c r="AX160" i="34"/>
  <c r="BS160" i="34" s="1"/>
  <c r="AX362" i="34"/>
  <c r="BQ362" i="34" s="1"/>
  <c r="BS362" i="34" s="1"/>
  <c r="AX159" i="34"/>
  <c r="BS159" i="34" s="1"/>
  <c r="AX158" i="34"/>
  <c r="BS158" i="34" s="1"/>
  <c r="AX366" i="34"/>
  <c r="BQ366" i="34" s="1"/>
  <c r="BS366" i="34" s="1"/>
  <c r="AX156" i="34"/>
  <c r="BS156" i="34" s="1"/>
  <c r="AX155" i="34"/>
  <c r="BS155" i="34" s="1"/>
  <c r="AX154" i="34"/>
  <c r="BS154" i="34" s="1"/>
  <c r="AX153" i="34"/>
  <c r="BS153" i="34" s="1"/>
  <c r="AX152" i="34"/>
  <c r="BS152" i="34" s="1"/>
  <c r="AX151" i="34"/>
  <c r="BS151" i="34" s="1"/>
  <c r="AX150" i="34"/>
  <c r="BS150" i="34" s="1"/>
  <c r="AX149" i="34"/>
  <c r="BS149" i="34" s="1"/>
  <c r="AX148" i="34"/>
  <c r="BS148" i="34" s="1"/>
  <c r="AX147" i="34"/>
  <c r="BS147" i="34" s="1"/>
  <c r="AX146" i="34"/>
  <c r="BS146" i="34" s="1"/>
  <c r="AX145" i="34"/>
  <c r="BS145" i="34" s="1"/>
  <c r="AX144" i="34"/>
  <c r="BS144" i="34" s="1"/>
  <c r="AX143" i="34"/>
  <c r="BS143" i="34" s="1"/>
  <c r="AX142" i="34"/>
  <c r="BS142" i="34" s="1"/>
  <c r="AX141" i="34"/>
  <c r="BS141" i="34" s="1"/>
  <c r="AX140" i="34"/>
  <c r="BS140" i="34" s="1"/>
  <c r="AX139" i="34"/>
  <c r="BS139" i="34" s="1"/>
  <c r="AX138" i="34"/>
  <c r="BS138" i="34" s="1"/>
  <c r="AX137" i="34"/>
  <c r="BS137" i="34" s="1"/>
  <c r="AX136" i="34"/>
  <c r="BS136" i="34" s="1"/>
  <c r="AX135" i="34"/>
  <c r="BS135" i="34" s="1"/>
  <c r="AX134" i="34"/>
  <c r="BS134" i="34" s="1"/>
  <c r="AX133" i="34"/>
  <c r="BS133" i="34" s="1"/>
  <c r="AX132" i="34"/>
  <c r="BS132" i="34" s="1"/>
  <c r="AX131" i="34"/>
  <c r="BS131" i="34" s="1"/>
  <c r="AX130" i="34"/>
  <c r="BS130" i="34" s="1"/>
  <c r="AX129" i="34"/>
  <c r="BS129" i="34" s="1"/>
  <c r="AX128" i="34"/>
  <c r="BS128" i="34" s="1"/>
  <c r="AX127" i="34"/>
  <c r="BS127" i="34" s="1"/>
  <c r="AX126" i="34"/>
  <c r="BS126" i="34" s="1"/>
  <c r="AX125" i="34"/>
  <c r="BS125" i="34" s="1"/>
  <c r="AX124" i="34"/>
  <c r="BS124" i="34" s="1"/>
  <c r="AX361" i="34"/>
  <c r="AX123" i="34"/>
  <c r="BS123" i="34" s="1"/>
  <c r="AX122" i="34"/>
  <c r="BS122" i="34" s="1"/>
  <c r="AX121" i="34"/>
  <c r="BS121" i="34" s="1"/>
  <c r="AX120" i="34"/>
  <c r="BS120" i="34" s="1"/>
  <c r="AX119" i="34"/>
  <c r="BS119" i="34" s="1"/>
  <c r="AX118" i="34"/>
  <c r="BS118" i="34" s="1"/>
  <c r="AX117" i="34"/>
  <c r="BS117" i="34" s="1"/>
  <c r="AX116" i="34"/>
  <c r="BS116" i="34" s="1"/>
  <c r="AX115" i="34"/>
  <c r="BS115" i="34" s="1"/>
  <c r="AX114" i="34"/>
  <c r="BS114" i="34" s="1"/>
  <c r="AX113" i="34"/>
  <c r="BS113" i="34" s="1"/>
  <c r="AX112" i="34"/>
  <c r="BS112" i="34" s="1"/>
  <c r="AX111" i="34"/>
  <c r="BS111" i="34" s="1"/>
  <c r="AX110" i="34"/>
  <c r="BS110" i="34" s="1"/>
  <c r="AX109" i="34"/>
  <c r="BS109" i="34" s="1"/>
  <c r="AX357" i="34"/>
  <c r="BQ357" i="34" s="1"/>
  <c r="BS357" i="34" s="1"/>
  <c r="AX108" i="34"/>
  <c r="BS108" i="34" s="1"/>
  <c r="AX107" i="34"/>
  <c r="BS107" i="34" s="1"/>
  <c r="AX106" i="34"/>
  <c r="BS106" i="34" s="1"/>
  <c r="AX105" i="34"/>
  <c r="BS105" i="34" s="1"/>
  <c r="AX104" i="34"/>
  <c r="BS104" i="34" s="1"/>
  <c r="AX103" i="34"/>
  <c r="BS103" i="34" s="1"/>
  <c r="AX102" i="34"/>
  <c r="BS102" i="34" s="1"/>
  <c r="AX101" i="34"/>
  <c r="BS101" i="34" s="1"/>
  <c r="AX100" i="34"/>
  <c r="BS100" i="34" s="1"/>
  <c r="AX99" i="34"/>
  <c r="BS99" i="34" s="1"/>
  <c r="AX98" i="34"/>
  <c r="BS98" i="34" s="1"/>
  <c r="AX97" i="34"/>
  <c r="BS97" i="34" s="1"/>
  <c r="AX96" i="34"/>
  <c r="BS96" i="34" s="1"/>
  <c r="AX95" i="34"/>
  <c r="BS95" i="34" s="1"/>
  <c r="AX94" i="34"/>
  <c r="BS94" i="34" s="1"/>
  <c r="AX93" i="34"/>
  <c r="BS93" i="34" s="1"/>
  <c r="AX92" i="34"/>
  <c r="BS92" i="34" s="1"/>
  <c r="AX91" i="34"/>
  <c r="BS91" i="34" s="1"/>
  <c r="AX90" i="34"/>
  <c r="BS90" i="34" s="1"/>
  <c r="AX89" i="34"/>
  <c r="BS89" i="34" s="1"/>
  <c r="AX88" i="34"/>
  <c r="BS88" i="34" s="1"/>
  <c r="BS87" i="34"/>
  <c r="AX86" i="34"/>
  <c r="BS86" i="34" s="1"/>
  <c r="AX85" i="34"/>
  <c r="BS85" i="34" s="1"/>
  <c r="AX84" i="34"/>
  <c r="BS84" i="34" s="1"/>
  <c r="AX83" i="34"/>
  <c r="BS83" i="34" s="1"/>
  <c r="AX82" i="34"/>
  <c r="BS82" i="34" s="1"/>
  <c r="AX81" i="34"/>
  <c r="BS81" i="34" s="1"/>
  <c r="AX80" i="34"/>
  <c r="BS80" i="34" s="1"/>
  <c r="AX79" i="34"/>
  <c r="BS79" i="34" s="1"/>
  <c r="AX78" i="34"/>
  <c r="BS78" i="34" s="1"/>
  <c r="AX77" i="34"/>
  <c r="BS77" i="34" s="1"/>
  <c r="AX76" i="34"/>
  <c r="BS76" i="34" s="1"/>
  <c r="AX75" i="34"/>
  <c r="BS75" i="34" s="1"/>
  <c r="AX74" i="34"/>
  <c r="BS74" i="34" s="1"/>
  <c r="AX73" i="34"/>
  <c r="BS73" i="34" s="1"/>
  <c r="AX71" i="34"/>
  <c r="BS71" i="34" s="1"/>
  <c r="AX70" i="34"/>
  <c r="BS70" i="34" s="1"/>
  <c r="AX69" i="34"/>
  <c r="BS69" i="34" s="1"/>
  <c r="AX68" i="34"/>
  <c r="BS68" i="34" s="1"/>
  <c r="AX67" i="34"/>
  <c r="BS67" i="34" s="1"/>
  <c r="AX66" i="34"/>
  <c r="BS66" i="34" s="1"/>
  <c r="AX65" i="34"/>
  <c r="BS65" i="34" s="1"/>
  <c r="AX64" i="34"/>
  <c r="BS64" i="34" s="1"/>
  <c r="AX63" i="34"/>
  <c r="BS63" i="34" s="1"/>
  <c r="AX62" i="34"/>
  <c r="BS62" i="34" s="1"/>
  <c r="AX61" i="34"/>
  <c r="BS61" i="34" s="1"/>
  <c r="AX60" i="34"/>
  <c r="BS60" i="34" s="1"/>
  <c r="AX356" i="34"/>
  <c r="BQ356" i="34" s="1"/>
  <c r="BS356" i="34" s="1"/>
  <c r="AX59" i="34"/>
  <c r="BS59" i="34" s="1"/>
  <c r="AX58" i="34"/>
  <c r="BS58" i="34" s="1"/>
  <c r="AX57" i="34"/>
  <c r="BS57" i="34" s="1"/>
  <c r="AX56" i="34"/>
  <c r="BS56" i="34" s="1"/>
  <c r="AX55" i="34"/>
  <c r="BS55" i="34" s="1"/>
  <c r="AX54" i="34"/>
  <c r="BS54" i="34" s="1"/>
  <c r="AX53" i="34"/>
  <c r="BS53" i="34" s="1"/>
  <c r="AX52" i="34"/>
  <c r="BS52" i="34" s="1"/>
  <c r="AX51" i="34"/>
  <c r="BS51" i="34" s="1"/>
  <c r="AX50" i="34"/>
  <c r="BS50" i="34" s="1"/>
  <c r="AX49" i="34"/>
  <c r="BS49" i="34" s="1"/>
  <c r="AX48" i="34"/>
  <c r="BS48" i="34" s="1"/>
  <c r="AX47" i="34"/>
  <c r="BS47" i="34" s="1"/>
  <c r="AX355" i="34"/>
  <c r="BQ355" i="34" s="1"/>
  <c r="BS355" i="34" s="1"/>
  <c r="AX46" i="34"/>
  <c r="BS46" i="34" s="1"/>
  <c r="AX45" i="34"/>
  <c r="BS45" i="34" s="1"/>
  <c r="AX44" i="34"/>
  <c r="BS44" i="34" s="1"/>
  <c r="AX43" i="34"/>
  <c r="BS43" i="34" s="1"/>
  <c r="AX42" i="34"/>
  <c r="BS42" i="34" s="1"/>
  <c r="AX41" i="34"/>
  <c r="BS41" i="34" s="1"/>
  <c r="AX40" i="34"/>
  <c r="BS40" i="34" s="1"/>
  <c r="AX39" i="34"/>
  <c r="BS39" i="34" s="1"/>
  <c r="AX38" i="34"/>
  <c r="BS38" i="34" s="1"/>
  <c r="AX37" i="34"/>
  <c r="BS37" i="34" s="1"/>
  <c r="AX36" i="34"/>
  <c r="BS36" i="34" s="1"/>
  <c r="AX35" i="34"/>
  <c r="BS35" i="34" s="1"/>
  <c r="AX34" i="34"/>
  <c r="BS34" i="34" s="1"/>
  <c r="AX33" i="34"/>
  <c r="BS33" i="34" s="1"/>
  <c r="AX32" i="34"/>
  <c r="BS32" i="34" s="1"/>
  <c r="AX31" i="34"/>
  <c r="BS31" i="34" s="1"/>
  <c r="AX30" i="34"/>
  <c r="BS30" i="34" s="1"/>
  <c r="AX29" i="34"/>
  <c r="BS29" i="34" s="1"/>
  <c r="AX28" i="34"/>
  <c r="BS28" i="34" s="1"/>
  <c r="AX351" i="34"/>
  <c r="BQ351" i="34" s="1"/>
  <c r="BS351" i="34" s="1"/>
  <c r="AX27" i="34"/>
  <c r="BS27" i="34" s="1"/>
  <c r="AX26" i="34"/>
  <c r="BS26" i="34" s="1"/>
  <c r="AX25" i="34"/>
  <c r="BS25" i="34" s="1"/>
  <c r="AX24" i="34"/>
  <c r="BS24" i="34" s="1"/>
  <c r="AX23" i="34"/>
  <c r="BS23" i="34" s="1"/>
  <c r="AX22" i="34"/>
  <c r="BS22" i="34" s="1"/>
  <c r="AX21" i="34"/>
  <c r="BS21" i="34" s="1"/>
  <c r="AX20" i="34"/>
  <c r="BS20" i="34" s="1"/>
  <c r="AX19" i="34"/>
  <c r="BS19" i="34" s="1"/>
  <c r="AX18" i="34"/>
  <c r="BS18" i="34" s="1"/>
  <c r="AX17" i="34"/>
  <c r="BS17" i="34" s="1"/>
  <c r="AX16" i="34"/>
  <c r="BS16" i="34" s="1"/>
  <c r="AX15" i="34"/>
  <c r="BS15" i="34" s="1"/>
  <c r="AX14" i="34"/>
  <c r="BS14" i="34" s="1"/>
  <c r="AX13" i="34"/>
  <c r="BS13" i="34" s="1"/>
  <c r="AX12" i="34"/>
  <c r="BS12" i="34" s="1"/>
  <c r="AX11" i="34"/>
  <c r="AX10" i="34"/>
  <c r="BS10" i="34" s="1"/>
  <c r="AX9" i="34"/>
  <c r="BS9" i="34" s="1"/>
  <c r="AX8" i="34"/>
  <c r="BS8" i="34" s="1"/>
  <c r="AX7" i="34"/>
  <c r="BS7" i="34" s="1"/>
  <c r="AX6" i="34"/>
  <c r="BS6" i="34" s="1"/>
  <c r="AX5" i="34"/>
  <c r="BS5" i="34" s="1"/>
  <c r="AX4" i="34"/>
  <c r="BS4" i="34" s="1"/>
  <c r="AX3" i="34"/>
  <c r="BS3" i="34" s="1"/>
  <c r="AX2" i="34"/>
  <c r="AW347" i="34"/>
  <c r="AV347" i="34"/>
  <c r="AU347" i="34"/>
  <c r="AT347" i="34"/>
  <c r="AS347" i="34"/>
  <c r="AR347" i="34"/>
  <c r="AQ347" i="34"/>
  <c r="AP347" i="34"/>
  <c r="AO347" i="34"/>
  <c r="AN347" i="34"/>
  <c r="AM347" i="34"/>
  <c r="AL347" i="34"/>
  <c r="AK347" i="34"/>
  <c r="AJ347" i="34"/>
  <c r="AI347" i="34"/>
  <c r="AH347" i="34"/>
  <c r="AG347" i="34"/>
  <c r="AF347" i="34"/>
  <c r="AE347" i="34"/>
  <c r="AD347" i="34"/>
  <c r="AC347" i="34"/>
  <c r="AB347" i="34"/>
  <c r="AA347" i="34"/>
  <c r="Z347" i="34"/>
  <c r="Y347" i="34"/>
  <c r="X347" i="34"/>
  <c r="W347" i="34"/>
  <c r="V347" i="34"/>
  <c r="U347" i="34"/>
  <c r="T347" i="34"/>
  <c r="S347" i="34"/>
  <c r="R347" i="34"/>
  <c r="Q347" i="34"/>
  <c r="D347" i="34"/>
  <c r="C347" i="34"/>
  <c r="B347" i="34"/>
  <c r="L346" i="34"/>
  <c r="L345" i="34"/>
  <c r="L344" i="34"/>
  <c r="L343" i="34"/>
  <c r="L342" i="34"/>
  <c r="L341" i="34"/>
  <c r="L340" i="34"/>
  <c r="L339" i="34"/>
  <c r="L338" i="34"/>
  <c r="L337" i="34"/>
  <c r="L336" i="34"/>
  <c r="L335" i="34"/>
  <c r="L334" i="34"/>
  <c r="L333" i="34"/>
  <c r="L332" i="34"/>
  <c r="L331" i="34"/>
  <c r="L330" i="34"/>
  <c r="L329" i="34"/>
  <c r="L328" i="34"/>
  <c r="L327" i="34"/>
  <c r="L326" i="34"/>
  <c r="L325" i="34"/>
  <c r="L324" i="34"/>
  <c r="L323" i="34"/>
  <c r="L322" i="34"/>
  <c r="L321" i="34"/>
  <c r="L320" i="34"/>
  <c r="L319" i="34"/>
  <c r="L318" i="34"/>
  <c r="L317" i="34"/>
  <c r="L316" i="34"/>
  <c r="L315" i="34"/>
  <c r="L314" i="34"/>
  <c r="L313"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365"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358"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35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354" i="34"/>
  <c r="L187" i="34"/>
  <c r="L186" i="34"/>
  <c r="L185" i="34"/>
  <c r="L184" i="34"/>
  <c r="L183" i="34"/>
  <c r="L182" i="34"/>
  <c r="L181" i="34"/>
  <c r="L180" i="34"/>
  <c r="L179" i="34"/>
  <c r="L178" i="34"/>
  <c r="L176" i="34"/>
  <c r="L175" i="34"/>
  <c r="L174" i="34"/>
  <c r="L173" i="34"/>
  <c r="L172" i="34"/>
  <c r="L171" i="34"/>
  <c r="L170" i="34"/>
  <c r="L169" i="34"/>
  <c r="L168" i="34"/>
  <c r="L167" i="34"/>
  <c r="L166" i="34"/>
  <c r="L165" i="34"/>
  <c r="L164" i="34"/>
  <c r="L163" i="34"/>
  <c r="L162" i="34"/>
  <c r="L161" i="34"/>
  <c r="L160" i="34"/>
  <c r="L362" i="34"/>
  <c r="L159" i="34"/>
  <c r="L158" i="34"/>
  <c r="L366"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361" i="34"/>
  <c r="L123" i="34"/>
  <c r="L122" i="34"/>
  <c r="L121" i="34"/>
  <c r="L120" i="34"/>
  <c r="L119" i="34"/>
  <c r="L118" i="34"/>
  <c r="L117" i="34"/>
  <c r="L116" i="34"/>
  <c r="L115" i="34"/>
  <c r="L114" i="34"/>
  <c r="L113" i="34"/>
  <c r="L112" i="34"/>
  <c r="L111" i="34"/>
  <c r="L110" i="34"/>
  <c r="L109" i="34"/>
  <c r="L357" i="34"/>
  <c r="L108" i="34"/>
  <c r="L107" i="34"/>
  <c r="L106" i="34"/>
  <c r="L105" i="34"/>
  <c r="L104" i="34"/>
  <c r="L103" i="34"/>
  <c r="L102" i="34"/>
  <c r="L101" i="34"/>
  <c r="L100" i="34"/>
  <c r="L99" i="34"/>
  <c r="L98" i="34"/>
  <c r="L97" i="34"/>
  <c r="L96" i="34"/>
  <c r="L95" i="34"/>
  <c r="L94" i="34"/>
  <c r="L93" i="34"/>
  <c r="L92" i="34"/>
  <c r="L91" i="34"/>
  <c r="L90" i="34"/>
  <c r="L89" i="34"/>
  <c r="L88" i="34"/>
  <c r="L86" i="34"/>
  <c r="L85" i="34"/>
  <c r="L84" i="34"/>
  <c r="L83" i="34"/>
  <c r="L82" i="34"/>
  <c r="L81" i="34"/>
  <c r="L80" i="34"/>
  <c r="L79" i="34"/>
  <c r="L78" i="34"/>
  <c r="L77" i="34"/>
  <c r="L76" i="34"/>
  <c r="L75" i="34"/>
  <c r="L74" i="34"/>
  <c r="L73" i="34"/>
  <c r="L71" i="34"/>
  <c r="L70" i="34"/>
  <c r="L69" i="34"/>
  <c r="L68" i="34"/>
  <c r="L67" i="34"/>
  <c r="L66" i="34"/>
  <c r="L65" i="34"/>
  <c r="L64" i="34"/>
  <c r="L63" i="34"/>
  <c r="L62" i="34"/>
  <c r="L61" i="34"/>
  <c r="L60" i="34"/>
  <c r="L356" i="34"/>
  <c r="L59" i="34"/>
  <c r="L58" i="34"/>
  <c r="L57" i="34"/>
  <c r="L56" i="34"/>
  <c r="L55" i="34"/>
  <c r="L54" i="34"/>
  <c r="L53" i="34"/>
  <c r="L52" i="34"/>
  <c r="L51" i="34"/>
  <c r="L50" i="34"/>
  <c r="L49" i="34"/>
  <c r="L48" i="34"/>
  <c r="L47" i="34"/>
  <c r="L355" i="34"/>
  <c r="L46" i="34"/>
  <c r="L45" i="34"/>
  <c r="L44" i="34"/>
  <c r="L43" i="34"/>
  <c r="L42" i="34"/>
  <c r="L41" i="34"/>
  <c r="L40" i="34"/>
  <c r="L39" i="34"/>
  <c r="L38" i="34"/>
  <c r="L37" i="34"/>
  <c r="L36" i="34"/>
  <c r="L35" i="34"/>
  <c r="L34" i="34"/>
  <c r="L33" i="34"/>
  <c r="L32" i="34"/>
  <c r="L31" i="34"/>
  <c r="L30" i="34"/>
  <c r="L29" i="34"/>
  <c r="L28" i="34"/>
  <c r="L351" i="34"/>
  <c r="L27" i="34"/>
  <c r="L26" i="34"/>
  <c r="L25" i="34"/>
  <c r="L24" i="34"/>
  <c r="L23" i="34"/>
  <c r="L22" i="34"/>
  <c r="L21" i="34"/>
  <c r="L20" i="34"/>
  <c r="L19" i="34"/>
  <c r="L18" i="34"/>
  <c r="L17" i="34"/>
  <c r="L16" i="34"/>
  <c r="L15" i="34"/>
  <c r="L14" i="34"/>
  <c r="L13" i="34"/>
  <c r="L12" i="34"/>
  <c r="L11" i="34"/>
  <c r="L10" i="34"/>
  <c r="L9" i="34"/>
  <c r="L8" i="34"/>
  <c r="L7" i="34"/>
  <c r="L6" i="34"/>
  <c r="L5" i="34"/>
  <c r="L4" i="34"/>
  <c r="L3" i="34"/>
  <c r="L2" i="34"/>
  <c r="K346" i="34"/>
  <c r="K345" i="34"/>
  <c r="K344" i="34"/>
  <c r="K343" i="34"/>
  <c r="K342" i="34"/>
  <c r="K341" i="34"/>
  <c r="K340" i="34"/>
  <c r="K339" i="34"/>
  <c r="K338" i="34"/>
  <c r="K337" i="34"/>
  <c r="K336" i="34"/>
  <c r="K335" i="34"/>
  <c r="K334" i="34"/>
  <c r="K333" i="34"/>
  <c r="K332" i="34"/>
  <c r="K331" i="34"/>
  <c r="K330" i="34"/>
  <c r="K329" i="34"/>
  <c r="K328" i="34"/>
  <c r="K327" i="34"/>
  <c r="K326" i="34"/>
  <c r="K325" i="34"/>
  <c r="K324" i="34"/>
  <c r="K323" i="34"/>
  <c r="K322" i="34"/>
  <c r="K321" i="34"/>
  <c r="K320" i="34"/>
  <c r="K319" i="34"/>
  <c r="K318" i="34"/>
  <c r="K317" i="34"/>
  <c r="K316" i="34"/>
  <c r="K315" i="34"/>
  <c r="K314" i="34"/>
  <c r="K313" i="34"/>
  <c r="K312" i="34"/>
  <c r="K311" i="34"/>
  <c r="K310" i="34"/>
  <c r="K309" i="34"/>
  <c r="K308" i="34"/>
  <c r="K307" i="34"/>
  <c r="K306" i="34"/>
  <c r="K305" i="34"/>
  <c r="K304" i="34"/>
  <c r="K303" i="34"/>
  <c r="K302" i="34"/>
  <c r="K301" i="34"/>
  <c r="K300" i="34"/>
  <c r="K299" i="34"/>
  <c r="K298" i="34"/>
  <c r="K297" i="34"/>
  <c r="K296" i="34"/>
  <c r="K295" i="34"/>
  <c r="K294" i="34"/>
  <c r="K293" i="34"/>
  <c r="K292" i="34"/>
  <c r="K291" i="34"/>
  <c r="K290" i="34"/>
  <c r="K289" i="34"/>
  <c r="K288" i="34"/>
  <c r="K287" i="34"/>
  <c r="K286" i="34"/>
  <c r="K285" i="34"/>
  <c r="K284" i="34"/>
  <c r="K283" i="34"/>
  <c r="K365" i="34"/>
  <c r="K282" i="34"/>
  <c r="K281" i="34"/>
  <c r="K280" i="34"/>
  <c r="K279" i="34"/>
  <c r="K278" i="34"/>
  <c r="K277" i="34"/>
  <c r="K276" i="34"/>
  <c r="K275" i="34"/>
  <c r="K274" i="34"/>
  <c r="K273" i="34"/>
  <c r="K272" i="34"/>
  <c r="K271" i="34"/>
  <c r="K270" i="34"/>
  <c r="K269" i="34"/>
  <c r="K268" i="34"/>
  <c r="K267" i="34"/>
  <c r="K266" i="34"/>
  <c r="K265" i="34"/>
  <c r="K264" i="34"/>
  <c r="K263" i="34"/>
  <c r="K262" i="34"/>
  <c r="K261" i="34"/>
  <c r="K260" i="34"/>
  <c r="K259" i="34"/>
  <c r="K258" i="34"/>
  <c r="K257" i="34"/>
  <c r="K256" i="34"/>
  <c r="K358" i="34"/>
  <c r="K255" i="34"/>
  <c r="K254" i="34"/>
  <c r="K253" i="34"/>
  <c r="K252" i="34"/>
  <c r="K251" i="34"/>
  <c r="K250" i="34"/>
  <c r="K249" i="34"/>
  <c r="K248" i="34"/>
  <c r="K247" i="34"/>
  <c r="K246" i="34"/>
  <c r="K245" i="34"/>
  <c r="K244" i="34"/>
  <c r="K243" i="34"/>
  <c r="K242" i="34"/>
  <c r="K241" i="34"/>
  <c r="K240" i="34"/>
  <c r="K239" i="34"/>
  <c r="K238" i="34"/>
  <c r="K237" i="34"/>
  <c r="K236" i="34"/>
  <c r="K235" i="34"/>
  <c r="K234" i="34"/>
  <c r="K233" i="34"/>
  <c r="K232" i="34"/>
  <c r="K231" i="34"/>
  <c r="K350" i="34"/>
  <c r="K229" i="34"/>
  <c r="K228" i="34"/>
  <c r="K227" i="34"/>
  <c r="K226" i="34"/>
  <c r="K225" i="34"/>
  <c r="K224" i="34"/>
  <c r="K223" i="34"/>
  <c r="K222" i="34"/>
  <c r="K221" i="34"/>
  <c r="K220" i="34"/>
  <c r="K219" i="34"/>
  <c r="K218" i="34"/>
  <c r="K217" i="34"/>
  <c r="K216" i="34"/>
  <c r="K215" i="34"/>
  <c r="K214" i="34"/>
  <c r="K213" i="34"/>
  <c r="K212" i="34"/>
  <c r="K211" i="34"/>
  <c r="K210" i="34"/>
  <c r="K209" i="34"/>
  <c r="K208" i="34"/>
  <c r="K207" i="34"/>
  <c r="K206" i="34"/>
  <c r="K205" i="34"/>
  <c r="K204" i="34"/>
  <c r="K203" i="34"/>
  <c r="K202" i="34"/>
  <c r="K201" i="34"/>
  <c r="K200" i="34"/>
  <c r="K199" i="34"/>
  <c r="K198" i="34"/>
  <c r="K197" i="34"/>
  <c r="K196" i="34"/>
  <c r="K195" i="34"/>
  <c r="K194" i="34"/>
  <c r="K193" i="34"/>
  <c r="K192" i="34"/>
  <c r="K191" i="34"/>
  <c r="K190" i="34"/>
  <c r="K189" i="34"/>
  <c r="K188" i="34"/>
  <c r="K354" i="34"/>
  <c r="K187" i="34"/>
  <c r="K186" i="34"/>
  <c r="K185" i="34"/>
  <c r="K184" i="34"/>
  <c r="K183" i="34"/>
  <c r="K182" i="34"/>
  <c r="K181" i="34"/>
  <c r="K180" i="34"/>
  <c r="K179" i="34"/>
  <c r="K178" i="34"/>
  <c r="K176" i="34"/>
  <c r="K175" i="34"/>
  <c r="K174" i="34"/>
  <c r="K173" i="34"/>
  <c r="K172" i="34"/>
  <c r="K171" i="34"/>
  <c r="K170" i="34"/>
  <c r="K169" i="34"/>
  <c r="K168" i="34"/>
  <c r="K167" i="34"/>
  <c r="K166" i="34"/>
  <c r="K165" i="34"/>
  <c r="K164" i="34"/>
  <c r="K163" i="34"/>
  <c r="K162" i="34"/>
  <c r="K161" i="34"/>
  <c r="K160" i="34"/>
  <c r="K362" i="34"/>
  <c r="K159" i="34"/>
  <c r="K158" i="34"/>
  <c r="K366" i="34"/>
  <c r="K156" i="34"/>
  <c r="K155" i="34"/>
  <c r="K154" i="34"/>
  <c r="K153" i="34"/>
  <c r="K152" i="34"/>
  <c r="K151" i="34"/>
  <c r="K150" i="34"/>
  <c r="K149" i="34"/>
  <c r="K148" i="34"/>
  <c r="K147" i="34"/>
  <c r="K146" i="34"/>
  <c r="K145" i="34"/>
  <c r="K144" i="34"/>
  <c r="K143" i="34"/>
  <c r="K142" i="34"/>
  <c r="K141" i="34"/>
  <c r="K140" i="34"/>
  <c r="K139" i="34"/>
  <c r="K138" i="34"/>
  <c r="K137" i="34"/>
  <c r="K136" i="34"/>
  <c r="K135" i="34"/>
  <c r="K134" i="34"/>
  <c r="K133" i="34"/>
  <c r="K132" i="34"/>
  <c r="K131" i="34"/>
  <c r="K130" i="34"/>
  <c r="K129" i="34"/>
  <c r="K128" i="34"/>
  <c r="K127" i="34"/>
  <c r="K126" i="34"/>
  <c r="K125" i="34"/>
  <c r="K124" i="34"/>
  <c r="K361" i="34"/>
  <c r="K123" i="34"/>
  <c r="K122" i="34"/>
  <c r="K121" i="34"/>
  <c r="K120" i="34"/>
  <c r="K119" i="34"/>
  <c r="K118" i="34"/>
  <c r="K117" i="34"/>
  <c r="K116" i="34"/>
  <c r="K115" i="34"/>
  <c r="K114" i="34"/>
  <c r="K113" i="34"/>
  <c r="K112" i="34"/>
  <c r="K111" i="34"/>
  <c r="K110" i="34"/>
  <c r="K109" i="34"/>
  <c r="K357" i="34"/>
  <c r="K108" i="34"/>
  <c r="K107" i="34"/>
  <c r="K106" i="34"/>
  <c r="K105" i="34"/>
  <c r="K104" i="34"/>
  <c r="K103" i="34"/>
  <c r="K102" i="34"/>
  <c r="K101" i="34"/>
  <c r="K100" i="34"/>
  <c r="K99" i="34"/>
  <c r="K98" i="34"/>
  <c r="K97" i="34"/>
  <c r="K96" i="34"/>
  <c r="K95" i="34"/>
  <c r="K94" i="34"/>
  <c r="K93" i="34"/>
  <c r="K92" i="34"/>
  <c r="K91" i="34"/>
  <c r="K90" i="34"/>
  <c r="K89" i="34"/>
  <c r="K88" i="34"/>
  <c r="K86" i="34"/>
  <c r="K85" i="34"/>
  <c r="K84" i="34"/>
  <c r="K83" i="34"/>
  <c r="K82" i="34"/>
  <c r="K81" i="34"/>
  <c r="K80" i="34"/>
  <c r="K79" i="34"/>
  <c r="K78" i="34"/>
  <c r="K77" i="34"/>
  <c r="K76" i="34"/>
  <c r="K75" i="34"/>
  <c r="K74" i="34"/>
  <c r="K73" i="34"/>
  <c r="K71" i="34"/>
  <c r="K70" i="34"/>
  <c r="K69" i="34"/>
  <c r="K68" i="34"/>
  <c r="K67" i="34"/>
  <c r="K66" i="34"/>
  <c r="K65" i="34"/>
  <c r="K64" i="34"/>
  <c r="K63" i="34"/>
  <c r="K62" i="34"/>
  <c r="K61" i="34"/>
  <c r="K60" i="34"/>
  <c r="K356" i="34"/>
  <c r="K59" i="34"/>
  <c r="K58" i="34"/>
  <c r="K57" i="34"/>
  <c r="K56" i="34"/>
  <c r="K55" i="34"/>
  <c r="K54" i="34"/>
  <c r="K53" i="34"/>
  <c r="K52" i="34"/>
  <c r="K51" i="34"/>
  <c r="K50" i="34"/>
  <c r="K49" i="34"/>
  <c r="K48" i="34"/>
  <c r="K47" i="34"/>
  <c r="K355" i="34"/>
  <c r="K46" i="34"/>
  <c r="K45" i="34"/>
  <c r="K44" i="34"/>
  <c r="K43" i="34"/>
  <c r="K42" i="34"/>
  <c r="K41" i="34"/>
  <c r="K40" i="34"/>
  <c r="K39" i="34"/>
  <c r="K38" i="34"/>
  <c r="K37" i="34"/>
  <c r="K36" i="34"/>
  <c r="K35" i="34"/>
  <c r="K34" i="34"/>
  <c r="K33" i="34"/>
  <c r="K32" i="34"/>
  <c r="K31" i="34"/>
  <c r="K30" i="34"/>
  <c r="K29" i="34"/>
  <c r="K28" i="34"/>
  <c r="K351" i="34"/>
  <c r="K27" i="34"/>
  <c r="K26" i="34"/>
  <c r="K25" i="34"/>
  <c r="K24" i="34"/>
  <c r="K23" i="34"/>
  <c r="K22" i="34"/>
  <c r="K21" i="34"/>
  <c r="K20" i="34"/>
  <c r="K19" i="34"/>
  <c r="K18" i="34"/>
  <c r="K17" i="34"/>
  <c r="K16" i="34"/>
  <c r="K15" i="34"/>
  <c r="K14" i="34"/>
  <c r="K13" i="34"/>
  <c r="K12" i="34"/>
  <c r="K11" i="34"/>
  <c r="K10" i="34"/>
  <c r="K9" i="34"/>
  <c r="K8" i="34"/>
  <c r="K7" i="34"/>
  <c r="K6" i="34"/>
  <c r="K5" i="34"/>
  <c r="K4" i="34"/>
  <c r="K3" i="34"/>
  <c r="K2" i="34"/>
  <c r="P33" i="28"/>
  <c r="P29" i="28" s="1"/>
  <c r="C175" i="32"/>
  <c r="S89" i="21"/>
  <c r="T89" i="21"/>
  <c r="U89" i="21" s="1"/>
  <c r="I378" i="35"/>
  <c r="C45" i="6"/>
  <c r="AB373" i="30"/>
  <c r="AA373" i="30"/>
  <c r="Z373" i="30"/>
  <c r="Y373" i="30"/>
  <c r="X373" i="30"/>
  <c r="W373" i="30"/>
  <c r="V373" i="30"/>
  <c r="U373" i="30"/>
  <c r="T373" i="30"/>
  <c r="S373" i="30"/>
  <c r="R373" i="30"/>
  <c r="Q373" i="30"/>
  <c r="P373" i="30"/>
  <c r="O373" i="30"/>
  <c r="N373" i="30"/>
  <c r="M373" i="30"/>
  <c r="L373" i="30"/>
  <c r="K373" i="30"/>
  <c r="J373" i="30"/>
  <c r="I373" i="30"/>
  <c r="H373" i="30"/>
  <c r="G373" i="30"/>
  <c r="F373" i="30"/>
  <c r="E373" i="30"/>
  <c r="D373" i="30"/>
  <c r="C373" i="30"/>
  <c r="B373" i="30"/>
  <c r="AB370" i="30"/>
  <c r="AA370" i="30"/>
  <c r="Z370" i="30"/>
  <c r="Y370" i="30"/>
  <c r="X370" i="30"/>
  <c r="W370" i="30"/>
  <c r="V370" i="30"/>
  <c r="U370" i="30"/>
  <c r="T370" i="30"/>
  <c r="S370" i="30"/>
  <c r="R370" i="30"/>
  <c r="Q370" i="30"/>
  <c r="P370" i="30"/>
  <c r="O370" i="30"/>
  <c r="N370" i="30"/>
  <c r="M370" i="30"/>
  <c r="L370" i="30"/>
  <c r="K370" i="30"/>
  <c r="J370" i="30"/>
  <c r="I370" i="30"/>
  <c r="H370" i="30"/>
  <c r="G370" i="30"/>
  <c r="F370" i="30"/>
  <c r="E370" i="30"/>
  <c r="D370" i="30"/>
  <c r="C370" i="30"/>
  <c r="B370" i="30"/>
  <c r="AM369" i="30"/>
  <c r="AD369" i="30"/>
  <c r="AB367" i="30"/>
  <c r="AA367" i="30"/>
  <c r="Z367" i="30"/>
  <c r="Y367" i="30"/>
  <c r="X367" i="30"/>
  <c r="W367" i="30"/>
  <c r="V367" i="30"/>
  <c r="U367" i="30"/>
  <c r="T367" i="30"/>
  <c r="S367" i="30"/>
  <c r="R367" i="30"/>
  <c r="Q367" i="30"/>
  <c r="P367" i="30"/>
  <c r="O367" i="30"/>
  <c r="N367" i="30"/>
  <c r="M367" i="30"/>
  <c r="L367" i="30"/>
  <c r="K367" i="30"/>
  <c r="J367" i="30"/>
  <c r="I367" i="30"/>
  <c r="H367" i="30"/>
  <c r="G367" i="30"/>
  <c r="F367" i="30"/>
  <c r="E367" i="30"/>
  <c r="D367" i="30"/>
  <c r="C367" i="30"/>
  <c r="B367" i="30"/>
  <c r="AB364" i="30"/>
  <c r="AA364" i="30"/>
  <c r="Z364" i="30"/>
  <c r="Y364" i="30"/>
  <c r="X364" i="30"/>
  <c r="W364" i="30"/>
  <c r="V364" i="30"/>
  <c r="U364" i="30"/>
  <c r="T364" i="30"/>
  <c r="S364" i="30"/>
  <c r="R364" i="30"/>
  <c r="Q364" i="30"/>
  <c r="P364" i="30"/>
  <c r="O364" i="30"/>
  <c r="N364" i="30"/>
  <c r="M364" i="30"/>
  <c r="L364" i="30"/>
  <c r="K364" i="30"/>
  <c r="J364" i="30"/>
  <c r="I364" i="30"/>
  <c r="H364" i="30"/>
  <c r="G364" i="30"/>
  <c r="F364" i="30"/>
  <c r="E364" i="30"/>
  <c r="D364" i="30"/>
  <c r="C364" i="30"/>
  <c r="B364" i="30"/>
  <c r="AL359" i="30"/>
  <c r="AK359" i="30"/>
  <c r="AB359" i="30"/>
  <c r="AA359" i="30"/>
  <c r="Z359" i="30"/>
  <c r="Y359" i="30"/>
  <c r="X359" i="30"/>
  <c r="W359" i="30"/>
  <c r="V359" i="30"/>
  <c r="U359" i="30"/>
  <c r="T359" i="30"/>
  <c r="S359" i="30"/>
  <c r="R359" i="30"/>
  <c r="Q359" i="30"/>
  <c r="P359" i="30"/>
  <c r="O359" i="30"/>
  <c r="N359" i="30"/>
  <c r="M359" i="30"/>
  <c r="L359" i="30"/>
  <c r="K359" i="30"/>
  <c r="J359" i="30"/>
  <c r="I359" i="30"/>
  <c r="H359" i="30"/>
  <c r="G359" i="30"/>
  <c r="F359" i="30"/>
  <c r="E359" i="30"/>
  <c r="D359" i="30"/>
  <c r="C359" i="30"/>
  <c r="B359" i="30"/>
  <c r="AF367" i="30" l="1"/>
  <c r="AJ367" i="30"/>
  <c r="AM367" i="30" s="1"/>
  <c r="AJ373" i="30"/>
  <c r="AP367" i="30"/>
  <c r="BS11" i="34"/>
  <c r="K363" i="34"/>
  <c r="L359" i="34"/>
  <c r="L363" i="34"/>
  <c r="K359" i="34"/>
  <c r="BQ354" i="34"/>
  <c r="AX359" i="34"/>
  <c r="L367" i="34"/>
  <c r="K367" i="34"/>
  <c r="BQ365" i="34"/>
  <c r="AX367" i="34"/>
  <c r="BQ361" i="34"/>
  <c r="AX363" i="34"/>
  <c r="BQ350" i="34"/>
  <c r="AX352" i="34"/>
  <c r="L352" i="34"/>
  <c r="K352" i="34"/>
  <c r="AN364" i="30"/>
  <c r="AO370" i="30"/>
  <c r="AD364" i="30"/>
  <c r="AN367" i="30"/>
  <c r="AO367" i="30"/>
  <c r="AF370" i="30"/>
  <c r="AD367" i="30"/>
  <c r="AN370" i="30"/>
  <c r="AD373" i="30"/>
  <c r="AE373" i="30"/>
  <c r="AI373" i="30"/>
  <c r="AD370" i="30"/>
  <c r="AF373" i="30"/>
  <c r="AG367" i="30"/>
  <c r="AI367" i="30"/>
  <c r="AG370" i="30"/>
  <c r="AP370" i="30"/>
  <c r="AG373" i="30"/>
  <c r="AF364" i="30"/>
  <c r="AO364" i="30"/>
  <c r="AI370" i="30"/>
  <c r="AJ370" i="30"/>
  <c r="P6" i="28"/>
  <c r="P4" i="28" s="1"/>
  <c r="N6" i="28"/>
  <c r="N4" i="28" s="1"/>
  <c r="P7" i="28"/>
  <c r="P5" i="28" s="1"/>
  <c r="O7" i="28"/>
  <c r="O5" i="28" s="1"/>
  <c r="O6" i="28"/>
  <c r="O4" i="28" s="1"/>
  <c r="N7" i="28"/>
  <c r="N5" i="28" s="1"/>
  <c r="BS315" i="34"/>
  <c r="L347" i="34"/>
  <c r="K347" i="34"/>
  <c r="T284" i="21"/>
  <c r="T312" i="21"/>
  <c r="X89" i="21"/>
  <c r="T214" i="21"/>
  <c r="T49" i="21"/>
  <c r="AE370" i="30"/>
  <c r="AE367" i="30"/>
  <c r="AH367" i="30" s="1"/>
  <c r="AE364" i="30"/>
  <c r="AJ364" i="30"/>
  <c r="AI364" i="30"/>
  <c r="AP364" i="30"/>
  <c r="AG364" i="30"/>
  <c r="U49" i="21" l="1"/>
  <c r="X49" i="21" s="1"/>
  <c r="U214" i="21"/>
  <c r="X214" i="21" s="1"/>
  <c r="U312" i="21"/>
  <c r="V312" i="21" s="1"/>
  <c r="U284" i="21"/>
  <c r="V284" i="21" s="1"/>
  <c r="BS354" i="34"/>
  <c r="BQ359" i="34"/>
  <c r="BS359" i="34" s="1"/>
  <c r="BS365" i="34"/>
  <c r="BQ367" i="34"/>
  <c r="BS367" i="34" s="1"/>
  <c r="BS361" i="34"/>
  <c r="BQ363" i="34"/>
  <c r="BS363" i="34" s="1"/>
  <c r="BS350" i="34"/>
  <c r="BS352" i="34" s="1"/>
  <c r="BQ352" i="34"/>
  <c r="AH370" i="30"/>
  <c r="AH373" i="30"/>
  <c r="V49" i="21"/>
  <c r="V89" i="21"/>
  <c r="AH364" i="30"/>
  <c r="V214" i="21"/>
  <c r="G17" i="28"/>
  <c r="H17" i="28"/>
  <c r="H16" i="28"/>
  <c r="G16" i="28"/>
  <c r="N346" i="34"/>
  <c r="N345" i="34"/>
  <c r="N344" i="34"/>
  <c r="N343" i="34"/>
  <c r="N342" i="34"/>
  <c r="N341" i="34"/>
  <c r="N340" i="34"/>
  <c r="N339" i="34"/>
  <c r="N338" i="34"/>
  <c r="N337" i="34"/>
  <c r="N336" i="34"/>
  <c r="N335" i="34"/>
  <c r="N334" i="34"/>
  <c r="N333" i="34"/>
  <c r="N332" i="34"/>
  <c r="N331" i="34"/>
  <c r="N330" i="34"/>
  <c r="N329" i="34"/>
  <c r="N328" i="34"/>
  <c r="N327" i="34"/>
  <c r="N326" i="34"/>
  <c r="N325" i="34"/>
  <c r="N324" i="34"/>
  <c r="N323" i="34"/>
  <c r="N322" i="34"/>
  <c r="N321" i="34"/>
  <c r="N320" i="34"/>
  <c r="N319" i="34"/>
  <c r="N318" i="34"/>
  <c r="N317" i="34"/>
  <c r="N316" i="34"/>
  <c r="N315" i="34"/>
  <c r="N314" i="34"/>
  <c r="N313" i="34"/>
  <c r="N312" i="34"/>
  <c r="N311" i="34"/>
  <c r="N310" i="34"/>
  <c r="N309" i="34"/>
  <c r="N308" i="34"/>
  <c r="N307" i="34"/>
  <c r="N306" i="34"/>
  <c r="N305" i="34"/>
  <c r="N304" i="34"/>
  <c r="N303" i="34"/>
  <c r="N302" i="34"/>
  <c r="N301" i="34"/>
  <c r="N300" i="34"/>
  <c r="N299" i="34"/>
  <c r="N298" i="34"/>
  <c r="N297" i="34"/>
  <c r="N296" i="34"/>
  <c r="N295" i="34"/>
  <c r="N294" i="34"/>
  <c r="N293" i="34"/>
  <c r="N292" i="34"/>
  <c r="N291" i="34"/>
  <c r="N290" i="34"/>
  <c r="N289" i="34"/>
  <c r="N288" i="34"/>
  <c r="N287" i="34"/>
  <c r="N286" i="34"/>
  <c r="N285" i="34"/>
  <c r="N284" i="34"/>
  <c r="N283" i="34"/>
  <c r="N365" i="34"/>
  <c r="N282" i="34"/>
  <c r="N281" i="34"/>
  <c r="N280" i="34"/>
  <c r="N279" i="34"/>
  <c r="N278" i="34"/>
  <c r="N277" i="34"/>
  <c r="N276" i="34"/>
  <c r="N275" i="34"/>
  <c r="N274" i="34"/>
  <c r="N273" i="34"/>
  <c r="N272" i="34"/>
  <c r="N271" i="34"/>
  <c r="N270" i="34"/>
  <c r="N269" i="34"/>
  <c r="N268" i="34"/>
  <c r="N267" i="34"/>
  <c r="N266" i="34"/>
  <c r="N265" i="34"/>
  <c r="N264" i="34"/>
  <c r="N263" i="34"/>
  <c r="N262" i="34"/>
  <c r="N261" i="34"/>
  <c r="N260" i="34"/>
  <c r="N259" i="34"/>
  <c r="N258" i="34"/>
  <c r="N257" i="34"/>
  <c r="N256" i="34"/>
  <c r="N358" i="34"/>
  <c r="N255" i="34"/>
  <c r="N254" i="34"/>
  <c r="N253" i="34"/>
  <c r="N252" i="34"/>
  <c r="N251" i="34"/>
  <c r="N250" i="34"/>
  <c r="N249" i="34"/>
  <c r="N248" i="34"/>
  <c r="N247" i="34"/>
  <c r="N246" i="34"/>
  <c r="N245" i="34"/>
  <c r="N244" i="34"/>
  <c r="N243" i="34"/>
  <c r="N242" i="34"/>
  <c r="N241" i="34"/>
  <c r="N240" i="34"/>
  <c r="N239" i="34"/>
  <c r="N238" i="34"/>
  <c r="N237" i="34"/>
  <c r="N236" i="34"/>
  <c r="N235" i="34"/>
  <c r="N234" i="34"/>
  <c r="N233" i="34"/>
  <c r="N232" i="34"/>
  <c r="N231" i="34"/>
  <c r="N350" i="34"/>
  <c r="N229" i="34"/>
  <c r="N228" i="34"/>
  <c r="N227" i="34"/>
  <c r="N226" i="34"/>
  <c r="N225" i="34"/>
  <c r="N224" i="34"/>
  <c r="N223" i="34"/>
  <c r="N222" i="34"/>
  <c r="N221" i="34"/>
  <c r="N220" i="34"/>
  <c r="N219" i="34"/>
  <c r="N218" i="34"/>
  <c r="N217" i="34"/>
  <c r="N216" i="34"/>
  <c r="N215" i="34"/>
  <c r="N214" i="34"/>
  <c r="N213" i="34"/>
  <c r="N212" i="34"/>
  <c r="N211" i="34"/>
  <c r="N210" i="34"/>
  <c r="N209" i="34"/>
  <c r="N208" i="34"/>
  <c r="N207" i="34"/>
  <c r="N206" i="34"/>
  <c r="N205" i="34"/>
  <c r="N204" i="34"/>
  <c r="N203" i="34"/>
  <c r="N202" i="34"/>
  <c r="N201" i="34"/>
  <c r="N200" i="34"/>
  <c r="N199" i="34"/>
  <c r="N198" i="34"/>
  <c r="N197" i="34"/>
  <c r="N196" i="34"/>
  <c r="N195" i="34"/>
  <c r="N194" i="34"/>
  <c r="N193" i="34"/>
  <c r="N192" i="34"/>
  <c r="N191" i="34"/>
  <c r="N190" i="34"/>
  <c r="N189" i="34"/>
  <c r="N188" i="34"/>
  <c r="N354" i="34"/>
  <c r="N187" i="34"/>
  <c r="N186" i="34"/>
  <c r="N185" i="34"/>
  <c r="N184" i="34"/>
  <c r="N183" i="34"/>
  <c r="N182" i="34"/>
  <c r="N181" i="34"/>
  <c r="N180" i="34"/>
  <c r="N179" i="34"/>
  <c r="N178" i="34"/>
  <c r="N176" i="34"/>
  <c r="N175" i="34"/>
  <c r="N174" i="34"/>
  <c r="N173" i="34"/>
  <c r="N172" i="34"/>
  <c r="N171" i="34"/>
  <c r="N170" i="34"/>
  <c r="N169" i="34"/>
  <c r="N168" i="34"/>
  <c r="N167" i="34"/>
  <c r="N166" i="34"/>
  <c r="N165" i="34"/>
  <c r="N164" i="34"/>
  <c r="N163" i="34"/>
  <c r="N162" i="34"/>
  <c r="N161" i="34"/>
  <c r="N160" i="34"/>
  <c r="N362" i="34"/>
  <c r="N159" i="34"/>
  <c r="N158" i="34"/>
  <c r="N366" i="34"/>
  <c r="N156" i="34"/>
  <c r="N155" i="34"/>
  <c r="N154" i="34"/>
  <c r="N153" i="34"/>
  <c r="N152" i="34"/>
  <c r="N151" i="34"/>
  <c r="N150" i="34"/>
  <c r="N149" i="34"/>
  <c r="N148" i="34"/>
  <c r="N147" i="34"/>
  <c r="N146" i="34"/>
  <c r="N145" i="34"/>
  <c r="N144" i="34"/>
  <c r="N143" i="34"/>
  <c r="N142" i="34"/>
  <c r="N141" i="34"/>
  <c r="N140" i="34"/>
  <c r="N139" i="34"/>
  <c r="N138" i="34"/>
  <c r="N137" i="34"/>
  <c r="N136" i="34"/>
  <c r="N135" i="34"/>
  <c r="N134" i="34"/>
  <c r="N133" i="34"/>
  <c r="N132" i="34"/>
  <c r="N131" i="34"/>
  <c r="N130" i="34"/>
  <c r="N129" i="34"/>
  <c r="N128" i="34"/>
  <c r="N127" i="34"/>
  <c r="N126" i="34"/>
  <c r="N125" i="34"/>
  <c r="N124" i="34"/>
  <c r="N361" i="34"/>
  <c r="N123" i="34"/>
  <c r="N122" i="34"/>
  <c r="N121" i="34"/>
  <c r="N120" i="34"/>
  <c r="N119" i="34"/>
  <c r="N118" i="34"/>
  <c r="N117" i="34"/>
  <c r="N116" i="34"/>
  <c r="N115" i="34"/>
  <c r="N114" i="34"/>
  <c r="N113" i="34"/>
  <c r="N112" i="34"/>
  <c r="N111" i="34"/>
  <c r="N110" i="34"/>
  <c r="N109" i="34"/>
  <c r="N357" i="34"/>
  <c r="N108" i="34"/>
  <c r="N107" i="34"/>
  <c r="N106" i="34"/>
  <c r="N105" i="34"/>
  <c r="N104" i="34"/>
  <c r="N103" i="34"/>
  <c r="N102" i="34"/>
  <c r="N101" i="34"/>
  <c r="N100" i="34"/>
  <c r="N99" i="34"/>
  <c r="N98" i="34"/>
  <c r="N97" i="34"/>
  <c r="N96" i="34"/>
  <c r="N95" i="34"/>
  <c r="N94" i="34"/>
  <c r="N93" i="34"/>
  <c r="N92" i="34"/>
  <c r="N91" i="34"/>
  <c r="N90" i="34"/>
  <c r="N89" i="34"/>
  <c r="N88" i="34"/>
  <c r="N86" i="34"/>
  <c r="N85" i="34"/>
  <c r="N84" i="34"/>
  <c r="N83" i="34"/>
  <c r="N82" i="34"/>
  <c r="N81" i="34"/>
  <c r="N80" i="34"/>
  <c r="N79" i="34"/>
  <c r="N78" i="34"/>
  <c r="N77" i="34"/>
  <c r="N76" i="34"/>
  <c r="N75" i="34"/>
  <c r="N74" i="34"/>
  <c r="N73" i="34"/>
  <c r="N71" i="34"/>
  <c r="N70" i="34"/>
  <c r="N69" i="34"/>
  <c r="N68" i="34"/>
  <c r="N67" i="34"/>
  <c r="N66" i="34"/>
  <c r="N65" i="34"/>
  <c r="N64" i="34"/>
  <c r="N63" i="34"/>
  <c r="N62" i="34"/>
  <c r="N61" i="34"/>
  <c r="N60" i="34"/>
  <c r="N356" i="34"/>
  <c r="N59" i="34"/>
  <c r="N58" i="34"/>
  <c r="N57" i="34"/>
  <c r="N56" i="34"/>
  <c r="N55" i="34"/>
  <c r="N54" i="34"/>
  <c r="N53" i="34"/>
  <c r="N52" i="34"/>
  <c r="N51" i="34"/>
  <c r="N50" i="34"/>
  <c r="N49" i="34"/>
  <c r="N48" i="34"/>
  <c r="N47" i="34"/>
  <c r="N355" i="34"/>
  <c r="N46" i="34"/>
  <c r="N45" i="34"/>
  <c r="N44" i="34"/>
  <c r="N43" i="34"/>
  <c r="N42" i="34"/>
  <c r="N41" i="34"/>
  <c r="N40" i="34"/>
  <c r="N39" i="34"/>
  <c r="N38" i="34"/>
  <c r="N37" i="34"/>
  <c r="N36" i="34"/>
  <c r="N35" i="34"/>
  <c r="N34" i="34"/>
  <c r="N33" i="34"/>
  <c r="N32" i="34"/>
  <c r="N31" i="34"/>
  <c r="N30" i="34"/>
  <c r="N29" i="34"/>
  <c r="N28" i="34"/>
  <c r="N351" i="34"/>
  <c r="N27" i="34"/>
  <c r="N26" i="34"/>
  <c r="N25" i="34"/>
  <c r="N24" i="34"/>
  <c r="N23" i="34"/>
  <c r="N22" i="34"/>
  <c r="N21" i="34"/>
  <c r="N20" i="34"/>
  <c r="N19" i="34"/>
  <c r="N18" i="34"/>
  <c r="N17" i="34"/>
  <c r="N16" i="34"/>
  <c r="N15" i="34"/>
  <c r="N14" i="34"/>
  <c r="N13" i="34"/>
  <c r="N12" i="34"/>
  <c r="N11" i="34"/>
  <c r="N10" i="34"/>
  <c r="N9" i="34"/>
  <c r="N8" i="34"/>
  <c r="N7" i="34"/>
  <c r="N6" i="34"/>
  <c r="N5" i="34"/>
  <c r="N4" i="34"/>
  <c r="N3" i="34"/>
  <c r="N2" i="34"/>
  <c r="M346" i="34"/>
  <c r="M345" i="34"/>
  <c r="M344" i="34"/>
  <c r="M343" i="34"/>
  <c r="M342" i="34"/>
  <c r="M341" i="34"/>
  <c r="M340" i="34"/>
  <c r="M339" i="34"/>
  <c r="M338" i="34"/>
  <c r="M337" i="34"/>
  <c r="M336" i="34"/>
  <c r="M335" i="34"/>
  <c r="M334" i="34"/>
  <c r="M333" i="34"/>
  <c r="M332" i="34"/>
  <c r="M331" i="34"/>
  <c r="M330" i="34"/>
  <c r="M329" i="34"/>
  <c r="M328" i="34"/>
  <c r="M327" i="34"/>
  <c r="M326" i="34"/>
  <c r="M325" i="34"/>
  <c r="M324" i="34"/>
  <c r="M323" i="34"/>
  <c r="M322" i="34"/>
  <c r="M321" i="34"/>
  <c r="M320" i="34"/>
  <c r="M319" i="34"/>
  <c r="M318" i="34"/>
  <c r="M317" i="34"/>
  <c r="M316" i="34"/>
  <c r="M315" i="34"/>
  <c r="M314" i="34"/>
  <c r="M313" i="34"/>
  <c r="M312" i="34"/>
  <c r="M311" i="34"/>
  <c r="M310" i="34"/>
  <c r="M309" i="34"/>
  <c r="M308" i="34"/>
  <c r="M307" i="34"/>
  <c r="M306" i="34"/>
  <c r="M305" i="34"/>
  <c r="M304" i="34"/>
  <c r="M303" i="34"/>
  <c r="M302" i="34"/>
  <c r="M301" i="34"/>
  <c r="M300" i="34"/>
  <c r="M299" i="34"/>
  <c r="M298" i="34"/>
  <c r="M297" i="34"/>
  <c r="M296" i="34"/>
  <c r="M295" i="34"/>
  <c r="M294" i="34"/>
  <c r="M293" i="34"/>
  <c r="M292" i="34"/>
  <c r="M291" i="34"/>
  <c r="M290" i="34"/>
  <c r="M289" i="34"/>
  <c r="M288" i="34"/>
  <c r="M287" i="34"/>
  <c r="M286" i="34"/>
  <c r="M285" i="34"/>
  <c r="M284" i="34"/>
  <c r="M283" i="34"/>
  <c r="M365" i="34"/>
  <c r="M282" i="34"/>
  <c r="M281" i="34"/>
  <c r="M280" i="34"/>
  <c r="M279" i="34"/>
  <c r="M278" i="34"/>
  <c r="M277" i="34"/>
  <c r="M276" i="34"/>
  <c r="M275" i="34"/>
  <c r="M274" i="34"/>
  <c r="M273" i="34"/>
  <c r="M272" i="34"/>
  <c r="M271" i="34"/>
  <c r="M270" i="34"/>
  <c r="M269" i="34"/>
  <c r="M268" i="34"/>
  <c r="M267" i="34"/>
  <c r="M266" i="34"/>
  <c r="M265" i="34"/>
  <c r="M264" i="34"/>
  <c r="M263" i="34"/>
  <c r="M262" i="34"/>
  <c r="M261" i="34"/>
  <c r="M260" i="34"/>
  <c r="M259" i="34"/>
  <c r="M258" i="34"/>
  <c r="M257" i="34"/>
  <c r="M256" i="34"/>
  <c r="M358" i="34"/>
  <c r="M255" i="34"/>
  <c r="M254" i="34"/>
  <c r="M253" i="34"/>
  <c r="M252" i="34"/>
  <c r="M251" i="34"/>
  <c r="M250" i="34"/>
  <c r="M249" i="34"/>
  <c r="M248" i="34"/>
  <c r="M247" i="34"/>
  <c r="M246" i="34"/>
  <c r="M245" i="34"/>
  <c r="M244" i="34"/>
  <c r="M243" i="34"/>
  <c r="M242" i="34"/>
  <c r="M241" i="34"/>
  <c r="M240" i="34"/>
  <c r="M239" i="34"/>
  <c r="M238" i="34"/>
  <c r="M237" i="34"/>
  <c r="M236" i="34"/>
  <c r="M235" i="34"/>
  <c r="M234" i="34"/>
  <c r="M233" i="34"/>
  <c r="M232" i="34"/>
  <c r="M231" i="34"/>
  <c r="M350" i="34"/>
  <c r="M229" i="34"/>
  <c r="M228" i="34"/>
  <c r="M227" i="34"/>
  <c r="M226" i="34"/>
  <c r="M225" i="34"/>
  <c r="M224" i="34"/>
  <c r="M223" i="34"/>
  <c r="M222" i="34"/>
  <c r="M221" i="34"/>
  <c r="M220" i="34"/>
  <c r="M219" i="34"/>
  <c r="M218" i="34"/>
  <c r="M217" i="34"/>
  <c r="M216" i="34"/>
  <c r="M215" i="34"/>
  <c r="M214" i="34"/>
  <c r="M213" i="34"/>
  <c r="M212" i="34"/>
  <c r="M211" i="34"/>
  <c r="M210" i="34"/>
  <c r="M209" i="34"/>
  <c r="M208" i="34"/>
  <c r="M207" i="34"/>
  <c r="M206" i="34"/>
  <c r="M205" i="34"/>
  <c r="M204" i="34"/>
  <c r="M203" i="34"/>
  <c r="M202" i="34"/>
  <c r="M201" i="34"/>
  <c r="M200" i="34"/>
  <c r="M199" i="34"/>
  <c r="M198" i="34"/>
  <c r="M197" i="34"/>
  <c r="M196" i="34"/>
  <c r="M195" i="34"/>
  <c r="M194" i="34"/>
  <c r="M193" i="34"/>
  <c r="M192" i="34"/>
  <c r="M191" i="34"/>
  <c r="M190" i="34"/>
  <c r="M189" i="34"/>
  <c r="M188" i="34"/>
  <c r="M354" i="34"/>
  <c r="M187" i="34"/>
  <c r="M186" i="34"/>
  <c r="M185" i="34"/>
  <c r="M184" i="34"/>
  <c r="M183" i="34"/>
  <c r="M182" i="34"/>
  <c r="M181" i="34"/>
  <c r="M180" i="34"/>
  <c r="M179" i="34"/>
  <c r="M178" i="34"/>
  <c r="M176" i="34"/>
  <c r="M175" i="34"/>
  <c r="M174" i="34"/>
  <c r="M173" i="34"/>
  <c r="M172" i="34"/>
  <c r="M171" i="34"/>
  <c r="M170" i="34"/>
  <c r="M169" i="34"/>
  <c r="M168" i="34"/>
  <c r="M167" i="34"/>
  <c r="M166" i="34"/>
  <c r="M165" i="34"/>
  <c r="M164" i="34"/>
  <c r="M163" i="34"/>
  <c r="M162" i="34"/>
  <c r="M161" i="34"/>
  <c r="M160" i="34"/>
  <c r="M362" i="34"/>
  <c r="M159" i="34"/>
  <c r="M158" i="34"/>
  <c r="M366" i="34"/>
  <c r="M156" i="34"/>
  <c r="M155" i="34"/>
  <c r="M154" i="34"/>
  <c r="M153" i="34"/>
  <c r="M152" i="34"/>
  <c r="M151" i="34"/>
  <c r="M150" i="34"/>
  <c r="M149" i="34"/>
  <c r="M148" i="34"/>
  <c r="M147" i="34"/>
  <c r="M146" i="34"/>
  <c r="M145" i="34"/>
  <c r="M144" i="34"/>
  <c r="M143" i="34"/>
  <c r="M142" i="34"/>
  <c r="M141" i="34"/>
  <c r="M140" i="34"/>
  <c r="M139" i="34"/>
  <c r="M138" i="34"/>
  <c r="M137" i="34"/>
  <c r="M136" i="34"/>
  <c r="M135" i="34"/>
  <c r="M134" i="34"/>
  <c r="M133" i="34"/>
  <c r="M132" i="34"/>
  <c r="M131" i="34"/>
  <c r="M130" i="34"/>
  <c r="M129" i="34"/>
  <c r="M128" i="34"/>
  <c r="M127" i="34"/>
  <c r="M126" i="34"/>
  <c r="M125" i="34"/>
  <c r="M124" i="34"/>
  <c r="M361" i="34"/>
  <c r="M123" i="34"/>
  <c r="M122" i="34"/>
  <c r="M121" i="34"/>
  <c r="M120" i="34"/>
  <c r="M119" i="34"/>
  <c r="M118" i="34"/>
  <c r="M117" i="34"/>
  <c r="M116" i="34"/>
  <c r="M115" i="34"/>
  <c r="M114" i="34"/>
  <c r="M113" i="34"/>
  <c r="M112" i="34"/>
  <c r="M111" i="34"/>
  <c r="M110" i="34"/>
  <c r="M109" i="34"/>
  <c r="M357" i="34"/>
  <c r="M108" i="34"/>
  <c r="M107" i="34"/>
  <c r="M106" i="34"/>
  <c r="M105" i="34"/>
  <c r="M104" i="34"/>
  <c r="M103" i="34"/>
  <c r="M102" i="34"/>
  <c r="M101" i="34"/>
  <c r="M100" i="34"/>
  <c r="M99" i="34"/>
  <c r="M98" i="34"/>
  <c r="M97" i="34"/>
  <c r="M96" i="34"/>
  <c r="M95" i="34"/>
  <c r="M94" i="34"/>
  <c r="M93" i="34"/>
  <c r="M92" i="34"/>
  <c r="M91" i="34"/>
  <c r="M90" i="34"/>
  <c r="M89" i="34"/>
  <c r="M88" i="34"/>
  <c r="M86" i="34"/>
  <c r="M85" i="34"/>
  <c r="M84" i="34"/>
  <c r="M83" i="34"/>
  <c r="M82" i="34"/>
  <c r="M81" i="34"/>
  <c r="M80" i="34"/>
  <c r="M79" i="34"/>
  <c r="M78" i="34"/>
  <c r="M77" i="34"/>
  <c r="M76" i="34"/>
  <c r="M75" i="34"/>
  <c r="M74" i="34"/>
  <c r="M73" i="34"/>
  <c r="M71" i="34"/>
  <c r="M70" i="34"/>
  <c r="M69" i="34"/>
  <c r="M68" i="34"/>
  <c r="M67" i="34"/>
  <c r="M66" i="34"/>
  <c r="M65" i="34"/>
  <c r="M64" i="34"/>
  <c r="M63" i="34"/>
  <c r="M62" i="34"/>
  <c r="M61" i="34"/>
  <c r="M60" i="34"/>
  <c r="M356" i="34"/>
  <c r="M59" i="34"/>
  <c r="M58" i="34"/>
  <c r="M57" i="34"/>
  <c r="M56" i="34"/>
  <c r="M55" i="34"/>
  <c r="M54" i="34"/>
  <c r="M53" i="34"/>
  <c r="M52" i="34"/>
  <c r="M51" i="34"/>
  <c r="M50" i="34"/>
  <c r="M49" i="34"/>
  <c r="M48" i="34"/>
  <c r="M47" i="34"/>
  <c r="M355" i="34"/>
  <c r="M46" i="34"/>
  <c r="M45" i="34"/>
  <c r="M44" i="34"/>
  <c r="M43" i="34"/>
  <c r="M42" i="34"/>
  <c r="M41" i="34"/>
  <c r="M40" i="34"/>
  <c r="M39" i="34"/>
  <c r="M38" i="34"/>
  <c r="M37" i="34"/>
  <c r="M36" i="34"/>
  <c r="M35" i="34"/>
  <c r="M34" i="34"/>
  <c r="M33" i="34"/>
  <c r="M32" i="34"/>
  <c r="M31" i="34"/>
  <c r="M30" i="34"/>
  <c r="M29" i="34"/>
  <c r="M28" i="34"/>
  <c r="M351" i="34"/>
  <c r="M27" i="34"/>
  <c r="M26" i="34"/>
  <c r="M25" i="34"/>
  <c r="M24" i="34"/>
  <c r="M23" i="34"/>
  <c r="M22" i="34"/>
  <c r="M21" i="34"/>
  <c r="M20" i="34"/>
  <c r="M19" i="34"/>
  <c r="M18" i="34"/>
  <c r="M17" i="34"/>
  <c r="M16" i="34"/>
  <c r="M15" i="34"/>
  <c r="M14" i="34"/>
  <c r="M13" i="34"/>
  <c r="M12" i="34"/>
  <c r="M11" i="34"/>
  <c r="M10" i="34"/>
  <c r="M9" i="34"/>
  <c r="M8" i="34"/>
  <c r="M7" i="34"/>
  <c r="M6" i="34"/>
  <c r="M5" i="34"/>
  <c r="M4" i="34"/>
  <c r="M3" i="34"/>
  <c r="M2"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365"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358"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35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354" i="34"/>
  <c r="E187" i="34"/>
  <c r="E186" i="34"/>
  <c r="E185" i="34"/>
  <c r="E184" i="34"/>
  <c r="E183" i="34"/>
  <c r="E182" i="34"/>
  <c r="E181" i="34"/>
  <c r="E180" i="34"/>
  <c r="E179" i="34"/>
  <c r="E178" i="34"/>
  <c r="E176" i="34"/>
  <c r="E175" i="34"/>
  <c r="E174" i="34"/>
  <c r="E173" i="34"/>
  <c r="E172" i="34"/>
  <c r="E171" i="34"/>
  <c r="E170" i="34"/>
  <c r="E169" i="34"/>
  <c r="E168" i="34"/>
  <c r="E167" i="34"/>
  <c r="E166" i="34"/>
  <c r="E165" i="34"/>
  <c r="E164" i="34"/>
  <c r="E163" i="34"/>
  <c r="E162" i="34"/>
  <c r="E161" i="34"/>
  <c r="E160" i="34"/>
  <c r="E362" i="34"/>
  <c r="E159" i="34"/>
  <c r="E158" i="34"/>
  <c r="E366"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361" i="34"/>
  <c r="E123" i="34"/>
  <c r="E122" i="34"/>
  <c r="E121" i="34"/>
  <c r="E120" i="34"/>
  <c r="E119" i="34"/>
  <c r="E118" i="34"/>
  <c r="E117" i="34"/>
  <c r="E116" i="34"/>
  <c r="E115" i="34"/>
  <c r="E114" i="34"/>
  <c r="E113" i="34"/>
  <c r="E112" i="34"/>
  <c r="E111" i="34"/>
  <c r="E110" i="34"/>
  <c r="E109" i="34"/>
  <c r="E357" i="34"/>
  <c r="E108" i="34"/>
  <c r="E107" i="34"/>
  <c r="E106" i="34"/>
  <c r="E105" i="34"/>
  <c r="E104" i="34"/>
  <c r="E103" i="34"/>
  <c r="E102" i="34"/>
  <c r="E101" i="34"/>
  <c r="E100" i="34"/>
  <c r="E99" i="34"/>
  <c r="E98" i="34"/>
  <c r="E97" i="34"/>
  <c r="E96" i="34"/>
  <c r="E95" i="34"/>
  <c r="E94" i="34"/>
  <c r="E93" i="34"/>
  <c r="E92" i="34"/>
  <c r="E91" i="34"/>
  <c r="E90" i="34"/>
  <c r="E89" i="34"/>
  <c r="E88" i="34"/>
  <c r="E86" i="34"/>
  <c r="E85" i="34"/>
  <c r="E84" i="34"/>
  <c r="E83" i="34"/>
  <c r="E82" i="34"/>
  <c r="E81" i="34"/>
  <c r="E80" i="34"/>
  <c r="E79" i="34"/>
  <c r="E78" i="34"/>
  <c r="E77" i="34"/>
  <c r="E76" i="34"/>
  <c r="E75" i="34"/>
  <c r="E74" i="34"/>
  <c r="E73" i="34"/>
  <c r="E71" i="34"/>
  <c r="E70" i="34"/>
  <c r="E69" i="34"/>
  <c r="E68" i="34"/>
  <c r="E67" i="34"/>
  <c r="E66" i="34"/>
  <c r="E65" i="34"/>
  <c r="E64" i="34"/>
  <c r="E63" i="34"/>
  <c r="E62" i="34"/>
  <c r="E61" i="34"/>
  <c r="E60" i="34"/>
  <c r="E356" i="34"/>
  <c r="E59" i="34"/>
  <c r="E58" i="34"/>
  <c r="E57" i="34"/>
  <c r="E56" i="34"/>
  <c r="E55" i="34"/>
  <c r="E54" i="34"/>
  <c r="E53" i="34"/>
  <c r="E52" i="34"/>
  <c r="E51" i="34"/>
  <c r="E50" i="34"/>
  <c r="E49" i="34"/>
  <c r="E48" i="34"/>
  <c r="E47" i="34"/>
  <c r="E355" i="34"/>
  <c r="E46" i="34"/>
  <c r="E45" i="34"/>
  <c r="E44" i="34"/>
  <c r="E43" i="34"/>
  <c r="E42" i="34"/>
  <c r="E41" i="34"/>
  <c r="E40" i="34"/>
  <c r="E39" i="34"/>
  <c r="E38" i="34"/>
  <c r="E37" i="34"/>
  <c r="E36" i="34"/>
  <c r="E35" i="34"/>
  <c r="E34" i="34"/>
  <c r="E33" i="34"/>
  <c r="E32" i="34"/>
  <c r="E31" i="34"/>
  <c r="E30" i="34"/>
  <c r="E29" i="34"/>
  <c r="E28" i="34"/>
  <c r="E351"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J346" i="34"/>
  <c r="J345" i="34"/>
  <c r="J344" i="34"/>
  <c r="J343" i="34"/>
  <c r="J342" i="34"/>
  <c r="J341" i="34"/>
  <c r="J340" i="34"/>
  <c r="J339" i="34"/>
  <c r="J338" i="34"/>
  <c r="J337" i="34"/>
  <c r="J336" i="34"/>
  <c r="J335" i="34"/>
  <c r="J334" i="34"/>
  <c r="J333" i="34"/>
  <c r="J332" i="34"/>
  <c r="J331" i="34"/>
  <c r="J330" i="34"/>
  <c r="J329" i="34"/>
  <c r="J328" i="34"/>
  <c r="J327" i="34"/>
  <c r="J326" i="34"/>
  <c r="J325" i="34"/>
  <c r="J324" i="34"/>
  <c r="J323" i="34"/>
  <c r="J322" i="34"/>
  <c r="J321" i="34"/>
  <c r="J320" i="34"/>
  <c r="J319" i="34"/>
  <c r="J318" i="34"/>
  <c r="J317" i="34"/>
  <c r="J316" i="34"/>
  <c r="J315" i="34"/>
  <c r="J314" i="34"/>
  <c r="J313" i="34"/>
  <c r="J312" i="34"/>
  <c r="J311" i="34"/>
  <c r="J310" i="34"/>
  <c r="J309" i="34"/>
  <c r="J308" i="34"/>
  <c r="J307" i="34"/>
  <c r="J306" i="34"/>
  <c r="J305" i="34"/>
  <c r="J304" i="34"/>
  <c r="J303" i="34"/>
  <c r="J302" i="34"/>
  <c r="J301" i="34"/>
  <c r="J300" i="34"/>
  <c r="J299" i="34"/>
  <c r="J298" i="34"/>
  <c r="J297" i="34"/>
  <c r="J296" i="34"/>
  <c r="J295" i="34"/>
  <c r="J294" i="34"/>
  <c r="J293" i="34"/>
  <c r="J292" i="34"/>
  <c r="J291" i="34"/>
  <c r="J290" i="34"/>
  <c r="J289" i="34"/>
  <c r="J288" i="34"/>
  <c r="J287" i="34"/>
  <c r="J286" i="34"/>
  <c r="J285" i="34"/>
  <c r="J284" i="34"/>
  <c r="J283" i="34"/>
  <c r="J365" i="34"/>
  <c r="J282" i="34"/>
  <c r="J281" i="34"/>
  <c r="J280" i="34"/>
  <c r="J279" i="34"/>
  <c r="J278" i="34"/>
  <c r="J277" i="34"/>
  <c r="J276" i="34"/>
  <c r="J275" i="34"/>
  <c r="J274" i="34"/>
  <c r="J273" i="34"/>
  <c r="J272" i="34"/>
  <c r="J271" i="34"/>
  <c r="J270" i="34"/>
  <c r="J269" i="34"/>
  <c r="J268" i="34"/>
  <c r="J267" i="34"/>
  <c r="J266" i="34"/>
  <c r="J265" i="34"/>
  <c r="J264" i="34"/>
  <c r="J263" i="34"/>
  <c r="J262" i="34"/>
  <c r="J261" i="34"/>
  <c r="J260" i="34"/>
  <c r="J259" i="34"/>
  <c r="J258" i="34"/>
  <c r="J257" i="34"/>
  <c r="J256" i="34"/>
  <c r="J358" i="34"/>
  <c r="J255" i="34"/>
  <c r="J254" i="34"/>
  <c r="J253" i="34"/>
  <c r="J252" i="34"/>
  <c r="J251" i="34"/>
  <c r="J250" i="34"/>
  <c r="J249" i="34"/>
  <c r="J248" i="34"/>
  <c r="J247" i="34"/>
  <c r="J246" i="34"/>
  <c r="J245" i="34"/>
  <c r="J244" i="34"/>
  <c r="J243" i="34"/>
  <c r="J242" i="34"/>
  <c r="J241" i="34"/>
  <c r="J240" i="34"/>
  <c r="J239" i="34"/>
  <c r="J238" i="34"/>
  <c r="J237" i="34"/>
  <c r="J236" i="34"/>
  <c r="J235" i="34"/>
  <c r="J234" i="34"/>
  <c r="J233" i="34"/>
  <c r="J232" i="34"/>
  <c r="J231" i="34"/>
  <c r="J350" i="34"/>
  <c r="J229" i="34"/>
  <c r="J228" i="34"/>
  <c r="J227" i="34"/>
  <c r="J226" i="34"/>
  <c r="J225" i="34"/>
  <c r="J224" i="34"/>
  <c r="J223" i="34"/>
  <c r="J222" i="34"/>
  <c r="J221" i="34"/>
  <c r="J220" i="34"/>
  <c r="J219" i="34"/>
  <c r="J218" i="34"/>
  <c r="J217" i="34"/>
  <c r="J216" i="34"/>
  <c r="J215" i="34"/>
  <c r="J214" i="34"/>
  <c r="J213" i="34"/>
  <c r="J212" i="34"/>
  <c r="J211" i="34"/>
  <c r="J210" i="34"/>
  <c r="J209" i="34"/>
  <c r="J208" i="34"/>
  <c r="J207" i="34"/>
  <c r="J206" i="34"/>
  <c r="J205" i="34"/>
  <c r="J204" i="34"/>
  <c r="J203" i="34"/>
  <c r="J202" i="34"/>
  <c r="J201" i="34"/>
  <c r="J200" i="34"/>
  <c r="J199" i="34"/>
  <c r="J198" i="34"/>
  <c r="J197" i="34"/>
  <c r="J196" i="34"/>
  <c r="J195" i="34"/>
  <c r="J194" i="34"/>
  <c r="J193" i="34"/>
  <c r="J192" i="34"/>
  <c r="J191" i="34"/>
  <c r="J190" i="34"/>
  <c r="J189" i="34"/>
  <c r="J188" i="34"/>
  <c r="J354" i="34"/>
  <c r="J187" i="34"/>
  <c r="J186" i="34"/>
  <c r="J185" i="34"/>
  <c r="J184" i="34"/>
  <c r="J183" i="34"/>
  <c r="J182" i="34"/>
  <c r="J181" i="34"/>
  <c r="J180" i="34"/>
  <c r="J179" i="34"/>
  <c r="J178" i="34"/>
  <c r="J176" i="34"/>
  <c r="J175" i="34"/>
  <c r="J174" i="34"/>
  <c r="J173" i="34"/>
  <c r="J172" i="34"/>
  <c r="J171" i="34"/>
  <c r="J170" i="34"/>
  <c r="J169" i="34"/>
  <c r="J168" i="34"/>
  <c r="J167" i="34"/>
  <c r="J166" i="34"/>
  <c r="J165" i="34"/>
  <c r="J164" i="34"/>
  <c r="J163" i="34"/>
  <c r="J162" i="34"/>
  <c r="J161" i="34"/>
  <c r="J160" i="34"/>
  <c r="J362" i="34"/>
  <c r="J159" i="34"/>
  <c r="J158" i="34"/>
  <c r="J366" i="34"/>
  <c r="J156" i="34"/>
  <c r="J155" i="34"/>
  <c r="J154" i="34"/>
  <c r="J153" i="34"/>
  <c r="J152" i="34"/>
  <c r="J151" i="34"/>
  <c r="J150" i="34"/>
  <c r="J149" i="34"/>
  <c r="J148" i="34"/>
  <c r="J147" i="34"/>
  <c r="J146" i="34"/>
  <c r="J145" i="34"/>
  <c r="J144" i="34"/>
  <c r="J143" i="34"/>
  <c r="J142" i="34"/>
  <c r="J141" i="34"/>
  <c r="J140" i="34"/>
  <c r="J139" i="34"/>
  <c r="J138" i="34"/>
  <c r="J137" i="34"/>
  <c r="J136" i="34"/>
  <c r="J135" i="34"/>
  <c r="J134" i="34"/>
  <c r="J133" i="34"/>
  <c r="J132" i="34"/>
  <c r="J131" i="34"/>
  <c r="J130" i="34"/>
  <c r="J129" i="34"/>
  <c r="J128" i="34"/>
  <c r="J127" i="34"/>
  <c r="J126" i="34"/>
  <c r="J125" i="34"/>
  <c r="J124" i="34"/>
  <c r="J361" i="34"/>
  <c r="J123" i="34"/>
  <c r="J122" i="34"/>
  <c r="J121" i="34"/>
  <c r="J120" i="34"/>
  <c r="J119" i="34"/>
  <c r="J118" i="34"/>
  <c r="J117" i="34"/>
  <c r="J116" i="34"/>
  <c r="J115" i="34"/>
  <c r="J114" i="34"/>
  <c r="J113" i="34"/>
  <c r="J112" i="34"/>
  <c r="J111" i="34"/>
  <c r="J110" i="34"/>
  <c r="J109" i="34"/>
  <c r="J357" i="34"/>
  <c r="J108" i="34"/>
  <c r="J107" i="34"/>
  <c r="J106" i="34"/>
  <c r="J105" i="34"/>
  <c r="J104" i="34"/>
  <c r="J103" i="34"/>
  <c r="J102" i="34"/>
  <c r="J101" i="34"/>
  <c r="J100" i="34"/>
  <c r="J99" i="34"/>
  <c r="J98" i="34"/>
  <c r="J97" i="34"/>
  <c r="J96" i="34"/>
  <c r="J95" i="34"/>
  <c r="J94" i="34"/>
  <c r="J93" i="34"/>
  <c r="J92" i="34"/>
  <c r="J91" i="34"/>
  <c r="J90" i="34"/>
  <c r="J89" i="34"/>
  <c r="J88" i="34"/>
  <c r="J86" i="34"/>
  <c r="J85" i="34"/>
  <c r="J84" i="34"/>
  <c r="J83" i="34"/>
  <c r="J82" i="34"/>
  <c r="J81" i="34"/>
  <c r="J80" i="34"/>
  <c r="J79" i="34"/>
  <c r="J78" i="34"/>
  <c r="J77" i="34"/>
  <c r="J76" i="34"/>
  <c r="J75" i="34"/>
  <c r="J74" i="34"/>
  <c r="J73" i="34"/>
  <c r="J71" i="34"/>
  <c r="J70" i="34"/>
  <c r="J69" i="34"/>
  <c r="J68" i="34"/>
  <c r="J67" i="34"/>
  <c r="J66" i="34"/>
  <c r="J65" i="34"/>
  <c r="J64" i="34"/>
  <c r="J63" i="34"/>
  <c r="J62" i="34"/>
  <c r="J61" i="34"/>
  <c r="J60" i="34"/>
  <c r="J356" i="34"/>
  <c r="J59" i="34"/>
  <c r="J58" i="34"/>
  <c r="J57" i="34"/>
  <c r="J56" i="34"/>
  <c r="J55" i="34"/>
  <c r="J54" i="34"/>
  <c r="J53" i="34"/>
  <c r="J52" i="34"/>
  <c r="J51" i="34"/>
  <c r="J50" i="34"/>
  <c r="J49" i="34"/>
  <c r="J48" i="34"/>
  <c r="J47" i="34"/>
  <c r="J355" i="34"/>
  <c r="J46" i="34"/>
  <c r="J45" i="34"/>
  <c r="J44" i="34"/>
  <c r="J43" i="34"/>
  <c r="J42" i="34"/>
  <c r="J41" i="34"/>
  <c r="J40" i="34"/>
  <c r="J39" i="34"/>
  <c r="J38" i="34"/>
  <c r="J37" i="34"/>
  <c r="J36" i="34"/>
  <c r="J35" i="34"/>
  <c r="J34" i="34"/>
  <c r="J33" i="34"/>
  <c r="J32" i="34"/>
  <c r="J31" i="34"/>
  <c r="J30" i="34"/>
  <c r="J29" i="34"/>
  <c r="J28" i="34"/>
  <c r="J351" i="34"/>
  <c r="J27" i="34"/>
  <c r="J26" i="34"/>
  <c r="J25" i="34"/>
  <c r="J24" i="34"/>
  <c r="J23" i="34"/>
  <c r="J22" i="34"/>
  <c r="J21" i="34"/>
  <c r="J20" i="34"/>
  <c r="J19" i="34"/>
  <c r="J18" i="34"/>
  <c r="J17" i="34"/>
  <c r="J16" i="34"/>
  <c r="J15" i="34"/>
  <c r="J14" i="34"/>
  <c r="J13" i="34"/>
  <c r="J12" i="34"/>
  <c r="J11" i="34"/>
  <c r="J10" i="34"/>
  <c r="J9" i="34"/>
  <c r="J8" i="34"/>
  <c r="J7" i="34"/>
  <c r="J6" i="34"/>
  <c r="J5" i="34"/>
  <c r="J4" i="34"/>
  <c r="J3" i="34"/>
  <c r="J2" i="34"/>
  <c r="I346" i="34"/>
  <c r="I345" i="34"/>
  <c r="I344" i="34"/>
  <c r="I343" i="34"/>
  <c r="I342" i="34"/>
  <c r="I341" i="34"/>
  <c r="I340" i="34"/>
  <c r="I339" i="34"/>
  <c r="I338" i="34"/>
  <c r="I337" i="34"/>
  <c r="I336" i="34"/>
  <c r="I335" i="34"/>
  <c r="I334" i="34"/>
  <c r="I333" i="34"/>
  <c r="I332" i="34"/>
  <c r="I331" i="34"/>
  <c r="I330" i="34"/>
  <c r="I329" i="34"/>
  <c r="I328" i="34"/>
  <c r="I327" i="34"/>
  <c r="I326" i="34"/>
  <c r="I325" i="34"/>
  <c r="I324" i="34"/>
  <c r="I323" i="34"/>
  <c r="I322" i="34"/>
  <c r="I321" i="34"/>
  <c r="I320" i="34"/>
  <c r="I319" i="34"/>
  <c r="I318" i="34"/>
  <c r="I317" i="34"/>
  <c r="I316" i="34"/>
  <c r="I315" i="34"/>
  <c r="I314" i="34"/>
  <c r="I313" i="34"/>
  <c r="I312" i="34"/>
  <c r="I311" i="34"/>
  <c r="I310" i="34"/>
  <c r="I309" i="34"/>
  <c r="I308" i="34"/>
  <c r="I307" i="34"/>
  <c r="I306" i="34"/>
  <c r="I305" i="34"/>
  <c r="I304" i="34"/>
  <c r="I303" i="34"/>
  <c r="I302" i="34"/>
  <c r="I301" i="34"/>
  <c r="I300" i="34"/>
  <c r="I299" i="34"/>
  <c r="I298" i="34"/>
  <c r="I297" i="34"/>
  <c r="I296" i="34"/>
  <c r="I295" i="34"/>
  <c r="I294" i="34"/>
  <c r="I293" i="34"/>
  <c r="I292" i="34"/>
  <c r="I291" i="34"/>
  <c r="I290" i="34"/>
  <c r="I289" i="34"/>
  <c r="I288" i="34"/>
  <c r="I287" i="34"/>
  <c r="I286" i="34"/>
  <c r="I285" i="34"/>
  <c r="I284" i="34"/>
  <c r="I283" i="34"/>
  <c r="I365" i="34"/>
  <c r="I282" i="34"/>
  <c r="I281" i="34"/>
  <c r="I280" i="34"/>
  <c r="I279" i="34"/>
  <c r="I278" i="34"/>
  <c r="I277" i="34"/>
  <c r="I276" i="34"/>
  <c r="I275" i="34"/>
  <c r="I274" i="34"/>
  <c r="I273" i="34"/>
  <c r="I272" i="34"/>
  <c r="I271" i="34"/>
  <c r="I270" i="34"/>
  <c r="I269" i="34"/>
  <c r="I268" i="34"/>
  <c r="I267" i="34"/>
  <c r="I266" i="34"/>
  <c r="I265" i="34"/>
  <c r="I264" i="34"/>
  <c r="I263" i="34"/>
  <c r="I262" i="34"/>
  <c r="I261" i="34"/>
  <c r="I260" i="34"/>
  <c r="I259" i="34"/>
  <c r="I258" i="34"/>
  <c r="I257" i="34"/>
  <c r="I256" i="34"/>
  <c r="I358"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350" i="34"/>
  <c r="I229" i="34"/>
  <c r="I228" i="34"/>
  <c r="I227" i="34"/>
  <c r="I226" i="34"/>
  <c r="I225" i="34"/>
  <c r="I224" i="34"/>
  <c r="I223" i="34"/>
  <c r="I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354" i="34"/>
  <c r="I187" i="34"/>
  <c r="I186" i="34"/>
  <c r="I185" i="34"/>
  <c r="I184" i="34"/>
  <c r="I183" i="34"/>
  <c r="I182" i="34"/>
  <c r="I181" i="34"/>
  <c r="I180" i="34"/>
  <c r="I179" i="34"/>
  <c r="I178" i="34"/>
  <c r="I176" i="34"/>
  <c r="I175" i="34"/>
  <c r="I174" i="34"/>
  <c r="I173" i="34"/>
  <c r="I172" i="34"/>
  <c r="I171" i="34"/>
  <c r="I170" i="34"/>
  <c r="I169" i="34"/>
  <c r="I168" i="34"/>
  <c r="I167" i="34"/>
  <c r="I166" i="34"/>
  <c r="I165" i="34"/>
  <c r="I164" i="34"/>
  <c r="I163" i="34"/>
  <c r="I162" i="34"/>
  <c r="I161" i="34"/>
  <c r="I160" i="34"/>
  <c r="I362" i="34"/>
  <c r="I159" i="34"/>
  <c r="I158" i="34"/>
  <c r="I366" i="34"/>
  <c r="I156" i="34"/>
  <c r="I155" i="34"/>
  <c r="I154" i="34"/>
  <c r="I153" i="34"/>
  <c r="I152" i="34"/>
  <c r="I151" i="34"/>
  <c r="I150" i="34"/>
  <c r="I149" i="34"/>
  <c r="I148" i="34"/>
  <c r="I147" i="34"/>
  <c r="I146" i="34"/>
  <c r="I145" i="34"/>
  <c r="I144" i="34"/>
  <c r="I143" i="34"/>
  <c r="I142" i="34"/>
  <c r="I141" i="34"/>
  <c r="I140" i="34"/>
  <c r="I139" i="34"/>
  <c r="I138" i="34"/>
  <c r="I137" i="34"/>
  <c r="I136" i="34"/>
  <c r="I135" i="34"/>
  <c r="I134" i="34"/>
  <c r="I133" i="34"/>
  <c r="I132" i="34"/>
  <c r="I131" i="34"/>
  <c r="I130" i="34"/>
  <c r="I129" i="34"/>
  <c r="I128" i="34"/>
  <c r="I127" i="34"/>
  <c r="I126" i="34"/>
  <c r="I125" i="34"/>
  <c r="I124" i="34"/>
  <c r="I361" i="34"/>
  <c r="I123" i="34"/>
  <c r="I122" i="34"/>
  <c r="I121" i="34"/>
  <c r="I120" i="34"/>
  <c r="I119" i="34"/>
  <c r="I118" i="34"/>
  <c r="I117" i="34"/>
  <c r="I116" i="34"/>
  <c r="I115" i="34"/>
  <c r="I114" i="34"/>
  <c r="I113" i="34"/>
  <c r="I112" i="34"/>
  <c r="I111" i="34"/>
  <c r="I110" i="34"/>
  <c r="I109" i="34"/>
  <c r="I357" i="34"/>
  <c r="I108" i="34"/>
  <c r="I107" i="34"/>
  <c r="I106" i="34"/>
  <c r="I105" i="34"/>
  <c r="I104" i="34"/>
  <c r="I103" i="34"/>
  <c r="I102" i="34"/>
  <c r="I101" i="34"/>
  <c r="I100" i="34"/>
  <c r="I99" i="34"/>
  <c r="I98" i="34"/>
  <c r="I97" i="34"/>
  <c r="I96" i="34"/>
  <c r="I95" i="34"/>
  <c r="I94" i="34"/>
  <c r="I93" i="34"/>
  <c r="I92" i="34"/>
  <c r="I91" i="34"/>
  <c r="I90" i="34"/>
  <c r="I89" i="34"/>
  <c r="I88" i="34"/>
  <c r="I86" i="34"/>
  <c r="I85" i="34"/>
  <c r="I84" i="34"/>
  <c r="I83" i="34"/>
  <c r="I82" i="34"/>
  <c r="I81" i="34"/>
  <c r="I80" i="34"/>
  <c r="I79" i="34"/>
  <c r="I78" i="34"/>
  <c r="I77" i="34"/>
  <c r="I76" i="34"/>
  <c r="I75" i="34"/>
  <c r="I74" i="34"/>
  <c r="I73" i="34"/>
  <c r="I71" i="34"/>
  <c r="I70" i="34"/>
  <c r="I69" i="34"/>
  <c r="I68" i="34"/>
  <c r="I67" i="34"/>
  <c r="I66" i="34"/>
  <c r="I65" i="34"/>
  <c r="I64" i="34"/>
  <c r="I63" i="34"/>
  <c r="I62" i="34"/>
  <c r="I61" i="34"/>
  <c r="I60" i="34"/>
  <c r="I356" i="34"/>
  <c r="I59" i="34"/>
  <c r="I58" i="34"/>
  <c r="I57" i="34"/>
  <c r="I56" i="34"/>
  <c r="I55" i="34"/>
  <c r="I54" i="34"/>
  <c r="I53" i="34"/>
  <c r="I52" i="34"/>
  <c r="I51" i="34"/>
  <c r="I50" i="34"/>
  <c r="I49" i="34"/>
  <c r="I48" i="34"/>
  <c r="I47" i="34"/>
  <c r="I355" i="34"/>
  <c r="I46" i="34"/>
  <c r="I45" i="34"/>
  <c r="I44" i="34"/>
  <c r="I43" i="34"/>
  <c r="I42" i="34"/>
  <c r="I41" i="34"/>
  <c r="I40" i="34"/>
  <c r="I39" i="34"/>
  <c r="I38" i="34"/>
  <c r="I37" i="34"/>
  <c r="I36" i="34"/>
  <c r="I35" i="34"/>
  <c r="I34" i="34"/>
  <c r="I33" i="34"/>
  <c r="I32" i="34"/>
  <c r="I31" i="34"/>
  <c r="I30" i="34"/>
  <c r="I29" i="34"/>
  <c r="I28" i="34"/>
  <c r="I351" i="34"/>
  <c r="I27" i="34"/>
  <c r="I26" i="34"/>
  <c r="I25" i="34"/>
  <c r="I24" i="34"/>
  <c r="I23" i="34"/>
  <c r="I22" i="34"/>
  <c r="I21" i="34"/>
  <c r="I20" i="34"/>
  <c r="I19" i="34"/>
  <c r="I18" i="34"/>
  <c r="I17" i="34"/>
  <c r="I16" i="34"/>
  <c r="I15" i="34"/>
  <c r="I14" i="34"/>
  <c r="I13" i="34"/>
  <c r="I12" i="34"/>
  <c r="I11" i="34"/>
  <c r="I10" i="34"/>
  <c r="I9" i="34"/>
  <c r="I8" i="34"/>
  <c r="I7" i="34"/>
  <c r="I6" i="34"/>
  <c r="I5" i="34"/>
  <c r="I4" i="34"/>
  <c r="I3" i="34"/>
  <c r="I2" i="34"/>
  <c r="H346" i="34"/>
  <c r="H345" i="34"/>
  <c r="H344" i="34"/>
  <c r="H343" i="34"/>
  <c r="H342" i="34"/>
  <c r="H341" i="34"/>
  <c r="H340" i="34"/>
  <c r="H339" i="34"/>
  <c r="H338" i="34"/>
  <c r="H337" i="34"/>
  <c r="H336" i="34"/>
  <c r="H335" i="34"/>
  <c r="H334" i="34"/>
  <c r="H333" i="34"/>
  <c r="H332" i="34"/>
  <c r="H331" i="34"/>
  <c r="H330" i="34"/>
  <c r="H329" i="34"/>
  <c r="H328" i="34"/>
  <c r="H327" i="34"/>
  <c r="H326" i="34"/>
  <c r="H325" i="34"/>
  <c r="H324" i="34"/>
  <c r="H323" i="34"/>
  <c r="H322" i="34"/>
  <c r="H321" i="34"/>
  <c r="H320" i="34"/>
  <c r="H319" i="34"/>
  <c r="H318" i="34"/>
  <c r="H317" i="34"/>
  <c r="H316" i="34"/>
  <c r="H315" i="34"/>
  <c r="H314" i="34"/>
  <c r="H313" i="34"/>
  <c r="H312" i="34"/>
  <c r="H311" i="34"/>
  <c r="H310" i="34"/>
  <c r="H309" i="34"/>
  <c r="H308" i="34"/>
  <c r="H307" i="34"/>
  <c r="H306" i="34"/>
  <c r="H305" i="34"/>
  <c r="H304" i="34"/>
  <c r="H303" i="34"/>
  <c r="H302" i="34"/>
  <c r="H301" i="34"/>
  <c r="H300" i="34"/>
  <c r="H299" i="34"/>
  <c r="H298" i="34"/>
  <c r="H297" i="34"/>
  <c r="H296" i="34"/>
  <c r="H295" i="34"/>
  <c r="H294" i="34"/>
  <c r="H293" i="34"/>
  <c r="H292" i="34"/>
  <c r="H291" i="34"/>
  <c r="H290" i="34"/>
  <c r="H289" i="34"/>
  <c r="H288" i="34"/>
  <c r="H287" i="34"/>
  <c r="H286" i="34"/>
  <c r="H285" i="34"/>
  <c r="H284" i="34"/>
  <c r="H283" i="34"/>
  <c r="H365" i="34"/>
  <c r="H282" i="34"/>
  <c r="H281" i="34"/>
  <c r="H280" i="34"/>
  <c r="H279" i="34"/>
  <c r="H278" i="34"/>
  <c r="H277" i="34"/>
  <c r="H276" i="34"/>
  <c r="H275" i="34"/>
  <c r="H274" i="34"/>
  <c r="H273" i="34"/>
  <c r="H272" i="34"/>
  <c r="H271" i="34"/>
  <c r="H270" i="34"/>
  <c r="H269" i="34"/>
  <c r="H268" i="34"/>
  <c r="H267" i="34"/>
  <c r="H266" i="34"/>
  <c r="H265" i="34"/>
  <c r="H264" i="34"/>
  <c r="H263" i="34"/>
  <c r="H262" i="34"/>
  <c r="H261" i="34"/>
  <c r="H260" i="34"/>
  <c r="H259" i="34"/>
  <c r="H258" i="34"/>
  <c r="H257" i="34"/>
  <c r="H256" i="34"/>
  <c r="H358" i="34"/>
  <c r="H255" i="34"/>
  <c r="H254" i="34"/>
  <c r="H253" i="34"/>
  <c r="H252" i="34"/>
  <c r="H251" i="34"/>
  <c r="H250" i="34"/>
  <c r="H249" i="34"/>
  <c r="H248" i="34"/>
  <c r="H247" i="34"/>
  <c r="H246" i="34"/>
  <c r="H245" i="34"/>
  <c r="H244" i="34"/>
  <c r="H243" i="34"/>
  <c r="H242" i="34"/>
  <c r="H241" i="34"/>
  <c r="H240" i="34"/>
  <c r="H239" i="34"/>
  <c r="H238" i="34"/>
  <c r="H237" i="34"/>
  <c r="H236" i="34"/>
  <c r="H235" i="34"/>
  <c r="H234" i="34"/>
  <c r="H233" i="34"/>
  <c r="H232" i="34"/>
  <c r="H231" i="34"/>
  <c r="H350" i="34"/>
  <c r="H229" i="34"/>
  <c r="H228" i="34"/>
  <c r="H227" i="34"/>
  <c r="H226" i="34"/>
  <c r="H225" i="34"/>
  <c r="H224" i="34"/>
  <c r="H223" i="34"/>
  <c r="H222" i="34"/>
  <c r="H221" i="34"/>
  <c r="H220" i="34"/>
  <c r="H219" i="34"/>
  <c r="H218" i="34"/>
  <c r="H217" i="34"/>
  <c r="H216" i="34"/>
  <c r="H215" i="34"/>
  <c r="H214" i="34"/>
  <c r="H213" i="34"/>
  <c r="H212" i="34"/>
  <c r="H211" i="34"/>
  <c r="H210" i="34"/>
  <c r="H209" i="34"/>
  <c r="H208" i="34"/>
  <c r="H207" i="34"/>
  <c r="H206" i="34"/>
  <c r="H205" i="34"/>
  <c r="H204" i="34"/>
  <c r="H203" i="34"/>
  <c r="H202" i="34"/>
  <c r="H201" i="34"/>
  <c r="H200" i="34"/>
  <c r="H199" i="34"/>
  <c r="H198" i="34"/>
  <c r="H197" i="34"/>
  <c r="H196" i="34"/>
  <c r="H195" i="34"/>
  <c r="H194" i="34"/>
  <c r="H193" i="34"/>
  <c r="H192" i="34"/>
  <c r="H191" i="34"/>
  <c r="H190" i="34"/>
  <c r="H189" i="34"/>
  <c r="H188" i="34"/>
  <c r="H354" i="34"/>
  <c r="H187" i="34"/>
  <c r="H186" i="34"/>
  <c r="H185" i="34"/>
  <c r="H184" i="34"/>
  <c r="H183" i="34"/>
  <c r="H182" i="34"/>
  <c r="H181" i="34"/>
  <c r="H180" i="34"/>
  <c r="H179" i="34"/>
  <c r="H178" i="34"/>
  <c r="H176" i="34"/>
  <c r="H175" i="34"/>
  <c r="H174" i="34"/>
  <c r="H173" i="34"/>
  <c r="H172" i="34"/>
  <c r="H171" i="34"/>
  <c r="H170" i="34"/>
  <c r="H169" i="34"/>
  <c r="H168" i="34"/>
  <c r="H167" i="34"/>
  <c r="H166" i="34"/>
  <c r="H165" i="34"/>
  <c r="H164" i="34"/>
  <c r="H163" i="34"/>
  <c r="H162" i="34"/>
  <c r="H161" i="34"/>
  <c r="H160" i="34"/>
  <c r="H362" i="34"/>
  <c r="H159" i="34"/>
  <c r="H158" i="34"/>
  <c r="H366" i="34"/>
  <c r="H156" i="34"/>
  <c r="H155" i="34"/>
  <c r="H154" i="34"/>
  <c r="H153" i="34"/>
  <c r="H152" i="34"/>
  <c r="H151" i="34"/>
  <c r="H150" i="34"/>
  <c r="H149" i="34"/>
  <c r="H148" i="34"/>
  <c r="H147" i="34"/>
  <c r="H146" i="34"/>
  <c r="H145" i="34"/>
  <c r="H144" i="34"/>
  <c r="H143" i="34"/>
  <c r="H142" i="34"/>
  <c r="H141" i="34"/>
  <c r="H140" i="34"/>
  <c r="H139" i="34"/>
  <c r="H138" i="34"/>
  <c r="H137" i="34"/>
  <c r="H136" i="34"/>
  <c r="H135" i="34"/>
  <c r="H134" i="34"/>
  <c r="H133" i="34"/>
  <c r="H132" i="34"/>
  <c r="H131" i="34"/>
  <c r="H130" i="34"/>
  <c r="H129" i="34"/>
  <c r="H128" i="34"/>
  <c r="H127" i="34"/>
  <c r="H126" i="34"/>
  <c r="H125" i="34"/>
  <c r="H124" i="34"/>
  <c r="H361" i="34"/>
  <c r="H123" i="34"/>
  <c r="H122" i="34"/>
  <c r="H121" i="34"/>
  <c r="H120" i="34"/>
  <c r="H119" i="34"/>
  <c r="H118" i="34"/>
  <c r="H117" i="34"/>
  <c r="H116" i="34"/>
  <c r="H115" i="34"/>
  <c r="H114" i="34"/>
  <c r="H113" i="34"/>
  <c r="H112" i="34"/>
  <c r="H111" i="34"/>
  <c r="H110" i="34"/>
  <c r="H109" i="34"/>
  <c r="H357" i="34"/>
  <c r="H108" i="34"/>
  <c r="H107" i="34"/>
  <c r="H106" i="34"/>
  <c r="H105" i="34"/>
  <c r="H104" i="34"/>
  <c r="H103" i="34"/>
  <c r="H102" i="34"/>
  <c r="H101" i="34"/>
  <c r="H100" i="34"/>
  <c r="H99" i="34"/>
  <c r="H98" i="34"/>
  <c r="H97" i="34"/>
  <c r="H96" i="34"/>
  <c r="H95" i="34"/>
  <c r="H94" i="34"/>
  <c r="H93" i="34"/>
  <c r="H92" i="34"/>
  <c r="H91" i="34"/>
  <c r="H90" i="34"/>
  <c r="H89" i="34"/>
  <c r="H88" i="34"/>
  <c r="H86" i="34"/>
  <c r="H85" i="34"/>
  <c r="H84" i="34"/>
  <c r="H83" i="34"/>
  <c r="H82" i="34"/>
  <c r="H81" i="34"/>
  <c r="H80" i="34"/>
  <c r="H79" i="34"/>
  <c r="H78" i="34"/>
  <c r="H77" i="34"/>
  <c r="H76" i="34"/>
  <c r="H75" i="34"/>
  <c r="H74" i="34"/>
  <c r="H73" i="34"/>
  <c r="H71" i="34"/>
  <c r="H70" i="34"/>
  <c r="H69" i="34"/>
  <c r="H68" i="34"/>
  <c r="H67" i="34"/>
  <c r="H66" i="34"/>
  <c r="H65" i="34"/>
  <c r="H64" i="34"/>
  <c r="H63" i="34"/>
  <c r="H62" i="34"/>
  <c r="H61" i="34"/>
  <c r="H60" i="34"/>
  <c r="H356" i="34"/>
  <c r="H59" i="34"/>
  <c r="H58" i="34"/>
  <c r="H57" i="34"/>
  <c r="H56" i="34"/>
  <c r="H55" i="34"/>
  <c r="H54" i="34"/>
  <c r="H53" i="34"/>
  <c r="H52" i="34"/>
  <c r="H51" i="34"/>
  <c r="H50" i="34"/>
  <c r="H49" i="34"/>
  <c r="H48" i="34"/>
  <c r="H47" i="34"/>
  <c r="H355" i="34"/>
  <c r="H46" i="34"/>
  <c r="H45" i="34"/>
  <c r="H44" i="34"/>
  <c r="H43" i="34"/>
  <c r="H42" i="34"/>
  <c r="H41" i="34"/>
  <c r="H40" i="34"/>
  <c r="H39" i="34"/>
  <c r="H38" i="34"/>
  <c r="H37" i="34"/>
  <c r="H36" i="34"/>
  <c r="H35" i="34"/>
  <c r="H34" i="34"/>
  <c r="H33" i="34"/>
  <c r="H32" i="34"/>
  <c r="H31" i="34"/>
  <c r="H30" i="34"/>
  <c r="H29" i="34"/>
  <c r="H28" i="34"/>
  <c r="H351" i="34"/>
  <c r="H27" i="34"/>
  <c r="H26" i="34"/>
  <c r="H25" i="34"/>
  <c r="H24" i="34"/>
  <c r="H23" i="34"/>
  <c r="H22" i="34"/>
  <c r="H21" i="34"/>
  <c r="H20" i="34"/>
  <c r="H19" i="34"/>
  <c r="H18" i="34"/>
  <c r="H17" i="34"/>
  <c r="H16" i="34"/>
  <c r="H15" i="34"/>
  <c r="H14" i="34"/>
  <c r="H13" i="34"/>
  <c r="H12" i="34"/>
  <c r="H11" i="34"/>
  <c r="H10" i="34"/>
  <c r="H9" i="34"/>
  <c r="H8" i="34"/>
  <c r="H7" i="34"/>
  <c r="H6" i="34"/>
  <c r="H5" i="34"/>
  <c r="H4" i="34"/>
  <c r="H3" i="34"/>
  <c r="H2" i="34"/>
  <c r="G346" i="34"/>
  <c r="G345" i="34"/>
  <c r="G344" i="34"/>
  <c r="G343" i="34"/>
  <c r="G342" i="34"/>
  <c r="G341" i="34"/>
  <c r="G340" i="34"/>
  <c r="G339" i="34"/>
  <c r="G338" i="34"/>
  <c r="G337" i="34"/>
  <c r="G336" i="34"/>
  <c r="G335" i="34"/>
  <c r="G334" i="34"/>
  <c r="G333" i="34"/>
  <c r="G332" i="34"/>
  <c r="G331" i="34"/>
  <c r="G330" i="34"/>
  <c r="G329" i="34"/>
  <c r="G328" i="34"/>
  <c r="G327" i="34"/>
  <c r="G326" i="34"/>
  <c r="G325" i="34"/>
  <c r="G324" i="34"/>
  <c r="G323" i="34"/>
  <c r="G322" i="34"/>
  <c r="G321" i="34"/>
  <c r="G320" i="34"/>
  <c r="G319" i="34"/>
  <c r="G318" i="34"/>
  <c r="G317" i="34"/>
  <c r="G316" i="34"/>
  <c r="G315" i="34"/>
  <c r="G314" i="34"/>
  <c r="G313" i="34"/>
  <c r="G312" i="34"/>
  <c r="G311" i="34"/>
  <c r="G310" i="34"/>
  <c r="G309" i="34"/>
  <c r="G308" i="34"/>
  <c r="G307" i="34"/>
  <c r="G306" i="34"/>
  <c r="G305" i="34"/>
  <c r="G304" i="34"/>
  <c r="G303" i="34"/>
  <c r="G302" i="34"/>
  <c r="G301" i="34"/>
  <c r="G300" i="34"/>
  <c r="G299" i="34"/>
  <c r="G298" i="34"/>
  <c r="G297" i="34"/>
  <c r="G296" i="34"/>
  <c r="G295" i="34"/>
  <c r="G294" i="34"/>
  <c r="G293" i="34"/>
  <c r="G292" i="34"/>
  <c r="G291" i="34"/>
  <c r="G290" i="34"/>
  <c r="G289" i="34"/>
  <c r="G288" i="34"/>
  <c r="G287" i="34"/>
  <c r="G286" i="34"/>
  <c r="G285" i="34"/>
  <c r="G284" i="34"/>
  <c r="G283" i="34"/>
  <c r="G365" i="34"/>
  <c r="G282" i="34"/>
  <c r="G281" i="34"/>
  <c r="G280" i="34"/>
  <c r="G279" i="34"/>
  <c r="G278" i="34"/>
  <c r="G277" i="34"/>
  <c r="G276" i="34"/>
  <c r="G275" i="34"/>
  <c r="G274" i="34"/>
  <c r="G273" i="34"/>
  <c r="G272" i="34"/>
  <c r="G271" i="34"/>
  <c r="G270" i="34"/>
  <c r="G269" i="34"/>
  <c r="G268" i="34"/>
  <c r="G267" i="34"/>
  <c r="G266" i="34"/>
  <c r="G265" i="34"/>
  <c r="G264" i="34"/>
  <c r="G263" i="34"/>
  <c r="G262" i="34"/>
  <c r="G261" i="34"/>
  <c r="G260" i="34"/>
  <c r="G259" i="34"/>
  <c r="G258" i="34"/>
  <c r="G257" i="34"/>
  <c r="G256" i="34"/>
  <c r="G358" i="34"/>
  <c r="G255" i="34"/>
  <c r="G254" i="34"/>
  <c r="G253" i="34"/>
  <c r="G252" i="34"/>
  <c r="G251" i="34"/>
  <c r="G250" i="34"/>
  <c r="G249" i="34"/>
  <c r="G248" i="34"/>
  <c r="G247" i="34"/>
  <c r="G246" i="34"/>
  <c r="G245" i="34"/>
  <c r="G244" i="34"/>
  <c r="G243" i="34"/>
  <c r="G242" i="34"/>
  <c r="G241" i="34"/>
  <c r="G240" i="34"/>
  <c r="G239" i="34"/>
  <c r="G238" i="34"/>
  <c r="G237" i="34"/>
  <c r="G236" i="34"/>
  <c r="G235" i="34"/>
  <c r="G234" i="34"/>
  <c r="G233" i="34"/>
  <c r="G232" i="34"/>
  <c r="G231" i="34"/>
  <c r="G350" i="34"/>
  <c r="G229" i="34"/>
  <c r="G228" i="34"/>
  <c r="G227" i="34"/>
  <c r="G226" i="34"/>
  <c r="G225" i="34"/>
  <c r="G224" i="34"/>
  <c r="G223" i="34"/>
  <c r="G222" i="34"/>
  <c r="G221" i="34"/>
  <c r="G220" i="34"/>
  <c r="G219" i="34"/>
  <c r="G218" i="34"/>
  <c r="G217" i="34"/>
  <c r="G216" i="34"/>
  <c r="G215" i="34"/>
  <c r="G214" i="34"/>
  <c r="G213" i="34"/>
  <c r="G212" i="34"/>
  <c r="G211" i="34"/>
  <c r="G210" i="34"/>
  <c r="G209" i="34"/>
  <c r="G208" i="34"/>
  <c r="G207" i="34"/>
  <c r="G206" i="34"/>
  <c r="G205" i="34"/>
  <c r="G204" i="34"/>
  <c r="G203" i="34"/>
  <c r="G202" i="34"/>
  <c r="G201" i="34"/>
  <c r="G200" i="34"/>
  <c r="G199" i="34"/>
  <c r="G198" i="34"/>
  <c r="G197" i="34"/>
  <c r="G196" i="34"/>
  <c r="G195" i="34"/>
  <c r="G194" i="34"/>
  <c r="G193" i="34"/>
  <c r="G192" i="34"/>
  <c r="G191" i="34"/>
  <c r="G190" i="34"/>
  <c r="G189" i="34"/>
  <c r="G188" i="34"/>
  <c r="G354" i="34"/>
  <c r="G187" i="34"/>
  <c r="G186" i="34"/>
  <c r="G185" i="34"/>
  <c r="G184" i="34"/>
  <c r="G183" i="34"/>
  <c r="G182" i="34"/>
  <c r="G181" i="34"/>
  <c r="G180" i="34"/>
  <c r="G179" i="34"/>
  <c r="G178" i="34"/>
  <c r="G176" i="34"/>
  <c r="G175" i="34"/>
  <c r="G174" i="34"/>
  <c r="G173" i="34"/>
  <c r="G172" i="34"/>
  <c r="G171" i="34"/>
  <c r="G170" i="34"/>
  <c r="G169" i="34"/>
  <c r="G168" i="34"/>
  <c r="G167" i="34"/>
  <c r="G166" i="34"/>
  <c r="G165" i="34"/>
  <c r="G164" i="34"/>
  <c r="G163" i="34"/>
  <c r="G162" i="34"/>
  <c r="G161" i="34"/>
  <c r="G160" i="34"/>
  <c r="G362" i="34"/>
  <c r="G159" i="34"/>
  <c r="G158" i="34"/>
  <c r="G366" i="34"/>
  <c r="G156" i="34"/>
  <c r="G155" i="34"/>
  <c r="G154" i="34"/>
  <c r="G153" i="34"/>
  <c r="G152" i="34"/>
  <c r="G151" i="34"/>
  <c r="G150" i="34"/>
  <c r="G149" i="34"/>
  <c r="G148" i="34"/>
  <c r="G147" i="34"/>
  <c r="G146" i="34"/>
  <c r="G145" i="34"/>
  <c r="G144" i="34"/>
  <c r="G143" i="34"/>
  <c r="G142" i="34"/>
  <c r="G141" i="34"/>
  <c r="G140" i="34"/>
  <c r="G139" i="34"/>
  <c r="G138" i="34"/>
  <c r="G137" i="34"/>
  <c r="G136" i="34"/>
  <c r="G135" i="34"/>
  <c r="G134" i="34"/>
  <c r="G133" i="34"/>
  <c r="G132" i="34"/>
  <c r="G131" i="34"/>
  <c r="G130" i="34"/>
  <c r="G129" i="34"/>
  <c r="G128" i="34"/>
  <c r="G127" i="34"/>
  <c r="G126" i="34"/>
  <c r="G125" i="34"/>
  <c r="G124" i="34"/>
  <c r="G361" i="34"/>
  <c r="G123" i="34"/>
  <c r="G122" i="34"/>
  <c r="G121" i="34"/>
  <c r="G120" i="34"/>
  <c r="G119" i="34"/>
  <c r="G118" i="34"/>
  <c r="G117" i="34"/>
  <c r="G116" i="34"/>
  <c r="G115" i="34"/>
  <c r="G114" i="34"/>
  <c r="G113" i="34"/>
  <c r="G112" i="34"/>
  <c r="G111" i="34"/>
  <c r="G110" i="34"/>
  <c r="G109" i="34"/>
  <c r="G357" i="34"/>
  <c r="G108" i="34"/>
  <c r="G107" i="34"/>
  <c r="G106" i="34"/>
  <c r="G105" i="34"/>
  <c r="G104" i="34"/>
  <c r="G103" i="34"/>
  <c r="G102" i="34"/>
  <c r="G101" i="34"/>
  <c r="G100" i="34"/>
  <c r="G99" i="34"/>
  <c r="G98" i="34"/>
  <c r="G97" i="34"/>
  <c r="G96" i="34"/>
  <c r="G95" i="34"/>
  <c r="G94" i="34"/>
  <c r="G93" i="34"/>
  <c r="G92" i="34"/>
  <c r="G91" i="34"/>
  <c r="G90" i="34"/>
  <c r="G89" i="34"/>
  <c r="G88" i="34"/>
  <c r="G86" i="34"/>
  <c r="G85" i="34"/>
  <c r="G84" i="34"/>
  <c r="G83" i="34"/>
  <c r="G82" i="34"/>
  <c r="G81" i="34"/>
  <c r="G80" i="34"/>
  <c r="G79" i="34"/>
  <c r="G78" i="34"/>
  <c r="G77" i="34"/>
  <c r="G76" i="34"/>
  <c r="G75" i="34"/>
  <c r="G74" i="34"/>
  <c r="G73" i="34"/>
  <c r="G71" i="34"/>
  <c r="G70" i="34"/>
  <c r="G69" i="34"/>
  <c r="G68" i="34"/>
  <c r="G67" i="34"/>
  <c r="G66" i="34"/>
  <c r="G65" i="34"/>
  <c r="G64" i="34"/>
  <c r="G63" i="34"/>
  <c r="G62" i="34"/>
  <c r="G61" i="34"/>
  <c r="G60" i="34"/>
  <c r="G356" i="34"/>
  <c r="G59" i="34"/>
  <c r="G58" i="34"/>
  <c r="G57" i="34"/>
  <c r="G56" i="34"/>
  <c r="G55" i="34"/>
  <c r="G54" i="34"/>
  <c r="G53" i="34"/>
  <c r="G52" i="34"/>
  <c r="G51" i="34"/>
  <c r="G50" i="34"/>
  <c r="G49" i="34"/>
  <c r="G48" i="34"/>
  <c r="G47" i="34"/>
  <c r="G355" i="34"/>
  <c r="G46" i="34"/>
  <c r="G45" i="34"/>
  <c r="G44" i="34"/>
  <c r="G43" i="34"/>
  <c r="G42" i="34"/>
  <c r="G41" i="34"/>
  <c r="G40" i="34"/>
  <c r="G39" i="34"/>
  <c r="G38" i="34"/>
  <c r="G37" i="34"/>
  <c r="G36" i="34"/>
  <c r="G35" i="34"/>
  <c r="G34" i="34"/>
  <c r="G33" i="34"/>
  <c r="G32" i="34"/>
  <c r="G31" i="34"/>
  <c r="G30" i="34"/>
  <c r="G29" i="34"/>
  <c r="G28" i="34"/>
  <c r="G351"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F311" i="34"/>
  <c r="F310" i="34"/>
  <c r="F309" i="34"/>
  <c r="F308" i="34"/>
  <c r="F307" i="34"/>
  <c r="F306" i="34"/>
  <c r="F305" i="34"/>
  <c r="F304" i="34"/>
  <c r="F303" i="34"/>
  <c r="F302" i="34"/>
  <c r="F301" i="34"/>
  <c r="F300" i="34"/>
  <c r="F299" i="34"/>
  <c r="F298" i="34"/>
  <c r="F297" i="34"/>
  <c r="F296" i="34"/>
  <c r="F295" i="34"/>
  <c r="F294" i="34"/>
  <c r="F293" i="34"/>
  <c r="F292" i="34"/>
  <c r="F291" i="34"/>
  <c r="F290" i="34"/>
  <c r="F289" i="34"/>
  <c r="F288" i="34"/>
  <c r="F287" i="34"/>
  <c r="F286" i="34"/>
  <c r="F285" i="34"/>
  <c r="F284" i="34"/>
  <c r="F283" i="34"/>
  <c r="F365" i="34"/>
  <c r="F282" i="34"/>
  <c r="F281" i="34"/>
  <c r="F280" i="34"/>
  <c r="F279" i="34"/>
  <c r="F278" i="34"/>
  <c r="F277" i="34"/>
  <c r="F276" i="34"/>
  <c r="F275" i="34"/>
  <c r="F274" i="34"/>
  <c r="F273" i="34"/>
  <c r="F272" i="34"/>
  <c r="F271" i="34"/>
  <c r="F270" i="34"/>
  <c r="F269" i="34"/>
  <c r="F268" i="34"/>
  <c r="F267" i="34"/>
  <c r="F266" i="34"/>
  <c r="F265" i="34"/>
  <c r="F264" i="34"/>
  <c r="F263" i="34"/>
  <c r="F262" i="34"/>
  <c r="F261" i="34"/>
  <c r="F260" i="34"/>
  <c r="F259" i="34"/>
  <c r="F258" i="34"/>
  <c r="F257" i="34"/>
  <c r="F256" i="34"/>
  <c r="F358" i="34"/>
  <c r="F255" i="34"/>
  <c r="F254" i="34"/>
  <c r="F253" i="34"/>
  <c r="F252" i="34"/>
  <c r="F251" i="34"/>
  <c r="F250" i="34"/>
  <c r="F249" i="34"/>
  <c r="F248" i="34"/>
  <c r="F247" i="34"/>
  <c r="F246" i="34"/>
  <c r="F245" i="34"/>
  <c r="F244" i="34"/>
  <c r="F243" i="34"/>
  <c r="F242" i="34"/>
  <c r="F241" i="34"/>
  <c r="F240" i="34"/>
  <c r="F239" i="34"/>
  <c r="F238" i="34"/>
  <c r="F237" i="34"/>
  <c r="F236" i="34"/>
  <c r="F235" i="34"/>
  <c r="F234" i="34"/>
  <c r="F233" i="34"/>
  <c r="F232" i="34"/>
  <c r="F231" i="34"/>
  <c r="F350" i="34"/>
  <c r="F229" i="34"/>
  <c r="F228" i="34"/>
  <c r="F227" i="34"/>
  <c r="F226" i="34"/>
  <c r="F225" i="34"/>
  <c r="F224" i="34"/>
  <c r="F223" i="34"/>
  <c r="F222" i="34"/>
  <c r="F221" i="34"/>
  <c r="F220" i="34"/>
  <c r="F219" i="34"/>
  <c r="F218" i="34"/>
  <c r="F217" i="34"/>
  <c r="F216" i="34"/>
  <c r="F215" i="34"/>
  <c r="F214" i="34"/>
  <c r="F213" i="34"/>
  <c r="F212" i="34"/>
  <c r="F211" i="34"/>
  <c r="F210" i="34"/>
  <c r="F209" i="34"/>
  <c r="F208" i="34"/>
  <c r="F207" i="34"/>
  <c r="F206" i="34"/>
  <c r="F205" i="34"/>
  <c r="F204" i="34"/>
  <c r="F203" i="34"/>
  <c r="F202" i="34"/>
  <c r="F201" i="34"/>
  <c r="F200" i="34"/>
  <c r="F199" i="34"/>
  <c r="F198" i="34"/>
  <c r="F197" i="34"/>
  <c r="F196" i="34"/>
  <c r="F195" i="34"/>
  <c r="F194" i="34"/>
  <c r="F193" i="34"/>
  <c r="F192" i="34"/>
  <c r="F191" i="34"/>
  <c r="F190" i="34"/>
  <c r="F189" i="34"/>
  <c r="F188" i="34"/>
  <c r="F354" i="34"/>
  <c r="F187" i="34"/>
  <c r="F186" i="34"/>
  <c r="F185" i="34"/>
  <c r="F184" i="34"/>
  <c r="F183" i="34"/>
  <c r="F182" i="34"/>
  <c r="F181" i="34"/>
  <c r="F180" i="34"/>
  <c r="F179" i="34"/>
  <c r="F178" i="34"/>
  <c r="F176" i="34"/>
  <c r="F175" i="34"/>
  <c r="F174" i="34"/>
  <c r="F173" i="34"/>
  <c r="F172" i="34"/>
  <c r="F171" i="34"/>
  <c r="F170" i="34"/>
  <c r="F169" i="34"/>
  <c r="F168" i="34"/>
  <c r="F167" i="34"/>
  <c r="F166" i="34"/>
  <c r="F165" i="34"/>
  <c r="F164" i="34"/>
  <c r="F163" i="34"/>
  <c r="F162" i="34"/>
  <c r="F161" i="34"/>
  <c r="F160" i="34"/>
  <c r="F362" i="34"/>
  <c r="F159" i="34"/>
  <c r="F158" i="34"/>
  <c r="F366"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361" i="34"/>
  <c r="F123" i="34"/>
  <c r="F122" i="34"/>
  <c r="F121" i="34"/>
  <c r="F120" i="34"/>
  <c r="F119" i="34"/>
  <c r="F118" i="34"/>
  <c r="F117" i="34"/>
  <c r="F116" i="34"/>
  <c r="F115" i="34"/>
  <c r="F114" i="34"/>
  <c r="F113" i="34"/>
  <c r="F112" i="34"/>
  <c r="F111" i="34"/>
  <c r="F110" i="34"/>
  <c r="F109" i="34"/>
  <c r="F357" i="34"/>
  <c r="F108" i="34"/>
  <c r="F107" i="34"/>
  <c r="F106" i="34"/>
  <c r="F105" i="34"/>
  <c r="F104" i="34"/>
  <c r="F103" i="34"/>
  <c r="F102" i="34"/>
  <c r="F101" i="34"/>
  <c r="F100" i="34"/>
  <c r="F99" i="34"/>
  <c r="F98" i="34"/>
  <c r="F97" i="34"/>
  <c r="F96" i="34"/>
  <c r="F95" i="34"/>
  <c r="F94" i="34"/>
  <c r="F93" i="34"/>
  <c r="F92" i="34"/>
  <c r="F91" i="34"/>
  <c r="F90" i="34"/>
  <c r="F89" i="34"/>
  <c r="F88" i="34"/>
  <c r="F86" i="34"/>
  <c r="F85" i="34"/>
  <c r="F84" i="34"/>
  <c r="F83" i="34"/>
  <c r="F82" i="34"/>
  <c r="F81" i="34"/>
  <c r="F80" i="34"/>
  <c r="F79" i="34"/>
  <c r="F78" i="34"/>
  <c r="F77" i="34"/>
  <c r="F76" i="34"/>
  <c r="F75" i="34"/>
  <c r="F74" i="34"/>
  <c r="F73" i="34"/>
  <c r="F71" i="34"/>
  <c r="F70" i="34"/>
  <c r="F69" i="34"/>
  <c r="F68" i="34"/>
  <c r="F67" i="34"/>
  <c r="F66" i="34"/>
  <c r="F65" i="34"/>
  <c r="F64" i="34"/>
  <c r="F63" i="34"/>
  <c r="F62" i="34"/>
  <c r="F61" i="34"/>
  <c r="F60" i="34"/>
  <c r="F356" i="34"/>
  <c r="F59" i="34"/>
  <c r="F58" i="34"/>
  <c r="F57" i="34"/>
  <c r="F56" i="34"/>
  <c r="F55" i="34"/>
  <c r="F54" i="34"/>
  <c r="F53" i="34"/>
  <c r="F52" i="34"/>
  <c r="F51" i="34"/>
  <c r="F50" i="34"/>
  <c r="F49" i="34"/>
  <c r="F48" i="34"/>
  <c r="F47" i="34"/>
  <c r="F355" i="34"/>
  <c r="F46" i="34"/>
  <c r="F45" i="34"/>
  <c r="F44" i="34"/>
  <c r="F43" i="34"/>
  <c r="F42" i="34"/>
  <c r="F41" i="34"/>
  <c r="F40" i="34"/>
  <c r="F39" i="34"/>
  <c r="F38" i="34"/>
  <c r="F37" i="34"/>
  <c r="F36" i="34"/>
  <c r="F35" i="34"/>
  <c r="F34" i="34"/>
  <c r="F33" i="34"/>
  <c r="F32" i="34"/>
  <c r="F31" i="34"/>
  <c r="F30" i="34"/>
  <c r="F29" i="34"/>
  <c r="F28" i="34"/>
  <c r="F351" i="34"/>
  <c r="F27" i="34"/>
  <c r="F26" i="34"/>
  <c r="F25" i="34"/>
  <c r="F24" i="34"/>
  <c r="F23" i="34"/>
  <c r="F22" i="34"/>
  <c r="F21" i="34"/>
  <c r="F20" i="34"/>
  <c r="F19" i="34"/>
  <c r="F18" i="34"/>
  <c r="F17" i="34"/>
  <c r="F16" i="34"/>
  <c r="F15" i="34"/>
  <c r="F14" i="34"/>
  <c r="F13" i="34"/>
  <c r="F12" i="34"/>
  <c r="F11" i="34"/>
  <c r="F10" i="34"/>
  <c r="F9" i="34"/>
  <c r="F8" i="34"/>
  <c r="F7" i="34"/>
  <c r="F6" i="34"/>
  <c r="F5" i="34"/>
  <c r="F4" i="34"/>
  <c r="F3" i="34"/>
  <c r="F2" i="34"/>
  <c r="O347" i="32"/>
  <c r="N347" i="32"/>
  <c r="M347" i="32"/>
  <c r="L347" i="32"/>
  <c r="K347" i="32"/>
  <c r="J347" i="32"/>
  <c r="I347" i="32"/>
  <c r="H347" i="32"/>
  <c r="G347" i="32"/>
  <c r="F347" i="32"/>
  <c r="E347" i="32"/>
  <c r="D347" i="32"/>
  <c r="E353" i="32"/>
  <c r="D353" i="32"/>
  <c r="C346" i="32"/>
  <c r="C345" i="32"/>
  <c r="C344" i="32"/>
  <c r="C343" i="32"/>
  <c r="C342" i="32"/>
  <c r="C341" i="32"/>
  <c r="C340" i="32"/>
  <c r="C339" i="32"/>
  <c r="C338" i="32"/>
  <c r="C337" i="32"/>
  <c r="C336" i="32"/>
  <c r="C335" i="32"/>
  <c r="C334" i="32"/>
  <c r="C333" i="32"/>
  <c r="C332" i="32"/>
  <c r="C331" i="32"/>
  <c r="C330" i="32"/>
  <c r="C329" i="32"/>
  <c r="C328" i="32"/>
  <c r="C327" i="32"/>
  <c r="C326" i="32"/>
  <c r="C325" i="32"/>
  <c r="C324" i="32"/>
  <c r="C323" i="32"/>
  <c r="C322" i="32"/>
  <c r="C321" i="32"/>
  <c r="C320" i="32"/>
  <c r="C319" i="32"/>
  <c r="C318" i="32"/>
  <c r="C317" i="32"/>
  <c r="C316" i="32"/>
  <c r="C315" i="32"/>
  <c r="C314" i="32"/>
  <c r="C313" i="32"/>
  <c r="C312" i="32"/>
  <c r="C311" i="32"/>
  <c r="C310" i="32"/>
  <c r="C309" i="32"/>
  <c r="C308" i="32"/>
  <c r="C307" i="32"/>
  <c r="C306" i="32"/>
  <c r="C365" i="32"/>
  <c r="C304" i="32"/>
  <c r="C303" i="32"/>
  <c r="C302" i="32"/>
  <c r="C301" i="32"/>
  <c r="C300" i="32"/>
  <c r="C299" i="32"/>
  <c r="C298" i="32"/>
  <c r="C297" i="32"/>
  <c r="C296" i="32"/>
  <c r="C295" i="32"/>
  <c r="C294" i="32"/>
  <c r="C293" i="32"/>
  <c r="C292" i="32"/>
  <c r="C291" i="32"/>
  <c r="C290" i="32"/>
  <c r="C289" i="32"/>
  <c r="C288" i="32"/>
  <c r="C287" i="32"/>
  <c r="C286" i="32"/>
  <c r="C285" i="32"/>
  <c r="C284" i="32"/>
  <c r="C283" i="32"/>
  <c r="C376" i="32"/>
  <c r="C282" i="32"/>
  <c r="C281" i="32"/>
  <c r="C280" i="32"/>
  <c r="C279" i="32"/>
  <c r="C362" i="32"/>
  <c r="C363" i="32" s="1"/>
  <c r="C277" i="32"/>
  <c r="C276" i="32"/>
  <c r="C275" i="32"/>
  <c r="C274" i="32"/>
  <c r="C273" i="32"/>
  <c r="C272" i="32"/>
  <c r="C271" i="32"/>
  <c r="C270" i="32"/>
  <c r="C269" i="32"/>
  <c r="C268" i="32"/>
  <c r="C267" i="32"/>
  <c r="C266" i="32"/>
  <c r="C265" i="32"/>
  <c r="C264" i="32"/>
  <c r="C263" i="32"/>
  <c r="C262" i="32"/>
  <c r="C261" i="32"/>
  <c r="C260" i="32"/>
  <c r="C259" i="32"/>
  <c r="C258" i="32"/>
  <c r="C257" i="32"/>
  <c r="C256" i="32"/>
  <c r="C384" i="32"/>
  <c r="C255" i="32"/>
  <c r="C254" i="32"/>
  <c r="C253" i="32"/>
  <c r="C252" i="32"/>
  <c r="C251" i="32"/>
  <c r="C250" i="32"/>
  <c r="C249" i="32"/>
  <c r="C248" i="32"/>
  <c r="C247" i="32"/>
  <c r="C246" i="32"/>
  <c r="C245" i="32"/>
  <c r="C244" i="32"/>
  <c r="C243" i="32"/>
  <c r="C242" i="32"/>
  <c r="C241" i="32"/>
  <c r="C240" i="32"/>
  <c r="C239" i="32"/>
  <c r="C238" i="32"/>
  <c r="C237" i="32"/>
  <c r="C236" i="32"/>
  <c r="C235" i="32"/>
  <c r="C234" i="32"/>
  <c r="C233" i="32"/>
  <c r="C232" i="32"/>
  <c r="C231" i="32"/>
  <c r="C369" i="32"/>
  <c r="C229" i="32"/>
  <c r="C228" i="32"/>
  <c r="C227" i="32"/>
  <c r="C226" i="32"/>
  <c r="C225" i="32"/>
  <c r="C224" i="32"/>
  <c r="C223" i="32"/>
  <c r="C222" i="32"/>
  <c r="C221" i="32"/>
  <c r="C220" i="32"/>
  <c r="C219" i="32"/>
  <c r="C218" i="32"/>
  <c r="C217" i="32"/>
  <c r="C216" i="32"/>
  <c r="C215" i="32"/>
  <c r="C214" i="32"/>
  <c r="C213" i="32"/>
  <c r="C212" i="32"/>
  <c r="C211" i="32"/>
  <c r="C210" i="32"/>
  <c r="C359" i="32"/>
  <c r="C360" i="32" s="1"/>
  <c r="C208" i="32"/>
  <c r="C207" i="32"/>
  <c r="C206" i="32"/>
  <c r="C205" i="32"/>
  <c r="C204" i="32"/>
  <c r="C203" i="32"/>
  <c r="C202" i="32"/>
  <c r="C201" i="32"/>
  <c r="C200" i="32"/>
  <c r="C199" i="32"/>
  <c r="C198" i="32"/>
  <c r="C197" i="32"/>
  <c r="C196" i="32"/>
  <c r="C195" i="32"/>
  <c r="C194" i="32"/>
  <c r="C193" i="32"/>
  <c r="C192" i="32"/>
  <c r="C191" i="32"/>
  <c r="C190" i="32"/>
  <c r="C189" i="32"/>
  <c r="C188" i="32"/>
  <c r="C383" i="32"/>
  <c r="C187" i="32"/>
  <c r="C186" i="32"/>
  <c r="C185" i="32"/>
  <c r="C184" i="32"/>
  <c r="C183" i="32"/>
  <c r="C182" i="32"/>
  <c r="C181" i="32"/>
  <c r="C180" i="32"/>
  <c r="C179" i="32"/>
  <c r="C178" i="32"/>
  <c r="C176" i="32"/>
  <c r="C174" i="32"/>
  <c r="C173" i="32"/>
  <c r="C172" i="32"/>
  <c r="C171" i="32"/>
  <c r="C170" i="32"/>
  <c r="C169" i="32"/>
  <c r="C168" i="32"/>
  <c r="C167" i="32"/>
  <c r="C166" i="32"/>
  <c r="C165" i="32"/>
  <c r="C164" i="32"/>
  <c r="C163" i="32"/>
  <c r="C162" i="32"/>
  <c r="C161" i="32"/>
  <c r="C160" i="32"/>
  <c r="C373" i="32"/>
  <c r="C159" i="32"/>
  <c r="C158" i="32"/>
  <c r="C377" i="32"/>
  <c r="C156" i="32"/>
  <c r="C155" i="32"/>
  <c r="C154" i="32"/>
  <c r="C153" i="32"/>
  <c r="C152" i="32"/>
  <c r="C151" i="32"/>
  <c r="C150" i="32"/>
  <c r="C149" i="32"/>
  <c r="C148" i="32"/>
  <c r="C147" i="32"/>
  <c r="C146" i="32"/>
  <c r="C145" i="32"/>
  <c r="C144" i="32"/>
  <c r="C143" i="32"/>
  <c r="C142" i="32"/>
  <c r="C141" i="32"/>
  <c r="C140" i="32"/>
  <c r="C139" i="32"/>
  <c r="C138" i="32"/>
  <c r="C137" i="32"/>
  <c r="C136" i="32"/>
  <c r="C135" i="32"/>
  <c r="C134" i="32"/>
  <c r="C133" i="32"/>
  <c r="C132" i="32"/>
  <c r="C131" i="32"/>
  <c r="C130" i="32"/>
  <c r="C129" i="32"/>
  <c r="C128" i="32"/>
  <c r="C127" i="32"/>
  <c r="C126" i="32"/>
  <c r="C125" i="32"/>
  <c r="C124" i="32"/>
  <c r="C372" i="32"/>
  <c r="C123" i="32"/>
  <c r="C122" i="32"/>
  <c r="C121" i="32"/>
  <c r="C120" i="32"/>
  <c r="C119" i="32"/>
  <c r="C118" i="32"/>
  <c r="C117" i="32"/>
  <c r="C116" i="32"/>
  <c r="C115" i="32"/>
  <c r="C114" i="32"/>
  <c r="C113" i="32"/>
  <c r="C112" i="32"/>
  <c r="C111" i="32"/>
  <c r="C110" i="32"/>
  <c r="C109" i="32"/>
  <c r="C382" i="32"/>
  <c r="C108" i="32"/>
  <c r="C107" i="32"/>
  <c r="C106" i="32"/>
  <c r="C105" i="32"/>
  <c r="C104" i="32"/>
  <c r="C103" i="32"/>
  <c r="C102" i="32"/>
  <c r="C101" i="32"/>
  <c r="C100" i="32"/>
  <c r="C99" i="32"/>
  <c r="C98" i="32"/>
  <c r="C97" i="32"/>
  <c r="C96" i="32"/>
  <c r="C95" i="32"/>
  <c r="C94" i="32"/>
  <c r="C93" i="32"/>
  <c r="C92" i="32"/>
  <c r="C91" i="32"/>
  <c r="C90" i="32"/>
  <c r="C89" i="32"/>
  <c r="C88" i="32"/>
  <c r="C86" i="32"/>
  <c r="C85" i="32"/>
  <c r="C84" i="32"/>
  <c r="C83" i="32"/>
  <c r="C82" i="32"/>
  <c r="C81" i="32"/>
  <c r="C80" i="32"/>
  <c r="C79" i="32"/>
  <c r="C78" i="32"/>
  <c r="C77" i="32"/>
  <c r="C76" i="32"/>
  <c r="C75" i="32"/>
  <c r="C74" i="32"/>
  <c r="C73" i="32"/>
  <c r="C71" i="32"/>
  <c r="C70" i="32"/>
  <c r="C69" i="32"/>
  <c r="C68" i="32"/>
  <c r="C67" i="32"/>
  <c r="C66" i="32"/>
  <c r="C65" i="32"/>
  <c r="C64" i="32"/>
  <c r="C63" i="32"/>
  <c r="C62" i="32"/>
  <c r="C61" i="32"/>
  <c r="C60" i="32"/>
  <c r="C381" i="32"/>
  <c r="C59" i="32"/>
  <c r="C58" i="32"/>
  <c r="C57" i="32"/>
  <c r="C56" i="32"/>
  <c r="C55" i="32"/>
  <c r="C54" i="32"/>
  <c r="C53" i="32"/>
  <c r="C52" i="32"/>
  <c r="C51" i="32"/>
  <c r="C50" i="32"/>
  <c r="C49" i="32"/>
  <c r="C48" i="32"/>
  <c r="C356" i="32"/>
  <c r="C357" i="32" s="1"/>
  <c r="C380" i="32"/>
  <c r="C46" i="32"/>
  <c r="C45" i="32"/>
  <c r="C44" i="32"/>
  <c r="C43" i="32"/>
  <c r="C42" i="32"/>
  <c r="C41" i="32"/>
  <c r="C40" i="32"/>
  <c r="C39" i="32"/>
  <c r="C38" i="32"/>
  <c r="C37" i="32"/>
  <c r="C36" i="32"/>
  <c r="C35" i="32"/>
  <c r="C34" i="32"/>
  <c r="C33" i="32"/>
  <c r="C32" i="32"/>
  <c r="C31" i="32"/>
  <c r="C30" i="32"/>
  <c r="C29" i="32"/>
  <c r="C28" i="32"/>
  <c r="C368" i="32"/>
  <c r="C27" i="32"/>
  <c r="C26" i="32"/>
  <c r="C25" i="32"/>
  <c r="C24" i="32"/>
  <c r="C23" i="32"/>
  <c r="C22" i="32"/>
  <c r="C21" i="32"/>
  <c r="C20" i="32"/>
  <c r="C19" i="32"/>
  <c r="C18" i="32"/>
  <c r="C17" i="32"/>
  <c r="C16" i="32"/>
  <c r="C15" i="32"/>
  <c r="C14" i="32"/>
  <c r="C13" i="32"/>
  <c r="C12" i="32"/>
  <c r="C11" i="32"/>
  <c r="C10" i="32"/>
  <c r="C9" i="32"/>
  <c r="C8" i="32"/>
  <c r="C7" i="32"/>
  <c r="C6" i="32"/>
  <c r="C5" i="32"/>
  <c r="C4" i="32"/>
  <c r="C3" i="32"/>
  <c r="C2" i="32"/>
  <c r="Q301" i="32"/>
  <c r="Q293" i="32"/>
  <c r="Q276" i="32"/>
  <c r="Q272" i="32"/>
  <c r="Q259" i="32"/>
  <c r="Q252" i="32"/>
  <c r="Q233" i="32"/>
  <c r="Q201" i="32"/>
  <c r="Q184" i="32"/>
  <c r="Q150" i="32"/>
  <c r="Q146" i="32"/>
  <c r="Q104" i="32"/>
  <c r="Q46" i="32"/>
  <c r="Q345" i="32"/>
  <c r="Q341" i="32"/>
  <c r="Q340" i="32"/>
  <c r="Q339" i="32"/>
  <c r="Q323" i="32"/>
  <c r="Q321" i="32"/>
  <c r="Q311" i="32"/>
  <c r="Q309" i="32"/>
  <c r="Q303" i="32"/>
  <c r="Q299" i="32"/>
  <c r="Q275" i="32"/>
  <c r="Q258" i="32"/>
  <c r="Q253" i="32"/>
  <c r="Q250" i="32"/>
  <c r="Q245" i="32"/>
  <c r="Q241" i="32"/>
  <c r="Q239" i="32"/>
  <c r="Q229" i="32"/>
  <c r="Q226" i="32"/>
  <c r="Q207" i="32"/>
  <c r="Q204" i="32"/>
  <c r="Q199" i="32"/>
  <c r="Q189" i="32"/>
  <c r="Q186" i="32"/>
  <c r="Q178" i="32"/>
  <c r="Q165" i="32"/>
  <c r="Q164" i="32"/>
  <c r="Q163" i="32"/>
  <c r="Q160" i="32"/>
  <c r="Q155" i="32"/>
  <c r="Q154" i="32"/>
  <c r="Q151" i="32"/>
  <c r="Q148" i="32"/>
  <c r="Q138" i="32"/>
  <c r="Q135" i="32"/>
  <c r="Q130" i="32"/>
  <c r="Q128" i="32"/>
  <c r="Q117" i="32"/>
  <c r="Q108" i="32"/>
  <c r="Q107" i="32"/>
  <c r="Q103" i="32"/>
  <c r="Q77" i="32"/>
  <c r="Q67" i="32"/>
  <c r="Q56" i="32"/>
  <c r="Q49" i="32"/>
  <c r="Q42" i="32"/>
  <c r="Q24" i="32"/>
  <c r="Q11" i="32"/>
  <c r="Q7" i="32"/>
  <c r="Q6" i="32"/>
  <c r="Q337" i="32"/>
  <c r="Q332" i="32"/>
  <c r="Q330" i="32"/>
  <c r="Q327" i="32"/>
  <c r="Q298" i="32"/>
  <c r="Q292" i="32"/>
  <c r="Q287" i="32"/>
  <c r="Q286" i="32"/>
  <c r="Q270" i="32"/>
  <c r="Q261" i="32"/>
  <c r="Q238" i="32"/>
  <c r="Q235" i="32"/>
  <c r="Q224" i="32"/>
  <c r="Q196" i="32"/>
  <c r="Q195" i="32"/>
  <c r="Q191" i="32"/>
  <c r="Q168" i="32"/>
  <c r="Q147" i="32"/>
  <c r="Q144" i="32"/>
  <c r="Q86" i="32"/>
  <c r="Q65" i="32"/>
  <c r="Q63" i="32"/>
  <c r="Q54" i="32"/>
  <c r="Q53" i="32"/>
  <c r="Q23" i="32"/>
  <c r="Q15" i="32"/>
  <c r="Q346" i="32"/>
  <c r="Q344" i="32"/>
  <c r="Q324" i="32"/>
  <c r="Q280" i="32"/>
  <c r="Q279" i="32"/>
  <c r="Q268" i="32"/>
  <c r="Q265" i="32"/>
  <c r="Q240" i="32"/>
  <c r="Q232" i="32"/>
  <c r="Q214" i="32"/>
  <c r="Q213" i="32"/>
  <c r="Q212" i="32"/>
  <c r="Q174" i="32"/>
  <c r="Q149" i="32"/>
  <c r="Q139" i="32"/>
  <c r="Q131" i="32"/>
  <c r="Q127" i="32"/>
  <c r="Q119" i="32"/>
  <c r="Q115" i="32"/>
  <c r="Q111" i="32"/>
  <c r="Q94" i="32"/>
  <c r="Q73" i="32"/>
  <c r="Q70" i="32"/>
  <c r="Q61" i="32"/>
  <c r="Q45" i="32"/>
  <c r="Q9" i="32"/>
  <c r="Q335" i="32"/>
  <c r="Q333" i="32"/>
  <c r="Q331" i="32"/>
  <c r="Q326" i="32"/>
  <c r="Q314" i="32"/>
  <c r="Q312" i="32"/>
  <c r="Q295" i="32"/>
  <c r="Q284" i="32"/>
  <c r="Q283" i="32"/>
  <c r="Q274" i="32"/>
  <c r="Q266" i="32"/>
  <c r="Q248" i="32"/>
  <c r="Q369" i="32"/>
  <c r="S369" i="32" s="1"/>
  <c r="Q223" i="32"/>
  <c r="Q219" i="32"/>
  <c r="Q218" i="32"/>
  <c r="Q180" i="32"/>
  <c r="Q170" i="32"/>
  <c r="Q161" i="32"/>
  <c r="Q373" i="32"/>
  <c r="S373" i="32" s="1"/>
  <c r="Q159" i="32"/>
  <c r="Q153" i="32"/>
  <c r="Q145" i="32"/>
  <c r="Q142" i="32"/>
  <c r="Q140" i="32"/>
  <c r="Q137" i="32"/>
  <c r="Q126" i="32"/>
  <c r="Q372" i="32"/>
  <c r="Q121" i="32"/>
  <c r="Q120" i="32"/>
  <c r="Q113" i="32"/>
  <c r="Q112" i="32"/>
  <c r="Q106" i="32"/>
  <c r="Q93" i="32"/>
  <c r="Q84" i="32"/>
  <c r="Q78" i="32"/>
  <c r="Q71" i="32"/>
  <c r="Q68" i="32"/>
  <c r="Q57" i="32"/>
  <c r="Q41" i="32"/>
  <c r="Q40" i="32"/>
  <c r="Q38" i="32"/>
  <c r="Q32" i="32"/>
  <c r="Q368" i="32"/>
  <c r="Q17" i="32"/>
  <c r="Q16" i="32"/>
  <c r="Q8" i="32"/>
  <c r="Q3" i="32"/>
  <c r="Q342" i="32"/>
  <c r="Q329" i="32"/>
  <c r="Q308" i="32"/>
  <c r="Q307" i="32"/>
  <c r="Q365" i="32"/>
  <c r="S365" i="32" s="1"/>
  <c r="Q294" i="32"/>
  <c r="Q290" i="32"/>
  <c r="Q376" i="32"/>
  <c r="Q362" i="32"/>
  <c r="Q267" i="32"/>
  <c r="Q263" i="32"/>
  <c r="Q262" i="32"/>
  <c r="Q256" i="32"/>
  <c r="Q384" i="32"/>
  <c r="S384" i="32" s="1"/>
  <c r="Q254" i="32"/>
  <c r="Q244" i="32"/>
  <c r="Q236" i="32"/>
  <c r="Q221" i="32"/>
  <c r="Q216" i="32"/>
  <c r="Q359" i="32"/>
  <c r="Q208" i="32"/>
  <c r="Q205" i="32"/>
  <c r="Q188" i="32"/>
  <c r="Q182" i="32"/>
  <c r="Q172" i="32"/>
  <c r="Q377" i="32"/>
  <c r="S377" i="32" s="1"/>
  <c r="Q156" i="32"/>
  <c r="Q136" i="32"/>
  <c r="Q134" i="32"/>
  <c r="Q129" i="32"/>
  <c r="Q125" i="32"/>
  <c r="Q114" i="32"/>
  <c r="Q382" i="32"/>
  <c r="S382" i="32" s="1"/>
  <c r="Q105" i="32"/>
  <c r="Q102" i="32"/>
  <c r="Q100" i="32"/>
  <c r="Q99" i="32"/>
  <c r="Q98" i="32"/>
  <c r="Q97" i="32"/>
  <c r="Q90" i="32"/>
  <c r="Q88" i="32"/>
  <c r="Q79" i="32"/>
  <c r="Q76" i="32"/>
  <c r="Q69" i="32"/>
  <c r="Q381" i="32"/>
  <c r="S381" i="32" s="1"/>
  <c r="Q59" i="32"/>
  <c r="Q48" i="32"/>
  <c r="Q356" i="32"/>
  <c r="Q380" i="32"/>
  <c r="Q43" i="32"/>
  <c r="Q39" i="32"/>
  <c r="Q36" i="32"/>
  <c r="Q35" i="32"/>
  <c r="Q33" i="32"/>
  <c r="Q30" i="32"/>
  <c r="Q22" i="32"/>
  <c r="Q21" i="32"/>
  <c r="Q13" i="32"/>
  <c r="Q12" i="32"/>
  <c r="Q313" i="32"/>
  <c r="Q302" i="32"/>
  <c r="Q297" i="32"/>
  <c r="Q296" i="32"/>
  <c r="Q289" i="32"/>
  <c r="Q288" i="32"/>
  <c r="Q269" i="32"/>
  <c r="Q257" i="32"/>
  <c r="Q255" i="32"/>
  <c r="Q247" i="32"/>
  <c r="Q243" i="32"/>
  <c r="Q242" i="32"/>
  <c r="Q227" i="32"/>
  <c r="Q194" i="32"/>
  <c r="Q192" i="32"/>
  <c r="Q383" i="32"/>
  <c r="S383" i="32" s="1"/>
  <c r="Q181" i="32"/>
  <c r="Q179" i="32"/>
  <c r="Q176" i="32"/>
  <c r="Q167" i="32"/>
  <c r="Q158" i="32"/>
  <c r="Q152" i="32"/>
  <c r="Q143" i="32"/>
  <c r="Q124" i="32"/>
  <c r="Q110" i="32"/>
  <c r="Q101" i="32"/>
  <c r="Q89" i="32"/>
  <c r="Q83" i="32"/>
  <c r="Q52" i="32"/>
  <c r="Q31" i="32"/>
  <c r="Q28" i="32"/>
  <c r="Q27" i="32"/>
  <c r="Q26" i="32"/>
  <c r="Q320" i="32"/>
  <c r="Q317" i="32"/>
  <c r="Q291" i="32"/>
  <c r="Q264" i="32"/>
  <c r="Q228" i="32"/>
  <c r="Q210" i="32"/>
  <c r="Q187" i="32"/>
  <c r="Q132" i="32"/>
  <c r="Q109" i="32"/>
  <c r="Q343" i="32"/>
  <c r="T343" i="32" s="1"/>
  <c r="Q338" i="32"/>
  <c r="Q334" i="32"/>
  <c r="Q328" i="32"/>
  <c r="Q325" i="32"/>
  <c r="Q319" i="32"/>
  <c r="Q316" i="32"/>
  <c r="Q315" i="32"/>
  <c r="Q310" i="32"/>
  <c r="Q304" i="32"/>
  <c r="Q277" i="32"/>
  <c r="Q249" i="32"/>
  <c r="Q246" i="32"/>
  <c r="Q237" i="32"/>
  <c r="Q234" i="32"/>
  <c r="Q231" i="32"/>
  <c r="Q225" i="32"/>
  <c r="Q222" i="32"/>
  <c r="Q215" i="32"/>
  <c r="Q211" i="32"/>
  <c r="Q206" i="32"/>
  <c r="Q198" i="32"/>
  <c r="Q197" i="32"/>
  <c r="Q193" i="32"/>
  <c r="Q190" i="32"/>
  <c r="Q175" i="32"/>
  <c r="Q173" i="32"/>
  <c r="Q171" i="32"/>
  <c r="Q169" i="32"/>
  <c r="Q133" i="32"/>
  <c r="Q122" i="32"/>
  <c r="Q116" i="32"/>
  <c r="Q96" i="32"/>
  <c r="Q95" i="32"/>
  <c r="Q91" i="32"/>
  <c r="Q85" i="32"/>
  <c r="Q82" i="32"/>
  <c r="Q81" i="32"/>
  <c r="Q75" i="32"/>
  <c r="Q74" i="32"/>
  <c r="Q60" i="32"/>
  <c r="Q55" i="32"/>
  <c r="Q51" i="32"/>
  <c r="Q50" i="32"/>
  <c r="Q37" i="32"/>
  <c r="Q34" i="32"/>
  <c r="Q29" i="32"/>
  <c r="Q25" i="32"/>
  <c r="Q19" i="32"/>
  <c r="Q18" i="32"/>
  <c r="Q4" i="32"/>
  <c r="Q322" i="32"/>
  <c r="Q306" i="32"/>
  <c r="Q300" i="32"/>
  <c r="Q282" i="32"/>
  <c r="Q273" i="32"/>
  <c r="Q271" i="32"/>
  <c r="Q260" i="32"/>
  <c r="Q251" i="32"/>
  <c r="Q220" i="32"/>
  <c r="Q217" i="32"/>
  <c r="Q200" i="32"/>
  <c r="Q162" i="32"/>
  <c r="Q123" i="32"/>
  <c r="Q118" i="32"/>
  <c r="Q64" i="32"/>
  <c r="Q62" i="32"/>
  <c r="Q14" i="32"/>
  <c r="Q5" i="32"/>
  <c r="Q336" i="32"/>
  <c r="Q285" i="32"/>
  <c r="Q203" i="32"/>
  <c r="Q166" i="32"/>
  <c r="Q80" i="32"/>
  <c r="Q10" i="32"/>
  <c r="Q318" i="32"/>
  <c r="Q281" i="32"/>
  <c r="Q202" i="32"/>
  <c r="Q185" i="32"/>
  <c r="Q183" i="32"/>
  <c r="Q141" i="32"/>
  <c r="Q92" i="32"/>
  <c r="Q66" i="32"/>
  <c r="Q58" i="32"/>
  <c r="Q44" i="32"/>
  <c r="Q20" i="32"/>
  <c r="Q2" i="32"/>
  <c r="M12" i="1"/>
  <c r="G13" i="28"/>
  <c r="H18" i="28"/>
  <c r="G18" i="28"/>
  <c r="I22" i="28"/>
  <c r="F22" i="28"/>
  <c r="C32" i="4"/>
  <c r="W23" i="3" s="1"/>
  <c r="C31" i="4"/>
  <c r="W22" i="3" s="1"/>
  <c r="C30" i="4"/>
  <c r="W21" i="3" s="1"/>
  <c r="C28" i="4"/>
  <c r="W20" i="3" s="1"/>
  <c r="C27" i="4"/>
  <c r="W19" i="3" s="1"/>
  <c r="C26" i="4"/>
  <c r="W16" i="3" s="1"/>
  <c r="C25" i="4"/>
  <c r="W15" i="3" s="1"/>
  <c r="C24" i="4"/>
  <c r="M6" i="1" s="1"/>
  <c r="C23" i="4"/>
  <c r="M5" i="1" s="1"/>
  <c r="C22" i="4"/>
  <c r="M3" i="1" s="1"/>
  <c r="C21" i="4"/>
  <c r="M2" i="1" s="1"/>
  <c r="X284" i="21" l="1"/>
  <c r="X312" i="21"/>
  <c r="H363" i="34"/>
  <c r="F359" i="34"/>
  <c r="I359" i="34"/>
  <c r="S362" i="32"/>
  <c r="Q363" i="32"/>
  <c r="S363" i="32" s="1"/>
  <c r="T363" i="32" s="1"/>
  <c r="S359" i="32"/>
  <c r="Q360" i="32"/>
  <c r="S360" i="32" s="1"/>
  <c r="T360" i="32" s="1"/>
  <c r="S356" i="32"/>
  <c r="Q357" i="32"/>
  <c r="S357" i="32" s="1"/>
  <c r="T357" i="32" s="1"/>
  <c r="S380" i="32"/>
  <c r="T380" i="32" s="1"/>
  <c r="U380" i="32" s="1"/>
  <c r="Q385" i="32"/>
  <c r="S385" i="32" s="1"/>
  <c r="C385" i="32"/>
  <c r="T225" i="32"/>
  <c r="W225" i="32" s="1"/>
  <c r="T74" i="32"/>
  <c r="W74" i="32" s="1"/>
  <c r="T36" i="32"/>
  <c r="U36" i="32" s="1"/>
  <c r="S376" i="32"/>
  <c r="T376" i="32" s="1"/>
  <c r="Q378" i="32"/>
  <c r="S378" i="32" s="1"/>
  <c r="C378" i="32"/>
  <c r="C370" i="32"/>
  <c r="T280" i="32"/>
  <c r="W280" i="32" s="1"/>
  <c r="S372" i="32"/>
  <c r="T372" i="32" s="1"/>
  <c r="Q374" i="32"/>
  <c r="S374" i="32" s="1"/>
  <c r="C374" i="32"/>
  <c r="S368" i="32"/>
  <c r="T368" i="32" s="1"/>
  <c r="Q370" i="32"/>
  <c r="S370" i="32" s="1"/>
  <c r="T121" i="32"/>
  <c r="W121" i="32" s="1"/>
  <c r="T166" i="32"/>
  <c r="U166" i="32" s="1"/>
  <c r="T31" i="32"/>
  <c r="U31" i="32" s="1"/>
  <c r="T25" i="32"/>
  <c r="U25" i="32" s="1"/>
  <c r="T110" i="32"/>
  <c r="U110" i="32" s="1"/>
  <c r="T69" i="32"/>
  <c r="U69" i="32" s="1"/>
  <c r="T171" i="32"/>
  <c r="U171" i="32" s="1"/>
  <c r="T61" i="32"/>
  <c r="W61" i="32" s="1"/>
  <c r="F363" i="34"/>
  <c r="G359" i="34"/>
  <c r="N359" i="34"/>
  <c r="M359" i="34"/>
  <c r="E359" i="34"/>
  <c r="J359" i="34"/>
  <c r="H359" i="34"/>
  <c r="J367" i="34"/>
  <c r="I367" i="34"/>
  <c r="H367" i="34"/>
  <c r="F367" i="34"/>
  <c r="G367" i="34"/>
  <c r="N367" i="34"/>
  <c r="J363" i="34"/>
  <c r="M367" i="34"/>
  <c r="I363" i="34"/>
  <c r="E367" i="34"/>
  <c r="G363" i="34"/>
  <c r="N363" i="34"/>
  <c r="M363" i="34"/>
  <c r="E363" i="34"/>
  <c r="F352" i="34"/>
  <c r="H352" i="34"/>
  <c r="G352" i="34"/>
  <c r="N352" i="34"/>
  <c r="M352" i="34"/>
  <c r="E352" i="34"/>
  <c r="J352" i="34"/>
  <c r="I352" i="34"/>
  <c r="T170" i="32"/>
  <c r="U170" i="32" s="1"/>
  <c r="T356" i="32"/>
  <c r="W356" i="32" s="1"/>
  <c r="T40" i="32"/>
  <c r="U40" i="32" s="1"/>
  <c r="T140" i="32"/>
  <c r="U140" i="32" s="1"/>
  <c r="T241" i="32"/>
  <c r="U241" i="32" s="1"/>
  <c r="T35" i="32"/>
  <c r="T120" i="32"/>
  <c r="U343" i="32"/>
  <c r="W343" i="32"/>
  <c r="T183" i="32"/>
  <c r="O9" i="34"/>
  <c r="O21" i="34"/>
  <c r="O32" i="34"/>
  <c r="O44" i="34"/>
  <c r="O55" i="34"/>
  <c r="O66" i="34"/>
  <c r="O79" i="34"/>
  <c r="O91" i="34"/>
  <c r="O103" i="34"/>
  <c r="O114" i="34"/>
  <c r="O125" i="34"/>
  <c r="O137" i="34"/>
  <c r="O149" i="34"/>
  <c r="O160" i="34"/>
  <c r="O172" i="34"/>
  <c r="O185" i="34"/>
  <c r="O196" i="34"/>
  <c r="O208" i="34"/>
  <c r="O220" i="34"/>
  <c r="O232" i="34"/>
  <c r="O244" i="34"/>
  <c r="O358" i="34"/>
  <c r="O267" i="34"/>
  <c r="O279" i="34"/>
  <c r="O290" i="34"/>
  <c r="O302" i="34"/>
  <c r="O310" i="34"/>
  <c r="O326" i="34"/>
  <c r="O342" i="34"/>
  <c r="G347" i="34"/>
  <c r="H347" i="34"/>
  <c r="I347" i="34"/>
  <c r="J347" i="34"/>
  <c r="E347" i="34"/>
  <c r="O2" i="34"/>
  <c r="O6" i="34"/>
  <c r="O10" i="34"/>
  <c r="O14" i="34"/>
  <c r="O18" i="34"/>
  <c r="O22" i="34"/>
  <c r="O26" i="34"/>
  <c r="O29" i="34"/>
  <c r="O33" i="34"/>
  <c r="O37" i="34"/>
  <c r="O41" i="34"/>
  <c r="O45" i="34"/>
  <c r="O48" i="34"/>
  <c r="O52" i="34"/>
  <c r="O56" i="34"/>
  <c r="O356" i="34"/>
  <c r="O63" i="34"/>
  <c r="O67" i="34"/>
  <c r="O71" i="34"/>
  <c r="O76" i="34"/>
  <c r="O80" i="34"/>
  <c r="O84" i="34"/>
  <c r="O88" i="34"/>
  <c r="O92" i="34"/>
  <c r="O96" i="34"/>
  <c r="O100" i="34"/>
  <c r="O104" i="34"/>
  <c r="O108" i="34"/>
  <c r="O111" i="34"/>
  <c r="O115" i="34"/>
  <c r="O119" i="34"/>
  <c r="O123" i="34"/>
  <c r="O126" i="34"/>
  <c r="O130" i="34"/>
  <c r="O134" i="34"/>
  <c r="O138" i="34"/>
  <c r="O142" i="34"/>
  <c r="O146" i="34"/>
  <c r="O150" i="34"/>
  <c r="O154" i="34"/>
  <c r="O158" i="34"/>
  <c r="O161" i="34"/>
  <c r="O165" i="34"/>
  <c r="O169" i="34"/>
  <c r="O173" i="34"/>
  <c r="O178" i="34"/>
  <c r="O182" i="34"/>
  <c r="O186" i="34"/>
  <c r="O189" i="34"/>
  <c r="O193" i="34"/>
  <c r="O197" i="34"/>
  <c r="O201" i="34"/>
  <c r="O205" i="34"/>
  <c r="O209" i="34"/>
  <c r="O213" i="34"/>
  <c r="O217" i="34"/>
  <c r="O221" i="34"/>
  <c r="O225" i="34"/>
  <c r="O229" i="34"/>
  <c r="O233" i="34"/>
  <c r="O237" i="34"/>
  <c r="O241" i="34"/>
  <c r="O245" i="34"/>
  <c r="O249" i="34"/>
  <c r="O253" i="34"/>
  <c r="O256" i="34"/>
  <c r="O260" i="34"/>
  <c r="O264" i="34"/>
  <c r="O268" i="34"/>
  <c r="O272" i="34"/>
  <c r="O276" i="34"/>
  <c r="O280" i="34"/>
  <c r="O283" i="34"/>
  <c r="O287" i="34"/>
  <c r="O291" i="34"/>
  <c r="O295" i="34"/>
  <c r="O299" i="34"/>
  <c r="O303" i="34"/>
  <c r="O307" i="34"/>
  <c r="O311" i="34"/>
  <c r="O315" i="34"/>
  <c r="O319" i="34"/>
  <c r="O323" i="34"/>
  <c r="O327" i="34"/>
  <c r="O331" i="34"/>
  <c r="O335" i="34"/>
  <c r="O339" i="34"/>
  <c r="O343" i="34"/>
  <c r="M347" i="34"/>
  <c r="N347" i="34"/>
  <c r="O5" i="34"/>
  <c r="O17" i="34"/>
  <c r="O25" i="34"/>
  <c r="O36" i="34"/>
  <c r="O47" i="34"/>
  <c r="O59" i="34"/>
  <c r="O70" i="34"/>
  <c r="O83" i="34"/>
  <c r="O95" i="34"/>
  <c r="O107" i="34"/>
  <c r="O118" i="34"/>
  <c r="O129" i="34"/>
  <c r="O141" i="34"/>
  <c r="O153" i="34"/>
  <c r="O164" i="34"/>
  <c r="O176" i="34"/>
  <c r="O188" i="34"/>
  <c r="O200" i="34"/>
  <c r="O212" i="34"/>
  <c r="O224" i="34"/>
  <c r="O236" i="34"/>
  <c r="O248" i="34"/>
  <c r="O259" i="34"/>
  <c r="O271" i="34"/>
  <c r="O365" i="34"/>
  <c r="O294" i="34"/>
  <c r="O306" i="34"/>
  <c r="O318" i="34"/>
  <c r="O330" i="34"/>
  <c r="O338" i="34"/>
  <c r="O3" i="34"/>
  <c r="O7" i="34"/>
  <c r="O11" i="34"/>
  <c r="O15" i="34"/>
  <c r="O19" i="34"/>
  <c r="O23" i="34"/>
  <c r="O27" i="34"/>
  <c r="O30" i="34"/>
  <c r="O34" i="34"/>
  <c r="O38" i="34"/>
  <c r="O42" i="34"/>
  <c r="O46" i="34"/>
  <c r="O49" i="34"/>
  <c r="O53" i="34"/>
  <c r="O57" i="34"/>
  <c r="O60" i="34"/>
  <c r="O64" i="34"/>
  <c r="O68" i="34"/>
  <c r="O73" i="34"/>
  <c r="O13" i="34"/>
  <c r="O28" i="34"/>
  <c r="O40" i="34"/>
  <c r="O51" i="34"/>
  <c r="O62" i="34"/>
  <c r="O75" i="34"/>
  <c r="O87" i="34"/>
  <c r="AX87" i="34" s="1"/>
  <c r="AX347" i="34" s="1"/>
  <c r="BS347" i="34" s="1"/>
  <c r="O99" i="34"/>
  <c r="O110" i="34"/>
  <c r="O122" i="34"/>
  <c r="O133" i="34"/>
  <c r="O145" i="34"/>
  <c r="O366" i="34"/>
  <c r="O168" i="34"/>
  <c r="O181" i="34"/>
  <c r="O192" i="34"/>
  <c r="O204" i="34"/>
  <c r="O216" i="34"/>
  <c r="O228" i="34"/>
  <c r="O240" i="34"/>
  <c r="O252" i="34"/>
  <c r="O263" i="34"/>
  <c r="O275" i="34"/>
  <c r="O286" i="34"/>
  <c r="O298" i="34"/>
  <c r="O314" i="34"/>
  <c r="O322" i="34"/>
  <c r="O334" i="34"/>
  <c r="O346" i="34"/>
  <c r="F347" i="34"/>
  <c r="O4" i="34"/>
  <c r="O8" i="34"/>
  <c r="O12" i="34"/>
  <c r="O77" i="34"/>
  <c r="O81" i="34"/>
  <c r="O85" i="34"/>
  <c r="O89" i="34"/>
  <c r="O93" i="34"/>
  <c r="O97" i="34"/>
  <c r="O101" i="34"/>
  <c r="O105" i="34"/>
  <c r="O357" i="34"/>
  <c r="O112" i="34"/>
  <c r="O116" i="34"/>
  <c r="O120" i="34"/>
  <c r="O361" i="34"/>
  <c r="O127" i="34"/>
  <c r="O131" i="34"/>
  <c r="O135" i="34"/>
  <c r="O139" i="34"/>
  <c r="O143" i="34"/>
  <c r="O147" i="34"/>
  <c r="O151" i="34"/>
  <c r="O155" i="34"/>
  <c r="O159" i="34"/>
  <c r="O162" i="34"/>
  <c r="O166" i="34"/>
  <c r="O170" i="34"/>
  <c r="O174" i="34"/>
  <c r="O179" i="34"/>
  <c r="O183" i="34"/>
  <c r="O187" i="34"/>
  <c r="O190" i="34"/>
  <c r="O194" i="34"/>
  <c r="O198" i="34"/>
  <c r="O202" i="34"/>
  <c r="O206" i="34"/>
  <c r="O210" i="34"/>
  <c r="O214" i="34"/>
  <c r="O218" i="34"/>
  <c r="O222" i="34"/>
  <c r="O226" i="34"/>
  <c r="O350" i="34"/>
  <c r="O234" i="34"/>
  <c r="O238" i="34"/>
  <c r="O242" i="34"/>
  <c r="O246" i="34"/>
  <c r="O250" i="34"/>
  <c r="O254" i="34"/>
  <c r="O257" i="34"/>
  <c r="O261" i="34"/>
  <c r="O265" i="34"/>
  <c r="O269" i="34"/>
  <c r="O273" i="34"/>
  <c r="O277" i="34"/>
  <c r="O281" i="34"/>
  <c r="O284" i="34"/>
  <c r="O288" i="34"/>
  <c r="O292" i="34"/>
  <c r="O296" i="34"/>
  <c r="O300" i="34"/>
  <c r="O304" i="34"/>
  <c r="O308" i="34"/>
  <c r="O312" i="34"/>
  <c r="O316" i="34"/>
  <c r="O320" i="34"/>
  <c r="O324" i="34"/>
  <c r="O328" i="34"/>
  <c r="O332" i="34"/>
  <c r="O336" i="34"/>
  <c r="O340" i="34"/>
  <c r="O344" i="34"/>
  <c r="O16" i="34"/>
  <c r="O20" i="34"/>
  <c r="O24" i="34"/>
  <c r="O351" i="34"/>
  <c r="O31" i="34"/>
  <c r="O35" i="34"/>
  <c r="O39" i="34"/>
  <c r="O43" i="34"/>
  <c r="O355" i="34"/>
  <c r="O50" i="34"/>
  <c r="O54" i="34"/>
  <c r="O58" i="34"/>
  <c r="O61" i="34"/>
  <c r="O65" i="34"/>
  <c r="O69" i="34"/>
  <c r="O74" i="34"/>
  <c r="O78" i="34"/>
  <c r="O82" i="34"/>
  <c r="O86" i="34"/>
  <c r="O90" i="34"/>
  <c r="O94" i="34"/>
  <c r="O98" i="34"/>
  <c r="O102" i="34"/>
  <c r="O106" i="34"/>
  <c r="O109" i="34"/>
  <c r="O113" i="34"/>
  <c r="O117" i="34"/>
  <c r="O121" i="34"/>
  <c r="O124" i="34"/>
  <c r="O128" i="34"/>
  <c r="O132" i="34"/>
  <c r="O136" i="34"/>
  <c r="O140" i="34"/>
  <c r="O144" i="34"/>
  <c r="O148" i="34"/>
  <c r="O152" i="34"/>
  <c r="O156" i="34"/>
  <c r="O362" i="34"/>
  <c r="O163" i="34"/>
  <c r="O167" i="34"/>
  <c r="O171" i="34"/>
  <c r="O175" i="34"/>
  <c r="O180" i="34"/>
  <c r="O184" i="34"/>
  <c r="O354" i="34"/>
  <c r="O191" i="34"/>
  <c r="O195" i="34"/>
  <c r="O199" i="34"/>
  <c r="O203" i="34"/>
  <c r="O207" i="34"/>
  <c r="O211" i="34"/>
  <c r="O215" i="34"/>
  <c r="O219" i="34"/>
  <c r="O223" i="34"/>
  <c r="O227" i="34"/>
  <c r="O231" i="34"/>
  <c r="O235" i="34"/>
  <c r="O239" i="34"/>
  <c r="O243" i="34"/>
  <c r="O247" i="34"/>
  <c r="O251" i="34"/>
  <c r="O255" i="34"/>
  <c r="O258" i="34"/>
  <c r="O262" i="34"/>
  <c r="O266" i="34"/>
  <c r="O270" i="34"/>
  <c r="O274" i="34"/>
  <c r="O278" i="34"/>
  <c r="O282" i="34"/>
  <c r="O285" i="34"/>
  <c r="O289" i="34"/>
  <c r="O293" i="34"/>
  <c r="O297" i="34"/>
  <c r="O301" i="34"/>
  <c r="O305" i="34"/>
  <c r="O309" i="34"/>
  <c r="O313" i="34"/>
  <c r="O317" i="34"/>
  <c r="O321" i="34"/>
  <c r="O325" i="34"/>
  <c r="O329" i="34"/>
  <c r="O333" i="34"/>
  <c r="O337" i="34"/>
  <c r="O341" i="34"/>
  <c r="O345" i="34"/>
  <c r="T202" i="32"/>
  <c r="T210" i="32"/>
  <c r="S353" i="32"/>
  <c r="T264" i="32"/>
  <c r="T224" i="32"/>
  <c r="T6" i="32"/>
  <c r="T10" i="32"/>
  <c r="T318" i="32"/>
  <c r="T102" i="32"/>
  <c r="T112" i="32"/>
  <c r="T151" i="32"/>
  <c r="T28" i="32"/>
  <c r="T174" i="32"/>
  <c r="T90" i="32"/>
  <c r="T206" i="32"/>
  <c r="T5" i="32"/>
  <c r="T131" i="32"/>
  <c r="T147" i="32"/>
  <c r="T50" i="32"/>
  <c r="T116" i="32"/>
  <c r="T256" i="32"/>
  <c r="T24" i="32"/>
  <c r="T311" i="32"/>
  <c r="T21" i="32"/>
  <c r="T44" i="32"/>
  <c r="T107" i="32"/>
  <c r="T190" i="32"/>
  <c r="T162" i="32"/>
  <c r="T39" i="32"/>
  <c r="T9" i="32"/>
  <c r="T327" i="32"/>
  <c r="T58" i="32"/>
  <c r="T249" i="32"/>
  <c r="T17" i="32"/>
  <c r="T106" i="32"/>
  <c r="T159" i="32"/>
  <c r="T335" i="32"/>
  <c r="T139" i="32"/>
  <c r="T65" i="32"/>
  <c r="T135" i="32"/>
  <c r="T272" i="32"/>
  <c r="T20" i="32"/>
  <c r="T55" i="32"/>
  <c r="T95" i="32"/>
  <c r="T198" i="32"/>
  <c r="T319" i="32"/>
  <c r="T109" i="32"/>
  <c r="T143" i="32"/>
  <c r="T13" i="32"/>
  <c r="T43" i="32"/>
  <c r="T59" i="32"/>
  <c r="T98" i="32"/>
  <c r="T156" i="32"/>
  <c r="T32" i="32"/>
  <c r="T113" i="32"/>
  <c r="T295" i="32"/>
  <c r="T94" i="32"/>
  <c r="T127" i="32"/>
  <c r="T54" i="32"/>
  <c r="T144" i="32"/>
  <c r="T287" i="32"/>
  <c r="T103" i="32"/>
  <c r="T128" i="32"/>
  <c r="T148" i="32"/>
  <c r="T303" i="32"/>
  <c r="T4" i="32"/>
  <c r="T12" i="32"/>
  <c r="T16" i="32"/>
  <c r="T38" i="32"/>
  <c r="T46" i="32"/>
  <c r="T93" i="32"/>
  <c r="T382" i="32"/>
  <c r="T130" i="32"/>
  <c r="T196" i="32"/>
  <c r="T212" i="32"/>
  <c r="T240" i="32"/>
  <c r="T248" i="32"/>
  <c r="T384" i="32"/>
  <c r="T259" i="32"/>
  <c r="T271" i="32"/>
  <c r="T286" i="32"/>
  <c r="T294" i="32"/>
  <c r="T302" i="32"/>
  <c r="T310" i="32"/>
  <c r="T326" i="32"/>
  <c r="T334" i="32"/>
  <c r="T279" i="32"/>
  <c r="T342" i="32"/>
  <c r="T8" i="32"/>
  <c r="T154" i="32"/>
  <c r="T232" i="32"/>
  <c r="T263" i="32"/>
  <c r="T275" i="32"/>
  <c r="T82" i="32"/>
  <c r="T132" i="32"/>
  <c r="T152" i="32"/>
  <c r="T179" i="32"/>
  <c r="T194" i="32"/>
  <c r="T99" i="32"/>
  <c r="T163" i="32"/>
  <c r="T186" i="32"/>
  <c r="T189" i="32"/>
  <c r="T201" i="32"/>
  <c r="T245" i="32"/>
  <c r="T339" i="32"/>
  <c r="C347" i="32"/>
  <c r="T18" i="32"/>
  <c r="T66" i="32"/>
  <c r="T62" i="32"/>
  <c r="T51" i="32"/>
  <c r="T91" i="32"/>
  <c r="T187" i="32"/>
  <c r="T124" i="32"/>
  <c r="T167" i="32"/>
  <c r="T136" i="32"/>
  <c r="T78" i="32"/>
  <c r="T373" i="32"/>
  <c r="T218" i="32"/>
  <c r="T214" i="32"/>
  <c r="T86" i="32"/>
  <c r="T117" i="32"/>
  <c r="T155" i="32"/>
  <c r="T233" i="32"/>
  <c r="T11" i="32"/>
  <c r="F12" i="28" s="1"/>
  <c r="T15" i="32"/>
  <c r="T56" i="32"/>
  <c r="T381" i="32"/>
  <c r="T63" i="32"/>
  <c r="T88" i="32"/>
  <c r="T104" i="32"/>
  <c r="T111" i="32"/>
  <c r="T129" i="32"/>
  <c r="T137" i="32"/>
  <c r="T153" i="32"/>
  <c r="T377" i="32"/>
  <c r="T164" i="32"/>
  <c r="T184" i="32"/>
  <c r="T207" i="32"/>
  <c r="T223" i="32"/>
  <c r="T258" i="32"/>
  <c r="T301" i="32"/>
  <c r="T309" i="32"/>
  <c r="T3" i="32"/>
  <c r="T7" i="32"/>
  <c r="T22" i="32"/>
  <c r="T26" i="32"/>
  <c r="T29" i="32"/>
  <c r="T33" i="32"/>
  <c r="T37" i="32"/>
  <c r="T41" i="32"/>
  <c r="T45" i="32"/>
  <c r="T48" i="32"/>
  <c r="T52" i="32"/>
  <c r="T67" i="32"/>
  <c r="T70" i="32"/>
  <c r="T75" i="32"/>
  <c r="T79" i="32"/>
  <c r="T83" i="32"/>
  <c r="T92" i="32"/>
  <c r="T96" i="32"/>
  <c r="T100" i="32"/>
  <c r="T108" i="32"/>
  <c r="T114" i="32"/>
  <c r="T118" i="32"/>
  <c r="T122" i="32"/>
  <c r="T125" i="32"/>
  <c r="T133" i="32"/>
  <c r="T141" i="32"/>
  <c r="T145" i="32"/>
  <c r="T149" i="32"/>
  <c r="T160" i="32"/>
  <c r="T168" i="32"/>
  <c r="T172" i="32"/>
  <c r="T175" i="32"/>
  <c r="T180" i="32"/>
  <c r="T383" i="32"/>
  <c r="T191" i="32"/>
  <c r="T195" i="32"/>
  <c r="T199" i="32"/>
  <c r="T203" i="32"/>
  <c r="T211" i="32"/>
  <c r="T215" i="32"/>
  <c r="T219" i="32"/>
  <c r="T227" i="32"/>
  <c r="T231" i="32"/>
  <c r="T235" i="32"/>
  <c r="T239" i="32"/>
  <c r="T243" i="32"/>
  <c r="T247" i="32"/>
  <c r="T251" i="32"/>
  <c r="T255" i="32"/>
  <c r="T262" i="32"/>
  <c r="T266" i="32"/>
  <c r="T270" i="32"/>
  <c r="T274" i="32"/>
  <c r="T362" i="32"/>
  <c r="T282" i="32"/>
  <c r="T285" i="32"/>
  <c r="T289" i="32"/>
  <c r="T293" i="32"/>
  <c r="T297" i="32"/>
  <c r="T365" i="32"/>
  <c r="T313" i="32"/>
  <c r="T317" i="32"/>
  <c r="T321" i="32"/>
  <c r="T325" i="32"/>
  <c r="T329" i="32"/>
  <c r="T333" i="32"/>
  <c r="T337" i="32"/>
  <c r="T341" i="32"/>
  <c r="T345" i="32"/>
  <c r="T14" i="32"/>
  <c r="T19" i="32"/>
  <c r="T23" i="32"/>
  <c r="T27" i="32"/>
  <c r="T30" i="32"/>
  <c r="T34" i="32"/>
  <c r="T42" i="32"/>
  <c r="T49" i="32"/>
  <c r="T53" i="32"/>
  <c r="T57" i="32"/>
  <c r="T60" i="32"/>
  <c r="T64" i="32"/>
  <c r="T71" i="32"/>
  <c r="T76" i="32"/>
  <c r="T80" i="32"/>
  <c r="T84" i="32"/>
  <c r="T89" i="32"/>
  <c r="T97" i="32"/>
  <c r="T101" i="32"/>
  <c r="T105" i="32"/>
  <c r="T115" i="32"/>
  <c r="T119" i="32"/>
  <c r="T123" i="32"/>
  <c r="T126" i="32"/>
  <c r="T134" i="32"/>
  <c r="T138" i="32"/>
  <c r="T142" i="32"/>
  <c r="T146" i="32"/>
  <c r="T150" i="32"/>
  <c r="T158" i="32"/>
  <c r="T161" i="32"/>
  <c r="T165" i="32"/>
  <c r="T169" i="32"/>
  <c r="T173" i="32"/>
  <c r="T176" i="32"/>
  <c r="T181" i="32"/>
  <c r="T185" i="32"/>
  <c r="T188" i="32"/>
  <c r="T192" i="32"/>
  <c r="T200" i="32"/>
  <c r="T204" i="32"/>
  <c r="T208" i="32"/>
  <c r="T216" i="32"/>
  <c r="T220" i="32"/>
  <c r="T228" i="32"/>
  <c r="T236" i="32"/>
  <c r="T244" i="32"/>
  <c r="T252" i="32"/>
  <c r="T267" i="32"/>
  <c r="T290" i="32"/>
  <c r="T298" i="32"/>
  <c r="T306" i="32"/>
  <c r="T314" i="32"/>
  <c r="T322" i="32"/>
  <c r="T330" i="32"/>
  <c r="T338" i="32"/>
  <c r="T346" i="32"/>
  <c r="T68" i="32"/>
  <c r="T73" i="32"/>
  <c r="T77" i="32"/>
  <c r="T81" i="32"/>
  <c r="T85" i="32"/>
  <c r="T178" i="32"/>
  <c r="T182" i="32"/>
  <c r="T193" i="32"/>
  <c r="T197" i="32"/>
  <c r="T205" i="32"/>
  <c r="T359" i="32"/>
  <c r="T213" i="32"/>
  <c r="T217" i="32"/>
  <c r="T221" i="32"/>
  <c r="T229" i="32"/>
  <c r="T237" i="32"/>
  <c r="T253" i="32"/>
  <c r="T260" i="32"/>
  <c r="T268" i="32"/>
  <c r="T276" i="32"/>
  <c r="T283" i="32"/>
  <c r="T291" i="32"/>
  <c r="T299" i="32"/>
  <c r="T307" i="32"/>
  <c r="T315" i="32"/>
  <c r="T323" i="32"/>
  <c r="T331" i="32"/>
  <c r="C353" i="32"/>
  <c r="T2" i="32"/>
  <c r="T222" i="32"/>
  <c r="T226" i="32"/>
  <c r="T369" i="32"/>
  <c r="T234" i="32"/>
  <c r="T238" i="32"/>
  <c r="T242" i="32"/>
  <c r="T246" i="32"/>
  <c r="T250" i="32"/>
  <c r="T254" i="32"/>
  <c r="T257" i="32"/>
  <c r="T261" i="32"/>
  <c r="T265" i="32"/>
  <c r="T269" i="32"/>
  <c r="T273" i="32"/>
  <c r="T277" i="32"/>
  <c r="T281" i="32"/>
  <c r="T284" i="32"/>
  <c r="T288" i="32"/>
  <c r="T292" i="32"/>
  <c r="T296" i="32"/>
  <c r="T300" i="32"/>
  <c r="T304" i="32"/>
  <c r="T308" i="32"/>
  <c r="T312" i="32"/>
  <c r="T316" i="32"/>
  <c r="T320" i="32"/>
  <c r="T324" i="32"/>
  <c r="T328" i="32"/>
  <c r="T332" i="32"/>
  <c r="T336" i="32"/>
  <c r="T340" i="32"/>
  <c r="T344" i="32"/>
  <c r="Q347" i="32"/>
  <c r="M9" i="1"/>
  <c r="M10" i="1"/>
  <c r="M11" i="1"/>
  <c r="B1" i="6"/>
  <c r="C37" i="4"/>
  <c r="C4" i="3" s="1"/>
  <c r="C2" i="4"/>
  <c r="E11" i="4" s="1"/>
  <c r="A2" i="4"/>
  <c r="C35" i="4" s="1"/>
  <c r="C22" i="28"/>
  <c r="D13" i="28"/>
  <c r="AM352" i="30"/>
  <c r="AM351" i="30"/>
  <c r="AM350" i="30"/>
  <c r="AM349" i="30"/>
  <c r="AM348" i="30"/>
  <c r="AM347" i="30"/>
  <c r="AM346" i="30"/>
  <c r="AM345" i="30"/>
  <c r="AM344" i="30"/>
  <c r="AM343" i="30"/>
  <c r="AM342" i="30"/>
  <c r="AM341" i="30"/>
  <c r="AM340" i="30"/>
  <c r="AM339" i="30"/>
  <c r="AM338" i="30"/>
  <c r="AM337" i="30"/>
  <c r="AM336" i="30"/>
  <c r="AM335" i="30"/>
  <c r="AM334" i="30"/>
  <c r="AM333" i="30"/>
  <c r="AM332" i="30"/>
  <c r="AM331" i="30"/>
  <c r="AM330" i="30"/>
  <c r="AM329" i="30"/>
  <c r="AM328" i="30"/>
  <c r="AM327" i="30"/>
  <c r="AM326" i="30"/>
  <c r="AM325" i="30"/>
  <c r="AM324" i="30"/>
  <c r="AM323" i="30"/>
  <c r="AM322" i="30"/>
  <c r="AM321" i="30"/>
  <c r="AM320" i="30"/>
  <c r="AM319" i="30"/>
  <c r="AM318" i="30"/>
  <c r="AM317" i="30"/>
  <c r="AM316" i="30"/>
  <c r="AM315" i="30"/>
  <c r="AM314" i="30"/>
  <c r="AM313" i="30"/>
  <c r="AM312" i="30"/>
  <c r="AM311" i="30"/>
  <c r="AM309" i="30"/>
  <c r="AM308" i="30"/>
  <c r="AM307" i="30"/>
  <c r="AM306" i="30"/>
  <c r="AM305" i="30"/>
  <c r="AM304" i="30"/>
  <c r="AM303" i="30"/>
  <c r="AM302" i="30"/>
  <c r="AM301" i="30"/>
  <c r="AM300" i="30"/>
  <c r="AM299" i="30"/>
  <c r="AM298" i="30"/>
  <c r="AM297" i="30"/>
  <c r="AM296" i="30"/>
  <c r="AM295" i="30"/>
  <c r="AM294" i="30"/>
  <c r="AM293" i="30"/>
  <c r="AM292" i="30"/>
  <c r="AM291" i="30"/>
  <c r="AM290" i="30"/>
  <c r="AM289" i="30"/>
  <c r="AM288" i="30"/>
  <c r="AM380" i="30"/>
  <c r="AM287" i="30"/>
  <c r="AM286" i="30"/>
  <c r="AM285" i="30"/>
  <c r="AM284" i="30"/>
  <c r="AM372" i="30"/>
  <c r="AM282" i="30"/>
  <c r="AM281" i="30"/>
  <c r="AM280" i="30"/>
  <c r="AM279" i="30"/>
  <c r="AM278" i="30"/>
  <c r="AM277" i="30"/>
  <c r="AM276" i="30"/>
  <c r="AM275" i="30"/>
  <c r="AM274" i="30"/>
  <c r="AM273" i="30"/>
  <c r="AM272" i="30"/>
  <c r="AM271" i="30"/>
  <c r="AM270" i="30"/>
  <c r="AM269" i="30"/>
  <c r="AM268" i="30"/>
  <c r="AM267" i="30"/>
  <c r="AM266" i="30"/>
  <c r="AM265" i="30"/>
  <c r="AM264" i="30"/>
  <c r="AM263" i="30"/>
  <c r="AM262" i="30"/>
  <c r="AM261" i="30"/>
  <c r="AM387" i="30"/>
  <c r="AM260" i="30"/>
  <c r="AM259" i="30"/>
  <c r="AM258" i="30"/>
  <c r="AM257" i="30"/>
  <c r="AM256" i="30"/>
  <c r="AM255" i="30"/>
  <c r="AM254" i="30"/>
  <c r="AM253" i="30"/>
  <c r="AM252" i="30"/>
  <c r="AM251" i="30"/>
  <c r="AM250" i="30"/>
  <c r="AM249" i="30"/>
  <c r="AM248" i="30"/>
  <c r="AM247" i="30"/>
  <c r="AM246" i="30"/>
  <c r="AM245" i="30"/>
  <c r="AM244" i="30"/>
  <c r="AM243" i="30"/>
  <c r="AM242" i="30"/>
  <c r="AM241" i="30"/>
  <c r="AM240" i="30"/>
  <c r="AM239" i="30"/>
  <c r="AM238" i="30"/>
  <c r="AM237" i="30"/>
  <c r="AM236" i="30"/>
  <c r="AM235" i="30"/>
  <c r="AM234" i="30"/>
  <c r="AM233" i="30"/>
  <c r="AM232" i="30"/>
  <c r="AM231" i="30"/>
  <c r="AM230" i="30"/>
  <c r="AM229" i="30"/>
  <c r="AM228" i="30"/>
  <c r="AM227" i="30"/>
  <c r="AM226" i="30"/>
  <c r="AM225" i="30"/>
  <c r="AM224" i="30"/>
  <c r="AM223" i="30"/>
  <c r="AM222" i="30"/>
  <c r="AM221" i="30"/>
  <c r="AM220" i="30"/>
  <c r="AM219" i="30"/>
  <c r="AM218" i="30"/>
  <c r="AM217" i="30"/>
  <c r="AM216" i="30"/>
  <c r="AM215" i="30"/>
  <c r="AM366" i="30"/>
  <c r="AM213" i="30"/>
  <c r="AM212" i="30"/>
  <c r="AM211" i="30"/>
  <c r="AM210" i="30"/>
  <c r="AM209" i="30"/>
  <c r="AM208" i="30"/>
  <c r="AM207" i="30"/>
  <c r="AM206" i="30"/>
  <c r="AM205" i="30"/>
  <c r="AM204" i="30"/>
  <c r="AM203" i="30"/>
  <c r="AM202" i="30"/>
  <c r="AM201" i="30"/>
  <c r="AM200" i="30"/>
  <c r="AM199" i="30"/>
  <c r="AM198" i="30"/>
  <c r="AM197" i="30"/>
  <c r="AM196" i="30"/>
  <c r="AM195" i="30"/>
  <c r="AM194" i="30"/>
  <c r="AM193" i="30"/>
  <c r="AM386" i="30"/>
  <c r="AM192" i="30"/>
  <c r="AM191" i="30"/>
  <c r="AM190" i="30"/>
  <c r="AM189" i="30"/>
  <c r="AM188" i="30"/>
  <c r="AM187" i="30"/>
  <c r="AM186" i="30"/>
  <c r="AM185" i="30"/>
  <c r="AM184" i="30"/>
  <c r="AM183" i="30"/>
  <c r="AM181" i="30"/>
  <c r="AM180" i="30"/>
  <c r="AM179" i="30"/>
  <c r="AM358" i="30"/>
  <c r="AM177" i="30"/>
  <c r="AM176" i="30"/>
  <c r="AM175" i="30"/>
  <c r="AM174" i="30"/>
  <c r="AM173" i="30"/>
  <c r="AM172" i="30"/>
  <c r="AM171" i="30"/>
  <c r="AM170" i="30"/>
  <c r="AM169" i="30"/>
  <c r="AM168" i="30"/>
  <c r="AM167" i="30"/>
  <c r="AM166" i="30"/>
  <c r="AM165" i="30"/>
  <c r="AM164" i="30"/>
  <c r="AM376" i="30"/>
  <c r="AM163" i="30"/>
  <c r="AM162" i="30"/>
  <c r="AM379" i="30"/>
  <c r="AM160" i="30"/>
  <c r="AM159" i="30"/>
  <c r="AM158" i="30"/>
  <c r="AM157" i="30"/>
  <c r="AM156" i="30"/>
  <c r="AM155" i="30"/>
  <c r="AM154" i="30"/>
  <c r="AM153" i="30"/>
  <c r="AM152" i="30"/>
  <c r="AM151" i="30"/>
  <c r="AM150" i="30"/>
  <c r="AM149" i="30"/>
  <c r="AM148" i="30"/>
  <c r="AM147" i="30"/>
  <c r="AM146" i="30"/>
  <c r="AM145" i="30"/>
  <c r="AM144" i="30"/>
  <c r="AM143" i="30"/>
  <c r="AM142" i="30"/>
  <c r="AM141" i="30"/>
  <c r="AM140" i="30"/>
  <c r="AM139" i="30"/>
  <c r="AM138" i="30"/>
  <c r="AM137" i="30"/>
  <c r="AM136" i="30"/>
  <c r="AM135" i="30"/>
  <c r="AM134" i="30"/>
  <c r="AM133" i="30"/>
  <c r="AM132" i="30"/>
  <c r="AM131" i="30"/>
  <c r="AM130" i="30"/>
  <c r="AM129" i="30"/>
  <c r="AM128" i="30"/>
  <c r="AM375" i="30"/>
  <c r="AM127" i="30"/>
  <c r="AM126" i="30"/>
  <c r="AM125" i="30"/>
  <c r="AM124" i="30"/>
  <c r="AM123" i="30"/>
  <c r="AM122" i="30"/>
  <c r="AM121" i="30"/>
  <c r="AM120" i="30"/>
  <c r="AM119" i="30"/>
  <c r="AM118" i="30"/>
  <c r="AM117" i="30"/>
  <c r="AM116" i="30"/>
  <c r="AM361" i="30"/>
  <c r="AM114" i="30"/>
  <c r="AM113" i="30"/>
  <c r="AM112" i="30"/>
  <c r="AM385" i="30"/>
  <c r="AM111" i="30"/>
  <c r="AM110" i="30"/>
  <c r="AM109" i="30"/>
  <c r="AM108" i="30"/>
  <c r="AM107" i="30"/>
  <c r="AM106" i="30"/>
  <c r="AM105" i="30"/>
  <c r="AM104" i="30"/>
  <c r="AM103" i="30"/>
  <c r="AM102" i="30"/>
  <c r="AM101" i="30"/>
  <c r="AM100" i="30"/>
  <c r="AM99" i="30"/>
  <c r="AM98" i="30"/>
  <c r="AM97" i="30"/>
  <c r="AM96" i="30"/>
  <c r="AM95" i="30"/>
  <c r="AM94" i="30"/>
  <c r="AM93" i="30"/>
  <c r="AM92" i="30"/>
  <c r="AM91" i="30"/>
  <c r="AM89" i="30"/>
  <c r="AM88" i="30"/>
  <c r="AM87" i="30"/>
  <c r="AM86" i="30"/>
  <c r="AM85" i="30"/>
  <c r="AM84" i="30"/>
  <c r="AM83" i="30"/>
  <c r="AM82" i="30"/>
  <c r="AM81" i="30"/>
  <c r="AM80" i="30"/>
  <c r="AM79" i="30"/>
  <c r="AM78" i="30"/>
  <c r="AM77" i="30"/>
  <c r="AM76" i="30"/>
  <c r="AM74" i="30"/>
  <c r="AM73" i="30"/>
  <c r="AM72" i="30"/>
  <c r="AM71" i="30"/>
  <c r="AM357" i="30"/>
  <c r="AM69" i="30"/>
  <c r="AM68" i="30"/>
  <c r="AM67" i="30"/>
  <c r="AM66" i="30"/>
  <c r="AM65" i="30"/>
  <c r="AM64" i="30"/>
  <c r="AM63" i="30"/>
  <c r="AM62" i="30"/>
  <c r="AM384" i="30"/>
  <c r="AM61" i="30"/>
  <c r="AM60" i="30"/>
  <c r="AM59" i="30"/>
  <c r="AM58" i="30"/>
  <c r="AM57" i="30"/>
  <c r="AM56" i="30"/>
  <c r="AM55" i="30"/>
  <c r="AM54" i="30"/>
  <c r="AM53" i="30"/>
  <c r="AM52" i="30"/>
  <c r="AM51" i="30"/>
  <c r="AM50" i="30"/>
  <c r="AM363" i="30"/>
  <c r="AM383" i="30"/>
  <c r="AM48" i="30"/>
  <c r="AM47" i="30"/>
  <c r="AM46" i="30"/>
  <c r="AM45" i="30"/>
  <c r="AM44" i="30"/>
  <c r="AM43" i="30"/>
  <c r="AM42" i="30"/>
  <c r="AM41" i="30"/>
  <c r="AM40" i="30"/>
  <c r="AM39" i="30"/>
  <c r="AM38" i="30"/>
  <c r="AM37" i="30"/>
  <c r="AM36" i="30"/>
  <c r="AM35" i="30"/>
  <c r="AM34" i="30"/>
  <c r="AM33" i="30"/>
  <c r="AM32" i="30"/>
  <c r="AM31" i="30"/>
  <c r="AM30" i="30"/>
  <c r="AM29" i="30"/>
  <c r="AM28" i="30"/>
  <c r="AM27" i="30"/>
  <c r="AM26" i="30"/>
  <c r="AM25" i="30"/>
  <c r="AM24" i="30"/>
  <c r="AM23" i="30"/>
  <c r="AM22" i="30"/>
  <c r="AM21" i="30"/>
  <c r="AM20" i="30"/>
  <c r="AM356" i="30"/>
  <c r="AM18" i="30"/>
  <c r="AM17" i="30"/>
  <c r="AM16" i="30"/>
  <c r="AM15" i="30"/>
  <c r="AM14" i="30"/>
  <c r="AM13" i="30"/>
  <c r="AM12" i="30"/>
  <c r="AM11" i="30"/>
  <c r="AM10" i="30"/>
  <c r="AM9" i="30"/>
  <c r="AM8" i="30"/>
  <c r="AM7" i="30"/>
  <c r="AM6" i="30"/>
  <c r="AM5" i="30"/>
  <c r="AM4" i="30"/>
  <c r="AM3" i="30"/>
  <c r="AM2" i="30"/>
  <c r="X352" i="30"/>
  <c r="T352" i="30"/>
  <c r="S352" i="30"/>
  <c r="R352" i="30"/>
  <c r="Q352" i="30"/>
  <c r="P352" i="30"/>
  <c r="O352" i="30"/>
  <c r="N352" i="30"/>
  <c r="M352" i="30"/>
  <c r="L352" i="30"/>
  <c r="K352" i="30"/>
  <c r="J352" i="30"/>
  <c r="I352" i="30"/>
  <c r="H352" i="30"/>
  <c r="G352" i="30"/>
  <c r="F352" i="30"/>
  <c r="E352" i="30"/>
  <c r="D352" i="30"/>
  <c r="C352" i="30"/>
  <c r="B352" i="30"/>
  <c r="AD351" i="30"/>
  <c r="AD350" i="30"/>
  <c r="AD349" i="30"/>
  <c r="AD348" i="30"/>
  <c r="AD347" i="30"/>
  <c r="AD346" i="30"/>
  <c r="AD345" i="30"/>
  <c r="AD344" i="30"/>
  <c r="AD343" i="30"/>
  <c r="AD342" i="30"/>
  <c r="AD341" i="30"/>
  <c r="AD340" i="30"/>
  <c r="AD339" i="30"/>
  <c r="AD338" i="30"/>
  <c r="AD337" i="30"/>
  <c r="AD336" i="30"/>
  <c r="AD335" i="30"/>
  <c r="AD334" i="30"/>
  <c r="AD333" i="30"/>
  <c r="AD332" i="30"/>
  <c r="AD331" i="30"/>
  <c r="AD330" i="30"/>
  <c r="AD329" i="30"/>
  <c r="AD328" i="30"/>
  <c r="AD327" i="30"/>
  <c r="AD326" i="30"/>
  <c r="AD325" i="30"/>
  <c r="AD324" i="30"/>
  <c r="AD323" i="30"/>
  <c r="AD322" i="30"/>
  <c r="AD321" i="30"/>
  <c r="AD320" i="30"/>
  <c r="AD319" i="30"/>
  <c r="AD318" i="30"/>
  <c r="AD317" i="30"/>
  <c r="AD316" i="30"/>
  <c r="AD315" i="30"/>
  <c r="AD314" i="30"/>
  <c r="AD313" i="30"/>
  <c r="AD312" i="30"/>
  <c r="AD311" i="30"/>
  <c r="AD309" i="30"/>
  <c r="AD308" i="30"/>
  <c r="AD307" i="30"/>
  <c r="AD306" i="30"/>
  <c r="AD305" i="30"/>
  <c r="AD304" i="30"/>
  <c r="AD303" i="30"/>
  <c r="AD302" i="30"/>
  <c r="AD301" i="30"/>
  <c r="AD300" i="30"/>
  <c r="AD299" i="30"/>
  <c r="AD298" i="30"/>
  <c r="AD297" i="30"/>
  <c r="AD296" i="30"/>
  <c r="AD295" i="30"/>
  <c r="AD294" i="30"/>
  <c r="AD293" i="30"/>
  <c r="AD292" i="30"/>
  <c r="AD291" i="30"/>
  <c r="AD290" i="30"/>
  <c r="AD289" i="30"/>
  <c r="AD288" i="30"/>
  <c r="AD380" i="30"/>
  <c r="AD287" i="30"/>
  <c r="AD286" i="30"/>
  <c r="AD285" i="30"/>
  <c r="AD284" i="30"/>
  <c r="AD372" i="30"/>
  <c r="AD282" i="30"/>
  <c r="AD281" i="30"/>
  <c r="AD280" i="30"/>
  <c r="AD279" i="30"/>
  <c r="AD278" i="30"/>
  <c r="AD277" i="30"/>
  <c r="AD276" i="30"/>
  <c r="AD275" i="30"/>
  <c r="AD274" i="30"/>
  <c r="AD273" i="30"/>
  <c r="AD272" i="30"/>
  <c r="AD271" i="30"/>
  <c r="AD270" i="30"/>
  <c r="AD269" i="30"/>
  <c r="AD268" i="30"/>
  <c r="AD267" i="30"/>
  <c r="AD266" i="30"/>
  <c r="AD265" i="30"/>
  <c r="AD264" i="30"/>
  <c r="AD263" i="30"/>
  <c r="AD262" i="30"/>
  <c r="AD261" i="30"/>
  <c r="AD387" i="30"/>
  <c r="AD260" i="30"/>
  <c r="AD259" i="30"/>
  <c r="AD258" i="30"/>
  <c r="AD257" i="30"/>
  <c r="AD256" i="30"/>
  <c r="AD255" i="30"/>
  <c r="AD254" i="30"/>
  <c r="AD253" i="30"/>
  <c r="AD252" i="30"/>
  <c r="AD251" i="30"/>
  <c r="AD250" i="30"/>
  <c r="AD249" i="30"/>
  <c r="AD248" i="30"/>
  <c r="AD247" i="30"/>
  <c r="AD246" i="30"/>
  <c r="AD245" i="30"/>
  <c r="AD244" i="30"/>
  <c r="AD243" i="30"/>
  <c r="AD242" i="30"/>
  <c r="AD241" i="30"/>
  <c r="AD240" i="30"/>
  <c r="AD239" i="30"/>
  <c r="AD238" i="30"/>
  <c r="AD237" i="30"/>
  <c r="AD236" i="30"/>
  <c r="AD235" i="30"/>
  <c r="AP234" i="30"/>
  <c r="AD234" i="30"/>
  <c r="AD233" i="30"/>
  <c r="AD232" i="30"/>
  <c r="AD231" i="30"/>
  <c r="AD230" i="30"/>
  <c r="AD229" i="30"/>
  <c r="AD228" i="30"/>
  <c r="AD227" i="30"/>
  <c r="AD226" i="30"/>
  <c r="AD225" i="30"/>
  <c r="AD224" i="30"/>
  <c r="AD223" i="30"/>
  <c r="AD222" i="30"/>
  <c r="AD221" i="30"/>
  <c r="AD220" i="30"/>
  <c r="AD219" i="30"/>
  <c r="AD218" i="30"/>
  <c r="AD217" i="30"/>
  <c r="AD216" i="30"/>
  <c r="AD215" i="30"/>
  <c r="AD366" i="30"/>
  <c r="AD213" i="30"/>
  <c r="AD212" i="30"/>
  <c r="AD211" i="30"/>
  <c r="AD210" i="30"/>
  <c r="AD209" i="30"/>
  <c r="AD208" i="30"/>
  <c r="AD207" i="30"/>
  <c r="AD206" i="30"/>
  <c r="AD205" i="30"/>
  <c r="AD204" i="30"/>
  <c r="AD203" i="30"/>
  <c r="AD202" i="30"/>
  <c r="AD201" i="30"/>
  <c r="AD200" i="30"/>
  <c r="AD199" i="30"/>
  <c r="AD198" i="30"/>
  <c r="AD197" i="30"/>
  <c r="AD196" i="30"/>
  <c r="AD195" i="30"/>
  <c r="AD194" i="30"/>
  <c r="AD193" i="30"/>
  <c r="AD386" i="30"/>
  <c r="AD192" i="30"/>
  <c r="AD191" i="30"/>
  <c r="AD190" i="30"/>
  <c r="AD189" i="30"/>
  <c r="AD188" i="30"/>
  <c r="AD187" i="30"/>
  <c r="AD186" i="30"/>
  <c r="AD185" i="30"/>
  <c r="AD184" i="30"/>
  <c r="AD183" i="30"/>
  <c r="AD181" i="30"/>
  <c r="AD180" i="30"/>
  <c r="AD179" i="30"/>
  <c r="AD358" i="30"/>
  <c r="AD177" i="30"/>
  <c r="AD176" i="30"/>
  <c r="AD175" i="30"/>
  <c r="AD174" i="30"/>
  <c r="AD173" i="30"/>
  <c r="AD172" i="30"/>
  <c r="AD171" i="30"/>
  <c r="AD170" i="30"/>
  <c r="AD169" i="30"/>
  <c r="AD168" i="30"/>
  <c r="AD167" i="30"/>
  <c r="AD166" i="30"/>
  <c r="AD165" i="30"/>
  <c r="AD164" i="30"/>
  <c r="AD376" i="30"/>
  <c r="AD163" i="30"/>
  <c r="AD162" i="30"/>
  <c r="AD379" i="30"/>
  <c r="AD160" i="30"/>
  <c r="AD159" i="30"/>
  <c r="AD158" i="30"/>
  <c r="AD157" i="30"/>
  <c r="AD156" i="30"/>
  <c r="AD155" i="30"/>
  <c r="AD154" i="30"/>
  <c r="AD153" i="30"/>
  <c r="AD152" i="30"/>
  <c r="AD151" i="30"/>
  <c r="AD150" i="30"/>
  <c r="AD149" i="30"/>
  <c r="AD148" i="30"/>
  <c r="AD147" i="30"/>
  <c r="AD146" i="30"/>
  <c r="AD145" i="30"/>
  <c r="AD144" i="30"/>
  <c r="AD143" i="30"/>
  <c r="AD142" i="30"/>
  <c r="AD141" i="30"/>
  <c r="AD140" i="30"/>
  <c r="AD139" i="30"/>
  <c r="AD138" i="30"/>
  <c r="AD137" i="30"/>
  <c r="AD136" i="30"/>
  <c r="AD135" i="30"/>
  <c r="AD134" i="30"/>
  <c r="AD133" i="30"/>
  <c r="AD132" i="30"/>
  <c r="AD131" i="30"/>
  <c r="AD130" i="30"/>
  <c r="AD129" i="30"/>
  <c r="AD128" i="30"/>
  <c r="AD375" i="30"/>
  <c r="AD127" i="30"/>
  <c r="AD126" i="30"/>
  <c r="AD125" i="30"/>
  <c r="AD124" i="30"/>
  <c r="AD123" i="30"/>
  <c r="AD122" i="30"/>
  <c r="AD121" i="30"/>
  <c r="AD120" i="30"/>
  <c r="AD119" i="30"/>
  <c r="AD118" i="30"/>
  <c r="AD117" i="30"/>
  <c r="AD116" i="30"/>
  <c r="AD361" i="30"/>
  <c r="AD114" i="30"/>
  <c r="AD113" i="30"/>
  <c r="AD112" i="30"/>
  <c r="AD385" i="30"/>
  <c r="AD111" i="30"/>
  <c r="AD110" i="30"/>
  <c r="AD109" i="30"/>
  <c r="AD108" i="30"/>
  <c r="AD107" i="30"/>
  <c r="AD106" i="30"/>
  <c r="AD105" i="30"/>
  <c r="AD104" i="30"/>
  <c r="AD103" i="30"/>
  <c r="AD102" i="30"/>
  <c r="AD101" i="30"/>
  <c r="AD100" i="30"/>
  <c r="AD99" i="30"/>
  <c r="AD98" i="30"/>
  <c r="AD97" i="30"/>
  <c r="AD96" i="30"/>
  <c r="AD95" i="30"/>
  <c r="AD94" i="30"/>
  <c r="AD93" i="30"/>
  <c r="AD92" i="30"/>
  <c r="AD91" i="30"/>
  <c r="AD89" i="30"/>
  <c r="AD88" i="30"/>
  <c r="AD87" i="30"/>
  <c r="AD86" i="30"/>
  <c r="AD85" i="30"/>
  <c r="AD84" i="30"/>
  <c r="AD83" i="30"/>
  <c r="AD82" i="30"/>
  <c r="AD81" i="30"/>
  <c r="AD80" i="30"/>
  <c r="AD79" i="30"/>
  <c r="AD78" i="30"/>
  <c r="AD77" i="30"/>
  <c r="AD76" i="30"/>
  <c r="AD74" i="30"/>
  <c r="AD73" i="30"/>
  <c r="AD72" i="30"/>
  <c r="AD71" i="30"/>
  <c r="AD357" i="30"/>
  <c r="AD69" i="30"/>
  <c r="AD68" i="30"/>
  <c r="AD67" i="30"/>
  <c r="AD66" i="30"/>
  <c r="AD65" i="30"/>
  <c r="AD64" i="30"/>
  <c r="AD63" i="30"/>
  <c r="AD62" i="30"/>
  <c r="AD384" i="30"/>
  <c r="AD61" i="30"/>
  <c r="AD60" i="30"/>
  <c r="AD59" i="30"/>
  <c r="AD58" i="30"/>
  <c r="AD57" i="30"/>
  <c r="AD56" i="30"/>
  <c r="AD55" i="30"/>
  <c r="AD54" i="30"/>
  <c r="AD53" i="30"/>
  <c r="AD52" i="30"/>
  <c r="AD51" i="30"/>
  <c r="AD50" i="30"/>
  <c r="AD363" i="30"/>
  <c r="AD383" i="30"/>
  <c r="AD48" i="30"/>
  <c r="AD47" i="30"/>
  <c r="AD46" i="30"/>
  <c r="AD45" i="30"/>
  <c r="AD44" i="30"/>
  <c r="AD43" i="30"/>
  <c r="AD42" i="30"/>
  <c r="AD41" i="30"/>
  <c r="AD40" i="30"/>
  <c r="AD39" i="30"/>
  <c r="AD38" i="30"/>
  <c r="AD37" i="30"/>
  <c r="AD36" i="30"/>
  <c r="AD35" i="30"/>
  <c r="AD34" i="30"/>
  <c r="AD33" i="30"/>
  <c r="AD32" i="30"/>
  <c r="AD31" i="30"/>
  <c r="AD30" i="30"/>
  <c r="AD29" i="30"/>
  <c r="AD28" i="30"/>
  <c r="AD27" i="30"/>
  <c r="AD26" i="30"/>
  <c r="AD25" i="30"/>
  <c r="AD24" i="30"/>
  <c r="AD23" i="30"/>
  <c r="AD22" i="30"/>
  <c r="AD21" i="30"/>
  <c r="AD20" i="30"/>
  <c r="AD356" i="30"/>
  <c r="AD18" i="30"/>
  <c r="AD17" i="30"/>
  <c r="AD16" i="30"/>
  <c r="AD15" i="30"/>
  <c r="AD14" i="30"/>
  <c r="AD13" i="30"/>
  <c r="AD12" i="30"/>
  <c r="AD11" i="30"/>
  <c r="AD10" i="30"/>
  <c r="AD9" i="30"/>
  <c r="AD8" i="30"/>
  <c r="AD7" i="30"/>
  <c r="AD6" i="30"/>
  <c r="AD5" i="30"/>
  <c r="AD4" i="30"/>
  <c r="AD3" i="30"/>
  <c r="AD2" i="30"/>
  <c r="C18" i="1" l="1"/>
  <c r="I18" i="28"/>
  <c r="L18" i="28" s="1"/>
  <c r="W36" i="32"/>
  <c r="W363" i="32"/>
  <c r="U363" i="32"/>
  <c r="W360" i="32"/>
  <c r="U360" i="32"/>
  <c r="U74" i="32"/>
  <c r="W357" i="32"/>
  <c r="U357" i="32"/>
  <c r="U225" i="32"/>
  <c r="T353" i="32"/>
  <c r="W353" i="32" s="1"/>
  <c r="C48" i="1"/>
  <c r="C71" i="1"/>
  <c r="C43" i="1"/>
  <c r="C14" i="1"/>
  <c r="C35" i="1"/>
  <c r="C27" i="1"/>
  <c r="C26" i="1"/>
  <c r="C28" i="1"/>
  <c r="C25" i="1"/>
  <c r="C29" i="1"/>
  <c r="C10" i="1"/>
  <c r="C55" i="1"/>
  <c r="C12" i="1"/>
  <c r="C54" i="1"/>
  <c r="C11" i="1"/>
  <c r="C44" i="1"/>
  <c r="C45" i="1"/>
  <c r="T385" i="32"/>
  <c r="U61" i="32"/>
  <c r="U121" i="32"/>
  <c r="U280" i="32"/>
  <c r="T378" i="32"/>
  <c r="W378" i="32" s="1"/>
  <c r="T374" i="32"/>
  <c r="U374" i="32" s="1"/>
  <c r="T370" i="32"/>
  <c r="U370" i="32" s="1"/>
  <c r="W166" i="32"/>
  <c r="W25" i="32"/>
  <c r="W110" i="32"/>
  <c r="W69" i="32"/>
  <c r="W171" i="32"/>
  <c r="W31" i="32"/>
  <c r="W241" i="32"/>
  <c r="W380" i="32"/>
  <c r="O359" i="34"/>
  <c r="O367" i="34"/>
  <c r="O363" i="34"/>
  <c r="O352" i="34"/>
  <c r="W170" i="32"/>
  <c r="U356" i="32"/>
  <c r="W40" i="32"/>
  <c r="W140" i="32"/>
  <c r="E11" i="28"/>
  <c r="C47" i="1"/>
  <c r="C46" i="1"/>
  <c r="C10" i="4"/>
  <c r="C18" i="4"/>
  <c r="C12" i="4"/>
  <c r="C3" i="1"/>
  <c r="C4" i="1"/>
  <c r="C36" i="1"/>
  <c r="C15" i="1"/>
  <c r="U344" i="32"/>
  <c r="W344" i="32"/>
  <c r="U312" i="32"/>
  <c r="W312" i="32"/>
  <c r="U281" i="32"/>
  <c r="W281" i="32"/>
  <c r="U250" i="32"/>
  <c r="W250" i="32"/>
  <c r="U2" i="32"/>
  <c r="W2" i="32"/>
  <c r="U283" i="32"/>
  <c r="W283" i="32"/>
  <c r="U217" i="32"/>
  <c r="W217" i="32"/>
  <c r="U85" i="32"/>
  <c r="W85" i="32"/>
  <c r="U322" i="32"/>
  <c r="W322" i="32"/>
  <c r="U244" i="32"/>
  <c r="W244" i="32"/>
  <c r="U192" i="32"/>
  <c r="W192" i="32"/>
  <c r="U161" i="32"/>
  <c r="W161" i="32"/>
  <c r="U123" i="32"/>
  <c r="W123" i="32"/>
  <c r="U84" i="32"/>
  <c r="W84" i="32"/>
  <c r="U49" i="32"/>
  <c r="W49" i="32"/>
  <c r="U345" i="32"/>
  <c r="W345" i="32"/>
  <c r="U313" i="32"/>
  <c r="W313" i="32"/>
  <c r="U274" i="32"/>
  <c r="W274" i="32"/>
  <c r="U239" i="32"/>
  <c r="W239" i="32"/>
  <c r="U199" i="32"/>
  <c r="W199" i="32"/>
  <c r="U114" i="32"/>
  <c r="W114" i="32"/>
  <c r="U70" i="32"/>
  <c r="W70" i="32"/>
  <c r="U29" i="32"/>
  <c r="W29" i="32"/>
  <c r="U223" i="32"/>
  <c r="W223" i="32"/>
  <c r="U233" i="32"/>
  <c r="W233" i="32"/>
  <c r="U136" i="32"/>
  <c r="W136" i="32"/>
  <c r="U18" i="32"/>
  <c r="W18" i="32"/>
  <c r="U99" i="32"/>
  <c r="W99" i="32"/>
  <c r="U232" i="32"/>
  <c r="W232" i="32"/>
  <c r="U302" i="32"/>
  <c r="W302" i="32"/>
  <c r="U212" i="32"/>
  <c r="W212" i="32"/>
  <c r="U12" i="32"/>
  <c r="W12" i="32"/>
  <c r="U54" i="32"/>
  <c r="W54" i="32"/>
  <c r="U59" i="32"/>
  <c r="W59" i="32"/>
  <c r="U55" i="32"/>
  <c r="W55" i="32"/>
  <c r="U106" i="32"/>
  <c r="W106" i="32"/>
  <c r="U39" i="32"/>
  <c r="W39" i="32"/>
  <c r="U256" i="32"/>
  <c r="W256" i="32"/>
  <c r="U174" i="32"/>
  <c r="W174" i="32"/>
  <c r="U224" i="32"/>
  <c r="W224" i="32"/>
  <c r="U308" i="32"/>
  <c r="W308" i="32"/>
  <c r="U276" i="32"/>
  <c r="W276" i="32"/>
  <c r="U236" i="32"/>
  <c r="W236" i="32"/>
  <c r="U80" i="32"/>
  <c r="W80" i="32"/>
  <c r="U235" i="32"/>
  <c r="W235" i="32"/>
  <c r="U108" i="32"/>
  <c r="W108" i="32"/>
  <c r="U207" i="32"/>
  <c r="W207" i="32"/>
  <c r="U194" i="32"/>
  <c r="W194" i="32"/>
  <c r="U4" i="32"/>
  <c r="W4" i="32"/>
  <c r="U116" i="32"/>
  <c r="W116" i="32"/>
  <c r="U336" i="32"/>
  <c r="W336" i="32"/>
  <c r="U304" i="32"/>
  <c r="W304" i="32"/>
  <c r="U273" i="32"/>
  <c r="W273" i="32"/>
  <c r="U242" i="32"/>
  <c r="W242" i="32"/>
  <c r="U331" i="32"/>
  <c r="W331" i="32"/>
  <c r="U268" i="32"/>
  <c r="W268" i="32"/>
  <c r="U359" i="32"/>
  <c r="W359" i="32"/>
  <c r="U77" i="32"/>
  <c r="W77" i="32"/>
  <c r="U306" i="32"/>
  <c r="W306" i="32"/>
  <c r="U228" i="32"/>
  <c r="W228" i="32"/>
  <c r="U185" i="32"/>
  <c r="W185" i="32"/>
  <c r="U150" i="32"/>
  <c r="W150" i="32"/>
  <c r="U115" i="32"/>
  <c r="W115" i="32"/>
  <c r="U76" i="32"/>
  <c r="W76" i="32"/>
  <c r="U34" i="32"/>
  <c r="W34" i="32"/>
  <c r="U337" i="32"/>
  <c r="W337" i="32"/>
  <c r="U297" i="32"/>
  <c r="W297" i="32"/>
  <c r="U266" i="32"/>
  <c r="W266" i="32"/>
  <c r="U231" i="32"/>
  <c r="W231" i="32"/>
  <c r="U191" i="32"/>
  <c r="W191" i="32"/>
  <c r="U145" i="32"/>
  <c r="W145" i="32"/>
  <c r="U100" i="32"/>
  <c r="W100" i="32"/>
  <c r="U52" i="32"/>
  <c r="W52" i="32"/>
  <c r="U22" i="32"/>
  <c r="W22" i="32"/>
  <c r="U88" i="32"/>
  <c r="W88" i="32"/>
  <c r="U117" i="32"/>
  <c r="W117" i="32"/>
  <c r="U124" i="32"/>
  <c r="W124" i="32"/>
  <c r="U339" i="32"/>
  <c r="W339" i="32"/>
  <c r="U179" i="32"/>
  <c r="W179" i="32"/>
  <c r="U8" i="32"/>
  <c r="W8" i="32"/>
  <c r="U286" i="32"/>
  <c r="W286" i="32"/>
  <c r="U130" i="32"/>
  <c r="W130" i="32"/>
  <c r="U303" i="32"/>
  <c r="W303" i="32"/>
  <c r="U94" i="32"/>
  <c r="W94" i="32"/>
  <c r="U13" i="32"/>
  <c r="W13" i="32"/>
  <c r="U272" i="32"/>
  <c r="W272" i="32"/>
  <c r="U249" i="32"/>
  <c r="W249" i="32"/>
  <c r="U190" i="32"/>
  <c r="W190" i="32"/>
  <c r="U50" i="32"/>
  <c r="W50" i="32"/>
  <c r="U151" i="32"/>
  <c r="W151" i="32"/>
  <c r="U277" i="32"/>
  <c r="W277" i="32"/>
  <c r="U213" i="32"/>
  <c r="W213" i="32"/>
  <c r="U188" i="32"/>
  <c r="W188" i="32"/>
  <c r="U119" i="32"/>
  <c r="W119" i="32"/>
  <c r="U365" i="32"/>
  <c r="W365" i="32"/>
  <c r="U195" i="32"/>
  <c r="W195" i="32"/>
  <c r="U67" i="32"/>
  <c r="W67" i="32"/>
  <c r="U104" i="32"/>
  <c r="W104" i="32"/>
  <c r="U154" i="32"/>
  <c r="W154" i="32"/>
  <c r="U43" i="32"/>
  <c r="W43" i="32"/>
  <c r="U162" i="32"/>
  <c r="W162" i="32"/>
  <c r="D19" i="28"/>
  <c r="U332" i="32"/>
  <c r="W332" i="32"/>
  <c r="U300" i="32"/>
  <c r="W300" i="32"/>
  <c r="U269" i="32"/>
  <c r="W269" i="32"/>
  <c r="U323" i="32"/>
  <c r="W323" i="32"/>
  <c r="U205" i="32"/>
  <c r="W205" i="32"/>
  <c r="U73" i="32"/>
  <c r="W73" i="32"/>
  <c r="U298" i="32"/>
  <c r="W298" i="32"/>
  <c r="U220" i="32"/>
  <c r="W220" i="32"/>
  <c r="U181" i="32"/>
  <c r="W181" i="32"/>
  <c r="U146" i="32"/>
  <c r="W146" i="32"/>
  <c r="U71" i="32"/>
  <c r="W71" i="32"/>
  <c r="U30" i="32"/>
  <c r="W30" i="32"/>
  <c r="U333" i="32"/>
  <c r="W333" i="32"/>
  <c r="U293" i="32"/>
  <c r="W293" i="32"/>
  <c r="U262" i="32"/>
  <c r="W262" i="32"/>
  <c r="U227" i="32"/>
  <c r="W227" i="32"/>
  <c r="U383" i="32"/>
  <c r="W383" i="32"/>
  <c r="U141" i="32"/>
  <c r="W141" i="32"/>
  <c r="U96" i="32"/>
  <c r="W96" i="32"/>
  <c r="U48" i="32"/>
  <c r="W48" i="32"/>
  <c r="U7" i="32"/>
  <c r="W7" i="32"/>
  <c r="U164" i="32"/>
  <c r="W164" i="32"/>
  <c r="U63" i="32"/>
  <c r="W63" i="32"/>
  <c r="U86" i="32"/>
  <c r="W86" i="32"/>
  <c r="U187" i="32"/>
  <c r="W187" i="32"/>
  <c r="U152" i="32"/>
  <c r="W152" i="32"/>
  <c r="U342" i="32"/>
  <c r="W342" i="32"/>
  <c r="U271" i="32"/>
  <c r="W271" i="32"/>
  <c r="U382" i="32"/>
  <c r="W382" i="32"/>
  <c r="U148" i="32"/>
  <c r="W148" i="32"/>
  <c r="U295" i="32"/>
  <c r="W295" i="32"/>
  <c r="U143" i="32"/>
  <c r="W143" i="32"/>
  <c r="U135" i="32"/>
  <c r="W135" i="32"/>
  <c r="U58" i="32"/>
  <c r="W58" i="32"/>
  <c r="U107" i="32"/>
  <c r="W107" i="32"/>
  <c r="U147" i="32"/>
  <c r="W147" i="32"/>
  <c r="U112" i="32"/>
  <c r="W112" i="32"/>
  <c r="U210" i="32"/>
  <c r="W210" i="32"/>
  <c r="U196" i="32"/>
  <c r="W196" i="32"/>
  <c r="U20" i="32"/>
  <c r="W20" i="32"/>
  <c r="U28" i="32"/>
  <c r="W28" i="32"/>
  <c r="U328" i="32"/>
  <c r="W328" i="32"/>
  <c r="U296" i="32"/>
  <c r="W296" i="32"/>
  <c r="U265" i="32"/>
  <c r="W265" i="32"/>
  <c r="U234" i="32"/>
  <c r="W234" i="32"/>
  <c r="U253" i="32"/>
  <c r="W253" i="32"/>
  <c r="U197" i="32"/>
  <c r="W197" i="32"/>
  <c r="U68" i="32"/>
  <c r="W68" i="32"/>
  <c r="U290" i="32"/>
  <c r="W290" i="32"/>
  <c r="U216" i="32"/>
  <c r="W216" i="32"/>
  <c r="U176" i="32"/>
  <c r="W176" i="32"/>
  <c r="U142" i="32"/>
  <c r="W142" i="32"/>
  <c r="U64" i="32"/>
  <c r="W64" i="32"/>
  <c r="U27" i="32"/>
  <c r="W27" i="32"/>
  <c r="U329" i="32"/>
  <c r="W329" i="32"/>
  <c r="U289" i="32"/>
  <c r="W289" i="32"/>
  <c r="U255" i="32"/>
  <c r="W255" i="32"/>
  <c r="U219" i="32"/>
  <c r="W219" i="32"/>
  <c r="U180" i="32"/>
  <c r="W180" i="32"/>
  <c r="U133" i="32"/>
  <c r="W133" i="32"/>
  <c r="U92" i="32"/>
  <c r="W92" i="32"/>
  <c r="U45" i="32"/>
  <c r="W45" i="32"/>
  <c r="U3" i="32"/>
  <c r="W3" i="32"/>
  <c r="U377" i="32"/>
  <c r="W377" i="32"/>
  <c r="U381" i="32"/>
  <c r="W381" i="32"/>
  <c r="U214" i="32"/>
  <c r="W214" i="32"/>
  <c r="U201" i="32"/>
  <c r="W201" i="32"/>
  <c r="U132" i="32"/>
  <c r="W132" i="32"/>
  <c r="U279" i="32"/>
  <c r="W279" i="32"/>
  <c r="U259" i="32"/>
  <c r="W259" i="32"/>
  <c r="U93" i="32"/>
  <c r="W93" i="32"/>
  <c r="U128" i="32"/>
  <c r="W128" i="32"/>
  <c r="U113" i="32"/>
  <c r="W113" i="32"/>
  <c r="U109" i="32"/>
  <c r="W109" i="32"/>
  <c r="U65" i="32"/>
  <c r="W65" i="32"/>
  <c r="U327" i="32"/>
  <c r="W327" i="32"/>
  <c r="U44" i="32"/>
  <c r="W44" i="32"/>
  <c r="U131" i="32"/>
  <c r="W131" i="32"/>
  <c r="U102" i="32"/>
  <c r="W102" i="32"/>
  <c r="U202" i="32"/>
  <c r="W202" i="32"/>
  <c r="U120" i="32"/>
  <c r="W120" i="32"/>
  <c r="U324" i="32"/>
  <c r="W324" i="32"/>
  <c r="U292" i="32"/>
  <c r="W292" i="32"/>
  <c r="U261" i="32"/>
  <c r="W261" i="32"/>
  <c r="U369" i="32"/>
  <c r="W369" i="32"/>
  <c r="U307" i="32"/>
  <c r="W307" i="32"/>
  <c r="U237" i="32"/>
  <c r="W237" i="32"/>
  <c r="U193" i="32"/>
  <c r="W193" i="32"/>
  <c r="U346" i="32"/>
  <c r="W346" i="32"/>
  <c r="U376" i="32"/>
  <c r="W376" i="32"/>
  <c r="U208" i="32"/>
  <c r="W208" i="32"/>
  <c r="U173" i="32"/>
  <c r="W173" i="32"/>
  <c r="U138" i="32"/>
  <c r="W138" i="32"/>
  <c r="U101" i="32"/>
  <c r="W101" i="32"/>
  <c r="U60" i="32"/>
  <c r="W60" i="32"/>
  <c r="U23" i="32"/>
  <c r="W23" i="32"/>
  <c r="U325" i="32"/>
  <c r="W325" i="32"/>
  <c r="U285" i="32"/>
  <c r="W285" i="32"/>
  <c r="U251" i="32"/>
  <c r="W251" i="32"/>
  <c r="U215" i="32"/>
  <c r="W215" i="32"/>
  <c r="U125" i="32"/>
  <c r="W125" i="32"/>
  <c r="U83" i="32"/>
  <c r="W83" i="32"/>
  <c r="U41" i="32"/>
  <c r="W41" i="32"/>
  <c r="U309" i="32"/>
  <c r="W309" i="32"/>
  <c r="U153" i="32"/>
  <c r="W153" i="32"/>
  <c r="U56" i="32"/>
  <c r="W56" i="32"/>
  <c r="U218" i="32"/>
  <c r="W218" i="32"/>
  <c r="U51" i="32"/>
  <c r="W51" i="32"/>
  <c r="U189" i="32"/>
  <c r="W189" i="32"/>
  <c r="U82" i="32"/>
  <c r="W82" i="32"/>
  <c r="U334" i="32"/>
  <c r="W334" i="32"/>
  <c r="U384" i="32"/>
  <c r="W384" i="32"/>
  <c r="U46" i="32"/>
  <c r="W46" i="32"/>
  <c r="U103" i="32"/>
  <c r="W103" i="32"/>
  <c r="U32" i="32"/>
  <c r="W32" i="32"/>
  <c r="U319" i="32"/>
  <c r="W319" i="32"/>
  <c r="U139" i="32"/>
  <c r="W139" i="32"/>
  <c r="U9" i="32"/>
  <c r="W9" i="32"/>
  <c r="U21" i="32"/>
  <c r="W21" i="32"/>
  <c r="U5" i="32"/>
  <c r="W5" i="32"/>
  <c r="U318" i="32"/>
  <c r="W318" i="32"/>
  <c r="U183" i="32"/>
  <c r="W183" i="32"/>
  <c r="U35" i="32"/>
  <c r="W35" i="32"/>
  <c r="U246" i="32"/>
  <c r="W246" i="32"/>
  <c r="U341" i="32"/>
  <c r="W341" i="32"/>
  <c r="U167" i="32"/>
  <c r="W167" i="32"/>
  <c r="U320" i="32"/>
  <c r="W320" i="32"/>
  <c r="U288" i="32"/>
  <c r="W288" i="32"/>
  <c r="U257" i="32"/>
  <c r="W257" i="32"/>
  <c r="U226" i="32"/>
  <c r="W226" i="32"/>
  <c r="U229" i="32"/>
  <c r="W229" i="32"/>
  <c r="U182" i="32"/>
  <c r="W182" i="32"/>
  <c r="U338" i="32"/>
  <c r="W338" i="32"/>
  <c r="U267" i="32"/>
  <c r="W267" i="32"/>
  <c r="U204" i="32"/>
  <c r="W204" i="32"/>
  <c r="U169" i="32"/>
  <c r="W169" i="32"/>
  <c r="U134" i="32"/>
  <c r="W134" i="32"/>
  <c r="U97" i="32"/>
  <c r="W97" i="32"/>
  <c r="U19" i="32"/>
  <c r="W19" i="32"/>
  <c r="U321" i="32"/>
  <c r="W321" i="32"/>
  <c r="U282" i="32"/>
  <c r="W282" i="32"/>
  <c r="U247" i="32"/>
  <c r="W247" i="32"/>
  <c r="U211" i="32"/>
  <c r="W211" i="32"/>
  <c r="U172" i="32"/>
  <c r="W172" i="32"/>
  <c r="U79" i="32"/>
  <c r="W79" i="32"/>
  <c r="U37" i="32"/>
  <c r="W37" i="32"/>
  <c r="U301" i="32"/>
  <c r="W301" i="32"/>
  <c r="U137" i="32"/>
  <c r="W137" i="32"/>
  <c r="U15" i="32"/>
  <c r="W15" i="32"/>
  <c r="U373" i="32"/>
  <c r="W373" i="32"/>
  <c r="U62" i="32"/>
  <c r="W62" i="32"/>
  <c r="U186" i="32"/>
  <c r="W186" i="32"/>
  <c r="U275" i="32"/>
  <c r="W275" i="32"/>
  <c r="U326" i="32"/>
  <c r="W326" i="32"/>
  <c r="U248" i="32"/>
  <c r="W248" i="32"/>
  <c r="U38" i="32"/>
  <c r="W38" i="32"/>
  <c r="U287" i="32"/>
  <c r="W287" i="32"/>
  <c r="U156" i="32"/>
  <c r="W156" i="32"/>
  <c r="U198" i="32"/>
  <c r="W198" i="32"/>
  <c r="U335" i="32"/>
  <c r="W335" i="32"/>
  <c r="U372" i="32"/>
  <c r="W372" i="32"/>
  <c r="U311" i="32"/>
  <c r="W311" i="32"/>
  <c r="U206" i="32"/>
  <c r="W206" i="32"/>
  <c r="U10" i="32"/>
  <c r="W10" i="32"/>
  <c r="U340" i="32"/>
  <c r="W340" i="32"/>
  <c r="U81" i="32"/>
  <c r="W81" i="32"/>
  <c r="U158" i="32"/>
  <c r="W158" i="32"/>
  <c r="U42" i="32"/>
  <c r="W42" i="32"/>
  <c r="U270" i="32"/>
  <c r="W270" i="32"/>
  <c r="U149" i="32"/>
  <c r="W149" i="32"/>
  <c r="U26" i="32"/>
  <c r="W26" i="32"/>
  <c r="U155" i="32"/>
  <c r="W155" i="32"/>
  <c r="U294" i="32"/>
  <c r="W294" i="32"/>
  <c r="U127" i="32"/>
  <c r="W127" i="32"/>
  <c r="U17" i="32"/>
  <c r="W17" i="32"/>
  <c r="U264" i="32"/>
  <c r="W264" i="32"/>
  <c r="U316" i="32"/>
  <c r="W316" i="32"/>
  <c r="U284" i="32"/>
  <c r="W284" i="32"/>
  <c r="U254" i="32"/>
  <c r="W254" i="32"/>
  <c r="U222" i="32"/>
  <c r="W222" i="32"/>
  <c r="U291" i="32"/>
  <c r="W291" i="32"/>
  <c r="U221" i="32"/>
  <c r="W221" i="32"/>
  <c r="U178" i="32"/>
  <c r="W178" i="32"/>
  <c r="U330" i="32"/>
  <c r="W330" i="32"/>
  <c r="U252" i="32"/>
  <c r="W252" i="32"/>
  <c r="U200" i="32"/>
  <c r="W200" i="32"/>
  <c r="U165" i="32"/>
  <c r="W165" i="32"/>
  <c r="U126" i="32"/>
  <c r="W126" i="32"/>
  <c r="U89" i="32"/>
  <c r="W89" i="32"/>
  <c r="U53" i="32"/>
  <c r="W53" i="32"/>
  <c r="U14" i="32"/>
  <c r="W14" i="32"/>
  <c r="U317" i="32"/>
  <c r="W317" i="32"/>
  <c r="U362" i="32"/>
  <c r="W362" i="32"/>
  <c r="U243" i="32"/>
  <c r="W243" i="32"/>
  <c r="U203" i="32"/>
  <c r="W203" i="32"/>
  <c r="U168" i="32"/>
  <c r="W168" i="32"/>
  <c r="U118" i="32"/>
  <c r="W118" i="32"/>
  <c r="U75" i="32"/>
  <c r="W75" i="32"/>
  <c r="U33" i="32"/>
  <c r="W33" i="32"/>
  <c r="U258" i="32"/>
  <c r="W258" i="32"/>
  <c r="U129" i="32"/>
  <c r="W129" i="32"/>
  <c r="U11" i="32"/>
  <c r="W11" i="32"/>
  <c r="U78" i="32"/>
  <c r="W78" i="32"/>
  <c r="U66" i="32"/>
  <c r="W66" i="32"/>
  <c r="U163" i="32"/>
  <c r="W163" i="32"/>
  <c r="U263" i="32"/>
  <c r="W263" i="32"/>
  <c r="U310" i="32"/>
  <c r="W310" i="32"/>
  <c r="U240" i="32"/>
  <c r="W240" i="32"/>
  <c r="U16" i="32"/>
  <c r="W16" i="32"/>
  <c r="U144" i="32"/>
  <c r="W144" i="32"/>
  <c r="U98" i="32"/>
  <c r="W98" i="32"/>
  <c r="U95" i="32"/>
  <c r="W95" i="32"/>
  <c r="U159" i="32"/>
  <c r="W159" i="32"/>
  <c r="U368" i="32"/>
  <c r="W368" i="32"/>
  <c r="U24" i="32"/>
  <c r="W24" i="32"/>
  <c r="U90" i="32"/>
  <c r="W90" i="32"/>
  <c r="U6" i="32"/>
  <c r="W6" i="32"/>
  <c r="W24" i="3"/>
  <c r="D16" i="28"/>
  <c r="E17" i="28"/>
  <c r="D17" i="28"/>
  <c r="E16" i="28"/>
  <c r="E10" i="28"/>
  <c r="D10" i="28"/>
  <c r="E12" i="28"/>
  <c r="D12" i="28"/>
  <c r="O347" i="34"/>
  <c r="P30" i="28"/>
  <c r="U315" i="32"/>
  <c r="W315" i="32"/>
  <c r="U314" i="32"/>
  <c r="W314" i="32"/>
  <c r="U299" i="32"/>
  <c r="W299" i="32"/>
  <c r="U260" i="32"/>
  <c r="W260" i="32"/>
  <c r="U245" i="32"/>
  <c r="W245" i="32"/>
  <c r="U238" i="32"/>
  <c r="W238" i="32"/>
  <c r="U184" i="32"/>
  <c r="W184" i="32"/>
  <c r="U175" i="32"/>
  <c r="W175" i="32"/>
  <c r="U160" i="32"/>
  <c r="W160" i="32"/>
  <c r="U122" i="32"/>
  <c r="W122" i="32"/>
  <c r="U111" i="32"/>
  <c r="W111" i="32"/>
  <c r="U105" i="32"/>
  <c r="W105" i="32"/>
  <c r="U91" i="32"/>
  <c r="W91" i="32"/>
  <c r="U57" i="32"/>
  <c r="W57" i="32"/>
  <c r="AD352" i="30"/>
  <c r="T347" i="32"/>
  <c r="E14" i="28"/>
  <c r="D15" i="28"/>
  <c r="D14" i="28"/>
  <c r="E15" i="28"/>
  <c r="D11" i="28"/>
  <c r="D18" i="28"/>
  <c r="E18" i="28"/>
  <c r="E7" i="28"/>
  <c r="D7" i="28"/>
  <c r="E8" i="28"/>
  <c r="D8" i="28"/>
  <c r="E6" i="28"/>
  <c r="D6" i="28"/>
  <c r="E4" i="4"/>
  <c r="E9" i="4"/>
  <c r="E12" i="4"/>
  <c r="E5" i="4"/>
  <c r="E13" i="4"/>
  <c r="E8" i="4"/>
  <c r="E6" i="4"/>
  <c r="E10" i="4"/>
  <c r="E14" i="4"/>
  <c r="E7" i="4"/>
  <c r="M8" i="1" l="1"/>
  <c r="C39" i="1"/>
  <c r="U353" i="32"/>
  <c r="U378" i="32"/>
  <c r="W385" i="32"/>
  <c r="U385" i="32"/>
  <c r="W374" i="32"/>
  <c r="W370" i="32"/>
  <c r="U349" i="32"/>
  <c r="U347" i="32"/>
  <c r="W347" i="32"/>
  <c r="J18" i="28"/>
  <c r="K18" i="28"/>
  <c r="C21" i="28"/>
  <c r="AA26" i="3" l="1"/>
  <c r="AB26" i="3" s="1"/>
  <c r="AA25" i="3"/>
  <c r="AB25" i="3" s="1"/>
  <c r="AA24" i="3"/>
  <c r="AB24" i="3" s="1"/>
  <c r="AA23" i="3"/>
  <c r="AA22" i="3"/>
  <c r="AA21" i="3"/>
  <c r="AA20" i="3"/>
  <c r="AA19" i="3"/>
  <c r="AA59" i="3" s="1"/>
  <c r="AA18" i="3"/>
  <c r="AA17" i="3"/>
  <c r="AA16" i="3"/>
  <c r="AA15" i="3"/>
  <c r="AA14" i="3"/>
  <c r="AA13" i="3"/>
  <c r="AA12" i="3"/>
  <c r="AB12" i="3" s="1"/>
  <c r="AA11" i="3"/>
  <c r="AB11" i="3" s="1"/>
  <c r="AA10" i="3"/>
  <c r="AB10" i="3" s="1"/>
  <c r="AA9" i="3"/>
  <c r="AB9" i="3" s="1"/>
  <c r="AA8" i="3"/>
  <c r="AB8" i="3" s="1"/>
  <c r="AA7" i="3"/>
  <c r="AB7" i="3" s="1"/>
  <c r="AA6" i="3"/>
  <c r="AB6" i="3" s="1"/>
  <c r="AA5" i="3"/>
  <c r="AB5" i="3" s="1"/>
  <c r="AA4" i="3"/>
  <c r="AB4" i="3" s="1"/>
  <c r="AA3" i="3"/>
  <c r="AB3" i="3" s="1"/>
  <c r="AA2" i="3"/>
  <c r="AB2" i="3" s="1"/>
  <c r="AB23" i="3" l="1"/>
  <c r="AA63" i="3"/>
  <c r="AA60" i="3"/>
  <c r="AA54" i="3"/>
  <c r="AA55" i="3"/>
  <c r="AA56" i="3"/>
  <c r="AA61" i="3"/>
  <c r="AA57" i="3"/>
  <c r="AA62" i="3"/>
  <c r="AA58" i="3"/>
  <c r="AB15" i="3"/>
  <c r="AB19" i="3"/>
  <c r="AB16" i="3"/>
  <c r="AB20" i="3"/>
  <c r="AB13" i="3"/>
  <c r="AB17" i="3"/>
  <c r="AB21" i="3"/>
  <c r="AB14" i="3"/>
  <c r="AB18" i="3"/>
  <c r="AB22" i="3"/>
  <c r="AF3" i="7"/>
  <c r="AF5" i="7" s="1"/>
  <c r="AF7" i="7" l="1"/>
  <c r="AF12" i="7" s="1"/>
  <c r="AG5" i="7"/>
  <c r="AG7" i="7" s="1"/>
  <c r="F343" i="7" l="1"/>
  <c r="F335" i="7"/>
  <c r="F327" i="7"/>
  <c r="F319" i="7"/>
  <c r="F311" i="7"/>
  <c r="F303" i="7"/>
  <c r="F295" i="7"/>
  <c r="F287" i="7"/>
  <c r="F279" i="7"/>
  <c r="F271" i="7"/>
  <c r="F263" i="7"/>
  <c r="F255" i="7"/>
  <c r="F247" i="7"/>
  <c r="F239" i="7"/>
  <c r="F231" i="7"/>
  <c r="F223" i="7"/>
  <c r="F215" i="7"/>
  <c r="F207" i="7"/>
  <c r="F199" i="7"/>
  <c r="F191" i="7"/>
  <c r="F183" i="7"/>
  <c r="F175" i="7"/>
  <c r="F167" i="7"/>
  <c r="F159" i="7"/>
  <c r="F151" i="7"/>
  <c r="F143" i="7"/>
  <c r="F135" i="7"/>
  <c r="F127" i="7"/>
  <c r="F119" i="7"/>
  <c r="F111" i="7"/>
  <c r="F103" i="7"/>
  <c r="F95" i="7"/>
  <c r="F87" i="7"/>
  <c r="F79" i="7"/>
  <c r="F71" i="7"/>
  <c r="F63" i="7"/>
  <c r="F55" i="7"/>
  <c r="F47" i="7"/>
  <c r="F39" i="7"/>
  <c r="F31" i="7"/>
  <c r="F23" i="7"/>
  <c r="F15" i="7"/>
  <c r="F7" i="7"/>
  <c r="F326" i="7"/>
  <c r="F238" i="7"/>
  <c r="F222" i="7"/>
  <c r="F206" i="7"/>
  <c r="F198" i="7"/>
  <c r="F182" i="7"/>
  <c r="F166" i="7"/>
  <c r="F158" i="7"/>
  <c r="F142" i="7"/>
  <c r="F134" i="7"/>
  <c r="F126" i="7"/>
  <c r="F110" i="7"/>
  <c r="F102" i="7"/>
  <c r="F94" i="7"/>
  <c r="F78" i="7"/>
  <c r="F70" i="7"/>
  <c r="F62" i="7"/>
  <c r="F46" i="7"/>
  <c r="F38" i="7"/>
  <c r="F30" i="7"/>
  <c r="F22" i="7"/>
  <c r="F6" i="7"/>
  <c r="F342" i="7"/>
  <c r="F334" i="7"/>
  <c r="F318" i="7"/>
  <c r="F310" i="7"/>
  <c r="F302" i="7"/>
  <c r="F294" i="7"/>
  <c r="F286" i="7"/>
  <c r="F278" i="7"/>
  <c r="F270" i="7"/>
  <c r="F262" i="7"/>
  <c r="F254" i="7"/>
  <c r="F246" i="7"/>
  <c r="F230" i="7"/>
  <c r="F214" i="7"/>
  <c r="F190" i="7"/>
  <c r="F174" i="7"/>
  <c r="F150" i="7"/>
  <c r="F118" i="7"/>
  <c r="F86" i="7"/>
  <c r="F54" i="7"/>
  <c r="F14" i="7"/>
  <c r="F341" i="7"/>
  <c r="F333" i="7"/>
  <c r="F325" i="7"/>
  <c r="F317" i="7"/>
  <c r="F309" i="7"/>
  <c r="F301" i="7"/>
  <c r="F293" i="7"/>
  <c r="F285" i="7"/>
  <c r="F277" i="7"/>
  <c r="F269" i="7"/>
  <c r="F261" i="7"/>
  <c r="F253" i="7"/>
  <c r="F245" i="7"/>
  <c r="F237" i="7"/>
  <c r="F229" i="7"/>
  <c r="F221" i="7"/>
  <c r="F213" i="7"/>
  <c r="F205" i="7"/>
  <c r="F197" i="7"/>
  <c r="F189" i="7"/>
  <c r="F181" i="7"/>
  <c r="F173" i="7"/>
  <c r="F165" i="7"/>
  <c r="F157" i="7"/>
  <c r="F149" i="7"/>
  <c r="F141" i="7"/>
  <c r="F133" i="7"/>
  <c r="F125" i="7"/>
  <c r="F117" i="7"/>
  <c r="F109" i="7"/>
  <c r="F101" i="7"/>
  <c r="F93" i="7"/>
  <c r="F85" i="7"/>
  <c r="F77" i="7"/>
  <c r="F69" i="7"/>
  <c r="F61" i="7"/>
  <c r="F53" i="7"/>
  <c r="F45" i="7"/>
  <c r="F37" i="7"/>
  <c r="F29" i="7"/>
  <c r="F21" i="7"/>
  <c r="F13" i="7"/>
  <c r="F5" i="7"/>
  <c r="F340" i="7"/>
  <c r="F332" i="7"/>
  <c r="F324" i="7"/>
  <c r="F316" i="7"/>
  <c r="F308" i="7"/>
  <c r="F300" i="7"/>
  <c r="F292" i="7"/>
  <c r="F284" i="7"/>
  <c r="F276" i="7"/>
  <c r="F268" i="7"/>
  <c r="F260" i="7"/>
  <c r="F252" i="7"/>
  <c r="F244" i="7"/>
  <c r="F236" i="7"/>
  <c r="F228" i="7"/>
  <c r="F220" i="7"/>
  <c r="F212" i="7"/>
  <c r="F204" i="7"/>
  <c r="F196" i="7"/>
  <c r="F188" i="7"/>
  <c r="F180" i="7"/>
  <c r="F172" i="7"/>
  <c r="F164" i="7"/>
  <c r="F156" i="7"/>
  <c r="F148" i="7"/>
  <c r="F140" i="7"/>
  <c r="F132" i="7"/>
  <c r="F124" i="7"/>
  <c r="F116" i="7"/>
  <c r="F108" i="7"/>
  <c r="F100" i="7"/>
  <c r="F92" i="7"/>
  <c r="F84" i="7"/>
  <c r="F76" i="7"/>
  <c r="F68" i="7"/>
  <c r="F60" i="7"/>
  <c r="F52" i="7"/>
  <c r="F44" i="7"/>
  <c r="F36" i="7"/>
  <c r="F28" i="7"/>
  <c r="F20" i="7"/>
  <c r="F12" i="7"/>
  <c r="F4" i="7"/>
  <c r="F339" i="7"/>
  <c r="F331" i="7"/>
  <c r="F323" i="7"/>
  <c r="F315" i="7"/>
  <c r="F307" i="7"/>
  <c r="F299" i="7"/>
  <c r="F291" i="7"/>
  <c r="F283" i="7"/>
  <c r="F275" i="7"/>
  <c r="F267" i="7"/>
  <c r="F259" i="7"/>
  <c r="F251" i="7"/>
  <c r="F243" i="7"/>
  <c r="F235" i="7"/>
  <c r="F227" i="7"/>
  <c r="F219" i="7"/>
  <c r="F211" i="7"/>
  <c r="F203" i="7"/>
  <c r="F195" i="7"/>
  <c r="F187" i="7"/>
  <c r="F179" i="7"/>
  <c r="F171" i="7"/>
  <c r="F163" i="7"/>
  <c r="F155" i="7"/>
  <c r="F147" i="7"/>
  <c r="F139" i="7"/>
  <c r="F131" i="7"/>
  <c r="F123" i="7"/>
  <c r="F115" i="7"/>
  <c r="F107" i="7"/>
  <c r="F99" i="7"/>
  <c r="F91" i="7"/>
  <c r="F83" i="7"/>
  <c r="F75" i="7"/>
  <c r="F67" i="7"/>
  <c r="F59" i="7"/>
  <c r="F51" i="7"/>
  <c r="F43" i="7"/>
  <c r="F35" i="7"/>
  <c r="F27" i="7"/>
  <c r="F19" i="7"/>
  <c r="F11" i="7"/>
  <c r="F3" i="7"/>
  <c r="F280" i="7"/>
  <c r="F248" i="7"/>
  <c r="F224" i="7"/>
  <c r="F208" i="7"/>
  <c r="F192" i="7"/>
  <c r="F176" i="7"/>
  <c r="F160" i="7"/>
  <c r="F144" i="7"/>
  <c r="F128" i="7"/>
  <c r="F104" i="7"/>
  <c r="F88" i="7"/>
  <c r="F72" i="7"/>
  <c r="F56" i="7"/>
  <c r="F32" i="7"/>
  <c r="F16" i="7"/>
  <c r="F346" i="7"/>
  <c r="F338" i="7"/>
  <c r="F330" i="7"/>
  <c r="F322" i="7"/>
  <c r="F314" i="7"/>
  <c r="F306" i="7"/>
  <c r="F298" i="7"/>
  <c r="F290" i="7"/>
  <c r="F282" i="7"/>
  <c r="F274" i="7"/>
  <c r="F266" i="7"/>
  <c r="F258" i="7"/>
  <c r="F250" i="7"/>
  <c r="F242" i="7"/>
  <c r="F234" i="7"/>
  <c r="F226" i="7"/>
  <c r="F218" i="7"/>
  <c r="F210" i="7"/>
  <c r="F202" i="7"/>
  <c r="F194" i="7"/>
  <c r="F186" i="7"/>
  <c r="F178" i="7"/>
  <c r="F170" i="7"/>
  <c r="F162" i="7"/>
  <c r="F154" i="7"/>
  <c r="F146" i="7"/>
  <c r="F138" i="7"/>
  <c r="F130" i="7"/>
  <c r="F122" i="7"/>
  <c r="F114" i="7"/>
  <c r="F106" i="7"/>
  <c r="F98" i="7"/>
  <c r="F90" i="7"/>
  <c r="F82" i="7"/>
  <c r="F74" i="7"/>
  <c r="F66" i="7"/>
  <c r="F58" i="7"/>
  <c r="F50" i="7"/>
  <c r="F42" i="7"/>
  <c r="F34" i="7"/>
  <c r="F26" i="7"/>
  <c r="F18" i="7"/>
  <c r="F10" i="7"/>
  <c r="F2" i="7"/>
  <c r="F336" i="7"/>
  <c r="F328" i="7"/>
  <c r="F320" i="7"/>
  <c r="F312" i="7"/>
  <c r="F304" i="7"/>
  <c r="F296" i="7"/>
  <c r="F288" i="7"/>
  <c r="F272" i="7"/>
  <c r="F264" i="7"/>
  <c r="F256" i="7"/>
  <c r="F240" i="7"/>
  <c r="F232" i="7"/>
  <c r="F216" i="7"/>
  <c r="F200" i="7"/>
  <c r="F184" i="7"/>
  <c r="F168" i="7"/>
  <c r="F152" i="7"/>
  <c r="F136" i="7"/>
  <c r="F120" i="7"/>
  <c r="F96" i="7"/>
  <c r="F80" i="7"/>
  <c r="F64" i="7"/>
  <c r="F48" i="7"/>
  <c r="F24" i="7"/>
  <c r="F8" i="7"/>
  <c r="F345" i="7"/>
  <c r="F337" i="7"/>
  <c r="F329" i="7"/>
  <c r="F321" i="7"/>
  <c r="F313" i="7"/>
  <c r="F305" i="7"/>
  <c r="F297" i="7"/>
  <c r="F289" i="7"/>
  <c r="F281" i="7"/>
  <c r="F273" i="7"/>
  <c r="F265" i="7"/>
  <c r="F257" i="7"/>
  <c r="F249" i="7"/>
  <c r="F241" i="7"/>
  <c r="F233" i="7"/>
  <c r="F225" i="7"/>
  <c r="F217" i="7"/>
  <c r="F209" i="7"/>
  <c r="F201" i="7"/>
  <c r="F193" i="7"/>
  <c r="F185" i="7"/>
  <c r="F177" i="7"/>
  <c r="F169" i="7"/>
  <c r="F161" i="7"/>
  <c r="F153" i="7"/>
  <c r="F145" i="7"/>
  <c r="F137" i="7"/>
  <c r="F129" i="7"/>
  <c r="F121" i="7"/>
  <c r="F113" i="7"/>
  <c r="F105" i="7"/>
  <c r="F97" i="7"/>
  <c r="F89" i="7"/>
  <c r="F81" i="7"/>
  <c r="F73" i="7"/>
  <c r="F65" i="7"/>
  <c r="F57" i="7"/>
  <c r="F49" i="7"/>
  <c r="F41" i="7"/>
  <c r="F33" i="7"/>
  <c r="F25" i="7"/>
  <c r="F17" i="7"/>
  <c r="F9" i="7"/>
  <c r="F344" i="7"/>
  <c r="F112" i="7"/>
  <c r="F40" i="7"/>
  <c r="E7" i="3"/>
  <c r="O357" i="27" l="1"/>
  <c r="N357" i="27"/>
  <c r="M357" i="27"/>
  <c r="L357" i="27"/>
  <c r="K357" i="27"/>
  <c r="J357" i="27"/>
  <c r="E357" i="27"/>
  <c r="D357" i="27"/>
  <c r="S356" i="27"/>
  <c r="T356" i="27" s="1"/>
  <c r="S355" i="27"/>
  <c r="T355" i="27" s="1"/>
  <c r="W355" i="27" s="1"/>
  <c r="S354" i="27"/>
  <c r="T354" i="27" s="1"/>
  <c r="S353" i="27"/>
  <c r="T353" i="27" s="1"/>
  <c r="W353" i="27" s="1"/>
  <c r="S352" i="27"/>
  <c r="T352" i="27" s="1"/>
  <c r="S351" i="27"/>
  <c r="T351" i="27" s="1"/>
  <c r="W351" i="27" s="1"/>
  <c r="S350" i="27"/>
  <c r="T350" i="27" s="1"/>
  <c r="S349" i="27"/>
  <c r="T349" i="27" s="1"/>
  <c r="W349" i="27" s="1"/>
  <c r="S348" i="27"/>
  <c r="T348" i="27" s="1"/>
  <c r="S347" i="27"/>
  <c r="T347" i="27" s="1"/>
  <c r="W347" i="27" s="1"/>
  <c r="S346" i="27"/>
  <c r="T346" i="27" s="1"/>
  <c r="S345" i="27"/>
  <c r="T345" i="27" s="1"/>
  <c r="W345" i="27" s="1"/>
  <c r="S344" i="27"/>
  <c r="T344" i="27" s="1"/>
  <c r="S343" i="27"/>
  <c r="T343" i="27" s="1"/>
  <c r="W343" i="27" s="1"/>
  <c r="S342" i="27"/>
  <c r="T342" i="27" s="1"/>
  <c r="S341" i="27"/>
  <c r="T341" i="27" s="1"/>
  <c r="W341" i="27" s="1"/>
  <c r="S340" i="27"/>
  <c r="T340" i="27" s="1"/>
  <c r="S339" i="27"/>
  <c r="T339" i="27" s="1"/>
  <c r="W339" i="27" s="1"/>
  <c r="S338" i="27"/>
  <c r="T338" i="27" s="1"/>
  <c r="S337" i="27"/>
  <c r="T337" i="27" s="1"/>
  <c r="W337" i="27" s="1"/>
  <c r="S336" i="27"/>
  <c r="T336" i="27" s="1"/>
  <c r="S335" i="27"/>
  <c r="T335" i="27" s="1"/>
  <c r="W335" i="27" s="1"/>
  <c r="S334" i="27"/>
  <c r="T334" i="27" s="1"/>
  <c r="S333" i="27"/>
  <c r="T333" i="27" s="1"/>
  <c r="W333" i="27" s="1"/>
  <c r="S332" i="27"/>
  <c r="T332" i="27" s="1"/>
  <c r="S331" i="27"/>
  <c r="T331" i="27" s="1"/>
  <c r="W331" i="27" s="1"/>
  <c r="S330" i="27"/>
  <c r="T330" i="27" s="1"/>
  <c r="S329" i="27"/>
  <c r="T329" i="27" s="1"/>
  <c r="W329" i="27" s="1"/>
  <c r="S328" i="27"/>
  <c r="T328" i="27" s="1"/>
  <c r="S327" i="27"/>
  <c r="T327" i="27" s="1"/>
  <c r="W327" i="27" s="1"/>
  <c r="S326" i="27"/>
  <c r="T326" i="27" s="1"/>
  <c r="S325" i="27"/>
  <c r="T325" i="27" s="1"/>
  <c r="W325" i="27" s="1"/>
  <c r="S324" i="27"/>
  <c r="T324" i="27" s="1"/>
  <c r="S323" i="27"/>
  <c r="T323" i="27" s="1"/>
  <c r="W323" i="27" s="1"/>
  <c r="S322" i="27"/>
  <c r="T322" i="27" s="1"/>
  <c r="S321" i="27"/>
  <c r="T321" i="27" s="1"/>
  <c r="W321" i="27" s="1"/>
  <c r="S320" i="27"/>
  <c r="T320" i="27" s="1"/>
  <c r="S319" i="27"/>
  <c r="T319" i="27" s="1"/>
  <c r="W319" i="27" s="1"/>
  <c r="S318" i="27"/>
  <c r="T318" i="27" s="1"/>
  <c r="S317" i="27"/>
  <c r="T317" i="27" s="1"/>
  <c r="W317" i="27" s="1"/>
  <c r="S316" i="27"/>
  <c r="T316" i="27" s="1"/>
  <c r="S314" i="27"/>
  <c r="T314" i="27" s="1"/>
  <c r="S313" i="27"/>
  <c r="T313" i="27" s="1"/>
  <c r="W313" i="27" s="1"/>
  <c r="S312" i="27"/>
  <c r="T312" i="27" s="1"/>
  <c r="S311" i="27"/>
  <c r="T311" i="27" s="1"/>
  <c r="W311" i="27" s="1"/>
  <c r="S310" i="27"/>
  <c r="T310" i="27" s="1"/>
  <c r="S309" i="27"/>
  <c r="T309" i="27" s="1"/>
  <c r="W309" i="27" s="1"/>
  <c r="S308" i="27"/>
  <c r="T308" i="27" s="1"/>
  <c r="S307" i="27"/>
  <c r="T307" i="27" s="1"/>
  <c r="W307" i="27" s="1"/>
  <c r="S306" i="27"/>
  <c r="T306" i="27" s="1"/>
  <c r="S305" i="27"/>
  <c r="T305" i="27" s="1"/>
  <c r="S304" i="27"/>
  <c r="T304" i="27" s="1"/>
  <c r="S303" i="27"/>
  <c r="T303" i="27" s="1"/>
  <c r="W303" i="27" s="1"/>
  <c r="S302" i="27"/>
  <c r="T302" i="27" s="1"/>
  <c r="S301" i="27"/>
  <c r="T301" i="27" s="1"/>
  <c r="S300" i="27"/>
  <c r="T300" i="27" s="1"/>
  <c r="S299" i="27"/>
  <c r="T299" i="27" s="1"/>
  <c r="W299" i="27" s="1"/>
  <c r="S298" i="27"/>
  <c r="T298" i="27" s="1"/>
  <c r="S297" i="27"/>
  <c r="T297" i="27" s="1"/>
  <c r="W297" i="27" s="1"/>
  <c r="S296" i="27"/>
  <c r="T296" i="27" s="1"/>
  <c r="S295" i="27"/>
  <c r="T295" i="27" s="1"/>
  <c r="W295" i="27" s="1"/>
  <c r="S294" i="27"/>
  <c r="T294" i="27" s="1"/>
  <c r="S293" i="27"/>
  <c r="T293" i="27" s="1"/>
  <c r="W293" i="27" s="1"/>
  <c r="S292" i="27"/>
  <c r="T292" i="27" s="1"/>
  <c r="S291" i="27"/>
  <c r="T291" i="27" s="1"/>
  <c r="W291" i="27" s="1"/>
  <c r="S290" i="27"/>
  <c r="T290" i="27" s="1"/>
  <c r="S289" i="27"/>
  <c r="T289" i="27" s="1"/>
  <c r="S288" i="27"/>
  <c r="T288" i="27" s="1"/>
  <c r="S286" i="27"/>
  <c r="T286" i="27" s="1"/>
  <c r="S285" i="27"/>
  <c r="T285" i="27" s="1"/>
  <c r="S284" i="27"/>
  <c r="T284" i="27" s="1"/>
  <c r="S283" i="27"/>
  <c r="T283" i="27" s="1"/>
  <c r="W283" i="27" s="1"/>
  <c r="S282" i="27"/>
  <c r="T282" i="27" s="1"/>
  <c r="S281" i="27"/>
  <c r="T281" i="27" s="1"/>
  <c r="W281" i="27" s="1"/>
  <c r="S280" i="27"/>
  <c r="T280" i="27" s="1"/>
  <c r="S279" i="27"/>
  <c r="T279" i="27" s="1"/>
  <c r="W279" i="27" s="1"/>
  <c r="S278" i="27"/>
  <c r="T278" i="27" s="1"/>
  <c r="S277" i="27"/>
  <c r="T277" i="27" s="1"/>
  <c r="W277" i="27" s="1"/>
  <c r="S276" i="27"/>
  <c r="T276" i="27" s="1"/>
  <c r="S275" i="27"/>
  <c r="T275" i="27" s="1"/>
  <c r="W275" i="27" s="1"/>
  <c r="S274" i="27"/>
  <c r="T274" i="27" s="1"/>
  <c r="S273" i="27"/>
  <c r="T273" i="27" s="1"/>
  <c r="S272" i="27"/>
  <c r="T272" i="27" s="1"/>
  <c r="S271" i="27"/>
  <c r="T271" i="27" s="1"/>
  <c r="W271" i="27" s="1"/>
  <c r="S270" i="27"/>
  <c r="T270" i="27" s="1"/>
  <c r="S269" i="27"/>
  <c r="T269" i="27" s="1"/>
  <c r="S268" i="27"/>
  <c r="T268" i="27" s="1"/>
  <c r="S267" i="27"/>
  <c r="T267" i="27" s="1"/>
  <c r="W267" i="27" s="1"/>
  <c r="S266" i="27"/>
  <c r="T266" i="27" s="1"/>
  <c r="S265" i="27"/>
  <c r="T265" i="27" s="1"/>
  <c r="W265" i="27" s="1"/>
  <c r="S264" i="27"/>
  <c r="T264" i="27" s="1"/>
  <c r="S263" i="27"/>
  <c r="T263" i="27" s="1"/>
  <c r="W263" i="27" s="1"/>
  <c r="S262" i="27"/>
  <c r="T262" i="27" s="1"/>
  <c r="S261" i="27"/>
  <c r="T261" i="27" s="1"/>
  <c r="W261" i="27" s="1"/>
  <c r="S260" i="27"/>
  <c r="T260" i="27" s="1"/>
  <c r="S259" i="27"/>
  <c r="T259" i="27" s="1"/>
  <c r="W259" i="27" s="1"/>
  <c r="S258" i="27"/>
  <c r="T258" i="27" s="1"/>
  <c r="S257" i="27"/>
  <c r="T257" i="27" s="1"/>
  <c r="S256" i="27"/>
  <c r="T256" i="27" s="1"/>
  <c r="S255" i="27"/>
  <c r="T255" i="27" s="1"/>
  <c r="W255" i="27" s="1"/>
  <c r="S254" i="27"/>
  <c r="T254" i="27" s="1"/>
  <c r="S253" i="27"/>
  <c r="T253" i="27" s="1"/>
  <c r="S252" i="27"/>
  <c r="T252" i="27" s="1"/>
  <c r="S251" i="27"/>
  <c r="T251" i="27" s="1"/>
  <c r="W251" i="27" s="1"/>
  <c r="S250" i="27"/>
  <c r="T250" i="27" s="1"/>
  <c r="S249" i="27"/>
  <c r="T249" i="27" s="1"/>
  <c r="W249" i="27" s="1"/>
  <c r="S248" i="27"/>
  <c r="T248" i="27" s="1"/>
  <c r="S247" i="27"/>
  <c r="T247" i="27" s="1"/>
  <c r="W247" i="27" s="1"/>
  <c r="S246" i="27"/>
  <c r="T246" i="27" s="1"/>
  <c r="S245" i="27"/>
  <c r="T245" i="27" s="1"/>
  <c r="W245" i="27" s="1"/>
  <c r="S244" i="27"/>
  <c r="T244" i="27" s="1"/>
  <c r="S243" i="27"/>
  <c r="T243" i="27" s="1"/>
  <c r="W243" i="27" s="1"/>
  <c r="S242" i="27"/>
  <c r="T242" i="27" s="1"/>
  <c r="S241" i="27"/>
  <c r="T241" i="27" s="1"/>
  <c r="S240" i="27"/>
  <c r="T240" i="27" s="1"/>
  <c r="S239" i="27"/>
  <c r="T239" i="27" s="1"/>
  <c r="W239" i="27" s="1"/>
  <c r="S238" i="27"/>
  <c r="T238" i="27" s="1"/>
  <c r="S237" i="27"/>
  <c r="T237" i="27" s="1"/>
  <c r="S236" i="27"/>
  <c r="T236" i="27" s="1"/>
  <c r="S235" i="27"/>
  <c r="T235" i="27" s="1"/>
  <c r="W235" i="27" s="1"/>
  <c r="S234" i="27"/>
  <c r="T234" i="27" s="1"/>
  <c r="S233" i="27"/>
  <c r="T233" i="27" s="1"/>
  <c r="W233" i="27" s="1"/>
  <c r="S232" i="27"/>
  <c r="T232" i="27" s="1"/>
  <c r="S231" i="27"/>
  <c r="T231" i="27" s="1"/>
  <c r="W231" i="27" s="1"/>
  <c r="S230" i="27"/>
  <c r="T230" i="27" s="1"/>
  <c r="S229" i="27"/>
  <c r="T229" i="27" s="1"/>
  <c r="W229" i="27" s="1"/>
  <c r="S228" i="27"/>
  <c r="T228" i="27" s="1"/>
  <c r="S227" i="27"/>
  <c r="T227" i="27" s="1"/>
  <c r="W227" i="27" s="1"/>
  <c r="S226" i="27"/>
  <c r="T226" i="27" s="1"/>
  <c r="S225" i="27"/>
  <c r="T225" i="27" s="1"/>
  <c r="S224" i="27"/>
  <c r="T224" i="27" s="1"/>
  <c r="S223" i="27"/>
  <c r="T223" i="27" s="1"/>
  <c r="W223" i="27" s="1"/>
  <c r="S222" i="27"/>
  <c r="T222" i="27" s="1"/>
  <c r="S221" i="27"/>
  <c r="T221" i="27" s="1"/>
  <c r="S220" i="27"/>
  <c r="T220" i="27" s="1"/>
  <c r="S219" i="27"/>
  <c r="T219" i="27" s="1"/>
  <c r="W219" i="27" s="1"/>
  <c r="S218" i="27"/>
  <c r="T218" i="27" s="1"/>
  <c r="S216" i="27"/>
  <c r="T216" i="27" s="1"/>
  <c r="S215" i="27"/>
  <c r="T215" i="27" s="1"/>
  <c r="W215" i="27" s="1"/>
  <c r="S214" i="27"/>
  <c r="T214" i="27" s="1"/>
  <c r="S213" i="27"/>
  <c r="T213" i="27" s="1"/>
  <c r="W213" i="27" s="1"/>
  <c r="S212" i="27"/>
  <c r="T212" i="27" s="1"/>
  <c r="S211" i="27"/>
  <c r="T211" i="27" s="1"/>
  <c r="W211" i="27" s="1"/>
  <c r="S210" i="27"/>
  <c r="T210" i="27" s="1"/>
  <c r="S209" i="27"/>
  <c r="T209" i="27" s="1"/>
  <c r="S208" i="27"/>
  <c r="T208" i="27" s="1"/>
  <c r="S207" i="27"/>
  <c r="T207" i="27" s="1"/>
  <c r="W207" i="27" s="1"/>
  <c r="S206" i="27"/>
  <c r="T206" i="27" s="1"/>
  <c r="S205" i="27"/>
  <c r="T205" i="27" s="1"/>
  <c r="S204" i="27"/>
  <c r="T204" i="27" s="1"/>
  <c r="S203" i="27"/>
  <c r="T203" i="27" s="1"/>
  <c r="W203" i="27" s="1"/>
  <c r="S202" i="27"/>
  <c r="T202" i="27" s="1"/>
  <c r="S201" i="27"/>
  <c r="T201" i="27" s="1"/>
  <c r="W201" i="27" s="1"/>
  <c r="S200" i="27"/>
  <c r="T200" i="27" s="1"/>
  <c r="S199" i="27"/>
  <c r="T199" i="27" s="1"/>
  <c r="W199" i="27" s="1"/>
  <c r="S198" i="27"/>
  <c r="T198" i="27" s="1"/>
  <c r="S197" i="27"/>
  <c r="T197" i="27" s="1"/>
  <c r="W197" i="27" s="1"/>
  <c r="S196" i="27"/>
  <c r="T196" i="27" s="1"/>
  <c r="S195" i="27"/>
  <c r="T195" i="27" s="1"/>
  <c r="W195" i="27" s="1"/>
  <c r="S194" i="27"/>
  <c r="T194" i="27" s="1"/>
  <c r="S193" i="27"/>
  <c r="T193" i="27" s="1"/>
  <c r="S192" i="27"/>
  <c r="T192" i="27" s="1"/>
  <c r="S191" i="27"/>
  <c r="T191" i="27" s="1"/>
  <c r="S190" i="27"/>
  <c r="T190" i="27" s="1"/>
  <c r="S189" i="27"/>
  <c r="T189" i="27" s="1"/>
  <c r="S188" i="27"/>
  <c r="T188" i="27" s="1"/>
  <c r="S187" i="27"/>
  <c r="T187" i="27" s="1"/>
  <c r="W187" i="27" s="1"/>
  <c r="S186" i="27"/>
  <c r="T186" i="27" s="1"/>
  <c r="S185" i="27"/>
  <c r="T185" i="27" s="1"/>
  <c r="W185" i="27" s="1"/>
  <c r="S184" i="27"/>
  <c r="T184" i="27" s="1"/>
  <c r="S183" i="27"/>
  <c r="T183" i="27" s="1"/>
  <c r="W183" i="27" s="1"/>
  <c r="S182" i="27"/>
  <c r="T182" i="27" s="1"/>
  <c r="S180" i="27"/>
  <c r="T180" i="27" s="1"/>
  <c r="S179" i="27"/>
  <c r="T179" i="27" s="1"/>
  <c r="W179" i="27" s="1"/>
  <c r="S178" i="27"/>
  <c r="T178" i="27" s="1"/>
  <c r="S177" i="27"/>
  <c r="T177" i="27" s="1"/>
  <c r="S176" i="27"/>
  <c r="T176" i="27" s="1"/>
  <c r="S175" i="27"/>
  <c r="T175" i="27" s="1"/>
  <c r="W175" i="27" s="1"/>
  <c r="S174" i="27"/>
  <c r="T174" i="27" s="1"/>
  <c r="S173" i="27"/>
  <c r="T173" i="27" s="1"/>
  <c r="S172" i="27"/>
  <c r="T172" i="27" s="1"/>
  <c r="S171" i="27"/>
  <c r="T171" i="27" s="1"/>
  <c r="W171" i="27" s="1"/>
  <c r="S170" i="27"/>
  <c r="T170" i="27" s="1"/>
  <c r="S169" i="27"/>
  <c r="T169" i="27" s="1"/>
  <c r="W169" i="27" s="1"/>
  <c r="S168" i="27"/>
  <c r="T168" i="27" s="1"/>
  <c r="S167" i="27"/>
  <c r="T167" i="27" s="1"/>
  <c r="W167" i="27" s="1"/>
  <c r="S166" i="27"/>
  <c r="T166" i="27" s="1"/>
  <c r="S165" i="27"/>
  <c r="T165" i="27" s="1"/>
  <c r="W165" i="27" s="1"/>
  <c r="S164" i="27"/>
  <c r="T164" i="27" s="1"/>
  <c r="S163" i="27"/>
  <c r="T163" i="27" s="1"/>
  <c r="W163" i="27" s="1"/>
  <c r="S162" i="27"/>
  <c r="T162" i="27" s="1"/>
  <c r="S161" i="27"/>
  <c r="T161" i="27" s="1"/>
  <c r="S160" i="27"/>
  <c r="T160" i="27" s="1"/>
  <c r="S159" i="27"/>
  <c r="T159" i="27" s="1"/>
  <c r="W159" i="27" s="1"/>
  <c r="S158" i="27"/>
  <c r="T158" i="27" s="1"/>
  <c r="S157" i="27"/>
  <c r="T157" i="27" s="1"/>
  <c r="S156" i="27"/>
  <c r="T156" i="27" s="1"/>
  <c r="S155" i="27"/>
  <c r="T155" i="27" s="1"/>
  <c r="W155" i="27" s="1"/>
  <c r="S154" i="27"/>
  <c r="T154" i="27" s="1"/>
  <c r="S153" i="27"/>
  <c r="T153" i="27" s="1"/>
  <c r="W153" i="27" s="1"/>
  <c r="S152" i="27"/>
  <c r="T152" i="27" s="1"/>
  <c r="S151" i="27"/>
  <c r="T151" i="27" s="1"/>
  <c r="W151" i="27" s="1"/>
  <c r="S150" i="27"/>
  <c r="T150" i="27" s="1"/>
  <c r="S149" i="27"/>
  <c r="T149" i="27" s="1"/>
  <c r="W149" i="27" s="1"/>
  <c r="S148" i="27"/>
  <c r="T148" i="27" s="1"/>
  <c r="S147" i="27"/>
  <c r="T147" i="27" s="1"/>
  <c r="W147" i="27" s="1"/>
  <c r="S146" i="27"/>
  <c r="T146" i="27" s="1"/>
  <c r="S145" i="27"/>
  <c r="T145" i="27" s="1"/>
  <c r="S144" i="27"/>
  <c r="T144" i="27" s="1"/>
  <c r="S143" i="27"/>
  <c r="T143" i="27" s="1"/>
  <c r="W143" i="27" s="1"/>
  <c r="S142" i="27"/>
  <c r="T142" i="27" s="1"/>
  <c r="S141" i="27"/>
  <c r="T141" i="27" s="1"/>
  <c r="S140" i="27"/>
  <c r="T140" i="27" s="1"/>
  <c r="S139" i="27"/>
  <c r="T139" i="27" s="1"/>
  <c r="W139" i="27" s="1"/>
  <c r="S138" i="27"/>
  <c r="T138" i="27" s="1"/>
  <c r="S137" i="27"/>
  <c r="T137" i="27" s="1"/>
  <c r="W137" i="27" s="1"/>
  <c r="S136" i="27"/>
  <c r="T136" i="27" s="1"/>
  <c r="S135" i="27"/>
  <c r="T135" i="27" s="1"/>
  <c r="W135" i="27" s="1"/>
  <c r="S134" i="27"/>
  <c r="T134" i="27" s="1"/>
  <c r="S133" i="27"/>
  <c r="T133" i="27" s="1"/>
  <c r="W133" i="27" s="1"/>
  <c r="S132" i="27"/>
  <c r="T132" i="27" s="1"/>
  <c r="S131" i="27"/>
  <c r="T131" i="27" s="1"/>
  <c r="W131" i="27" s="1"/>
  <c r="S130" i="27"/>
  <c r="T130" i="27" s="1"/>
  <c r="S129" i="27"/>
  <c r="T129" i="27" s="1"/>
  <c r="S128" i="27"/>
  <c r="T128" i="27" s="1"/>
  <c r="S127" i="27"/>
  <c r="T127" i="27" s="1"/>
  <c r="W127" i="27" s="1"/>
  <c r="S126" i="27"/>
  <c r="T126" i="27" s="1"/>
  <c r="S125" i="27"/>
  <c r="T125" i="27" s="1"/>
  <c r="S124" i="27"/>
  <c r="T124" i="27" s="1"/>
  <c r="S123" i="27"/>
  <c r="T123" i="27" s="1"/>
  <c r="W123" i="27" s="1"/>
  <c r="S122" i="27"/>
  <c r="T122" i="27" s="1"/>
  <c r="S121" i="27"/>
  <c r="T121" i="27" s="1"/>
  <c r="W121" i="27" s="1"/>
  <c r="S120" i="27"/>
  <c r="T120" i="27" s="1"/>
  <c r="S119" i="27"/>
  <c r="T119" i="27" s="1"/>
  <c r="W119" i="27" s="1"/>
  <c r="S118" i="27"/>
  <c r="T118" i="27" s="1"/>
  <c r="S117" i="27"/>
  <c r="T117" i="27" s="1"/>
  <c r="W117" i="27" s="1"/>
  <c r="S115" i="27"/>
  <c r="T115" i="27" s="1"/>
  <c r="W115" i="27" s="1"/>
  <c r="S114" i="27"/>
  <c r="T114" i="27" s="1"/>
  <c r="S113" i="27"/>
  <c r="T113" i="27" s="1"/>
  <c r="S112" i="27"/>
  <c r="T112" i="27" s="1"/>
  <c r="S111" i="27"/>
  <c r="T111" i="27" s="1"/>
  <c r="W111" i="27" s="1"/>
  <c r="S110" i="27"/>
  <c r="T110" i="27" s="1"/>
  <c r="S109" i="27"/>
  <c r="T109" i="27" s="1"/>
  <c r="S108" i="27"/>
  <c r="T108" i="27" s="1"/>
  <c r="S107" i="27"/>
  <c r="T107" i="27" s="1"/>
  <c r="W107" i="27" s="1"/>
  <c r="S106" i="27"/>
  <c r="T106" i="27" s="1"/>
  <c r="S105" i="27"/>
  <c r="T105" i="27" s="1"/>
  <c r="W105" i="27" s="1"/>
  <c r="S104" i="27"/>
  <c r="T104" i="27" s="1"/>
  <c r="S103" i="27"/>
  <c r="T103" i="27" s="1"/>
  <c r="W103" i="27" s="1"/>
  <c r="S102" i="27"/>
  <c r="T102" i="27" s="1"/>
  <c r="S101" i="27"/>
  <c r="T101" i="27" s="1"/>
  <c r="W101" i="27" s="1"/>
  <c r="S100" i="27"/>
  <c r="T100" i="27" s="1"/>
  <c r="S99" i="27"/>
  <c r="T99" i="27" s="1"/>
  <c r="W99" i="27" s="1"/>
  <c r="S98" i="27"/>
  <c r="T98" i="27" s="1"/>
  <c r="S97" i="27"/>
  <c r="T97" i="27" s="1"/>
  <c r="S96" i="27"/>
  <c r="T96" i="27" s="1"/>
  <c r="S95" i="27"/>
  <c r="T95" i="27" s="1"/>
  <c r="W95" i="27" s="1"/>
  <c r="S94" i="27"/>
  <c r="T94" i="27" s="1"/>
  <c r="S93" i="27"/>
  <c r="T93" i="27" s="1"/>
  <c r="S92" i="27"/>
  <c r="T92" i="27" s="1"/>
  <c r="S91" i="27"/>
  <c r="T91" i="27" s="1"/>
  <c r="W91" i="27" s="1"/>
  <c r="S90" i="27"/>
  <c r="T90" i="27" s="1"/>
  <c r="S89" i="27"/>
  <c r="T89" i="27" s="1"/>
  <c r="W89" i="27" s="1"/>
  <c r="S88" i="27"/>
  <c r="T88" i="27" s="1"/>
  <c r="S87" i="27"/>
  <c r="T87" i="27" s="1"/>
  <c r="W87" i="27" s="1"/>
  <c r="S86" i="27"/>
  <c r="T86" i="27" s="1"/>
  <c r="S85" i="27"/>
  <c r="T85" i="27" s="1"/>
  <c r="W85" i="27" s="1"/>
  <c r="S84" i="27"/>
  <c r="T84" i="27" s="1"/>
  <c r="S83" i="27"/>
  <c r="T83" i="27" s="1"/>
  <c r="W83" i="27" s="1"/>
  <c r="S82" i="27"/>
  <c r="T82" i="27" s="1"/>
  <c r="S81" i="27"/>
  <c r="T81" i="27" s="1"/>
  <c r="S80" i="27"/>
  <c r="T80" i="27" s="1"/>
  <c r="S79" i="27"/>
  <c r="T79" i="27" s="1"/>
  <c r="W79" i="27" s="1"/>
  <c r="S78" i="27"/>
  <c r="T78" i="27" s="1"/>
  <c r="S77" i="27"/>
  <c r="T77" i="27" s="1"/>
  <c r="S76" i="27"/>
  <c r="T76" i="27" s="1"/>
  <c r="S75" i="27"/>
  <c r="T75" i="27" s="1"/>
  <c r="W75" i="27" s="1"/>
  <c r="S74" i="27"/>
  <c r="T74" i="27" s="1"/>
  <c r="S73" i="27"/>
  <c r="T73" i="27" s="1"/>
  <c r="W73" i="27" s="1"/>
  <c r="S71" i="27"/>
  <c r="T71" i="27" s="1"/>
  <c r="W71" i="27" s="1"/>
  <c r="S70" i="27"/>
  <c r="T70" i="27" s="1"/>
  <c r="S69" i="27"/>
  <c r="T69" i="27" s="1"/>
  <c r="W69" i="27" s="1"/>
  <c r="S68" i="27"/>
  <c r="T68" i="27" s="1"/>
  <c r="S67" i="27"/>
  <c r="T67" i="27" s="1"/>
  <c r="W67" i="27" s="1"/>
  <c r="S66" i="27"/>
  <c r="T66" i="27" s="1"/>
  <c r="S65" i="27"/>
  <c r="T65" i="27" s="1"/>
  <c r="S64" i="27"/>
  <c r="T64" i="27" s="1"/>
  <c r="S63" i="27"/>
  <c r="T63" i="27" s="1"/>
  <c r="W63" i="27" s="1"/>
  <c r="S62" i="27"/>
  <c r="T62" i="27" s="1"/>
  <c r="S61" i="27"/>
  <c r="T61" i="27" s="1"/>
  <c r="S60" i="27"/>
  <c r="T60" i="27" s="1"/>
  <c r="S59" i="27"/>
  <c r="T59" i="27" s="1"/>
  <c r="W59" i="27" s="1"/>
  <c r="S58" i="27"/>
  <c r="T58" i="27" s="1"/>
  <c r="S57" i="27"/>
  <c r="T57" i="27" s="1"/>
  <c r="W57" i="27" s="1"/>
  <c r="S56" i="27"/>
  <c r="T56" i="27" s="1"/>
  <c r="S55" i="27"/>
  <c r="T55" i="27" s="1"/>
  <c r="W55" i="27" s="1"/>
  <c r="S54" i="27"/>
  <c r="T54" i="27" s="1"/>
  <c r="S53" i="27"/>
  <c r="T53" i="27" s="1"/>
  <c r="W53" i="27" s="1"/>
  <c r="S52" i="27"/>
  <c r="T52" i="27" s="1"/>
  <c r="S51" i="27"/>
  <c r="T51" i="27" s="1"/>
  <c r="W51" i="27" s="1"/>
  <c r="S49" i="27"/>
  <c r="T49" i="27" s="1"/>
  <c r="S48" i="27"/>
  <c r="T48" i="27" s="1"/>
  <c r="S47" i="27"/>
  <c r="T47" i="27" s="1"/>
  <c r="W47" i="27" s="1"/>
  <c r="S46" i="27"/>
  <c r="T46" i="27" s="1"/>
  <c r="S45" i="27"/>
  <c r="T45" i="27" s="1"/>
  <c r="S44" i="27"/>
  <c r="T44" i="27" s="1"/>
  <c r="S43" i="27"/>
  <c r="T43" i="27" s="1"/>
  <c r="W43" i="27" s="1"/>
  <c r="S42" i="27"/>
  <c r="T42" i="27" s="1"/>
  <c r="S41" i="27"/>
  <c r="T41" i="27" s="1"/>
  <c r="W41" i="27" s="1"/>
  <c r="S40" i="27"/>
  <c r="T40" i="27" s="1"/>
  <c r="S39" i="27"/>
  <c r="T39" i="27" s="1"/>
  <c r="W39" i="27" s="1"/>
  <c r="S38" i="27"/>
  <c r="T38" i="27" s="1"/>
  <c r="S37" i="27"/>
  <c r="T37" i="27" s="1"/>
  <c r="W37" i="27" s="1"/>
  <c r="S36" i="27"/>
  <c r="T36" i="27" s="1"/>
  <c r="S35" i="27"/>
  <c r="T35" i="27" s="1"/>
  <c r="S34" i="27"/>
  <c r="T34" i="27" s="1"/>
  <c r="S33" i="27"/>
  <c r="T33" i="27" s="1"/>
  <c r="W33" i="27" s="1"/>
  <c r="S32" i="27"/>
  <c r="T32" i="27" s="1"/>
  <c r="S31" i="27"/>
  <c r="T31" i="27" s="1"/>
  <c r="S30" i="27"/>
  <c r="T30" i="27" s="1"/>
  <c r="S29" i="27"/>
  <c r="T29" i="27" s="1"/>
  <c r="W29" i="27" s="1"/>
  <c r="S28" i="27"/>
  <c r="T28" i="27" s="1"/>
  <c r="S27" i="27"/>
  <c r="T27" i="27" s="1"/>
  <c r="S26" i="27"/>
  <c r="T26" i="27" s="1"/>
  <c r="S25" i="27"/>
  <c r="T25" i="27" s="1"/>
  <c r="W25" i="27" s="1"/>
  <c r="S24" i="27"/>
  <c r="T24" i="27" s="1"/>
  <c r="S23" i="27"/>
  <c r="T23" i="27" s="1"/>
  <c r="S22" i="27"/>
  <c r="T22" i="27" s="1"/>
  <c r="S21" i="27"/>
  <c r="T21" i="27" s="1"/>
  <c r="W21" i="27" s="1"/>
  <c r="S20" i="27"/>
  <c r="T20" i="27" s="1"/>
  <c r="S18" i="27"/>
  <c r="T18" i="27" s="1"/>
  <c r="S17" i="27"/>
  <c r="T17" i="27" s="1"/>
  <c r="W17" i="27" s="1"/>
  <c r="S16" i="27"/>
  <c r="T16" i="27" s="1"/>
  <c r="S15" i="27"/>
  <c r="T15" i="27" s="1"/>
  <c r="S14" i="27"/>
  <c r="T14" i="27" s="1"/>
  <c r="S13" i="27"/>
  <c r="T13" i="27" s="1"/>
  <c r="W13" i="27" s="1"/>
  <c r="S12" i="27"/>
  <c r="T12" i="27" s="1"/>
  <c r="S11" i="27"/>
  <c r="T11" i="27" s="1"/>
  <c r="S10" i="27"/>
  <c r="T10" i="27" s="1"/>
  <c r="S9" i="27"/>
  <c r="T9" i="27" s="1"/>
  <c r="W9" i="27" s="1"/>
  <c r="S8" i="27"/>
  <c r="T8" i="27" s="1"/>
  <c r="S7" i="27"/>
  <c r="T7" i="27" s="1"/>
  <c r="S6" i="27"/>
  <c r="T6" i="27" s="1"/>
  <c r="S5" i="27"/>
  <c r="T5" i="27" s="1"/>
  <c r="W5" i="27" s="1"/>
  <c r="S4" i="27"/>
  <c r="T4" i="27" s="1"/>
  <c r="S3" i="27"/>
  <c r="T3" i="27" s="1"/>
  <c r="S2" i="27"/>
  <c r="T2" i="27" s="1"/>
  <c r="C357" i="27" l="1"/>
  <c r="W191" i="27"/>
  <c r="U333" i="27"/>
  <c r="U341" i="27"/>
  <c r="U317" i="27"/>
  <c r="U349" i="27"/>
  <c r="S357" i="27"/>
  <c r="U325" i="27"/>
  <c r="W2" i="27"/>
  <c r="U2" i="27"/>
  <c r="W6" i="27"/>
  <c r="U6" i="27"/>
  <c r="W14" i="27"/>
  <c r="U14" i="27"/>
  <c r="W18" i="27"/>
  <c r="U18" i="27"/>
  <c r="W22" i="27"/>
  <c r="U22" i="27"/>
  <c r="W30" i="27"/>
  <c r="U30" i="27"/>
  <c r="W34" i="27"/>
  <c r="U34" i="27"/>
  <c r="W38" i="27"/>
  <c r="U38" i="27"/>
  <c r="W54" i="27"/>
  <c r="U54" i="27"/>
  <c r="W66" i="27"/>
  <c r="U66" i="27"/>
  <c r="W70" i="27"/>
  <c r="U70" i="27"/>
  <c r="W86" i="27"/>
  <c r="U86" i="27"/>
  <c r="W102" i="27"/>
  <c r="U102" i="27"/>
  <c r="W4" i="27"/>
  <c r="U4" i="27"/>
  <c r="W8" i="27"/>
  <c r="U8" i="27"/>
  <c r="W12" i="27"/>
  <c r="U12" i="27"/>
  <c r="W16" i="27"/>
  <c r="U16" i="27"/>
  <c r="W20" i="27"/>
  <c r="U20" i="27"/>
  <c r="W24" i="27"/>
  <c r="U24" i="27"/>
  <c r="W28" i="27"/>
  <c r="U28" i="27"/>
  <c r="W32" i="27"/>
  <c r="U32" i="27"/>
  <c r="W36" i="27"/>
  <c r="U36" i="27"/>
  <c r="W40" i="27"/>
  <c r="U40" i="27"/>
  <c r="W44" i="27"/>
  <c r="U44" i="27"/>
  <c r="W48" i="27"/>
  <c r="U48" i="27"/>
  <c r="W52" i="27"/>
  <c r="U52" i="27"/>
  <c r="W56" i="27"/>
  <c r="U56" i="27"/>
  <c r="W60" i="27"/>
  <c r="U60" i="27"/>
  <c r="W64" i="27"/>
  <c r="U64" i="27"/>
  <c r="W68" i="27"/>
  <c r="U68" i="27"/>
  <c r="W76" i="27"/>
  <c r="U76" i="27"/>
  <c r="W80" i="27"/>
  <c r="U80" i="27"/>
  <c r="W84" i="27"/>
  <c r="U84" i="27"/>
  <c r="W88" i="27"/>
  <c r="U88" i="27"/>
  <c r="W92" i="27"/>
  <c r="U92" i="27"/>
  <c r="W96" i="27"/>
  <c r="U96" i="27"/>
  <c r="W100" i="27"/>
  <c r="U100" i="27"/>
  <c r="W104" i="27"/>
  <c r="U104" i="27"/>
  <c r="W108" i="27"/>
  <c r="U108" i="27"/>
  <c r="W112" i="27"/>
  <c r="U112" i="27"/>
  <c r="W120" i="27"/>
  <c r="U120" i="27"/>
  <c r="W124" i="27"/>
  <c r="U124" i="27"/>
  <c r="W128" i="27"/>
  <c r="U128" i="27"/>
  <c r="W132" i="27"/>
  <c r="U132" i="27"/>
  <c r="W136" i="27"/>
  <c r="U136" i="27"/>
  <c r="W140" i="27"/>
  <c r="U140" i="27"/>
  <c r="W144" i="27"/>
  <c r="U144" i="27"/>
  <c r="W148" i="27"/>
  <c r="U148" i="27"/>
  <c r="W152" i="27"/>
  <c r="U152" i="27"/>
  <c r="W156" i="27"/>
  <c r="U156" i="27"/>
  <c r="W160" i="27"/>
  <c r="U160" i="27"/>
  <c r="W164" i="27"/>
  <c r="U164" i="27"/>
  <c r="W168" i="27"/>
  <c r="U168" i="27"/>
  <c r="W172" i="27"/>
  <c r="U172" i="27"/>
  <c r="W176" i="27"/>
  <c r="U176" i="27"/>
  <c r="W180" i="27"/>
  <c r="U180" i="27"/>
  <c r="W184" i="27"/>
  <c r="U184" i="27"/>
  <c r="W188" i="27"/>
  <c r="U188" i="27"/>
  <c r="W192" i="27"/>
  <c r="U192" i="27"/>
  <c r="W196" i="27"/>
  <c r="U196" i="27"/>
  <c r="W200" i="27"/>
  <c r="U200" i="27"/>
  <c r="W204" i="27"/>
  <c r="U204" i="27"/>
  <c r="W208" i="27"/>
  <c r="U208" i="27"/>
  <c r="W212" i="27"/>
  <c r="U212" i="27"/>
  <c r="W216" i="27"/>
  <c r="U216" i="27"/>
  <c r="W220" i="27"/>
  <c r="U220" i="27"/>
  <c r="W224" i="27"/>
  <c r="U224" i="27"/>
  <c r="W228" i="27"/>
  <c r="U228" i="27"/>
  <c r="W232" i="27"/>
  <c r="U232" i="27"/>
  <c r="W236" i="27"/>
  <c r="U236" i="27"/>
  <c r="W240" i="27"/>
  <c r="U240" i="27"/>
  <c r="W244" i="27"/>
  <c r="U244" i="27"/>
  <c r="W248" i="27"/>
  <c r="U248" i="27"/>
  <c r="W252" i="27"/>
  <c r="U252" i="27"/>
  <c r="W256" i="27"/>
  <c r="U256" i="27"/>
  <c r="W260" i="27"/>
  <c r="U260" i="27"/>
  <c r="W264" i="27"/>
  <c r="U264" i="27"/>
  <c r="W268" i="27"/>
  <c r="U268" i="27"/>
  <c r="W272" i="27"/>
  <c r="U272" i="27"/>
  <c r="W276" i="27"/>
  <c r="U276" i="27"/>
  <c r="W280" i="27"/>
  <c r="U280" i="27"/>
  <c r="W284" i="27"/>
  <c r="U284" i="27"/>
  <c r="W288" i="27"/>
  <c r="U288" i="27"/>
  <c r="W292" i="27"/>
  <c r="U292" i="27"/>
  <c r="W296" i="27"/>
  <c r="U296" i="27"/>
  <c r="W300" i="27"/>
  <c r="U300" i="27"/>
  <c r="W304" i="27"/>
  <c r="U304" i="27"/>
  <c r="W308" i="27"/>
  <c r="U308" i="27"/>
  <c r="W312" i="27"/>
  <c r="U312" i="27"/>
  <c r="W316" i="27"/>
  <c r="U316" i="27"/>
  <c r="W320" i="27"/>
  <c r="U320" i="27"/>
  <c r="W324" i="27"/>
  <c r="U324" i="27"/>
  <c r="W328" i="27"/>
  <c r="U328" i="27"/>
  <c r="W332" i="27"/>
  <c r="U332" i="27"/>
  <c r="W336" i="27"/>
  <c r="U336" i="27"/>
  <c r="W340" i="27"/>
  <c r="U340" i="27"/>
  <c r="W344" i="27"/>
  <c r="U344" i="27"/>
  <c r="W348" i="27"/>
  <c r="U348" i="27"/>
  <c r="W352" i="27"/>
  <c r="U352" i="27"/>
  <c r="W356" i="27"/>
  <c r="U356" i="27"/>
  <c r="W45" i="27"/>
  <c r="U45" i="27"/>
  <c r="W49" i="27"/>
  <c r="U49" i="27"/>
  <c r="W61" i="27"/>
  <c r="U61" i="27"/>
  <c r="W65" i="27"/>
  <c r="U65" i="27"/>
  <c r="W77" i="27"/>
  <c r="U77" i="27"/>
  <c r="W81" i="27"/>
  <c r="U81" i="27"/>
  <c r="W93" i="27"/>
  <c r="U93" i="27"/>
  <c r="W97" i="27"/>
  <c r="U97" i="27"/>
  <c r="W109" i="27"/>
  <c r="U109" i="27"/>
  <c r="W113" i="27"/>
  <c r="U113" i="27"/>
  <c r="W125" i="27"/>
  <c r="U125" i="27"/>
  <c r="W129" i="27"/>
  <c r="U129" i="27"/>
  <c r="W141" i="27"/>
  <c r="U141" i="27"/>
  <c r="W145" i="27"/>
  <c r="U145" i="27"/>
  <c r="W157" i="27"/>
  <c r="U157" i="27"/>
  <c r="W161" i="27"/>
  <c r="U161" i="27"/>
  <c r="W173" i="27"/>
  <c r="U173" i="27"/>
  <c r="W177" i="27"/>
  <c r="U177" i="27"/>
  <c r="W189" i="27"/>
  <c r="U189" i="27"/>
  <c r="W193" i="27"/>
  <c r="U193" i="27"/>
  <c r="W205" i="27"/>
  <c r="U205" i="27"/>
  <c r="W209" i="27"/>
  <c r="U209" i="27"/>
  <c r="W221" i="27"/>
  <c r="U221" i="27"/>
  <c r="W225" i="27"/>
  <c r="U225" i="27"/>
  <c r="W237" i="27"/>
  <c r="U237" i="27"/>
  <c r="W241" i="27"/>
  <c r="U241" i="27"/>
  <c r="W253" i="27"/>
  <c r="U253" i="27"/>
  <c r="W257" i="27"/>
  <c r="U257" i="27"/>
  <c r="W269" i="27"/>
  <c r="U269" i="27"/>
  <c r="W273" i="27"/>
  <c r="U273" i="27"/>
  <c r="W285" i="27"/>
  <c r="U285" i="27"/>
  <c r="W289" i="27"/>
  <c r="U289" i="27"/>
  <c r="W301" i="27"/>
  <c r="U301" i="27"/>
  <c r="W305" i="27"/>
  <c r="U305" i="27"/>
  <c r="W10" i="27"/>
  <c r="U10" i="27"/>
  <c r="W26" i="27"/>
  <c r="U26" i="27"/>
  <c r="W82" i="27"/>
  <c r="U82" i="27"/>
  <c r="W98" i="27"/>
  <c r="U98" i="27"/>
  <c r="W114" i="27"/>
  <c r="U114" i="27"/>
  <c r="W118" i="27"/>
  <c r="U118" i="27"/>
  <c r="W130" i="27"/>
  <c r="U130" i="27"/>
  <c r="W134" i="27"/>
  <c r="U134" i="27"/>
  <c r="W146" i="27"/>
  <c r="U146" i="27"/>
  <c r="W150" i="27"/>
  <c r="U150" i="27"/>
  <c r="W162" i="27"/>
  <c r="U162" i="27"/>
  <c r="W166" i="27"/>
  <c r="U166" i="27"/>
  <c r="W178" i="27"/>
  <c r="U178" i="27"/>
  <c r="W182" i="27"/>
  <c r="U182" i="27"/>
  <c r="W194" i="27"/>
  <c r="U194" i="27"/>
  <c r="W198" i="27"/>
  <c r="U198" i="27"/>
  <c r="W210" i="27"/>
  <c r="U210" i="27"/>
  <c r="W214" i="27"/>
  <c r="U214" i="27"/>
  <c r="W226" i="27"/>
  <c r="U226" i="27"/>
  <c r="W230" i="27"/>
  <c r="U230" i="27"/>
  <c r="W242" i="27"/>
  <c r="U242" i="27"/>
  <c r="W246" i="27"/>
  <c r="U246" i="27"/>
  <c r="W258" i="27"/>
  <c r="U258" i="27"/>
  <c r="W262" i="27"/>
  <c r="U262" i="27"/>
  <c r="W274" i="27"/>
  <c r="U274" i="27"/>
  <c r="W278" i="27"/>
  <c r="U278" i="27"/>
  <c r="W290" i="27"/>
  <c r="U290" i="27"/>
  <c r="W294" i="27"/>
  <c r="U294" i="27"/>
  <c r="W306" i="27"/>
  <c r="U306" i="27"/>
  <c r="W310" i="27"/>
  <c r="U310" i="27"/>
  <c r="W318" i="27"/>
  <c r="U318" i="27"/>
  <c r="W326" i="27"/>
  <c r="U326" i="27"/>
  <c r="W334" i="27"/>
  <c r="U334" i="27"/>
  <c r="W342" i="27"/>
  <c r="U342" i="27"/>
  <c r="W350" i="27"/>
  <c r="U350" i="27"/>
  <c r="W3" i="27"/>
  <c r="U3" i="27"/>
  <c r="W7" i="27"/>
  <c r="U7" i="27"/>
  <c r="W11" i="27"/>
  <c r="U11" i="27"/>
  <c r="W15" i="27"/>
  <c r="U15" i="27"/>
  <c r="W23" i="27"/>
  <c r="U23" i="27"/>
  <c r="W27" i="27"/>
  <c r="U27" i="27"/>
  <c r="W31" i="27"/>
  <c r="U31" i="27"/>
  <c r="W35" i="27"/>
  <c r="U35" i="27"/>
  <c r="W42" i="27"/>
  <c r="U42" i="27"/>
  <c r="W58" i="27"/>
  <c r="U58" i="27"/>
  <c r="W74" i="27"/>
  <c r="U74" i="27"/>
  <c r="W90" i="27"/>
  <c r="U90" i="27"/>
  <c r="W106" i="27"/>
  <c r="U106" i="27"/>
  <c r="W122" i="27"/>
  <c r="U122" i="27"/>
  <c r="W138" i="27"/>
  <c r="U138" i="27"/>
  <c r="W154" i="27"/>
  <c r="U154" i="27"/>
  <c r="W170" i="27"/>
  <c r="U170" i="27"/>
  <c r="W186" i="27"/>
  <c r="U186" i="27"/>
  <c r="W202" i="27"/>
  <c r="U202" i="27"/>
  <c r="W234" i="27"/>
  <c r="U234" i="27"/>
  <c r="W250" i="27"/>
  <c r="U250" i="27"/>
  <c r="W266" i="27"/>
  <c r="U266" i="27"/>
  <c r="W282" i="27"/>
  <c r="U282" i="27"/>
  <c r="W298" i="27"/>
  <c r="U298" i="27"/>
  <c r="W314" i="27"/>
  <c r="U314" i="27"/>
  <c r="W322" i="27"/>
  <c r="U322" i="27"/>
  <c r="W330" i="27"/>
  <c r="U330" i="27"/>
  <c r="W338" i="27"/>
  <c r="U338" i="27"/>
  <c r="W346" i="27"/>
  <c r="U346" i="27"/>
  <c r="W354" i="27"/>
  <c r="U354" i="27"/>
  <c r="U39" i="27"/>
  <c r="U47" i="27"/>
  <c r="U55" i="27"/>
  <c r="U63" i="27"/>
  <c r="U71" i="27"/>
  <c r="U79" i="27"/>
  <c r="U87" i="27"/>
  <c r="U95" i="27"/>
  <c r="U103" i="27"/>
  <c r="U111" i="27"/>
  <c r="U119" i="27"/>
  <c r="U127" i="27"/>
  <c r="U135" i="27"/>
  <c r="U143" i="27"/>
  <c r="U151" i="27"/>
  <c r="U159" i="27"/>
  <c r="U167" i="27"/>
  <c r="U175" i="27"/>
  <c r="U183" i="27"/>
  <c r="U191" i="27"/>
  <c r="U199" i="27"/>
  <c r="U207" i="27"/>
  <c r="U215" i="27"/>
  <c r="U223" i="27"/>
  <c r="U231" i="27"/>
  <c r="U239" i="27"/>
  <c r="U247" i="27"/>
  <c r="U255" i="27"/>
  <c r="U263" i="27"/>
  <c r="U271" i="27"/>
  <c r="U279" i="27"/>
  <c r="U295" i="27"/>
  <c r="U303" i="27"/>
  <c r="U311" i="27"/>
  <c r="U319" i="27"/>
  <c r="U327" i="27"/>
  <c r="U335" i="27"/>
  <c r="U343" i="27"/>
  <c r="U351" i="27"/>
  <c r="U9" i="27"/>
  <c r="U17" i="27"/>
  <c r="U25" i="27"/>
  <c r="U33" i="27"/>
  <c r="U41" i="27"/>
  <c r="U57" i="27"/>
  <c r="U73" i="27"/>
  <c r="U89" i="27"/>
  <c r="U105" i="27"/>
  <c r="U121" i="27"/>
  <c r="U137" i="27"/>
  <c r="U153" i="27"/>
  <c r="U169" i="27"/>
  <c r="U185" i="27"/>
  <c r="U201" i="27"/>
  <c r="U233" i="27"/>
  <c r="U249" i="27"/>
  <c r="U265" i="27"/>
  <c r="U281" i="27"/>
  <c r="U297" i="27"/>
  <c r="U313" i="27"/>
  <c r="U321" i="27"/>
  <c r="U329" i="27"/>
  <c r="U337" i="27"/>
  <c r="U345" i="27"/>
  <c r="U353" i="27"/>
  <c r="W218" i="27"/>
  <c r="U218" i="27"/>
  <c r="U43" i="27"/>
  <c r="U51" i="27"/>
  <c r="U59" i="27"/>
  <c r="U67" i="27"/>
  <c r="U75" i="27"/>
  <c r="U83" i="27"/>
  <c r="U91" i="27"/>
  <c r="U99" i="27"/>
  <c r="U107" i="27"/>
  <c r="U115" i="27"/>
  <c r="U123" i="27"/>
  <c r="U131" i="27"/>
  <c r="U139" i="27"/>
  <c r="U147" i="27"/>
  <c r="U155" i="27"/>
  <c r="U163" i="27"/>
  <c r="U171" i="27"/>
  <c r="U179" i="27"/>
  <c r="U187" i="27"/>
  <c r="U195" i="27"/>
  <c r="U203" i="27"/>
  <c r="U211" i="27"/>
  <c r="U219" i="27"/>
  <c r="U227" i="27"/>
  <c r="U235" i="27"/>
  <c r="U243" i="27"/>
  <c r="U251" i="27"/>
  <c r="U259" i="27"/>
  <c r="U267" i="27"/>
  <c r="U275" i="27"/>
  <c r="U283" i="27"/>
  <c r="U291" i="27"/>
  <c r="U299" i="27"/>
  <c r="U307" i="27"/>
  <c r="U323" i="27"/>
  <c r="U331" i="27"/>
  <c r="U339" i="27"/>
  <c r="U347" i="27"/>
  <c r="U355" i="27"/>
  <c r="W46" i="27"/>
  <c r="U46" i="27"/>
  <c r="W62" i="27"/>
  <c r="U62" i="27"/>
  <c r="W78" i="27"/>
  <c r="U78" i="27"/>
  <c r="W94" i="27"/>
  <c r="U94" i="27"/>
  <c r="W110" i="27"/>
  <c r="U110" i="27"/>
  <c r="W126" i="27"/>
  <c r="U126" i="27"/>
  <c r="W142" i="27"/>
  <c r="U142" i="27"/>
  <c r="W158" i="27"/>
  <c r="U158" i="27"/>
  <c r="W174" i="27"/>
  <c r="U174" i="27"/>
  <c r="W190" i="27"/>
  <c r="U190" i="27"/>
  <c r="W206" i="27"/>
  <c r="U206" i="27"/>
  <c r="W222" i="27"/>
  <c r="U222" i="27"/>
  <c r="W238" i="27"/>
  <c r="U238" i="27"/>
  <c r="W254" i="27"/>
  <c r="U254" i="27"/>
  <c r="W270" i="27"/>
  <c r="U270" i="27"/>
  <c r="W286" i="27"/>
  <c r="U286" i="27"/>
  <c r="W302" i="27"/>
  <c r="U302" i="27"/>
  <c r="U5" i="27"/>
  <c r="U13" i="27"/>
  <c r="U21" i="27"/>
  <c r="U29" i="27"/>
  <c r="U37" i="27"/>
  <c r="U53" i="27"/>
  <c r="U69" i="27"/>
  <c r="U85" i="27"/>
  <c r="U101" i="27"/>
  <c r="U117" i="27"/>
  <c r="U133" i="27"/>
  <c r="U149" i="27"/>
  <c r="U165" i="27"/>
  <c r="U197" i="27"/>
  <c r="U213" i="27"/>
  <c r="U229" i="27"/>
  <c r="U245" i="27"/>
  <c r="U261" i="27"/>
  <c r="U277" i="27"/>
  <c r="U293" i="27"/>
  <c r="U309" i="27"/>
  <c r="T357" i="27" l="1"/>
  <c r="W357" i="27" s="1"/>
  <c r="H12" i="28"/>
  <c r="G12" i="28"/>
  <c r="U357" i="27" l="1"/>
  <c r="M23" i="4"/>
  <c r="K23" i="4"/>
  <c r="K24" i="4"/>
  <c r="L23" i="4"/>
  <c r="K39" i="4"/>
  <c r="K40" i="4"/>
  <c r="K11" i="1"/>
  <c r="J11" i="1" s="1"/>
  <c r="K26" i="4" l="1"/>
  <c r="K38" i="4" l="1"/>
  <c r="C72" i="1" l="1"/>
  <c r="C73" i="1"/>
  <c r="G73" i="1"/>
  <c r="J9" i="1" l="1"/>
  <c r="G71" i="1" l="1"/>
  <c r="G72" i="1" l="1"/>
  <c r="G24" i="1" l="1"/>
  <c r="G8" i="1"/>
  <c r="G15" i="1"/>
  <c r="G74" i="1" l="1"/>
  <c r="J15" i="1" l="1"/>
  <c r="T4" i="4"/>
  <c r="F3" i="3"/>
  <c r="G3" i="3"/>
  <c r="W10" i="3"/>
  <c r="Z54" i="3"/>
  <c r="W9" i="3"/>
  <c r="W8" i="3"/>
  <c r="W7" i="3"/>
  <c r="J7" i="1"/>
  <c r="J10" i="1"/>
  <c r="J5" i="1"/>
  <c r="J3" i="1" s="1"/>
  <c r="J8" i="1"/>
  <c r="J4" i="1"/>
  <c r="J2" i="1"/>
  <c r="T347" i="21"/>
  <c r="T346" i="21"/>
  <c r="T345" i="21"/>
  <c r="T344" i="21"/>
  <c r="T343" i="21"/>
  <c r="T342" i="21"/>
  <c r="T341" i="21"/>
  <c r="T340" i="21"/>
  <c r="T339" i="21"/>
  <c r="T338" i="21"/>
  <c r="T337" i="21"/>
  <c r="T336" i="21"/>
  <c r="T335" i="21"/>
  <c r="T334" i="21"/>
  <c r="T333" i="21"/>
  <c r="T332" i="21"/>
  <c r="T331" i="21"/>
  <c r="T330" i="21"/>
  <c r="T329" i="21"/>
  <c r="T328" i="21"/>
  <c r="T327" i="21"/>
  <c r="T326" i="21"/>
  <c r="T325" i="21"/>
  <c r="T324" i="21"/>
  <c r="T323" i="21"/>
  <c r="T322" i="21"/>
  <c r="T321" i="21"/>
  <c r="T320" i="21"/>
  <c r="T319" i="21"/>
  <c r="T318" i="21"/>
  <c r="T317" i="21"/>
  <c r="T316" i="21"/>
  <c r="T315" i="21"/>
  <c r="T314" i="21"/>
  <c r="T313" i="21"/>
  <c r="T311" i="21"/>
  <c r="T310" i="21"/>
  <c r="T309" i="21"/>
  <c r="T308" i="21"/>
  <c r="T307" i="21"/>
  <c r="T306" i="21"/>
  <c r="T305" i="21"/>
  <c r="T304" i="21"/>
  <c r="T303" i="21"/>
  <c r="T302" i="21"/>
  <c r="T301" i="21"/>
  <c r="T300" i="21"/>
  <c r="T299" i="21"/>
  <c r="T298" i="21"/>
  <c r="T297" i="21"/>
  <c r="T296" i="21"/>
  <c r="T295" i="21"/>
  <c r="T294" i="21"/>
  <c r="T293" i="21"/>
  <c r="T292" i="21"/>
  <c r="T291" i="21"/>
  <c r="T290" i="21"/>
  <c r="T289" i="21"/>
  <c r="T288" i="21"/>
  <c r="T287" i="21"/>
  <c r="T286" i="21"/>
  <c r="T285" i="21"/>
  <c r="T283" i="21"/>
  <c r="T282" i="21"/>
  <c r="T281" i="21"/>
  <c r="T280" i="21"/>
  <c r="T279" i="21"/>
  <c r="T278" i="21"/>
  <c r="T277" i="21"/>
  <c r="T276" i="21"/>
  <c r="T275" i="21"/>
  <c r="T274" i="21"/>
  <c r="T273" i="21"/>
  <c r="T272" i="21"/>
  <c r="T271" i="21"/>
  <c r="T270" i="21"/>
  <c r="T269" i="21"/>
  <c r="T268" i="21"/>
  <c r="T267" i="21"/>
  <c r="T266" i="21"/>
  <c r="T265" i="21"/>
  <c r="T264" i="21"/>
  <c r="T263" i="21"/>
  <c r="T262" i="21"/>
  <c r="T261" i="21"/>
  <c r="T260" i="21"/>
  <c r="T259" i="21"/>
  <c r="T258" i="21"/>
  <c r="T257" i="21"/>
  <c r="T256" i="21"/>
  <c r="T255" i="21"/>
  <c r="T254" i="21"/>
  <c r="T253" i="21"/>
  <c r="T252" i="21"/>
  <c r="T251" i="21"/>
  <c r="T250" i="21"/>
  <c r="T249" i="21"/>
  <c r="T248" i="21"/>
  <c r="T247" i="21"/>
  <c r="T246" i="21"/>
  <c r="T245" i="21"/>
  <c r="T244" i="21"/>
  <c r="T243" i="21"/>
  <c r="T242" i="21"/>
  <c r="T241" i="21"/>
  <c r="T240" i="21"/>
  <c r="T239" i="21"/>
  <c r="T238" i="21"/>
  <c r="T237" i="21"/>
  <c r="T236" i="21"/>
  <c r="T235" i="21"/>
  <c r="T234" i="21"/>
  <c r="T233" i="21"/>
  <c r="T232" i="21"/>
  <c r="T231" i="21"/>
  <c r="T230" i="21"/>
  <c r="T229" i="21"/>
  <c r="T228" i="21"/>
  <c r="T227" i="21"/>
  <c r="T226" i="21"/>
  <c r="T225" i="21"/>
  <c r="T224" i="21"/>
  <c r="T223" i="21"/>
  <c r="T222" i="21"/>
  <c r="T221" i="21"/>
  <c r="T220" i="21"/>
  <c r="T219" i="21"/>
  <c r="T218" i="21"/>
  <c r="T217" i="21"/>
  <c r="T216" i="21"/>
  <c r="T215" i="21"/>
  <c r="T213" i="21"/>
  <c r="T212" i="21"/>
  <c r="T211" i="21"/>
  <c r="T210" i="21"/>
  <c r="T209" i="21"/>
  <c r="T208" i="21"/>
  <c r="T207" i="21"/>
  <c r="T206" i="21"/>
  <c r="T205" i="21"/>
  <c r="T204" i="21"/>
  <c r="T203" i="21"/>
  <c r="T202" i="21"/>
  <c r="T201" i="21"/>
  <c r="T200" i="21"/>
  <c r="T199" i="21"/>
  <c r="T198" i="21"/>
  <c r="T197" i="21"/>
  <c r="T196" i="21"/>
  <c r="T195" i="21"/>
  <c r="T194" i="21"/>
  <c r="T193" i="21"/>
  <c r="T192" i="21"/>
  <c r="T191" i="21"/>
  <c r="T190" i="21"/>
  <c r="T189" i="21"/>
  <c r="T188" i="21"/>
  <c r="T187" i="21"/>
  <c r="T186" i="21"/>
  <c r="T185" i="21"/>
  <c r="T184" i="21"/>
  <c r="T183" i="21"/>
  <c r="T182" i="21"/>
  <c r="T181" i="21"/>
  <c r="T180" i="21"/>
  <c r="T179" i="21"/>
  <c r="T178" i="21"/>
  <c r="T177" i="21"/>
  <c r="T176" i="21"/>
  <c r="T175" i="21"/>
  <c r="T174" i="21"/>
  <c r="T173" i="21"/>
  <c r="T172" i="21"/>
  <c r="T171" i="21"/>
  <c r="T170" i="21"/>
  <c r="T169" i="21"/>
  <c r="T168" i="21"/>
  <c r="T167" i="21"/>
  <c r="T166" i="21"/>
  <c r="T165" i="21"/>
  <c r="T164" i="21"/>
  <c r="T163" i="21"/>
  <c r="T162" i="21"/>
  <c r="T161" i="21"/>
  <c r="T160" i="21"/>
  <c r="T159" i="21"/>
  <c r="T158" i="21"/>
  <c r="T157" i="21"/>
  <c r="T156" i="21"/>
  <c r="T155" i="21"/>
  <c r="T154" i="21"/>
  <c r="T153" i="21"/>
  <c r="T152" i="21"/>
  <c r="T151" i="21"/>
  <c r="T150" i="21"/>
  <c r="T149" i="21"/>
  <c r="T148" i="21"/>
  <c r="T147" i="21"/>
  <c r="T146" i="21"/>
  <c r="T145" i="21"/>
  <c r="T144" i="21"/>
  <c r="T143" i="21"/>
  <c r="T142" i="21"/>
  <c r="T141" i="21"/>
  <c r="T140" i="21"/>
  <c r="T139" i="21"/>
  <c r="T138" i="21"/>
  <c r="T137" i="21"/>
  <c r="T136" i="21"/>
  <c r="T135" i="21"/>
  <c r="T134" i="21"/>
  <c r="T133" i="21"/>
  <c r="T132" i="21"/>
  <c r="T131" i="21"/>
  <c r="T130" i="21"/>
  <c r="T129" i="21"/>
  <c r="T128" i="21"/>
  <c r="T127" i="21"/>
  <c r="T126" i="21"/>
  <c r="T125" i="21"/>
  <c r="T124" i="21"/>
  <c r="T123" i="21"/>
  <c r="T122" i="21"/>
  <c r="T121" i="21"/>
  <c r="T120" i="21"/>
  <c r="T119" i="21"/>
  <c r="T118" i="21"/>
  <c r="T117" i="21"/>
  <c r="T116" i="21"/>
  <c r="T115" i="21"/>
  <c r="T114" i="21"/>
  <c r="T113" i="21"/>
  <c r="T112" i="21"/>
  <c r="T111" i="21"/>
  <c r="T110" i="21"/>
  <c r="T109" i="21"/>
  <c r="T108" i="21"/>
  <c r="T107" i="21"/>
  <c r="T106" i="21"/>
  <c r="T105" i="21"/>
  <c r="T104" i="21"/>
  <c r="T103" i="21"/>
  <c r="T102" i="21"/>
  <c r="T101" i="21"/>
  <c r="T100" i="21"/>
  <c r="T99" i="21"/>
  <c r="T98" i="21"/>
  <c r="T97" i="21"/>
  <c r="T96" i="21"/>
  <c r="T95" i="21"/>
  <c r="T94" i="21"/>
  <c r="T93" i="21"/>
  <c r="T92" i="21"/>
  <c r="T91" i="21"/>
  <c r="T90" i="21"/>
  <c r="T88" i="21"/>
  <c r="T87" i="21"/>
  <c r="T86" i="21"/>
  <c r="T85" i="21"/>
  <c r="T84" i="21"/>
  <c r="T83" i="21"/>
  <c r="T82" i="21"/>
  <c r="T81" i="21"/>
  <c r="T80" i="21"/>
  <c r="T79" i="21"/>
  <c r="T78" i="21"/>
  <c r="T77" i="21"/>
  <c r="T76" i="21"/>
  <c r="T75" i="21"/>
  <c r="T74" i="21"/>
  <c r="T73" i="21"/>
  <c r="U73" i="21" s="1"/>
  <c r="T72" i="21"/>
  <c r="T71" i="21"/>
  <c r="T70" i="21"/>
  <c r="T69" i="21"/>
  <c r="T68" i="21"/>
  <c r="T67" i="21"/>
  <c r="T66" i="21"/>
  <c r="T65" i="21"/>
  <c r="T64" i="21"/>
  <c r="T63" i="21"/>
  <c r="T62" i="21"/>
  <c r="T61" i="21"/>
  <c r="T60" i="21"/>
  <c r="T59" i="21"/>
  <c r="T58" i="21"/>
  <c r="T57" i="21"/>
  <c r="T56" i="21"/>
  <c r="T55" i="21"/>
  <c r="T54" i="21"/>
  <c r="T53" i="21"/>
  <c r="T52" i="21"/>
  <c r="T51" i="21"/>
  <c r="T50" i="21"/>
  <c r="T48" i="21"/>
  <c r="T47" i="21"/>
  <c r="T46" i="21"/>
  <c r="T45" i="21"/>
  <c r="T44" i="21"/>
  <c r="T43" i="21"/>
  <c r="T42" i="21"/>
  <c r="T41" i="21"/>
  <c r="T40" i="21"/>
  <c r="T39" i="21"/>
  <c r="T38" i="21"/>
  <c r="T37" i="21"/>
  <c r="T36" i="21"/>
  <c r="T35" i="21"/>
  <c r="T34" i="21"/>
  <c r="T33" i="21"/>
  <c r="T32" i="21"/>
  <c r="T31" i="21"/>
  <c r="T30" i="21"/>
  <c r="T29" i="21"/>
  <c r="T28" i="21"/>
  <c r="T27" i="21"/>
  <c r="T26" i="21"/>
  <c r="T25" i="21"/>
  <c r="T24" i="21"/>
  <c r="T23" i="21"/>
  <c r="T22" i="21"/>
  <c r="T21" i="21"/>
  <c r="T20" i="21"/>
  <c r="T19" i="21"/>
  <c r="T18" i="21"/>
  <c r="T17" i="21"/>
  <c r="T16" i="21"/>
  <c r="T15" i="21"/>
  <c r="T14" i="21"/>
  <c r="T13" i="21"/>
  <c r="T12" i="21"/>
  <c r="T11" i="21"/>
  <c r="T10" i="21"/>
  <c r="T9" i="21"/>
  <c r="T2" i="21"/>
  <c r="T8" i="21"/>
  <c r="T7" i="21"/>
  <c r="T6" i="21"/>
  <c r="T5" i="21"/>
  <c r="T4" i="21"/>
  <c r="T3" i="21"/>
  <c r="AM347" i="7"/>
  <c r="AN347" i="7"/>
  <c r="E3" i="3"/>
  <c r="G19" i="6"/>
  <c r="G8" i="6"/>
  <c r="Z63" i="3"/>
  <c r="Z62" i="3"/>
  <c r="Z61" i="3"/>
  <c r="Z60" i="3"/>
  <c r="Z59" i="3"/>
  <c r="Z58" i="3"/>
  <c r="Z57" i="3"/>
  <c r="Z56" i="3"/>
  <c r="Z55" i="3"/>
  <c r="W5" i="3"/>
  <c r="W3" i="3" s="1"/>
  <c r="W4" i="3"/>
  <c r="Y3" i="3"/>
  <c r="Y4" i="3" s="1"/>
  <c r="Y5" i="3" s="1"/>
  <c r="Y6" i="3" s="1"/>
  <c r="Y7" i="3" s="1"/>
  <c r="Y8" i="3" s="1"/>
  <c r="Y9" i="3" s="1"/>
  <c r="Y10" i="3" s="1"/>
  <c r="Y11" i="3" s="1"/>
  <c r="Y12" i="3" s="1"/>
  <c r="Y13" i="3" s="1"/>
  <c r="Y14" i="3" s="1"/>
  <c r="Y15" i="3" s="1"/>
  <c r="Y16" i="3" s="1"/>
  <c r="Y17" i="3" s="1"/>
  <c r="Y18" i="3" s="1"/>
  <c r="Y19" i="3" s="1"/>
  <c r="Y20" i="3" s="1"/>
  <c r="Y21" i="3" s="1"/>
  <c r="Y22" i="3" s="1"/>
  <c r="Y23" i="3" s="1"/>
  <c r="Y24" i="3" s="1"/>
  <c r="Y25" i="3" s="1"/>
  <c r="Y55" i="3" s="1"/>
  <c r="Y56" i="3" s="1"/>
  <c r="Y57" i="3" s="1"/>
  <c r="Y58" i="3" s="1"/>
  <c r="Y59" i="3" s="1"/>
  <c r="Y60" i="3" s="1"/>
  <c r="Y61" i="3" s="1"/>
  <c r="Y62" i="3" s="1"/>
  <c r="Y63" i="3" s="1"/>
  <c r="W2" i="3"/>
  <c r="X2" i="3" s="1"/>
  <c r="B2" i="6"/>
  <c r="F4" i="6"/>
  <c r="AC19" i="4"/>
  <c r="X24" i="3" s="1"/>
  <c r="AC14" i="4"/>
  <c r="AC13" i="4"/>
  <c r="AC12" i="4"/>
  <c r="AC10" i="4"/>
  <c r="X20" i="3" s="1"/>
  <c r="AC9" i="4"/>
  <c r="AC8" i="4"/>
  <c r="X16" i="3"/>
  <c r="AC7" i="4"/>
  <c r="X15" i="3"/>
  <c r="AC6" i="4"/>
  <c r="AC5" i="4"/>
  <c r="AC4" i="4"/>
  <c r="N3" i="1"/>
  <c r="AC3" i="4"/>
  <c r="N2" i="1"/>
  <c r="D3" i="3"/>
  <c r="C8" i="6"/>
  <c r="U22" i="21" l="1"/>
  <c r="X22" i="21" s="1"/>
  <c r="U104" i="21"/>
  <c r="X104" i="21" s="1"/>
  <c r="U225" i="21"/>
  <c r="X225" i="21" s="1"/>
  <c r="U241" i="21"/>
  <c r="X241" i="21" s="1"/>
  <c r="U257" i="21"/>
  <c r="X257" i="21" s="1"/>
  <c r="U265" i="21"/>
  <c r="X265" i="21" s="1"/>
  <c r="U273" i="21"/>
  <c r="X273" i="21" s="1"/>
  <c r="U281" i="21"/>
  <c r="X281" i="21" s="1"/>
  <c r="U290" i="21"/>
  <c r="X290" i="21" s="1"/>
  <c r="U298" i="21"/>
  <c r="X298" i="21" s="1"/>
  <c r="U306" i="21"/>
  <c r="X306" i="21" s="1"/>
  <c r="U315" i="21"/>
  <c r="X315" i="21" s="1"/>
  <c r="X323" i="21"/>
  <c r="U323" i="21"/>
  <c r="U331" i="21"/>
  <c r="X331" i="21" s="1"/>
  <c r="U339" i="21"/>
  <c r="X339" i="21" s="1"/>
  <c r="U347" i="21"/>
  <c r="X347" i="21" s="1"/>
  <c r="U8" i="21"/>
  <c r="X8" i="21" s="1"/>
  <c r="U15" i="21"/>
  <c r="X15" i="21" s="1"/>
  <c r="U23" i="21"/>
  <c r="X23" i="21" s="1"/>
  <c r="U31" i="21"/>
  <c r="X31" i="21" s="1"/>
  <c r="U39" i="21"/>
  <c r="X39" i="21" s="1"/>
  <c r="U47" i="21"/>
  <c r="X47" i="21" s="1"/>
  <c r="U56" i="21"/>
  <c r="X56" i="21" s="1"/>
  <c r="X64" i="21"/>
  <c r="U64" i="21"/>
  <c r="U72" i="21"/>
  <c r="X72" i="21" s="1"/>
  <c r="U80" i="21"/>
  <c r="X80" i="21" s="1"/>
  <c r="U88" i="21"/>
  <c r="X88" i="21" s="1"/>
  <c r="U97" i="21"/>
  <c r="X97" i="21" s="1"/>
  <c r="U105" i="21"/>
  <c r="X105" i="21" s="1"/>
  <c r="U113" i="21"/>
  <c r="X113" i="21" s="1"/>
  <c r="U121" i="21"/>
  <c r="X121" i="21" s="1"/>
  <c r="X129" i="21"/>
  <c r="U129" i="21"/>
  <c r="U137" i="21"/>
  <c r="X137" i="21" s="1"/>
  <c r="U145" i="21"/>
  <c r="X145" i="21" s="1"/>
  <c r="U153" i="21"/>
  <c r="X153" i="21" s="1"/>
  <c r="U161" i="21"/>
  <c r="V161" i="21" s="1"/>
  <c r="U169" i="21"/>
  <c r="X169" i="21" s="1"/>
  <c r="U177" i="21"/>
  <c r="X177" i="21" s="1"/>
  <c r="U185" i="21"/>
  <c r="X185" i="21" s="1"/>
  <c r="U193" i="21"/>
  <c r="X193" i="21" s="1"/>
  <c r="U201" i="21"/>
  <c r="X201" i="21" s="1"/>
  <c r="U209" i="21"/>
  <c r="X209" i="21" s="1"/>
  <c r="U218" i="21"/>
  <c r="X218" i="21" s="1"/>
  <c r="U226" i="21"/>
  <c r="X226" i="21" s="1"/>
  <c r="U234" i="21"/>
  <c r="X234" i="21" s="1"/>
  <c r="U242" i="21"/>
  <c r="X242" i="21" s="1"/>
  <c r="U250" i="21"/>
  <c r="X250" i="21" s="1"/>
  <c r="U258" i="21"/>
  <c r="X258" i="21" s="1"/>
  <c r="U266" i="21"/>
  <c r="X266" i="21" s="1"/>
  <c r="U274" i="21"/>
  <c r="X274" i="21" s="1"/>
  <c r="U282" i="21"/>
  <c r="X282" i="21" s="1"/>
  <c r="U291" i="21"/>
  <c r="X291" i="21" s="1"/>
  <c r="U299" i="21"/>
  <c r="X299" i="21" s="1"/>
  <c r="U307" i="21"/>
  <c r="X307" i="21" s="1"/>
  <c r="U316" i="21"/>
  <c r="X316" i="21" s="1"/>
  <c r="X324" i="21"/>
  <c r="U324" i="21"/>
  <c r="U332" i="21"/>
  <c r="X332" i="21" s="1"/>
  <c r="U340" i="21"/>
  <c r="X340" i="21" s="1"/>
  <c r="U40" i="21"/>
  <c r="X40" i="21" s="1"/>
  <c r="U48" i="21"/>
  <c r="X48" i="21" s="1"/>
  <c r="U57" i="21"/>
  <c r="X57" i="21" s="1"/>
  <c r="U65" i="21"/>
  <c r="X65" i="21" s="1"/>
  <c r="U81" i="21"/>
  <c r="X81" i="21" s="1"/>
  <c r="U90" i="21"/>
  <c r="X90" i="21" s="1"/>
  <c r="U98" i="21"/>
  <c r="X98" i="21" s="1"/>
  <c r="U106" i="21"/>
  <c r="X106" i="21" s="1"/>
  <c r="U114" i="21"/>
  <c r="X114" i="21" s="1"/>
  <c r="U122" i="21"/>
  <c r="V122" i="21" s="1"/>
  <c r="U130" i="21"/>
  <c r="X130" i="21" s="1"/>
  <c r="U138" i="21"/>
  <c r="X138" i="21" s="1"/>
  <c r="U146" i="21"/>
  <c r="X146" i="21" s="1"/>
  <c r="U154" i="21"/>
  <c r="X154" i="21" s="1"/>
  <c r="U162" i="21"/>
  <c r="X162" i="21" s="1"/>
  <c r="U170" i="21"/>
  <c r="X170" i="21" s="1"/>
  <c r="U178" i="21"/>
  <c r="X178" i="21" s="1"/>
  <c r="U186" i="21"/>
  <c r="X186" i="21" s="1"/>
  <c r="U194" i="21"/>
  <c r="X194" i="21" s="1"/>
  <c r="U202" i="21"/>
  <c r="X202" i="21" s="1"/>
  <c r="U210" i="21"/>
  <c r="X210" i="21" s="1"/>
  <c r="U219" i="21"/>
  <c r="X219" i="21" s="1"/>
  <c r="U227" i="21"/>
  <c r="X227" i="21" s="1"/>
  <c r="U235" i="21"/>
  <c r="X235" i="21" s="1"/>
  <c r="U243" i="21"/>
  <c r="X243" i="21" s="1"/>
  <c r="U251" i="21"/>
  <c r="V251" i="21" s="1"/>
  <c r="U259" i="21"/>
  <c r="X259" i="21" s="1"/>
  <c r="U267" i="21"/>
  <c r="X267" i="21" s="1"/>
  <c r="U275" i="21"/>
  <c r="X275" i="21" s="1"/>
  <c r="U283" i="21"/>
  <c r="X283" i="21" s="1"/>
  <c r="U292" i="21"/>
  <c r="X292" i="21" s="1"/>
  <c r="U300" i="21"/>
  <c r="X300" i="21" s="1"/>
  <c r="U308" i="21"/>
  <c r="X308" i="21" s="1"/>
  <c r="X317" i="21"/>
  <c r="U317" i="21"/>
  <c r="U325" i="21"/>
  <c r="X325" i="21" s="1"/>
  <c r="U333" i="21"/>
  <c r="X333" i="21" s="1"/>
  <c r="U341" i="21"/>
  <c r="X341" i="21" s="1"/>
  <c r="U46" i="21"/>
  <c r="X46" i="21" s="1"/>
  <c r="U87" i="21"/>
  <c r="X87" i="21" s="1"/>
  <c r="U112" i="21"/>
  <c r="X112" i="21" s="1"/>
  <c r="U144" i="21"/>
  <c r="X144" i="21" s="1"/>
  <c r="U168" i="21"/>
  <c r="V168" i="21" s="1"/>
  <c r="U200" i="21"/>
  <c r="X200" i="21" s="1"/>
  <c r="U249" i="21"/>
  <c r="X249" i="21" s="1"/>
  <c r="U32" i="21"/>
  <c r="X32" i="21" s="1"/>
  <c r="U9" i="21"/>
  <c r="X9" i="21" s="1"/>
  <c r="U33" i="21"/>
  <c r="X33" i="21" s="1"/>
  <c r="U99" i="21"/>
  <c r="X99" i="21" s="1"/>
  <c r="U155" i="21"/>
  <c r="X155" i="21" s="1"/>
  <c r="U179" i="21"/>
  <c r="X179" i="21" s="1"/>
  <c r="U195" i="21"/>
  <c r="X195" i="21" s="1"/>
  <c r="U228" i="21"/>
  <c r="X228" i="21" s="1"/>
  <c r="U244" i="21"/>
  <c r="X244" i="21" s="1"/>
  <c r="U260" i="21"/>
  <c r="X260" i="21" s="1"/>
  <c r="U301" i="21"/>
  <c r="X301" i="21" s="1"/>
  <c r="U309" i="21"/>
  <c r="X309" i="21" s="1"/>
  <c r="U326" i="21"/>
  <c r="X326" i="21" s="1"/>
  <c r="U334" i="21"/>
  <c r="X334" i="21" s="1"/>
  <c r="U342" i="21"/>
  <c r="X342" i="21" s="1"/>
  <c r="U71" i="21"/>
  <c r="X71" i="21" s="1"/>
  <c r="U128" i="21"/>
  <c r="X128" i="21" s="1"/>
  <c r="U160" i="21"/>
  <c r="V160" i="21" s="1"/>
  <c r="U208" i="21"/>
  <c r="X208" i="21" s="1"/>
  <c r="U2" i="21"/>
  <c r="X2" i="21" s="1"/>
  <c r="U25" i="21"/>
  <c r="X25" i="21" s="1"/>
  <c r="U50" i="21"/>
  <c r="X50" i="21" s="1"/>
  <c r="U82" i="21"/>
  <c r="X82" i="21" s="1"/>
  <c r="U131" i="21"/>
  <c r="X131" i="21" s="1"/>
  <c r="U139" i="21"/>
  <c r="X139" i="21" s="1"/>
  <c r="U203" i="21"/>
  <c r="X203" i="21" s="1"/>
  <c r="U236" i="21"/>
  <c r="X236" i="21" s="1"/>
  <c r="U268" i="21"/>
  <c r="X268" i="21" s="1"/>
  <c r="U318" i="21"/>
  <c r="X318" i="21" s="1"/>
  <c r="U3" i="21"/>
  <c r="V3" i="21" s="1"/>
  <c r="U10" i="21"/>
  <c r="X10" i="21" s="1"/>
  <c r="U18" i="21"/>
  <c r="X18" i="21" s="1"/>
  <c r="U26" i="21"/>
  <c r="X26" i="21" s="1"/>
  <c r="U34" i="21"/>
  <c r="X34" i="21" s="1"/>
  <c r="U42" i="21"/>
  <c r="X42" i="21" s="1"/>
  <c r="U51" i="21"/>
  <c r="X51" i="21" s="1"/>
  <c r="U59" i="21"/>
  <c r="X59" i="21" s="1"/>
  <c r="U67" i="21"/>
  <c r="X67" i="21" s="1"/>
  <c r="U75" i="21"/>
  <c r="X75" i="21" s="1"/>
  <c r="U83" i="21"/>
  <c r="X83" i="21" s="1"/>
  <c r="U92" i="21"/>
  <c r="X92" i="21" s="1"/>
  <c r="U100" i="21"/>
  <c r="V100" i="21" s="1"/>
  <c r="U108" i="21"/>
  <c r="X108" i="21" s="1"/>
  <c r="U116" i="21"/>
  <c r="X116" i="21" s="1"/>
  <c r="U124" i="21"/>
  <c r="X124" i="21" s="1"/>
  <c r="X132" i="21"/>
  <c r="U132" i="21"/>
  <c r="U140" i="21"/>
  <c r="X140" i="21" s="1"/>
  <c r="U148" i="21"/>
  <c r="X148" i="21" s="1"/>
  <c r="U156" i="21"/>
  <c r="X156" i="21" s="1"/>
  <c r="U164" i="21"/>
  <c r="X164" i="21" s="1"/>
  <c r="U172" i="21"/>
  <c r="X172" i="21" s="1"/>
  <c r="U180" i="21"/>
  <c r="X180" i="21" s="1"/>
  <c r="U188" i="21"/>
  <c r="X188" i="21" s="1"/>
  <c r="U196" i="21"/>
  <c r="X196" i="21" s="1"/>
  <c r="U204" i="21"/>
  <c r="X204" i="21" s="1"/>
  <c r="U212" i="21"/>
  <c r="X212" i="21" s="1"/>
  <c r="U221" i="21"/>
  <c r="X221" i="21" s="1"/>
  <c r="U229" i="21"/>
  <c r="X229" i="21" s="1"/>
  <c r="U237" i="21"/>
  <c r="X237" i="21" s="1"/>
  <c r="U245" i="21"/>
  <c r="X245" i="21" s="1"/>
  <c r="U253" i="21"/>
  <c r="X253" i="21" s="1"/>
  <c r="U261" i="21"/>
  <c r="V261" i="21" s="1"/>
  <c r="U269" i="21"/>
  <c r="X269" i="21" s="1"/>
  <c r="U277" i="21"/>
  <c r="X277" i="21" s="1"/>
  <c r="U286" i="21"/>
  <c r="X286" i="21" s="1"/>
  <c r="U294" i="21"/>
  <c r="X294" i="21" s="1"/>
  <c r="U302" i="21"/>
  <c r="X302" i="21" s="1"/>
  <c r="U310" i="21"/>
  <c r="X310" i="21" s="1"/>
  <c r="U319" i="21"/>
  <c r="X319" i="21" s="1"/>
  <c r="U327" i="21"/>
  <c r="X327" i="21" s="1"/>
  <c r="U335" i="21"/>
  <c r="X335" i="21" s="1"/>
  <c r="U343" i="21"/>
  <c r="X343" i="21" s="1"/>
  <c r="U14" i="21"/>
  <c r="X14" i="21" s="1"/>
  <c r="U30" i="21"/>
  <c r="V30" i="21" s="1"/>
  <c r="U55" i="21"/>
  <c r="X55" i="21" s="1"/>
  <c r="U136" i="21"/>
  <c r="X136" i="21" s="1"/>
  <c r="U176" i="21"/>
  <c r="X176" i="21" s="1"/>
  <c r="U233" i="21"/>
  <c r="V233" i="21" s="1"/>
  <c r="U16" i="21"/>
  <c r="X16" i="21" s="1"/>
  <c r="U66" i="21"/>
  <c r="X66" i="21" s="1"/>
  <c r="U123" i="21"/>
  <c r="X123" i="21" s="1"/>
  <c r="X163" i="21"/>
  <c r="U163" i="21"/>
  <c r="U187" i="21"/>
  <c r="X187" i="21" s="1"/>
  <c r="U220" i="21"/>
  <c r="X220" i="21" s="1"/>
  <c r="U252" i="21"/>
  <c r="X252" i="21" s="1"/>
  <c r="U276" i="21"/>
  <c r="X276" i="21" s="1"/>
  <c r="U4" i="21"/>
  <c r="X4" i="21" s="1"/>
  <c r="U11" i="21"/>
  <c r="X11" i="21" s="1"/>
  <c r="U19" i="21"/>
  <c r="X19" i="21" s="1"/>
  <c r="U27" i="21"/>
  <c r="X27" i="21" s="1"/>
  <c r="U35" i="21"/>
  <c r="X35" i="21" s="1"/>
  <c r="U43" i="21"/>
  <c r="X43" i="21" s="1"/>
  <c r="U52" i="21"/>
  <c r="X52" i="21" s="1"/>
  <c r="U60" i="21"/>
  <c r="X60" i="21" s="1"/>
  <c r="U68" i="21"/>
  <c r="X68" i="21" s="1"/>
  <c r="U76" i="21"/>
  <c r="X76" i="21" s="1"/>
  <c r="U84" i="21"/>
  <c r="X84" i="21" s="1"/>
  <c r="U93" i="21"/>
  <c r="X93" i="21" s="1"/>
  <c r="U101" i="21"/>
  <c r="X101" i="21" s="1"/>
  <c r="U109" i="21"/>
  <c r="X109" i="21" s="1"/>
  <c r="U117" i="21"/>
  <c r="X117" i="21" s="1"/>
  <c r="U125" i="21"/>
  <c r="X125" i="21" s="1"/>
  <c r="U133" i="21"/>
  <c r="X133" i="21" s="1"/>
  <c r="U141" i="21"/>
  <c r="X141" i="21" s="1"/>
  <c r="U149" i="21"/>
  <c r="X149" i="21" s="1"/>
  <c r="U157" i="21"/>
  <c r="V157" i="21" s="1"/>
  <c r="U165" i="21"/>
  <c r="X165" i="21" s="1"/>
  <c r="U173" i="21"/>
  <c r="X173" i="21" s="1"/>
  <c r="U181" i="21"/>
  <c r="X181" i="21" s="1"/>
  <c r="U189" i="21"/>
  <c r="X189" i="21" s="1"/>
  <c r="U197" i="21"/>
  <c r="X197" i="21" s="1"/>
  <c r="U205" i="21"/>
  <c r="X205" i="21" s="1"/>
  <c r="U213" i="21"/>
  <c r="X213" i="21" s="1"/>
  <c r="U222" i="21"/>
  <c r="X222" i="21" s="1"/>
  <c r="U230" i="21"/>
  <c r="X230" i="21" s="1"/>
  <c r="U238" i="21"/>
  <c r="X238" i="21" s="1"/>
  <c r="U246" i="21"/>
  <c r="X246" i="21" s="1"/>
  <c r="U254" i="21"/>
  <c r="X254" i="21" s="1"/>
  <c r="U262" i="21"/>
  <c r="X262" i="21" s="1"/>
  <c r="U270" i="21"/>
  <c r="X270" i="21" s="1"/>
  <c r="U278" i="21"/>
  <c r="X278" i="21" s="1"/>
  <c r="U287" i="21"/>
  <c r="X287" i="21" s="1"/>
  <c r="U295" i="21"/>
  <c r="X295" i="21" s="1"/>
  <c r="U303" i="21"/>
  <c r="X303" i="21" s="1"/>
  <c r="U311" i="21"/>
  <c r="X311" i="21" s="1"/>
  <c r="U320" i="21"/>
  <c r="V320" i="21" s="1"/>
  <c r="U328" i="21"/>
  <c r="X328" i="21" s="1"/>
  <c r="U336" i="21"/>
  <c r="X336" i="21" s="1"/>
  <c r="U344" i="21"/>
  <c r="X344" i="21" s="1"/>
  <c r="X63" i="21"/>
  <c r="U63" i="21"/>
  <c r="U79" i="21"/>
  <c r="X79" i="21" s="1"/>
  <c r="U96" i="21"/>
  <c r="X96" i="21" s="1"/>
  <c r="U120" i="21"/>
  <c r="X120" i="21" s="1"/>
  <c r="U184" i="21"/>
  <c r="X184" i="21" s="1"/>
  <c r="U24" i="21"/>
  <c r="X24" i="21" s="1"/>
  <c r="U58" i="21"/>
  <c r="X58" i="21" s="1"/>
  <c r="U107" i="21"/>
  <c r="X107" i="21" s="1"/>
  <c r="U171" i="21"/>
  <c r="X171" i="21" s="1"/>
  <c r="U293" i="21"/>
  <c r="X293" i="21" s="1"/>
  <c r="U5" i="21"/>
  <c r="X5" i="21" s="1"/>
  <c r="U12" i="21"/>
  <c r="X12" i="21" s="1"/>
  <c r="U20" i="21"/>
  <c r="X20" i="21" s="1"/>
  <c r="U28" i="21"/>
  <c r="X28" i="21" s="1"/>
  <c r="U36" i="21"/>
  <c r="X36" i="21" s="1"/>
  <c r="U44" i="21"/>
  <c r="X44" i="21" s="1"/>
  <c r="U53" i="21"/>
  <c r="X53" i="21" s="1"/>
  <c r="U61" i="21"/>
  <c r="X61" i="21" s="1"/>
  <c r="U69" i="21"/>
  <c r="X69" i="21" s="1"/>
  <c r="U77" i="21"/>
  <c r="X77" i="21" s="1"/>
  <c r="U85" i="21"/>
  <c r="X85" i="21" s="1"/>
  <c r="U94" i="21"/>
  <c r="X94" i="21" s="1"/>
  <c r="U102" i="21"/>
  <c r="X102" i="21" s="1"/>
  <c r="U110" i="21"/>
  <c r="X110" i="21" s="1"/>
  <c r="U118" i="21"/>
  <c r="X118" i="21" s="1"/>
  <c r="U126" i="21"/>
  <c r="X126" i="21" s="1"/>
  <c r="U134" i="21"/>
  <c r="X134" i="21" s="1"/>
  <c r="U142" i="21"/>
  <c r="X142" i="21" s="1"/>
  <c r="U150" i="21"/>
  <c r="V150" i="21" s="1"/>
  <c r="U158" i="21"/>
  <c r="X158" i="21" s="1"/>
  <c r="U166" i="21"/>
  <c r="X166" i="21" s="1"/>
  <c r="U174" i="21"/>
  <c r="X174" i="21" s="1"/>
  <c r="U182" i="21"/>
  <c r="X182" i="21" s="1"/>
  <c r="U190" i="21"/>
  <c r="X190" i="21" s="1"/>
  <c r="U198" i="21"/>
  <c r="X198" i="21" s="1"/>
  <c r="U206" i="21"/>
  <c r="X206" i="21" s="1"/>
  <c r="U215" i="21"/>
  <c r="X215" i="21" s="1"/>
  <c r="U223" i="21"/>
  <c r="X223" i="21" s="1"/>
  <c r="U231" i="21"/>
  <c r="X231" i="21" s="1"/>
  <c r="U239" i="21"/>
  <c r="X239" i="21" s="1"/>
  <c r="U247" i="21"/>
  <c r="V247" i="21" s="1"/>
  <c r="U255" i="21"/>
  <c r="X255" i="21" s="1"/>
  <c r="U263" i="21"/>
  <c r="X263" i="21" s="1"/>
  <c r="U271" i="21"/>
  <c r="X271" i="21" s="1"/>
  <c r="U279" i="21"/>
  <c r="X279" i="21" s="1"/>
  <c r="U288" i="21"/>
  <c r="X288" i="21" s="1"/>
  <c r="U296" i="21"/>
  <c r="X296" i="21" s="1"/>
  <c r="U304" i="21"/>
  <c r="X304" i="21" s="1"/>
  <c r="X313" i="21"/>
  <c r="U313" i="21"/>
  <c r="U321" i="21"/>
  <c r="X321" i="21" s="1"/>
  <c r="U329" i="21"/>
  <c r="X329" i="21" s="1"/>
  <c r="U337" i="21"/>
  <c r="X337" i="21" s="1"/>
  <c r="U345" i="21"/>
  <c r="X345" i="21" s="1"/>
  <c r="U7" i="21"/>
  <c r="X7" i="21" s="1"/>
  <c r="U38" i="21"/>
  <c r="X38" i="21" s="1"/>
  <c r="U152" i="21"/>
  <c r="X152" i="21" s="1"/>
  <c r="U192" i="21"/>
  <c r="X192" i="21" s="1"/>
  <c r="U217" i="21"/>
  <c r="X217" i="21" s="1"/>
  <c r="U17" i="21"/>
  <c r="X17" i="21" s="1"/>
  <c r="M13" i="1"/>
  <c r="C33" i="4" s="1"/>
  <c r="J12" i="1"/>
  <c r="U41" i="21"/>
  <c r="X41" i="21" s="1"/>
  <c r="U74" i="21"/>
  <c r="X74" i="21" s="1"/>
  <c r="U91" i="21"/>
  <c r="X91" i="21" s="1"/>
  <c r="U115" i="21"/>
  <c r="V115" i="21" s="1"/>
  <c r="U147" i="21"/>
  <c r="V147" i="21" s="1"/>
  <c r="U211" i="21"/>
  <c r="X211" i="21" s="1"/>
  <c r="U285" i="21"/>
  <c r="X285" i="21" s="1"/>
  <c r="U6" i="21"/>
  <c r="X6" i="21" s="1"/>
  <c r="U13" i="21"/>
  <c r="X13" i="21" s="1"/>
  <c r="U21" i="21"/>
  <c r="X21" i="21" s="1"/>
  <c r="U29" i="21"/>
  <c r="X29" i="21" s="1"/>
  <c r="X37" i="21"/>
  <c r="U37" i="21"/>
  <c r="U45" i="21"/>
  <c r="X45" i="21" s="1"/>
  <c r="U54" i="21"/>
  <c r="X54" i="21" s="1"/>
  <c r="U62" i="21"/>
  <c r="X62" i="21" s="1"/>
  <c r="U70" i="21"/>
  <c r="X70" i="21" s="1"/>
  <c r="U78" i="21"/>
  <c r="X78" i="21" s="1"/>
  <c r="U86" i="21"/>
  <c r="X86" i="21" s="1"/>
  <c r="U95" i="21"/>
  <c r="X95" i="21" s="1"/>
  <c r="U103" i="21"/>
  <c r="X103" i="21" s="1"/>
  <c r="U111" i="21"/>
  <c r="X111" i="21" s="1"/>
  <c r="U119" i="21"/>
  <c r="X119" i="21" s="1"/>
  <c r="U127" i="21"/>
  <c r="X127" i="21" s="1"/>
  <c r="U135" i="21"/>
  <c r="X135" i="21" s="1"/>
  <c r="X143" i="21"/>
  <c r="U143" i="21"/>
  <c r="U151" i="21"/>
  <c r="X151" i="21" s="1"/>
  <c r="U159" i="21"/>
  <c r="X159" i="21" s="1"/>
  <c r="U167" i="21"/>
  <c r="X167" i="21" s="1"/>
  <c r="U175" i="21"/>
  <c r="X175" i="21" s="1"/>
  <c r="U183" i="21"/>
  <c r="X183" i="21" s="1"/>
  <c r="U191" i="21"/>
  <c r="X191" i="21" s="1"/>
  <c r="U199" i="21"/>
  <c r="X199" i="21" s="1"/>
  <c r="U207" i="21"/>
  <c r="X207" i="21" s="1"/>
  <c r="U216" i="21"/>
  <c r="X216" i="21" s="1"/>
  <c r="U224" i="21"/>
  <c r="X224" i="21" s="1"/>
  <c r="U232" i="21"/>
  <c r="X232" i="21" s="1"/>
  <c r="U240" i="21"/>
  <c r="X240" i="21" s="1"/>
  <c r="U248" i="21"/>
  <c r="X248" i="21" s="1"/>
  <c r="U256" i="21"/>
  <c r="X256" i="21" s="1"/>
  <c r="U264" i="21"/>
  <c r="X264" i="21" s="1"/>
  <c r="U272" i="21"/>
  <c r="X272" i="21" s="1"/>
  <c r="U280" i="21"/>
  <c r="X280" i="21" s="1"/>
  <c r="U289" i="21"/>
  <c r="X289" i="21" s="1"/>
  <c r="X297" i="21"/>
  <c r="U297" i="21"/>
  <c r="U305" i="21"/>
  <c r="X305" i="21" s="1"/>
  <c r="U314" i="21"/>
  <c r="X314" i="21" s="1"/>
  <c r="U322" i="21"/>
  <c r="X322" i="21" s="1"/>
  <c r="U330" i="21"/>
  <c r="V330" i="21" s="1"/>
  <c r="U338" i="21"/>
  <c r="X338" i="21" s="1"/>
  <c r="U346" i="21"/>
  <c r="X346" i="21" s="1"/>
  <c r="X73" i="21"/>
  <c r="I35" i="3"/>
  <c r="J35" i="3"/>
  <c r="I37" i="3"/>
  <c r="J37" i="3"/>
  <c r="N45" i="3"/>
  <c r="N39" i="3"/>
  <c r="N33" i="3"/>
  <c r="N31" i="3"/>
  <c r="N43" i="3"/>
  <c r="N41" i="3"/>
  <c r="N49" i="3"/>
  <c r="N37" i="3"/>
  <c r="N35" i="3"/>
  <c r="N47" i="3"/>
  <c r="I39" i="3"/>
  <c r="J39" i="3"/>
  <c r="I41" i="3"/>
  <c r="J41" i="3"/>
  <c r="K45" i="3"/>
  <c r="K41" i="3"/>
  <c r="K39" i="3"/>
  <c r="K33" i="3"/>
  <c r="K47" i="3"/>
  <c r="K43" i="3"/>
  <c r="K37" i="3"/>
  <c r="K35" i="3"/>
  <c r="K49" i="3"/>
  <c r="K31" i="3"/>
  <c r="J43" i="3"/>
  <c r="I43" i="3"/>
  <c r="AB54" i="3"/>
  <c r="D42" i="3"/>
  <c r="D34" i="3"/>
  <c r="E42" i="3"/>
  <c r="D46" i="3"/>
  <c r="E34" i="3"/>
  <c r="D30" i="3"/>
  <c r="D48" i="3"/>
  <c r="D40" i="3"/>
  <c r="D32" i="3"/>
  <c r="D38" i="3"/>
  <c r="C30" i="3"/>
  <c r="C41" i="6" s="1"/>
  <c r="E38" i="3"/>
  <c r="E30" i="3"/>
  <c r="C43" i="6" s="1"/>
  <c r="E32" i="3"/>
  <c r="E40" i="3"/>
  <c r="E36" i="3"/>
  <c r="E46" i="3"/>
  <c r="E44" i="3"/>
  <c r="D36" i="3"/>
  <c r="D44" i="3"/>
  <c r="E48" i="3"/>
  <c r="I48" i="3"/>
  <c r="I34" i="3"/>
  <c r="J40" i="3"/>
  <c r="J44" i="3"/>
  <c r="J38" i="3"/>
  <c r="I46" i="3"/>
  <c r="I40" i="3"/>
  <c r="J32" i="3"/>
  <c r="I38" i="3"/>
  <c r="I30" i="3"/>
  <c r="J42" i="3"/>
  <c r="J30" i="3"/>
  <c r="I36" i="3"/>
  <c r="J34" i="3"/>
  <c r="I42" i="3"/>
  <c r="J46" i="3"/>
  <c r="I32" i="3"/>
  <c r="J36" i="3"/>
  <c r="I44" i="3"/>
  <c r="J48" i="3"/>
  <c r="J45" i="3"/>
  <c r="I45" i="3"/>
  <c r="O49" i="3"/>
  <c r="O33" i="3"/>
  <c r="O45" i="3"/>
  <c r="O43" i="3"/>
  <c r="O39" i="3"/>
  <c r="O37" i="3"/>
  <c r="O35" i="3"/>
  <c r="O47" i="3"/>
  <c r="O31" i="3"/>
  <c r="R35" i="3"/>
  <c r="R33" i="3"/>
  <c r="O41" i="3"/>
  <c r="R31" i="3"/>
  <c r="I47" i="3"/>
  <c r="J47" i="3"/>
  <c r="J33" i="3"/>
  <c r="I33" i="3"/>
  <c r="J49" i="3"/>
  <c r="I49" i="3"/>
  <c r="V6" i="21"/>
  <c r="V13" i="21"/>
  <c r="V28" i="21"/>
  <c r="V52" i="21"/>
  <c r="V60" i="21"/>
  <c r="V68" i="21"/>
  <c r="V75" i="21"/>
  <c r="V83" i="21"/>
  <c r="V92" i="21"/>
  <c r="V123" i="21"/>
  <c r="V139" i="21"/>
  <c r="V163" i="21"/>
  <c r="V186" i="21"/>
  <c r="V194" i="21"/>
  <c r="V202" i="21"/>
  <c r="V210" i="21"/>
  <c r="V226" i="21"/>
  <c r="V234" i="21"/>
  <c r="V242" i="21"/>
  <c r="V250" i="21"/>
  <c r="V274" i="21"/>
  <c r="V282" i="21"/>
  <c r="V290" i="21"/>
  <c r="V298" i="21"/>
  <c r="V306" i="21"/>
  <c r="V322" i="21"/>
  <c r="V346" i="21"/>
  <c r="V14" i="21"/>
  <c r="V21" i="21"/>
  <c r="V37" i="21"/>
  <c r="V45" i="21"/>
  <c r="V53" i="21"/>
  <c r="V61" i="21"/>
  <c r="V69" i="21"/>
  <c r="V76" i="21"/>
  <c r="V84" i="21"/>
  <c r="V93" i="21"/>
  <c r="V101" i="21"/>
  <c r="V116" i="21"/>
  <c r="V124" i="21"/>
  <c r="V132" i="21"/>
  <c r="V140" i="21"/>
  <c r="V148" i="21"/>
  <c r="V164" i="21"/>
  <c r="V172" i="21"/>
  <c r="V179" i="21"/>
  <c r="V187" i="21"/>
  <c r="V195" i="21"/>
  <c r="V203" i="21"/>
  <c r="V219" i="21"/>
  <c r="V227" i="21"/>
  <c r="V235" i="21"/>
  <c r="V243" i="21"/>
  <c r="V267" i="21"/>
  <c r="V283" i="21"/>
  <c r="V291" i="21"/>
  <c r="V299" i="21"/>
  <c r="V307" i="21"/>
  <c r="V315" i="21"/>
  <c r="V323" i="21"/>
  <c r="V331" i="21"/>
  <c r="V339" i="21"/>
  <c r="V347" i="21"/>
  <c r="V8" i="21"/>
  <c r="V22" i="21"/>
  <c r="V46" i="21"/>
  <c r="V62" i="21"/>
  <c r="V70" i="21"/>
  <c r="V85" i="21"/>
  <c r="V110" i="21"/>
  <c r="V125" i="21"/>
  <c r="V133" i="21"/>
  <c r="V149" i="21"/>
  <c r="V180" i="21"/>
  <c r="V188" i="21"/>
  <c r="V196" i="21"/>
  <c r="V220" i="21"/>
  <c r="V228" i="21"/>
  <c r="V236" i="21"/>
  <c r="V244" i="21"/>
  <c r="V260" i="21"/>
  <c r="V268" i="21"/>
  <c r="V276" i="21"/>
  <c r="V292" i="21"/>
  <c r="V300" i="21"/>
  <c r="V308" i="21"/>
  <c r="V324" i="21"/>
  <c r="V332" i="21"/>
  <c r="V340" i="21"/>
  <c r="V2" i="21"/>
  <c r="V16" i="21"/>
  <c r="V23" i="21"/>
  <c r="V31" i="21"/>
  <c r="V39" i="21"/>
  <c r="V47" i="21"/>
  <c r="V55" i="21"/>
  <c r="V63" i="21"/>
  <c r="V86" i="21"/>
  <c r="V95" i="21"/>
  <c r="V103" i="21"/>
  <c r="V118" i="21"/>
  <c r="V134" i="21"/>
  <c r="V142" i="21"/>
  <c r="V166" i="21"/>
  <c r="V174" i="21"/>
  <c r="V181" i="21"/>
  <c r="V189" i="21"/>
  <c r="V197" i="21"/>
  <c r="V205" i="21"/>
  <c r="V221" i="21"/>
  <c r="V229" i="21"/>
  <c r="V237" i="21"/>
  <c r="V245" i="21"/>
  <c r="V253" i="21"/>
  <c r="V277" i="21"/>
  <c r="V285" i="21"/>
  <c r="V317" i="21"/>
  <c r="V325" i="21"/>
  <c r="V333" i="21"/>
  <c r="V341" i="21"/>
  <c r="V9" i="21"/>
  <c r="V24" i="21"/>
  <c r="V32" i="21"/>
  <c r="V40" i="21"/>
  <c r="V48" i="21"/>
  <c r="V64" i="21"/>
  <c r="V71" i="21"/>
  <c r="V79" i="21"/>
  <c r="V87" i="21"/>
  <c r="V96" i="21"/>
  <c r="V104" i="21"/>
  <c r="V127" i="21"/>
  <c r="V135" i="21"/>
  <c r="V143" i="21"/>
  <c r="V151" i="21"/>
  <c r="V167" i="21"/>
  <c r="V190" i="21"/>
  <c r="V222" i="21"/>
  <c r="V238" i="21"/>
  <c r="V278" i="21"/>
  <c r="V286" i="21"/>
  <c r="V294" i="21"/>
  <c r="V302" i="21"/>
  <c r="V318" i="21"/>
  <c r="V334" i="21"/>
  <c r="V342" i="21"/>
  <c r="V10" i="21"/>
  <c r="V18" i="21"/>
  <c r="V25" i="21"/>
  <c r="V33" i="21"/>
  <c r="V41" i="21"/>
  <c r="V57" i="21"/>
  <c r="V72" i="21"/>
  <c r="V80" i="21"/>
  <c r="V88" i="21"/>
  <c r="V97" i="21"/>
  <c r="V105" i="21"/>
  <c r="V113" i="21"/>
  <c r="V128" i="21"/>
  <c r="V136" i="21"/>
  <c r="V152" i="21"/>
  <c r="V176" i="21"/>
  <c r="V191" i="21"/>
  <c r="V207" i="21"/>
  <c r="V223" i="21"/>
  <c r="V239" i="21"/>
  <c r="V263" i="21"/>
  <c r="V287" i="21"/>
  <c r="V303" i="21"/>
  <c r="V311" i="21"/>
  <c r="V343" i="21"/>
  <c r="V42" i="21"/>
  <c r="V50" i="21"/>
  <c r="V58" i="21"/>
  <c r="V66" i="21"/>
  <c r="V73" i="21"/>
  <c r="V81" i="21"/>
  <c r="V90" i="21"/>
  <c r="V98" i="21"/>
  <c r="V106" i="21"/>
  <c r="V114" i="21"/>
  <c r="V121" i="21"/>
  <c r="V129" i="21"/>
  <c r="V137" i="21"/>
  <c r="V145" i="21"/>
  <c r="V153" i="21"/>
  <c r="V169" i="21"/>
  <c r="V177" i="21"/>
  <c r="V184" i="21"/>
  <c r="V192" i="21"/>
  <c r="V200" i="21"/>
  <c r="V216" i="21"/>
  <c r="V224" i="21"/>
  <c r="V232" i="21"/>
  <c r="V256" i="21"/>
  <c r="V264" i="21"/>
  <c r="V272" i="21"/>
  <c r="V280" i="21"/>
  <c r="V288" i="21"/>
  <c r="V296" i="21"/>
  <c r="V328" i="21"/>
  <c r="V336" i="21"/>
  <c r="V344" i="21"/>
  <c r="V5" i="21"/>
  <c r="V19" i="21"/>
  <c r="V27" i="21"/>
  <c r="V67" i="21"/>
  <c r="V74" i="21"/>
  <c r="V91" i="21"/>
  <c r="V99" i="21"/>
  <c r="V130" i="21"/>
  <c r="V146" i="21"/>
  <c r="V154" i="21"/>
  <c r="V162" i="21"/>
  <c r="V170" i="21"/>
  <c r="V178" i="21"/>
  <c r="V185" i="21"/>
  <c r="V193" i="21"/>
  <c r="V201" i="21"/>
  <c r="V209" i="21"/>
  <c r="V217" i="21"/>
  <c r="V225" i="21"/>
  <c r="V241" i="21"/>
  <c r="V249" i="21"/>
  <c r="V257" i="21"/>
  <c r="V265" i="21"/>
  <c r="V281" i="21"/>
  <c r="V297" i="21"/>
  <c r="V305" i="21"/>
  <c r="V313" i="21"/>
  <c r="V321" i="21"/>
  <c r="V329" i="21"/>
  <c r="V345" i="21"/>
  <c r="K33" i="4"/>
  <c r="K32" i="4" s="1"/>
  <c r="K35" i="4"/>
  <c r="C7" i="1"/>
  <c r="C51" i="1"/>
  <c r="AB63" i="3"/>
  <c r="AB59" i="3"/>
  <c r="AB55" i="3"/>
  <c r="AB60" i="3"/>
  <c r="AB62" i="3"/>
  <c r="AB58" i="3"/>
  <c r="AB56" i="3"/>
  <c r="AB61" i="3"/>
  <c r="AB57" i="3"/>
  <c r="AG2" i="7"/>
  <c r="AG3" i="7" s="1"/>
  <c r="J6" i="1"/>
  <c r="F41" i="6"/>
  <c r="B15" i="6"/>
  <c r="Q4" i="4" s="1"/>
  <c r="C24" i="6"/>
  <c r="G17" i="6"/>
  <c r="B22" i="6"/>
  <c r="F13" i="6"/>
  <c r="G21" i="6"/>
  <c r="C32" i="1"/>
  <c r="E9" i="3"/>
  <c r="X19" i="3"/>
  <c r="C40" i="3" s="1"/>
  <c r="G4" i="6"/>
  <c r="B4" i="6"/>
  <c r="C4" i="6"/>
  <c r="C3" i="3"/>
  <c r="B9" i="6"/>
  <c r="F47" i="6" s="1"/>
  <c r="C28" i="6"/>
  <c r="F347" i="7"/>
  <c r="C347" i="7"/>
  <c r="E11" i="3" s="1"/>
  <c r="V31" i="3" s="1"/>
  <c r="G31" i="3"/>
  <c r="C42" i="1" l="1"/>
  <c r="C2" i="1"/>
  <c r="C24" i="1"/>
  <c r="C53" i="1"/>
  <c r="G10" i="1"/>
  <c r="G17" i="1"/>
  <c r="G26" i="1"/>
  <c r="G34" i="1"/>
  <c r="V34" i="21"/>
  <c r="V266" i="21"/>
  <c r="X161" i="21"/>
  <c r="V183" i="21"/>
  <c r="X233" i="21"/>
  <c r="V138" i="21"/>
  <c r="V26" i="21"/>
  <c r="V271" i="21"/>
  <c r="V182" i="21"/>
  <c r="V112" i="21"/>
  <c r="V158" i="21"/>
  <c r="V78" i="21"/>
  <c r="V259" i="21"/>
  <c r="V258" i="21"/>
  <c r="X160" i="21"/>
  <c r="X251" i="21"/>
  <c r="V43" i="21"/>
  <c r="V279" i="21"/>
  <c r="V338" i="21"/>
  <c r="X115" i="21"/>
  <c r="V35" i="21"/>
  <c r="V337" i="21"/>
  <c r="V208" i="21"/>
  <c r="V175" i="21"/>
  <c r="V309" i="21"/>
  <c r="V314" i="21"/>
  <c r="V107" i="21"/>
  <c r="V335" i="21"/>
  <c r="V252" i="21"/>
  <c r="V173" i="21"/>
  <c r="V12" i="21"/>
  <c r="V327" i="21"/>
  <c r="V144" i="21"/>
  <c r="V254" i="21"/>
  <c r="V159" i="21"/>
  <c r="V17" i="21"/>
  <c r="V126" i="21"/>
  <c r="V29" i="21"/>
  <c r="V36" i="21"/>
  <c r="V215" i="21"/>
  <c r="V65" i="21"/>
  <c r="V269" i="21"/>
  <c r="V15" i="21"/>
  <c r="V156" i="21"/>
  <c r="V326" i="21"/>
  <c r="V230" i="21"/>
  <c r="X150" i="21"/>
  <c r="X320" i="21"/>
  <c r="X261" i="21"/>
  <c r="X3" i="21"/>
  <c r="X168" i="21"/>
  <c r="X122" i="21"/>
  <c r="V289" i="21"/>
  <c r="V304" i="21"/>
  <c r="V240" i="21"/>
  <c r="V199" i="21"/>
  <c r="V301" i="21"/>
  <c r="V111" i="21"/>
  <c r="V316" i="21"/>
  <c r="V117" i="21"/>
  <c r="V54" i="21"/>
  <c r="V275" i="21"/>
  <c r="V211" i="21"/>
  <c r="V171" i="21"/>
  <c r="V108" i="21"/>
  <c r="V44" i="21"/>
  <c r="X330" i="21"/>
  <c r="X147" i="21"/>
  <c r="X247" i="21"/>
  <c r="X157" i="21"/>
  <c r="X30" i="21"/>
  <c r="X100" i="21"/>
  <c r="V82" i="21"/>
  <c r="V319" i="21"/>
  <c r="V255" i="21"/>
  <c r="V206" i="21"/>
  <c r="V293" i="21"/>
  <c r="V273" i="21"/>
  <c r="V120" i="21"/>
  <c r="V270" i="21"/>
  <c r="V165" i="21"/>
  <c r="V262" i="21"/>
  <c r="V213" i="21"/>
  <c r="V94" i="21"/>
  <c r="V218" i="21"/>
  <c r="V20" i="21"/>
  <c r="V198" i="21"/>
  <c r="V102" i="21"/>
  <c r="V59" i="21"/>
  <c r="V11" i="21"/>
  <c r="V295" i="21"/>
  <c r="V231" i="21"/>
  <c r="V119" i="21"/>
  <c r="V56" i="21"/>
  <c r="V212" i="21"/>
  <c r="V248" i="21"/>
  <c r="V38" i="21"/>
  <c r="V7" i="21"/>
  <c r="V155" i="21"/>
  <c r="V51" i="21"/>
  <c r="V4" i="21"/>
  <c r="V310" i="21"/>
  <c r="V246" i="21"/>
  <c r="V204" i="21"/>
  <c r="V141" i="21"/>
  <c r="V77" i="21"/>
  <c r="V109" i="21"/>
  <c r="V131" i="21"/>
  <c r="D37" i="3"/>
  <c r="E37" i="3"/>
  <c r="C37" i="3"/>
  <c r="C41" i="3"/>
  <c r="E41" i="3"/>
  <c r="D41" i="3"/>
  <c r="C32" i="3"/>
  <c r="C42" i="3"/>
  <c r="I31" i="3"/>
  <c r="J31" i="3"/>
  <c r="C49" i="3"/>
  <c r="E49" i="3"/>
  <c r="D49" i="3"/>
  <c r="C31" i="3"/>
  <c r="E31" i="3"/>
  <c r="D31" i="3"/>
  <c r="C48" i="3"/>
  <c r="C39" i="3"/>
  <c r="D39" i="3"/>
  <c r="E39" i="3"/>
  <c r="C46" i="3"/>
  <c r="N46" i="3" s="1"/>
  <c r="O46" i="3" s="1"/>
  <c r="C47" i="3"/>
  <c r="D47" i="3"/>
  <c r="E47" i="3"/>
  <c r="C44" i="3"/>
  <c r="N44" i="3" s="1"/>
  <c r="C43" i="3"/>
  <c r="D43" i="3"/>
  <c r="E43" i="3"/>
  <c r="C34" i="3"/>
  <c r="N32" i="3" s="1"/>
  <c r="C38" i="3"/>
  <c r="C36" i="3"/>
  <c r="N36" i="3" s="1"/>
  <c r="O36" i="3" s="1"/>
  <c r="D45" i="3"/>
  <c r="E45" i="3"/>
  <c r="C45" i="3"/>
  <c r="D35" i="3"/>
  <c r="C35" i="3"/>
  <c r="E35" i="3"/>
  <c r="C33" i="3"/>
  <c r="E33" i="3"/>
  <c r="D33" i="3"/>
  <c r="F44" i="6"/>
  <c r="K25" i="4"/>
  <c r="K29" i="4"/>
  <c r="K28" i="4"/>
  <c r="K31" i="4"/>
  <c r="K30" i="4"/>
  <c r="C42" i="6"/>
  <c r="C14" i="6" s="1"/>
  <c r="G2" i="1"/>
  <c r="C5" i="3"/>
  <c r="W11" i="3" s="1"/>
  <c r="F43" i="6"/>
  <c r="C17" i="6"/>
  <c r="N7" i="3"/>
  <c r="I5" i="4"/>
  <c r="W6" i="3"/>
  <c r="C9" i="1"/>
  <c r="G6" i="3"/>
  <c r="C11" i="6" s="1"/>
  <c r="C34" i="1"/>
  <c r="T5" i="4"/>
  <c r="T6" i="4" s="1"/>
  <c r="C8" i="3" s="1"/>
  <c r="F6" i="3"/>
  <c r="C21" i="6" s="1"/>
  <c r="B30" i="6"/>
  <c r="F30" i="6" s="1"/>
  <c r="F39" i="6" s="1"/>
  <c r="C13" i="6"/>
  <c r="C20" i="6"/>
  <c r="E8" i="3"/>
  <c r="I6" i="4" s="1"/>
  <c r="F40" i="6"/>
  <c r="C26" i="6"/>
  <c r="G39" i="3"/>
  <c r="G35" i="3"/>
  <c r="R47" i="3"/>
  <c r="R49" i="3"/>
  <c r="R37" i="3"/>
  <c r="R41" i="3"/>
  <c r="G49" i="3"/>
  <c r="R43" i="3"/>
  <c r="R45" i="3"/>
  <c r="G43" i="3"/>
  <c r="G41" i="3"/>
  <c r="R39" i="3"/>
  <c r="G47" i="3"/>
  <c r="G45" i="3"/>
  <c r="G37" i="3"/>
  <c r="G33" i="3"/>
  <c r="N9" i="3"/>
  <c r="N11" i="3"/>
  <c r="V33" i="3"/>
  <c r="F6" i="6" l="1"/>
  <c r="N34" i="3"/>
  <c r="O34" i="3" s="1"/>
  <c r="O32" i="3"/>
  <c r="G40" i="6"/>
  <c r="G41" i="6"/>
  <c r="I19" i="28" s="1"/>
  <c r="J19" i="28" s="1"/>
  <c r="Q5" i="4"/>
  <c r="Q6" i="4" s="1"/>
  <c r="N30" i="3"/>
  <c r="O30" i="3" s="1"/>
  <c r="S30" i="3" s="1"/>
  <c r="C15" i="6"/>
  <c r="G43" i="6" s="1"/>
  <c r="C74" i="1"/>
  <c r="Q31" i="1" s="1"/>
  <c r="I12" i="28" s="1"/>
  <c r="J14" i="1"/>
  <c r="F46" i="6"/>
  <c r="F10" i="28" s="1"/>
  <c r="G46" i="6"/>
  <c r="I10" i="28" s="1"/>
  <c r="F42" i="6"/>
  <c r="F6" i="28" s="1"/>
  <c r="F19" i="28"/>
  <c r="G19" i="28" s="1"/>
  <c r="G4" i="4"/>
  <c r="F8" i="3"/>
  <c r="F10" i="3" s="1"/>
  <c r="F12" i="3" s="1"/>
  <c r="G8" i="3"/>
  <c r="T7" i="4"/>
  <c r="C10" i="3" s="1"/>
  <c r="C6" i="3"/>
  <c r="O44" i="3"/>
  <c r="C22" i="6"/>
  <c r="G44" i="6" s="1"/>
  <c r="N40" i="3"/>
  <c r="O40" i="3" s="1"/>
  <c r="N42" i="3"/>
  <c r="O42" i="3" s="1"/>
  <c r="N48" i="3"/>
  <c r="N38" i="3"/>
  <c r="P29" i="3"/>
  <c r="N4" i="4" s="1"/>
  <c r="E12" i="3"/>
  <c r="E22" i="3"/>
  <c r="E14" i="3"/>
  <c r="E20" i="3"/>
  <c r="E16" i="3"/>
  <c r="E18" i="3"/>
  <c r="E10" i="3"/>
  <c r="V30" i="3" s="1"/>
  <c r="E24" i="3"/>
  <c r="K12" i="28" l="1"/>
  <c r="J12" i="28"/>
  <c r="G10" i="28"/>
  <c r="H10" i="28"/>
  <c r="K10" i="28"/>
  <c r="J10" i="28"/>
  <c r="P32" i="28"/>
  <c r="P31" i="28"/>
  <c r="H6" i="28"/>
  <c r="G6" i="28"/>
  <c r="F15" i="28"/>
  <c r="K36" i="4"/>
  <c r="C9" i="6"/>
  <c r="G47" i="6" s="1"/>
  <c r="S2" i="1"/>
  <c r="S4" i="1"/>
  <c r="Q8" i="1"/>
  <c r="Q2" i="1"/>
  <c r="S3" i="1"/>
  <c r="Q6" i="1"/>
  <c r="Q4" i="1"/>
  <c r="Q7" i="1"/>
  <c r="Q34" i="1"/>
  <c r="Q5" i="1"/>
  <c r="Q3" i="1"/>
  <c r="Q32" i="1"/>
  <c r="F45" i="6"/>
  <c r="J6" i="4"/>
  <c r="R8" i="3"/>
  <c r="O8" i="3"/>
  <c r="J5" i="4"/>
  <c r="G10" i="3"/>
  <c r="G12" i="3" s="1"/>
  <c r="G14" i="3" s="1"/>
  <c r="T8" i="4"/>
  <c r="T9" i="4" s="1"/>
  <c r="O6" i="3"/>
  <c r="P6" i="3" s="1"/>
  <c r="Q6" i="3" s="1"/>
  <c r="R6" i="3"/>
  <c r="S6" i="3" s="1"/>
  <c r="T42" i="3"/>
  <c r="R11" i="4" s="1"/>
  <c r="T38" i="3"/>
  <c r="R9" i="4" s="1"/>
  <c r="T32" i="3"/>
  <c r="R6" i="4" s="1"/>
  <c r="F38" i="6"/>
  <c r="F9" i="6"/>
  <c r="T48" i="3"/>
  <c r="R14" i="4" s="1"/>
  <c r="T44" i="3"/>
  <c r="R12" i="4" s="1"/>
  <c r="F14" i="3"/>
  <c r="T40" i="3"/>
  <c r="R10" i="4" s="1"/>
  <c r="T36" i="3"/>
  <c r="R8" i="4" s="1"/>
  <c r="O38" i="3"/>
  <c r="O48" i="3"/>
  <c r="T30" i="3"/>
  <c r="C70" i="1" s="1"/>
  <c r="Q7" i="4"/>
  <c r="T46" i="3"/>
  <c r="R13" i="4" s="1"/>
  <c r="T34" i="3"/>
  <c r="R7" i="4" s="1"/>
  <c r="I7" i="4"/>
  <c r="V32" i="3"/>
  <c r="V34" i="3" s="1"/>
  <c r="V35" i="3" s="1"/>
  <c r="I11" i="28" l="1"/>
  <c r="F11" i="28"/>
  <c r="Q29" i="1"/>
  <c r="I13" i="28"/>
  <c r="J13" i="28" s="1"/>
  <c r="F4" i="4"/>
  <c r="H15" i="28"/>
  <c r="G15" i="28"/>
  <c r="H14" i="28"/>
  <c r="G14" i="28"/>
  <c r="K37" i="4"/>
  <c r="F8" i="28"/>
  <c r="L8" i="28" s="1"/>
  <c r="F7" i="28"/>
  <c r="L7" i="28" s="1"/>
  <c r="C6" i="6"/>
  <c r="P8" i="3"/>
  <c r="Q8" i="3" s="1"/>
  <c r="H70" i="1"/>
  <c r="H73" i="1" s="1"/>
  <c r="C30" i="6"/>
  <c r="G30" i="6" s="1"/>
  <c r="J7" i="4"/>
  <c r="O10" i="3"/>
  <c r="R10" i="3"/>
  <c r="G16" i="3"/>
  <c r="G18" i="3" s="1"/>
  <c r="C12" i="3"/>
  <c r="J8" i="4" s="1"/>
  <c r="F16" i="3"/>
  <c r="F18" i="3" s="1"/>
  <c r="F20" i="3" s="1"/>
  <c r="T10" i="4"/>
  <c r="C14" i="3"/>
  <c r="J9" i="4" s="1"/>
  <c r="E15" i="3"/>
  <c r="E13" i="3"/>
  <c r="E17" i="3"/>
  <c r="E19" i="3"/>
  <c r="E23" i="3"/>
  <c r="E21" i="3"/>
  <c r="E25" i="3"/>
  <c r="O4" i="4"/>
  <c r="P4" i="4"/>
  <c r="Q9" i="1"/>
  <c r="Q10" i="1" s="1"/>
  <c r="M18" i="1" s="1"/>
  <c r="M20" i="1" s="1"/>
  <c r="R5" i="4"/>
  <c r="T6" i="3"/>
  <c r="Q30" i="3"/>
  <c r="Q8" i="4"/>
  <c r="G11" i="28" l="1"/>
  <c r="H11" i="28"/>
  <c r="J11" i="28"/>
  <c r="K11" i="28"/>
  <c r="H7" i="28"/>
  <c r="G7" i="28"/>
  <c r="H8" i="28"/>
  <c r="G8" i="28"/>
  <c r="I15" i="28"/>
  <c r="K27" i="4"/>
  <c r="P10" i="3"/>
  <c r="Q10" i="3" s="1"/>
  <c r="G70" i="1"/>
  <c r="G67" i="1" s="1"/>
  <c r="F22" i="3"/>
  <c r="F24" i="3" s="1"/>
  <c r="T11" i="4"/>
  <c r="C16" i="3"/>
  <c r="J10" i="4" s="1"/>
  <c r="R30" i="3"/>
  <c r="N25" i="3"/>
  <c r="I14" i="4"/>
  <c r="C67" i="1"/>
  <c r="N23" i="3"/>
  <c r="I13" i="4"/>
  <c r="N15" i="3"/>
  <c r="R14" i="3"/>
  <c r="O14" i="3"/>
  <c r="I9" i="4"/>
  <c r="G20" i="3"/>
  <c r="G22" i="3" s="1"/>
  <c r="Q9" i="4"/>
  <c r="N17" i="3"/>
  <c r="I10" i="4"/>
  <c r="N21" i="3"/>
  <c r="I12" i="4"/>
  <c r="N13" i="3"/>
  <c r="R12" i="3"/>
  <c r="O12" i="3"/>
  <c r="I8" i="4"/>
  <c r="S8" i="3"/>
  <c r="L5" i="4"/>
  <c r="N19" i="3"/>
  <c r="I11" i="4"/>
  <c r="M14" i="1" l="1"/>
  <c r="Q35" i="1" s="1"/>
  <c r="G39" i="1"/>
  <c r="M17" i="1"/>
  <c r="M19" i="1" s="1"/>
  <c r="M21" i="1" s="1"/>
  <c r="N21" i="1" s="1"/>
  <c r="K14" i="28"/>
  <c r="J14" i="28"/>
  <c r="J15" i="28"/>
  <c r="K15" i="28"/>
  <c r="F21" i="28"/>
  <c r="R16" i="3"/>
  <c r="O16" i="3"/>
  <c r="G24" i="3"/>
  <c r="T12" i="4"/>
  <c r="C18" i="3"/>
  <c r="I30" i="1"/>
  <c r="G5" i="4" s="1"/>
  <c r="T8" i="3"/>
  <c r="P12" i="3"/>
  <c r="Q12" i="3" s="1"/>
  <c r="Q10" i="4"/>
  <c r="M5" i="4"/>
  <c r="S32" i="3"/>
  <c r="Q32" i="3" s="1"/>
  <c r="R32" i="3" s="1"/>
  <c r="P30" i="3"/>
  <c r="I16" i="28" l="1"/>
  <c r="K17" i="28" s="1"/>
  <c r="Q33" i="1"/>
  <c r="J11" i="4"/>
  <c r="R18" i="3"/>
  <c r="O18" i="3"/>
  <c r="T13" i="4"/>
  <c r="C20" i="3"/>
  <c r="P14" i="3"/>
  <c r="Q14" i="3" s="1"/>
  <c r="P31" i="3"/>
  <c r="L6" i="4"/>
  <c r="S10" i="3"/>
  <c r="Q11" i="4"/>
  <c r="J16" i="28" l="1"/>
  <c r="J17" i="28"/>
  <c r="K16" i="28"/>
  <c r="H71" i="1"/>
  <c r="H72" i="1" s="1"/>
  <c r="H74" i="1" s="1"/>
  <c r="G41" i="1"/>
  <c r="H41" i="1" s="1"/>
  <c r="G66" i="1" s="1"/>
  <c r="M23" i="1"/>
  <c r="M25" i="1" s="1"/>
  <c r="N6" i="1" s="1"/>
  <c r="J30" i="1"/>
  <c r="L30" i="1" s="1"/>
  <c r="T14" i="4"/>
  <c r="C24" i="3" s="1"/>
  <c r="C22" i="3"/>
  <c r="O20" i="3"/>
  <c r="R20" i="3"/>
  <c r="J12" i="4"/>
  <c r="T10" i="3"/>
  <c r="Q12" i="4"/>
  <c r="M6" i="4"/>
  <c r="S34" i="3"/>
  <c r="Q34" i="3" s="1"/>
  <c r="P32" i="3"/>
  <c r="P16" i="3"/>
  <c r="Q16" i="3" s="1"/>
  <c r="J38" i="1" l="1"/>
  <c r="J32" i="1"/>
  <c r="J33" i="1"/>
  <c r="J39" i="1"/>
  <c r="J34" i="1"/>
  <c r="J35" i="1"/>
  <c r="J36" i="1"/>
  <c r="J37" i="1"/>
  <c r="C34" i="4"/>
  <c r="N23" i="4"/>
  <c r="H5" i="4"/>
  <c r="Q30" i="1"/>
  <c r="M24" i="1"/>
  <c r="N5" i="1" s="1"/>
  <c r="J31" i="1" s="1"/>
  <c r="O24" i="3"/>
  <c r="J14" i="4"/>
  <c r="R24" i="3"/>
  <c r="O22" i="3"/>
  <c r="J13" i="4"/>
  <c r="R22" i="3"/>
  <c r="P33" i="3"/>
  <c r="Q13" i="4"/>
  <c r="M30" i="1"/>
  <c r="S5" i="4" s="1"/>
  <c r="R34" i="3"/>
  <c r="L7" i="4"/>
  <c r="S12" i="3"/>
  <c r="P18" i="3"/>
  <c r="Q18" i="3" s="1"/>
  <c r="N30" i="1" l="1"/>
  <c r="K5" i="4" s="1"/>
  <c r="N5" i="4" s="1"/>
  <c r="P20" i="3"/>
  <c r="Q20" i="3" s="1"/>
  <c r="T12" i="3"/>
  <c r="M7" i="4"/>
  <c r="S36" i="3"/>
  <c r="Q36" i="3" s="1"/>
  <c r="P34" i="3"/>
  <c r="Q14" i="4"/>
  <c r="O5" i="4" l="1"/>
  <c r="F5" i="4"/>
  <c r="P5" i="4"/>
  <c r="G13" i="6"/>
  <c r="L8" i="4"/>
  <c r="S14" i="3"/>
  <c r="P35" i="3"/>
  <c r="P22" i="3"/>
  <c r="Q22" i="3" s="1"/>
  <c r="P24" i="3" s="1"/>
  <c r="Q24" i="3" s="1"/>
  <c r="R36" i="3"/>
  <c r="P36" i="3" s="1"/>
  <c r="D35" i="4" l="1"/>
  <c r="D36" i="4" s="1"/>
  <c r="M15" i="1" s="1"/>
  <c r="N13" i="1" s="1"/>
  <c r="G42" i="6"/>
  <c r="G48" i="6"/>
  <c r="G6" i="6"/>
  <c r="G38" i="6" s="1"/>
  <c r="I8" i="28" s="1"/>
  <c r="G39" i="6"/>
  <c r="M8" i="4"/>
  <c r="S38" i="3"/>
  <c r="Q38" i="3" s="1"/>
  <c r="T14" i="3"/>
  <c r="P37" i="3"/>
  <c r="K34" i="1" l="1"/>
  <c r="K39" i="1"/>
  <c r="K32" i="1"/>
  <c r="K31" i="1"/>
  <c r="K37" i="1"/>
  <c r="K35" i="1"/>
  <c r="K33" i="1"/>
  <c r="K38" i="1"/>
  <c r="K36" i="1"/>
  <c r="K8" i="28"/>
  <c r="J8" i="28"/>
  <c r="I6" i="28"/>
  <c r="G45" i="6"/>
  <c r="G9" i="6"/>
  <c r="L9" i="4"/>
  <c r="S16" i="3"/>
  <c r="R38" i="3"/>
  <c r="K6" i="28" l="1"/>
  <c r="J6" i="28"/>
  <c r="I7" i="28"/>
  <c r="M9" i="4"/>
  <c r="S40" i="3"/>
  <c r="Q40" i="3" s="1"/>
  <c r="P38" i="3"/>
  <c r="T16" i="3"/>
  <c r="J7" i="28" l="1"/>
  <c r="K7" i="28"/>
  <c r="L10" i="4"/>
  <c r="S18" i="3"/>
  <c r="P39" i="3"/>
  <c r="R40" i="3"/>
  <c r="I21" i="28" l="1"/>
  <c r="M10" i="4"/>
  <c r="S42" i="3"/>
  <c r="Q42" i="3" s="1"/>
  <c r="P40" i="3"/>
  <c r="T18" i="3"/>
  <c r="P41" i="3" l="1"/>
  <c r="L11" i="4"/>
  <c r="S20" i="3"/>
  <c r="R42" i="3"/>
  <c r="P42" i="3" s="1"/>
  <c r="P43" i="3" l="1"/>
  <c r="T20" i="3"/>
  <c r="M11" i="4"/>
  <c r="S44" i="3"/>
  <c r="Q44" i="3" s="1"/>
  <c r="L12" i="4" l="1"/>
  <c r="S22" i="3"/>
  <c r="R44" i="3"/>
  <c r="M12" i="4" l="1"/>
  <c r="P44" i="3"/>
  <c r="S46" i="3"/>
  <c r="Q46" i="3" s="1"/>
  <c r="T22" i="3"/>
  <c r="R46" i="3" l="1"/>
  <c r="P46" i="3" s="1"/>
  <c r="L13" i="4"/>
  <c r="S24" i="3"/>
  <c r="P45" i="3"/>
  <c r="T24" i="3" l="1"/>
  <c r="L14" i="4" s="1"/>
  <c r="M13" i="4"/>
  <c r="S48" i="3"/>
  <c r="Q48" i="3" s="1"/>
  <c r="P47" i="3"/>
  <c r="R48" i="3" l="1"/>
  <c r="M14" i="4" l="1"/>
  <c r="P48" i="3"/>
  <c r="P49" i="3" s="1"/>
  <c r="G1" i="1" l="1"/>
  <c r="C1" i="1"/>
  <c r="C1" i="3"/>
  <c r="H30" i="1"/>
  <c r="H31" i="1" s="1"/>
  <c r="H32" i="1" s="1"/>
  <c r="H33" i="1" s="1"/>
  <c r="H34" i="1" s="1"/>
  <c r="H35" i="1" s="1"/>
  <c r="H36" i="1" s="1"/>
  <c r="H37" i="1" s="1"/>
  <c r="H38" i="1" s="1"/>
  <c r="H39" i="1" s="1"/>
  <c r="BS2" i="34" l="1"/>
  <c r="C58" i="1"/>
  <c r="C20" i="1" s="1"/>
  <c r="C22" i="1" s="1"/>
  <c r="H60" i="1" s="1"/>
  <c r="C66" i="1" s="1"/>
  <c r="I34" i="1" l="1"/>
  <c r="I39" i="1" l="1"/>
  <c r="G14" i="4" s="1"/>
  <c r="I35" i="1"/>
  <c r="L35" i="1" s="1"/>
  <c r="I31" i="1"/>
  <c r="L31" i="1" s="1"/>
  <c r="I36" i="1"/>
  <c r="L36" i="1" s="1"/>
  <c r="I32" i="1"/>
  <c r="L32" i="1" s="1"/>
  <c r="I37" i="1"/>
  <c r="G12" i="4" s="1"/>
  <c r="I33" i="1"/>
  <c r="L33" i="1" s="1"/>
  <c r="I38" i="1"/>
  <c r="L38" i="1" s="1"/>
  <c r="L34" i="1"/>
  <c r="G9" i="4"/>
  <c r="L39" i="1" l="1"/>
  <c r="G11" i="4"/>
  <c r="G6" i="4"/>
  <c r="L37" i="1"/>
  <c r="G8" i="4"/>
  <c r="G7" i="4"/>
  <c r="G10" i="4"/>
  <c r="G13" i="4"/>
  <c r="M31" i="1"/>
  <c r="S6" i="4" s="1"/>
  <c r="H6" i="4" s="1"/>
  <c r="N31" i="1" l="1"/>
  <c r="K6" i="4" s="1"/>
  <c r="N6" i="4" s="1"/>
  <c r="O6" i="4" s="1"/>
  <c r="M32" i="1" l="1"/>
  <c r="N32" i="1" s="1"/>
  <c r="F6" i="4"/>
  <c r="P6" i="4"/>
  <c r="S7" i="4" l="1"/>
  <c r="H7" i="4" s="1"/>
  <c r="K7" i="4"/>
  <c r="N7" i="4" s="1"/>
  <c r="M33" i="1"/>
  <c r="S8" i="4" l="1"/>
  <c r="H8" i="4" s="1"/>
  <c r="N33" i="1"/>
  <c r="F7" i="4"/>
  <c r="P7" i="4"/>
  <c r="O7" i="4"/>
  <c r="K8" i="4" l="1"/>
  <c r="N8" i="4" s="1"/>
  <c r="M34" i="1"/>
  <c r="S9" i="4" l="1"/>
  <c r="H9" i="4" s="1"/>
  <c r="N34" i="1"/>
  <c r="P8" i="4"/>
  <c r="O8" i="4"/>
  <c r="F8" i="4"/>
  <c r="K9" i="4" l="1"/>
  <c r="N9" i="4" s="1"/>
  <c r="M35" i="1"/>
  <c r="S10" i="4" l="1"/>
  <c r="H10" i="4" s="1"/>
  <c r="N35" i="1"/>
  <c r="F9" i="4"/>
  <c r="P9" i="4"/>
  <c r="O9" i="4"/>
  <c r="K10" i="4" l="1"/>
  <c r="N10" i="4" s="1"/>
  <c r="M36" i="1"/>
  <c r="S11" i="4" l="1"/>
  <c r="H11" i="4" s="1"/>
  <c r="N36" i="1"/>
  <c r="F10" i="4"/>
  <c r="P10" i="4"/>
  <c r="O10" i="4"/>
  <c r="K11" i="4" l="1"/>
  <c r="N11" i="4" s="1"/>
  <c r="M37" i="1"/>
  <c r="S12" i="4" l="1"/>
  <c r="H12" i="4" s="1"/>
  <c r="N37" i="1"/>
  <c r="F11" i="4"/>
  <c r="O11" i="4"/>
  <c r="P11" i="4"/>
  <c r="K12" i="4" l="1"/>
  <c r="N12" i="4" s="1"/>
  <c r="M38" i="1"/>
  <c r="S13" i="4" l="1"/>
  <c r="H13" i="4" s="1"/>
  <c r="N38" i="1"/>
  <c r="P12" i="4"/>
  <c r="F12" i="4"/>
  <c r="O12" i="4"/>
  <c r="K13" i="4" l="1"/>
  <c r="N13" i="4" s="1"/>
  <c r="M39" i="1"/>
  <c r="S14" i="4" l="1"/>
  <c r="H14" i="4" s="1"/>
  <c r="N39" i="1"/>
  <c r="K14" i="4" s="1"/>
  <c r="N14" i="4" s="1"/>
  <c r="P13" i="4"/>
  <c r="O13" i="4"/>
  <c r="F13" i="4"/>
  <c r="F14" i="4" l="1"/>
  <c r="F16" i="4" s="1"/>
  <c r="O14" i="4"/>
  <c r="P1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Z1" authorId="0" shapeId="0" xr:uid="{00000000-0006-0000-0200-000001000000}">
      <text>
        <r>
          <rPr>
            <b/>
            <sz val="9"/>
            <color indexed="81"/>
            <rFont val="Tahoma"/>
            <family val="2"/>
          </rPr>
          <t>Jan van der Lei:</t>
        </r>
        <r>
          <rPr>
            <sz val="9"/>
            <color indexed="81"/>
            <rFont val="Tahoma"/>
            <family val="2"/>
          </rPr>
          <t xml:space="preserve">
Bron: DNB gemiddelde rente tien jaars staatslening.</t>
        </r>
      </text>
    </comment>
    <comment ref="AA1" authorId="0" shapeId="0" xr:uid="{00000000-0006-0000-0200-000002000000}">
      <text>
        <r>
          <rPr>
            <sz val="9"/>
            <color indexed="81"/>
            <rFont val="Tahoma"/>
            <family val="2"/>
          </rPr>
          <t>spread in overeenkomst BNG is 0,35% -  0,4% t.o.v. staats 10 jaar en 0,6 staats 15 jaar.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N13" authorId="0" shapeId="0" xr:uid="{00000000-0006-0000-0300-000001000000}">
      <text>
        <r>
          <rPr>
            <b/>
            <sz val="9"/>
            <color indexed="81"/>
            <rFont val="Tahoma"/>
            <family val="2"/>
          </rPr>
          <t>Jan van der Lei:</t>
        </r>
        <r>
          <rPr>
            <sz val="9"/>
            <color indexed="81"/>
            <rFont val="Tahoma"/>
            <family val="2"/>
          </rPr>
          <t xml:space="preserve">
Invulling inkomstenverhoging 1 / 5 deel belastingverhoging per jaar i.v.m. noemereffect schuldquote.</t>
        </r>
      </text>
    </comment>
    <comment ref="K31" authorId="0" shapeId="0" xr:uid="{00000000-0006-0000-0300-000002000000}">
      <text>
        <r>
          <rPr>
            <b/>
            <sz val="9"/>
            <color indexed="81"/>
            <rFont val="Tahoma"/>
            <family val="2"/>
          </rPr>
          <t>Jan van der Lei:</t>
        </r>
        <r>
          <rPr>
            <sz val="9"/>
            <color indexed="81"/>
            <rFont val="Tahoma"/>
            <family val="2"/>
          </rPr>
          <t xml:space="preserve">
Boven 0,5 ombuigingspotentieel correctie voor opplussen inkomsten met benutting belastingcapaciteit. </t>
        </r>
      </text>
    </comment>
    <comment ref="H41" authorId="0" shapeId="0" xr:uid="{00000000-0006-0000-0300-000003000000}">
      <text>
        <r>
          <rPr>
            <b/>
            <sz val="9"/>
            <color indexed="81"/>
            <rFont val="Tahoma"/>
            <family val="2"/>
          </rPr>
          <t xml:space="preserve">correctie voor berekening juiste groeipercentage uitgaven </t>
        </r>
      </text>
    </comment>
    <comment ref="H60" authorId="0" shapeId="0" xr:uid="{00000000-0006-0000-0300-000004000000}">
      <text>
        <r>
          <rPr>
            <b/>
            <sz val="9"/>
            <color indexed="81"/>
            <rFont val="Tahoma"/>
            <family val="2"/>
          </rPr>
          <t>correctie voor berekening juiste groeipercentage inkomsten</t>
        </r>
      </text>
    </comment>
    <comment ref="H70" authorId="0" shapeId="0" xr:uid="{00000000-0006-0000-0300-000005000000}">
      <text>
        <r>
          <rPr>
            <b/>
            <sz val="9"/>
            <color indexed="81"/>
            <rFont val="Tahoma"/>
            <family val="2"/>
          </rPr>
          <t>Jan van der Lei:</t>
        </r>
        <r>
          <rPr>
            <sz val="9"/>
            <color indexed="81"/>
            <rFont val="Tahoma"/>
            <family val="2"/>
          </rPr>
          <t xml:space="preserve">
half jaar rente over financieringsresulltaat exploitatie exlcusief rente over rente</t>
        </r>
      </text>
    </comment>
    <comment ref="H71" authorId="0" shapeId="0" xr:uid="{00000000-0006-0000-0300-000006000000}">
      <text>
        <r>
          <rPr>
            <b/>
            <sz val="9"/>
            <color indexed="81"/>
            <rFont val="Tahoma"/>
            <family val="2"/>
          </rPr>
          <t>Jan van der Lei:</t>
        </r>
        <r>
          <rPr>
            <sz val="9"/>
            <color indexed="81"/>
            <rFont val="Tahoma"/>
            <family val="2"/>
          </rPr>
          <t xml:space="preserve">
Dit is het renteresultaat over financieringsstroom exploitatie</t>
        </r>
      </text>
    </comment>
    <comment ref="H72" authorId="0" shapeId="0" xr:uid="{00000000-0006-0000-0300-000007000000}">
      <text>
        <r>
          <rPr>
            <b/>
            <sz val="9"/>
            <color indexed="81"/>
            <rFont val="Tahoma"/>
            <family val="2"/>
          </rPr>
          <t>Jan van der Lei:</t>
        </r>
        <r>
          <rPr>
            <sz val="9"/>
            <color indexed="81"/>
            <rFont val="Tahoma"/>
            <family val="2"/>
          </rPr>
          <t xml:space="preserve">
benodigde correctie voor rente over rente. (verwaarloosbare afwijking).
</t>
        </r>
      </text>
    </comment>
    <comment ref="H73" authorId="0" shapeId="0" xr:uid="{00000000-0006-0000-0300-000008000000}">
      <text>
        <r>
          <rPr>
            <b/>
            <sz val="9"/>
            <color indexed="81"/>
            <rFont val="Tahoma"/>
            <family val="2"/>
          </rPr>
          <t>Jan van der Lei:</t>
        </r>
        <r>
          <rPr>
            <sz val="9"/>
            <color indexed="81"/>
            <rFont val="Tahoma"/>
            <family val="2"/>
          </rPr>
          <t xml:space="preserve">
rente over het renteresultaat inkomsten en uitgaven plus correctie rente mutatie voorzieningen</t>
        </r>
      </text>
    </comment>
    <comment ref="H74" authorId="0" shapeId="0" xr:uid="{924355CE-A186-4040-8499-7E636EEC3508}">
      <text>
        <r>
          <rPr>
            <b/>
            <sz val="9"/>
            <color indexed="81"/>
            <rFont val="Tahoma"/>
            <family val="2"/>
          </rPr>
          <t>Jan van der Lei:</t>
        </r>
        <r>
          <rPr>
            <sz val="9"/>
            <color indexed="81"/>
            <rFont val="Tahoma"/>
            <family val="2"/>
          </rPr>
          <t xml:space="preserve">
afwijking in procenten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C12" authorId="0" shapeId="0" xr:uid="{00000000-0006-0000-0000-000001000000}">
      <text>
        <r>
          <rPr>
            <b/>
            <sz val="9"/>
            <color indexed="81"/>
            <rFont val="Tahoma"/>
            <family val="2"/>
          </rPr>
          <t>Handmatige bijstelling rentestijging</t>
        </r>
      </text>
    </comment>
    <comment ref="AC13" authorId="0" shapeId="0" xr:uid="{00000000-0006-0000-0000-000002000000}">
      <text>
        <r>
          <rPr>
            <b/>
            <sz val="9"/>
            <color indexed="81"/>
            <rFont val="Tahoma"/>
            <family val="2"/>
          </rPr>
          <t>Handmatige bijstelling rentestijging</t>
        </r>
      </text>
    </comment>
    <comment ref="AC14" authorId="0" shapeId="0" xr:uid="{00000000-0006-0000-0000-000003000000}">
      <text>
        <r>
          <rPr>
            <b/>
            <sz val="9"/>
            <color indexed="81"/>
            <rFont val="Tahoma"/>
            <family val="2"/>
          </rPr>
          <t>Handmatige bijstelling rentestijging</t>
        </r>
      </text>
    </comment>
    <comment ref="AC19" authorId="0" shapeId="0" xr:uid="{00000000-0006-0000-0000-000004000000}">
      <text>
        <r>
          <rPr>
            <b/>
            <sz val="9"/>
            <color indexed="81"/>
            <rFont val="Tahoma"/>
            <family val="2"/>
          </rPr>
          <t>Handmatige bijstelling investeringsruimte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F1" authorId="0" shapeId="0" xr:uid="{3E4D9057-E127-4ABB-A471-3C106863EB1B}">
      <text>
        <r>
          <rPr>
            <b/>
            <sz val="9"/>
            <color indexed="81"/>
            <rFont val="Tahoma"/>
            <family val="2"/>
          </rPr>
          <t>Jan van der Lei:</t>
        </r>
        <r>
          <rPr>
            <sz val="9"/>
            <color indexed="81"/>
            <rFont val="Tahoma"/>
            <family val="2"/>
          </rPr>
          <t xml:space="preserve">
balanstotaal 2020 imateriele en materiele activa</t>
        </r>
      </text>
    </comment>
    <comment ref="AF2" authorId="0" shapeId="0" xr:uid="{E3B90971-400F-4164-8D1C-02FBEB826460}">
      <text>
        <r>
          <rPr>
            <b/>
            <sz val="9"/>
            <color indexed="81"/>
            <rFont val="Tahoma"/>
            <family val="2"/>
          </rPr>
          <t>Jan van der Lei:</t>
        </r>
        <r>
          <rPr>
            <sz val="9"/>
            <color indexed="81"/>
            <rFont val="Tahoma"/>
            <family val="2"/>
          </rPr>
          <t xml:space="preserve">
balanstotaal 2019 immateriele en materiele activa</t>
        </r>
      </text>
    </comment>
    <comment ref="AF3" authorId="0" shapeId="0" xr:uid="{AC84CCA2-59EF-4345-8E51-CF3E7EFCA68B}">
      <text>
        <r>
          <rPr>
            <b/>
            <sz val="9"/>
            <color indexed="81"/>
            <rFont val="Tahoma"/>
            <family val="2"/>
          </rPr>
          <t>Jan van der Lei:</t>
        </r>
        <r>
          <rPr>
            <sz val="9"/>
            <color indexed="81"/>
            <rFont val="Tahoma"/>
            <family val="2"/>
          </rPr>
          <t xml:space="preserve">
toename balanstotaal immateriele en materiele activa</t>
        </r>
      </text>
    </comment>
    <comment ref="AF4" authorId="0" shapeId="0" xr:uid="{9B72F268-D67F-4BC8-990F-F0FEE8DF29A0}">
      <text>
        <r>
          <rPr>
            <b/>
            <sz val="9"/>
            <color indexed="81"/>
            <rFont val="Tahoma"/>
            <family val="2"/>
          </rPr>
          <t>Jan van der Lei:</t>
        </r>
        <r>
          <rPr>
            <sz val="9"/>
            <color indexed="81"/>
            <rFont val="Tahoma"/>
            <family val="2"/>
          </rPr>
          <t xml:space="preserve">
afschrijvingen 2020</t>
        </r>
      </text>
    </comment>
    <comment ref="AF5" authorId="0" shapeId="0" xr:uid="{C954566B-E9FD-469F-A5DC-EC1790DEC693}">
      <text>
        <r>
          <rPr>
            <b/>
            <sz val="9"/>
            <color indexed="81"/>
            <rFont val="Tahoma"/>
            <family val="2"/>
          </rPr>
          <t>Jan van der Lei:</t>
        </r>
        <r>
          <rPr>
            <sz val="9"/>
            <color indexed="81"/>
            <rFont val="Tahoma"/>
            <family val="2"/>
          </rPr>
          <t xml:space="preserve">
bruto investeringen</t>
        </r>
      </text>
    </comment>
    <comment ref="AG5" authorId="0" shapeId="0" xr:uid="{BF9E5696-A71B-45DF-9B5F-F4B36F602E8D}">
      <text>
        <r>
          <rPr>
            <b/>
            <sz val="9"/>
            <color indexed="81"/>
            <rFont val="Tahoma"/>
            <family val="2"/>
          </rPr>
          <t>Jan van der Lei:</t>
        </r>
        <r>
          <rPr>
            <sz val="9"/>
            <color indexed="81"/>
            <rFont val="Tahoma"/>
            <family val="2"/>
          </rPr>
          <t xml:space="preserve">
Bruto investeringen gedeeld door aandeel bbp nu (0,99%) maal aandeel bbp 2008 (1,42%)</t>
        </r>
      </text>
    </comment>
    <comment ref="AF6" authorId="0" shapeId="0" xr:uid="{D96F7135-FA4B-415B-A364-7838069B6D74}">
      <text>
        <r>
          <rPr>
            <b/>
            <sz val="9"/>
            <color indexed="81"/>
            <rFont val="Tahoma"/>
            <family val="2"/>
          </rPr>
          <t>Jan van der Lei:</t>
        </r>
        <r>
          <rPr>
            <sz val="9"/>
            <color indexed="81"/>
            <rFont val="Tahoma"/>
            <family val="2"/>
          </rPr>
          <t xml:space="preserve">
inwonertal</t>
        </r>
      </text>
    </comment>
    <comment ref="AG6" authorId="0" shapeId="0" xr:uid="{75AA4F83-145A-41D4-943C-706F8214CAE2}">
      <text>
        <r>
          <rPr>
            <b/>
            <sz val="9"/>
            <color indexed="81"/>
            <rFont val="Tahoma"/>
            <family val="2"/>
          </rPr>
          <t>Jan van der Lei:</t>
        </r>
        <r>
          <rPr>
            <sz val="9"/>
            <color indexed="81"/>
            <rFont val="Tahoma"/>
            <family val="2"/>
          </rPr>
          <t xml:space="preserve">
inwonertal eind 2020</t>
        </r>
      </text>
    </comment>
    <comment ref="AF7" authorId="0" shapeId="0" xr:uid="{59037682-D37A-4BF4-8FC9-20B86E7F5E14}">
      <text>
        <r>
          <rPr>
            <b/>
            <sz val="9"/>
            <color indexed="81"/>
            <rFont val="Tahoma"/>
            <family val="2"/>
          </rPr>
          <t>Jan van der Lei:</t>
        </r>
        <r>
          <rPr>
            <sz val="9"/>
            <color indexed="81"/>
            <rFont val="Tahoma"/>
            <family val="2"/>
          </rPr>
          <t xml:space="preserve">
investeringen per inwoner 2020</t>
        </r>
      </text>
    </comment>
    <comment ref="AG7" authorId="0" shapeId="0" xr:uid="{8CA1388A-2B0E-4366-A8FA-9668BC98FDBE}">
      <text>
        <r>
          <rPr>
            <b/>
            <sz val="9"/>
            <color indexed="81"/>
            <rFont val="Tahoma"/>
            <family val="2"/>
          </rPr>
          <t>Jan van der Lei:</t>
        </r>
        <r>
          <rPr>
            <sz val="9"/>
            <color indexed="81"/>
            <rFont val="Tahoma"/>
            <family val="2"/>
          </rPr>
          <t xml:space="preserve">
bruto investeringen per inwoner normaal</t>
        </r>
      </text>
    </comment>
    <comment ref="AF11" authorId="0" shapeId="0" xr:uid="{3A6C094D-CB62-4ACC-9980-0CBDB2E99AE4}">
      <text>
        <r>
          <rPr>
            <b/>
            <sz val="9"/>
            <color indexed="81"/>
            <rFont val="Tahoma"/>
            <family val="2"/>
          </rPr>
          <t>Jan van der Lei:</t>
        </r>
        <r>
          <rPr>
            <sz val="9"/>
            <color indexed="81"/>
            <rFont val="Tahoma"/>
            <family val="2"/>
          </rPr>
          <t xml:space="preserve">
Verschil met administratie NR</t>
        </r>
      </text>
    </comment>
    <comment ref="AF12" authorId="0" shapeId="0" xr:uid="{1DC9FADC-AB01-4FFD-A79E-178DCE0CDC1A}">
      <text>
        <r>
          <rPr>
            <b/>
            <sz val="9"/>
            <color indexed="81"/>
            <rFont val="Tahoma"/>
            <family val="2"/>
          </rPr>
          <t>Jan van der Lei:</t>
        </r>
        <r>
          <rPr>
            <sz val="9"/>
            <color indexed="81"/>
            <rFont val="Tahoma"/>
            <family val="2"/>
          </rPr>
          <t xml:space="preserve">
investeringen per inwoner 2020 met correctie verschil NR 2008/ NR 2020</t>
        </r>
      </text>
    </comment>
    <comment ref="AF13" authorId="0" shapeId="0" xr:uid="{7F636036-43F0-4FB9-98D0-F40E1469788B}">
      <text>
        <r>
          <rPr>
            <b/>
            <sz val="9"/>
            <color indexed="81"/>
            <rFont val="Tahoma"/>
            <family val="2"/>
          </rPr>
          <t>Jan van der Lei:</t>
        </r>
        <r>
          <rPr>
            <sz val="9"/>
            <color indexed="81"/>
            <rFont val="Tahoma"/>
            <family val="2"/>
          </rPr>
          <t xml:space="preserve">
Normaal niveau investeringen NR</t>
        </r>
      </text>
    </comment>
    <comment ref="Q29" authorId="0" shapeId="0" xr:uid="{00000000-0006-0000-0600-000004000000}">
      <text>
        <r>
          <rPr>
            <b/>
            <sz val="9"/>
            <color indexed="81"/>
            <rFont val="Tahoma"/>
            <family val="2"/>
          </rPr>
          <t>Jan van der Lei:</t>
        </r>
        <r>
          <rPr>
            <sz val="9"/>
            <color indexed="81"/>
            <rFont val="Tahoma"/>
            <family val="2"/>
          </rPr>
          <t xml:space="preserve">
Alleen Groesbeek in cijfers opendata 2015</t>
        </r>
      </text>
    </comment>
    <comment ref="R29" authorId="0" shapeId="0" xr:uid="{00000000-0006-0000-0600-000005000000}">
      <text>
        <r>
          <rPr>
            <b/>
            <sz val="9"/>
            <color indexed="81"/>
            <rFont val="Tahoma"/>
            <family val="2"/>
          </rPr>
          <t>Jan van der Lei:</t>
        </r>
        <r>
          <rPr>
            <sz val="9"/>
            <color indexed="81"/>
            <rFont val="Tahoma"/>
            <family val="2"/>
          </rPr>
          <t xml:space="preserve">
alleen Groesbeek in cijfers opendata 2015</t>
        </r>
      </text>
    </comment>
    <comment ref="Q59" authorId="0" shapeId="0" xr:uid="{00000000-0006-0000-0600-000006000000}">
      <text>
        <r>
          <rPr>
            <b/>
            <sz val="9"/>
            <color indexed="81"/>
            <rFont val="Tahoma"/>
            <family val="2"/>
          </rPr>
          <t>Jan van der Lei:</t>
        </r>
        <r>
          <rPr>
            <sz val="9"/>
            <color indexed="81"/>
            <rFont val="Tahoma"/>
            <family val="2"/>
          </rPr>
          <t xml:space="preserve">
gemeente en cijfer ontbreken in opendata cbs 2015</t>
        </r>
      </text>
    </comment>
    <comment ref="R59" authorId="0" shapeId="0" xr:uid="{00000000-0006-0000-0600-000007000000}">
      <text>
        <r>
          <rPr>
            <b/>
            <sz val="9"/>
            <color indexed="81"/>
            <rFont val="Tahoma"/>
            <family val="2"/>
          </rPr>
          <t>Jan van der Lei:</t>
        </r>
        <r>
          <rPr>
            <sz val="9"/>
            <color indexed="81"/>
            <rFont val="Tahoma"/>
            <family val="2"/>
          </rPr>
          <t xml:space="preserve">
gemeente en cijfer ontbreken in opendata 2015 cbs</t>
        </r>
      </text>
    </comment>
    <comment ref="Y123" authorId="0" shapeId="0" xr:uid="{00000000-0006-0000-0600-000008000000}">
      <text>
        <r>
          <rPr>
            <b/>
            <sz val="9"/>
            <color indexed="81"/>
            <rFont val="Tahoma"/>
            <family val="2"/>
          </rPr>
          <t>Jan van der Lei:</t>
        </r>
        <r>
          <rPr>
            <sz val="9"/>
            <color indexed="81"/>
            <rFont val="Tahoma"/>
            <family val="2"/>
          </rPr>
          <t xml:space="preserve">
5742494 + BH
578572</t>
        </r>
      </text>
    </comment>
    <comment ref="AQ298" authorId="0" shapeId="0" xr:uid="{C243D167-30BE-4C65-AD06-44A7821E9742}">
      <text>
        <r>
          <rPr>
            <b/>
            <sz val="9"/>
            <color indexed="81"/>
            <rFont val="Tahoma"/>
            <family val="2"/>
          </rPr>
          <t>Jan van der Lei:</t>
        </r>
        <r>
          <rPr>
            <sz val="9"/>
            <color indexed="81"/>
            <rFont val="Tahoma"/>
            <family val="2"/>
          </rPr>
          <t xml:space="preserve">
2017</t>
        </r>
      </text>
    </comment>
    <comment ref="AP309" authorId="0" shapeId="0" xr:uid="{F8C273B4-AF30-4F08-BF45-45CD972B7AE3}">
      <text>
        <r>
          <rPr>
            <b/>
            <sz val="9"/>
            <color indexed="81"/>
            <rFont val="Tahoma"/>
            <family val="2"/>
          </rPr>
          <t>Jan van der Lei:</t>
        </r>
        <r>
          <rPr>
            <sz val="9"/>
            <color indexed="81"/>
            <rFont val="Tahoma"/>
            <family val="2"/>
          </rPr>
          <t xml:space="preserve">
2018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D378" authorId="0" shapeId="0" xr:uid="{0FBAA3F7-7C6A-40E6-8582-BA7869369600}">
      <text>
        <r>
          <rPr>
            <b/>
            <sz val="9"/>
            <color indexed="81"/>
            <rFont val="Tahoma"/>
            <family val="2"/>
          </rPr>
          <t>Jan van der Lei:</t>
        </r>
        <r>
          <rPr>
            <sz val="9"/>
            <color indexed="81"/>
            <rFont val="Tahoma"/>
            <family val="2"/>
          </rPr>
          <t xml:space="preserve">
aangepast van hoog</t>
        </r>
      </text>
    </comment>
    <comment ref="D383" authorId="0" shapeId="0" xr:uid="{12E1ADD9-90BF-44EF-A12B-0A7AB35B4E9B}">
      <text>
        <r>
          <rPr>
            <b/>
            <sz val="9"/>
            <color indexed="81"/>
            <rFont val="Tahoma"/>
            <family val="2"/>
          </rPr>
          <t>Jan van der Lei:</t>
        </r>
        <r>
          <rPr>
            <sz val="9"/>
            <color indexed="81"/>
            <rFont val="Tahoma"/>
            <family val="2"/>
          </rPr>
          <t xml:space="preserve">
aangepast van hoog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P1" authorId="0" shapeId="0" xr:uid="{23AF16FC-4368-4B55-96BA-4ECD8E4AEA16}">
      <text>
        <r>
          <rPr>
            <b/>
            <sz val="9"/>
            <color indexed="81"/>
            <rFont val="Tahoma"/>
            <family val="2"/>
          </rPr>
          <t>Jan van der Lei:</t>
        </r>
        <r>
          <rPr>
            <sz val="9"/>
            <color indexed="81"/>
            <rFont val="Tahoma"/>
            <family val="2"/>
          </rPr>
          <t xml:space="preserve">
WOZ waarde 2019 vlgs CBS</t>
        </r>
      </text>
    </comment>
    <comment ref="Q1" authorId="0" shapeId="0" xr:uid="{E5FAA4F9-8892-4209-9D65-15842DE0BC7D}">
      <text>
        <r>
          <rPr>
            <b/>
            <sz val="9"/>
            <color indexed="81"/>
            <rFont val="Tahoma"/>
            <family val="2"/>
          </rPr>
          <t>Jan van der Lei:</t>
        </r>
        <r>
          <rPr>
            <sz val="9"/>
            <color indexed="81"/>
            <rFont val="Tahoma"/>
            <family val="2"/>
          </rPr>
          <t xml:space="preserve">
WOZ waarde 2020 vlgs CBS Statline 21 januari 2021</t>
        </r>
      </text>
    </comment>
    <comment ref="R1" authorId="0" shapeId="0" xr:uid="{F0552805-93D0-4E51-9DA9-4E43696AB172}">
      <text>
        <r>
          <rPr>
            <b/>
            <sz val="9"/>
            <color indexed="81"/>
            <rFont val="Tahoma"/>
            <family val="2"/>
          </rPr>
          <t>Jan van der Lei:</t>
        </r>
        <r>
          <rPr>
            <sz val="9"/>
            <color indexed="81"/>
            <rFont val="Tahoma"/>
            <family val="2"/>
          </rPr>
          <t xml:space="preserve">
WOZ waarde 2020 vlgs CBS Statline 20 jan 2021</t>
        </r>
      </text>
    </comment>
    <comment ref="S1" authorId="0" shapeId="0" xr:uid="{6CEF7508-A4EE-433A-B4BB-345D4BD2E0AA}">
      <text>
        <r>
          <rPr>
            <b/>
            <sz val="9"/>
            <color indexed="81"/>
            <rFont val="Tahoma"/>
            <family val="2"/>
          </rPr>
          <t>Jan van der Lei:</t>
        </r>
        <r>
          <rPr>
            <sz val="9"/>
            <color indexed="81"/>
            <rFont val="Tahoma"/>
            <family val="2"/>
          </rPr>
          <t xml:space="preserve">
Redelijk peil 2020 vlgs meicirculaire 2019</t>
        </r>
      </text>
    </comment>
  </commentList>
</comments>
</file>

<file path=xl/sharedStrings.xml><?xml version="1.0" encoding="utf-8"?>
<sst xmlns="http://schemas.openxmlformats.org/spreadsheetml/2006/main" count="12646" uniqueCount="1049">
  <si>
    <t>Groeivoeten</t>
  </si>
  <si>
    <t>Inflatie</t>
  </si>
  <si>
    <t>Loonstijging</t>
  </si>
  <si>
    <t>Rente</t>
  </si>
  <si>
    <t>a.</t>
  </si>
  <si>
    <t>b.</t>
  </si>
  <si>
    <t>c.</t>
  </si>
  <si>
    <t>Totaal a.</t>
  </si>
  <si>
    <t>Totaal b.</t>
  </si>
  <si>
    <t>Totaal c.</t>
  </si>
  <si>
    <t>d.</t>
  </si>
  <si>
    <t>Totaal d.</t>
  </si>
  <si>
    <t>e.</t>
  </si>
  <si>
    <t>Totaal e.</t>
  </si>
  <si>
    <t>f.</t>
  </si>
  <si>
    <t>Totaal f.</t>
  </si>
  <si>
    <t>Groei inwoners Nederland</t>
  </si>
  <si>
    <t>Groeivoet totale inkomsten</t>
  </si>
  <si>
    <t>Inkomsten</t>
  </si>
  <si>
    <t>Jaar</t>
  </si>
  <si>
    <t>Uitgaven</t>
  </si>
  <si>
    <t>Groei inwoners gemeente</t>
  </si>
  <si>
    <t>Rente 10 jaar lening</t>
  </si>
  <si>
    <t>Kapitaalverstrekkingen</t>
  </si>
  <si>
    <t>Overige voorraden</t>
  </si>
  <si>
    <t>Overlopende activa</t>
  </si>
  <si>
    <t>Overlopende passiva</t>
  </si>
  <si>
    <t>Slechtweerscenario</t>
  </si>
  <si>
    <t xml:space="preserve">Rente 1 jaarslening </t>
  </si>
  <si>
    <t xml:space="preserve">Rente doorgeleend geld </t>
  </si>
  <si>
    <t>Crediteuren</t>
  </si>
  <si>
    <t>Leningen aan verbonden partijen oud</t>
  </si>
  <si>
    <t>Langlopende leningen derden oud</t>
  </si>
  <si>
    <t>Langlopende uitzettingen oud</t>
  </si>
  <si>
    <t>Onderhandse leningen oud</t>
  </si>
  <si>
    <t>Overige vaste schuld oud</t>
  </si>
  <si>
    <t>Rente liquide middelen</t>
  </si>
  <si>
    <t>Leningen derden nieuw</t>
  </si>
  <si>
    <t>Herfinanciering nieuw</t>
  </si>
  <si>
    <t xml:space="preserve">Netto financiering </t>
  </si>
  <si>
    <t>Rente financiering</t>
  </si>
  <si>
    <t>Percentage</t>
  </si>
  <si>
    <t>Afschrijving leningen derden</t>
  </si>
  <si>
    <t xml:space="preserve">Afschrijving leningen verbonden partijen </t>
  </si>
  <si>
    <t>Ombuigingen</t>
  </si>
  <si>
    <t>Financieringsresultaat exploitatie met schok</t>
  </si>
  <si>
    <t>Netto financieringsresultaat</t>
  </si>
  <si>
    <t xml:space="preserve">Effectiviteit pol.&amp; org. </t>
  </si>
  <si>
    <t>Financieringsresultaat expl.</t>
  </si>
  <si>
    <t>Netto financiering</t>
  </si>
  <si>
    <t>Opbrengst verkoop 2022</t>
  </si>
  <si>
    <t>Netto schuldquote</t>
  </si>
  <si>
    <t>Doorgeleend geld</t>
  </si>
  <si>
    <t>Financiering bezit normaal</t>
  </si>
  <si>
    <t>Financiering bezit met schok</t>
  </si>
  <si>
    <t>Fin.result.financiering</t>
  </si>
  <si>
    <t>Fin.result.bezit</t>
  </si>
  <si>
    <t>Groei inwoners Ned.</t>
  </si>
  <si>
    <t xml:space="preserve">Groei inwoners gemeente </t>
  </si>
  <si>
    <t>Fin.expl.</t>
  </si>
  <si>
    <t>Fin.bezit</t>
  </si>
  <si>
    <t xml:space="preserve">Fin.finan. </t>
  </si>
  <si>
    <t>Algemene uitkering</t>
  </si>
  <si>
    <t>Onroerende zaak belasting woningen</t>
  </si>
  <si>
    <t>Afvalstoffenheffing</t>
  </si>
  <si>
    <t>Rioolheffing</t>
  </si>
  <si>
    <t>Secretarieleges</t>
  </si>
  <si>
    <t>Toeristenbelasting</t>
  </si>
  <si>
    <t>Marktgelden</t>
  </si>
  <si>
    <t>Sportcomplexen</t>
  </si>
  <si>
    <t>Specifieke uitkeringen onderwijs</t>
  </si>
  <si>
    <t>Uitkeringen bijstand inclusief BBZ</t>
  </si>
  <si>
    <t>Uitleenquote</t>
  </si>
  <si>
    <t>Solvabiliteitsratio</t>
  </si>
  <si>
    <t>Inwoners</t>
  </si>
  <si>
    <r>
      <t xml:space="preserve">Inkomsten uit gewone exploitatie </t>
    </r>
    <r>
      <rPr>
        <sz val="10"/>
        <color theme="1"/>
        <rFont val="Arial"/>
        <family val="2"/>
      </rPr>
      <t>(exclusief rente en voor bestemming reserves)</t>
    </r>
  </si>
  <si>
    <r>
      <t xml:space="preserve">Uitgaven uit gewone exploitatie </t>
    </r>
    <r>
      <rPr>
        <sz val="10"/>
        <color theme="1"/>
        <rFont val="Arial"/>
        <family val="2"/>
      </rPr>
      <t>(exclusief afschrijvingen, rente en voor bestemming reserves)</t>
    </r>
  </si>
  <si>
    <t>Schuldratio</t>
  </si>
  <si>
    <t>Inwonergevoeligheid Alg.Uitk.</t>
  </si>
  <si>
    <t xml:space="preserve">In euro </t>
  </si>
  <si>
    <t>Rente-inkomsten uitzettingen</t>
  </si>
  <si>
    <t>Fin.resultaat bezit</t>
  </si>
  <si>
    <t>Investeringen</t>
  </si>
  <si>
    <t>Overige specifieke uitkeringen</t>
  </si>
  <si>
    <t>Rente kortlopende schuld</t>
  </si>
  <si>
    <t>Houdbaarheidstest gemeentefinanciën</t>
  </si>
  <si>
    <t>Kaptaalverstrekkingen</t>
  </si>
  <si>
    <t>Leningen aan verbonden partijen</t>
  </si>
  <si>
    <t>Leningen aan derden</t>
  </si>
  <si>
    <t>Langlopende uitzettingen</t>
  </si>
  <si>
    <t>Balanstotaal</t>
  </si>
  <si>
    <t>Debet</t>
  </si>
  <si>
    <t>Credit</t>
  </si>
  <si>
    <t>Opbrengst verkoop 2023</t>
  </si>
  <si>
    <t>Rentekosten leningen</t>
  </si>
  <si>
    <t>Eind</t>
  </si>
  <si>
    <t>Rentekosten</t>
  </si>
  <si>
    <t>Lopende uitgaven</t>
  </si>
  <si>
    <t>Scenario</t>
  </si>
  <si>
    <t>Nieuwe leningen verbonden partijen</t>
  </si>
  <si>
    <t>Nieuwe leningen aan derden</t>
  </si>
  <si>
    <t>Rente 10 jaar staatslening</t>
  </si>
  <si>
    <t>Rente uitgeleend</t>
  </si>
  <si>
    <t>Rente langlopende lening</t>
  </si>
  <si>
    <t>jaar</t>
  </si>
  <si>
    <t>looptijd</t>
  </si>
  <si>
    <t>Aa en Hunze</t>
  </si>
  <si>
    <t>Assen</t>
  </si>
  <si>
    <t>Borger-Odoorn</t>
  </si>
  <si>
    <t>Coevorden</t>
  </si>
  <si>
    <t>Emmen</t>
  </si>
  <si>
    <t>Hoogeveen</t>
  </si>
  <si>
    <t>Meppel</t>
  </si>
  <si>
    <t>Midden-Drenthe</t>
  </si>
  <si>
    <t>Noordenveld</t>
  </si>
  <si>
    <t>Tynaarlo</t>
  </si>
  <si>
    <t>Westerveld</t>
  </si>
  <si>
    <t>De Wolden</t>
  </si>
  <si>
    <t>Midden</t>
  </si>
  <si>
    <t>Appingedam</t>
  </si>
  <si>
    <t>Delfzijl</t>
  </si>
  <si>
    <t>Groningen</t>
  </si>
  <si>
    <t>Loppersum</t>
  </si>
  <si>
    <t>Oldambt</t>
  </si>
  <si>
    <t>Pekela</t>
  </si>
  <si>
    <t>Stadskanaal</t>
  </si>
  <si>
    <t>Veendam</t>
  </si>
  <si>
    <t>Achtkarspelen</t>
  </si>
  <si>
    <t>Ameland</t>
  </si>
  <si>
    <t>Dantumadiel</t>
  </si>
  <si>
    <t>Harlingen</t>
  </si>
  <si>
    <t>Heerenveen</t>
  </si>
  <si>
    <t>Leeuwarden</t>
  </si>
  <si>
    <t>Ooststellingwerf</t>
  </si>
  <si>
    <t>Opsterland</t>
  </si>
  <si>
    <t>Schiermonnikoog</t>
  </si>
  <si>
    <t>Smallingerland</t>
  </si>
  <si>
    <t>Terschelling</t>
  </si>
  <si>
    <t>Tytsjerksteradiel</t>
  </si>
  <si>
    <t>Vlieland</t>
  </si>
  <si>
    <t>Weststellingwerf</t>
  </si>
  <si>
    <t>Almelo</t>
  </si>
  <si>
    <t>Borne</t>
  </si>
  <si>
    <t>Dalfsen</t>
  </si>
  <si>
    <t>Deventer</t>
  </si>
  <si>
    <t>Dinkelland</t>
  </si>
  <si>
    <t>Enschede</t>
  </si>
  <si>
    <t>Haaksbergen</t>
  </si>
  <si>
    <t>Hardenberg</t>
  </si>
  <si>
    <t>Hellendoorn</t>
  </si>
  <si>
    <t>Hof van Twente</t>
  </si>
  <si>
    <t>Kampen</t>
  </si>
  <si>
    <t>Losser</t>
  </si>
  <si>
    <t>Oldenzaal</t>
  </si>
  <si>
    <t>Olst-Wijhe</t>
  </si>
  <si>
    <t>Ommen</t>
  </si>
  <si>
    <t>Raalte</t>
  </si>
  <si>
    <t>Rijssen-Holten</t>
  </si>
  <si>
    <t>Staphorst</t>
  </si>
  <si>
    <t>Steenwijkerland</t>
  </si>
  <si>
    <t>Tubbergen</t>
  </si>
  <si>
    <t>Twenterand</t>
  </si>
  <si>
    <t>Wierden</t>
  </si>
  <si>
    <t>Zwartewaterland</t>
  </si>
  <si>
    <t>Zwolle</t>
  </si>
  <si>
    <t>Aalten</t>
  </si>
  <si>
    <t>Apeldoorn</t>
  </si>
  <si>
    <t>Arnhem</t>
  </si>
  <si>
    <t>Barneveld</t>
  </si>
  <si>
    <t>Berkelland</t>
  </si>
  <si>
    <t>Beuningen</t>
  </si>
  <si>
    <t>Bronckhorst</t>
  </si>
  <si>
    <t>Brummen</t>
  </si>
  <si>
    <t>Buren</t>
  </si>
  <si>
    <t>Culemborg</t>
  </si>
  <si>
    <t>Doesburg</t>
  </si>
  <si>
    <t>Doetinchem</t>
  </si>
  <si>
    <t>Druten</t>
  </si>
  <si>
    <t>Duiven</t>
  </si>
  <si>
    <t>Ede</t>
  </si>
  <si>
    <t>Elburg</t>
  </si>
  <si>
    <t>Epe</t>
  </si>
  <si>
    <t>Ermelo</t>
  </si>
  <si>
    <t>Harderwijk</t>
  </si>
  <si>
    <t>Hattem</t>
  </si>
  <si>
    <t>Heerde</t>
  </si>
  <si>
    <t>Heumen</t>
  </si>
  <si>
    <t>Lingewaard</t>
  </si>
  <si>
    <t>Lochem</t>
  </si>
  <si>
    <t>Maasdriel</t>
  </si>
  <si>
    <t>Montferland</t>
  </si>
  <si>
    <t>Neder-Betuwe</t>
  </si>
  <si>
    <t>Nijkerk</t>
  </si>
  <si>
    <t>Nijmegen</t>
  </si>
  <si>
    <t>Nunspeet</t>
  </si>
  <si>
    <t>Oldebroek</t>
  </si>
  <si>
    <t>Oost Gelre</t>
  </si>
  <si>
    <t>Oude IJsselstreek</t>
  </si>
  <si>
    <t>Overbetuwe</t>
  </si>
  <si>
    <t>Putten</t>
  </si>
  <si>
    <t>Renkum</t>
  </si>
  <si>
    <t>Rheden</t>
  </si>
  <si>
    <t>Rozendaal</t>
  </si>
  <si>
    <t>Scherpenzeel</t>
  </si>
  <si>
    <t>Tiel</t>
  </si>
  <si>
    <t>Voorst</t>
  </si>
  <si>
    <t>Wageningen</t>
  </si>
  <si>
    <t>West Maas en Waal</t>
  </si>
  <si>
    <t>Westervoort</t>
  </si>
  <si>
    <t>Wijchen</t>
  </si>
  <si>
    <t>Winterswijk</t>
  </si>
  <si>
    <t>Zaltbommel</t>
  </si>
  <si>
    <t>Zevenaar</t>
  </si>
  <si>
    <t>Zutphen</t>
  </si>
  <si>
    <t>Amersfoort</t>
  </si>
  <si>
    <t>Baarn</t>
  </si>
  <si>
    <t>Bunnik</t>
  </si>
  <si>
    <t>Bunschoten</t>
  </si>
  <si>
    <t>De Bilt</t>
  </si>
  <si>
    <t>De Ronde Venen</t>
  </si>
  <si>
    <t>Eemnes</t>
  </si>
  <si>
    <t>Houten</t>
  </si>
  <si>
    <t>IJsselstein</t>
  </si>
  <si>
    <t>Leusden</t>
  </si>
  <si>
    <t>Lopik</t>
  </si>
  <si>
    <t>Nieuwegein</t>
  </si>
  <si>
    <t>Oudewater</t>
  </si>
  <si>
    <t>Renswoude</t>
  </si>
  <si>
    <t>Rhenen</t>
  </si>
  <si>
    <t>Soest</t>
  </si>
  <si>
    <t>Stichtse Vecht</t>
  </si>
  <si>
    <t>Utrecht</t>
  </si>
  <si>
    <t>Utrechtse Heuvelrug</t>
  </si>
  <si>
    <t>Veenendaal</t>
  </si>
  <si>
    <t>Wijk bij Duurstede</t>
  </si>
  <si>
    <t>Woerden</t>
  </si>
  <si>
    <t>Woudenberg</t>
  </si>
  <si>
    <t>Zeist</t>
  </si>
  <si>
    <t>Aalsmeer</t>
  </si>
  <si>
    <t>Alkmaar</t>
  </si>
  <si>
    <t>Amstelveen</t>
  </si>
  <si>
    <t>Amsterdam</t>
  </si>
  <si>
    <t>Beemster</t>
  </si>
  <si>
    <t>Beverwijk</t>
  </si>
  <si>
    <t>Blaricum</t>
  </si>
  <si>
    <t>Bloemendaal</t>
  </si>
  <si>
    <t>Castricum</t>
  </si>
  <si>
    <t>Den Helder</t>
  </si>
  <si>
    <t>Diemen</t>
  </si>
  <si>
    <t>Drechterland</t>
  </si>
  <si>
    <t>Edam-Volendam</t>
  </si>
  <si>
    <t>Enkhuizen</t>
  </si>
  <si>
    <t>Haarlem</t>
  </si>
  <si>
    <t>Haarlemmermeer</t>
  </si>
  <si>
    <t>Heemskerk</t>
  </si>
  <si>
    <t>Heemstede</t>
  </si>
  <si>
    <t>Heerhugowaard</t>
  </si>
  <si>
    <t>Heiloo</t>
  </si>
  <si>
    <t>Hilversum</t>
  </si>
  <si>
    <t>Hollands Kroon</t>
  </si>
  <si>
    <t>Hoorn</t>
  </si>
  <si>
    <t>Huizen</t>
  </si>
  <si>
    <t>Koggenland</t>
  </si>
  <si>
    <t>Landsmeer</t>
  </si>
  <si>
    <t>Langedijk</t>
  </si>
  <si>
    <t>Laren</t>
  </si>
  <si>
    <t>Medemblik</t>
  </si>
  <si>
    <t>Oostzaan</t>
  </si>
  <si>
    <t>Opmeer</t>
  </si>
  <si>
    <t>Ouder-Amstel</t>
  </si>
  <si>
    <t>Purmerend</t>
  </si>
  <si>
    <t>Schagen</t>
  </si>
  <si>
    <t>Stede Broec</t>
  </si>
  <si>
    <t>Texel</t>
  </si>
  <si>
    <t>Uitgeest</t>
  </si>
  <si>
    <t>Uithoorn</t>
  </si>
  <si>
    <t>Velsen</t>
  </si>
  <si>
    <t>Waterland</t>
  </si>
  <si>
    <t>Weesp</t>
  </si>
  <si>
    <t>Wijdemeren</t>
  </si>
  <si>
    <t>Wormerland</t>
  </si>
  <si>
    <t>Zaanstad</t>
  </si>
  <si>
    <t>Zandvoort</t>
  </si>
  <si>
    <t>Alblasserdam</t>
  </si>
  <si>
    <t>Albrandswaard</t>
  </si>
  <si>
    <t>Alphen aan den Rijn</t>
  </si>
  <si>
    <t>Barendrecht</t>
  </si>
  <si>
    <t>Bodegraven-Reeuwijk</t>
  </si>
  <si>
    <t>Brielle</t>
  </si>
  <si>
    <t>Capelle aan den IJssel</t>
  </si>
  <si>
    <t>Delft</t>
  </si>
  <si>
    <t>Dordrecht</t>
  </si>
  <si>
    <t>Goeree-Overflakkee</t>
  </si>
  <si>
    <t>Gorinchem</t>
  </si>
  <si>
    <t>Gouda</t>
  </si>
  <si>
    <t>Hardinxveld-Giessendam</t>
  </si>
  <si>
    <t>Hellevoetsluis</t>
  </si>
  <si>
    <t>Hendrik-Ido-Ambacht</t>
  </si>
  <si>
    <t>Hillegom</t>
  </si>
  <si>
    <t>Kaag en Braassem</t>
  </si>
  <si>
    <t>Katwijk</t>
  </si>
  <si>
    <t>Krimpen aan den IJssel</t>
  </si>
  <si>
    <t>Lansingerland</t>
  </si>
  <si>
    <t>Leiden</t>
  </si>
  <si>
    <t>Leiderdorp</t>
  </si>
  <si>
    <t>Leidschendam-Voorburg</t>
  </si>
  <si>
    <t>Lisse</t>
  </si>
  <si>
    <t>Maassluis</t>
  </si>
  <si>
    <t>Midden-Delfland</t>
  </si>
  <si>
    <t>Nieuwkoop</t>
  </si>
  <si>
    <t>Noordwijk</t>
  </si>
  <si>
    <t>Oegstgeest</t>
  </si>
  <si>
    <t>Papendrecht</t>
  </si>
  <si>
    <t>Pijnacker-Nootdorp</t>
  </si>
  <si>
    <t>Ridderkerk</t>
  </si>
  <si>
    <t>Rijswijk</t>
  </si>
  <si>
    <t>Rotterdam</t>
  </si>
  <si>
    <t>Schiedam</t>
  </si>
  <si>
    <t>Sliedrecht</t>
  </si>
  <si>
    <t>Teylingen</t>
  </si>
  <si>
    <t>Vlaardingen</t>
  </si>
  <si>
    <t>Voorschoten</t>
  </si>
  <si>
    <t>Waddinxveen</t>
  </si>
  <si>
    <t>Wassenaar</t>
  </si>
  <si>
    <t>Westland</t>
  </si>
  <si>
    <t>Westvoorne</t>
  </si>
  <si>
    <t>Zoetermeer</t>
  </si>
  <si>
    <t>Zoeterwoude</t>
  </si>
  <si>
    <t>Zuidplas</t>
  </si>
  <si>
    <t>Zwijndrecht</t>
  </si>
  <si>
    <t>Borsele</t>
  </si>
  <si>
    <t>Goes</t>
  </si>
  <si>
    <t>Hulst</t>
  </si>
  <si>
    <t>Kapelle</t>
  </si>
  <si>
    <t>Middelburg</t>
  </si>
  <si>
    <t>Noord-Beveland</t>
  </si>
  <si>
    <t>Reimerswaal</t>
  </si>
  <si>
    <t>Schouwen-Duiveland</t>
  </si>
  <si>
    <t>Sluis</t>
  </si>
  <si>
    <t>Terneuzen</t>
  </si>
  <si>
    <t>Tholen</t>
  </si>
  <si>
    <t>Veere</t>
  </si>
  <si>
    <t>Vlissingen</t>
  </si>
  <si>
    <t>Alphen-Chaam</t>
  </si>
  <si>
    <t>Asten</t>
  </si>
  <si>
    <t>Baarle-Nassau</t>
  </si>
  <si>
    <t>Bergeijk</t>
  </si>
  <si>
    <t>Bergen op Zoom</t>
  </si>
  <si>
    <t>Bernheze</t>
  </si>
  <si>
    <t>Best</t>
  </si>
  <si>
    <t>Bladel</t>
  </si>
  <si>
    <t>Boekel</t>
  </si>
  <si>
    <t>Boxmeer</t>
  </si>
  <si>
    <t>Boxtel</t>
  </si>
  <si>
    <t>Breda</t>
  </si>
  <si>
    <t>Cranendonck</t>
  </si>
  <si>
    <t>Cuijk</t>
  </si>
  <si>
    <t>Deurne</t>
  </si>
  <si>
    <t>Dongen</t>
  </si>
  <si>
    <t>Drimmelen</t>
  </si>
  <si>
    <t>Eersel</t>
  </si>
  <si>
    <t>Eindhoven</t>
  </si>
  <si>
    <t>Etten-Leur</t>
  </si>
  <si>
    <t>Geertruidenberg</t>
  </si>
  <si>
    <t>Geldrop-Mierlo</t>
  </si>
  <si>
    <t>Gemert-Bakel</t>
  </si>
  <si>
    <t>Gilze en Rijen</t>
  </si>
  <si>
    <t>Goirle</t>
  </si>
  <si>
    <t>Grave</t>
  </si>
  <si>
    <t>Haaren</t>
  </si>
  <si>
    <t>Halderberge</t>
  </si>
  <si>
    <t>Heeze-Leende</t>
  </si>
  <si>
    <t>Helmond</t>
  </si>
  <si>
    <t>Heusden</t>
  </si>
  <si>
    <t>Hilvarenbeek</t>
  </si>
  <si>
    <t>Laarbeek</t>
  </si>
  <si>
    <t>Landerd</t>
  </si>
  <si>
    <t>Loon op Zand</t>
  </si>
  <si>
    <t>Mill en Sint Hubert</t>
  </si>
  <si>
    <t>Moerdijk</t>
  </si>
  <si>
    <t>Oirschot</t>
  </si>
  <si>
    <t>Oisterwijk</t>
  </si>
  <si>
    <t>Oosterhout</t>
  </si>
  <si>
    <t>Oss</t>
  </si>
  <si>
    <t>Reusel-De Mierden</t>
  </si>
  <si>
    <t>Roosendaal</t>
  </si>
  <si>
    <t>Rucphen</t>
  </si>
  <si>
    <t>Sint-Michielsgestel</t>
  </si>
  <si>
    <t>Someren</t>
  </si>
  <si>
    <t>Son en Breugel</t>
  </si>
  <si>
    <t>Steenbergen</t>
  </si>
  <si>
    <t>Tilburg</t>
  </si>
  <si>
    <t>Uden</t>
  </si>
  <si>
    <t>Valkenswaard</t>
  </si>
  <si>
    <t>Veldhoven</t>
  </si>
  <si>
    <t>Vught</t>
  </si>
  <si>
    <t>Waalre</t>
  </si>
  <si>
    <t>Waalwijk</t>
  </si>
  <si>
    <t>Woensdrecht</t>
  </si>
  <si>
    <t>Zundert</t>
  </si>
  <si>
    <t>Beek</t>
  </si>
  <si>
    <t>Beesel</t>
  </si>
  <si>
    <t>Brunssum</t>
  </si>
  <si>
    <t>Echt-Susteren</t>
  </si>
  <si>
    <t>Eijsden-Margraten</t>
  </si>
  <si>
    <t>Gennep</t>
  </si>
  <si>
    <t>Gulpen-Wittem</t>
  </si>
  <si>
    <t>Heerlen</t>
  </si>
  <si>
    <t>Horst aan de Maas</t>
  </si>
  <si>
    <t>Kerkrade</t>
  </si>
  <si>
    <t>Landgraaf</t>
  </si>
  <si>
    <t>Leudal</t>
  </si>
  <si>
    <t>Maasgouw</t>
  </si>
  <si>
    <t>Maastricht</t>
  </si>
  <si>
    <t>Meerssen</t>
  </si>
  <si>
    <t>Mook en Middelaar</t>
  </si>
  <si>
    <t>Nederweert</t>
  </si>
  <si>
    <t>Peel en Maas</t>
  </si>
  <si>
    <t>Roerdalen</t>
  </si>
  <si>
    <t>Roermond</t>
  </si>
  <si>
    <t>Simpelveld</t>
  </si>
  <si>
    <t>Sittard-Geleen</t>
  </si>
  <si>
    <t>Stein</t>
  </si>
  <si>
    <t>Vaals</t>
  </si>
  <si>
    <t>Valkenburg aan de Geul</t>
  </si>
  <si>
    <t>Venlo</t>
  </si>
  <si>
    <t>Venray</t>
  </si>
  <si>
    <t>Voerendaal</t>
  </si>
  <si>
    <t>Weert</t>
  </si>
  <si>
    <t>Almere</t>
  </si>
  <si>
    <t>Dronten</t>
  </si>
  <si>
    <t>Lelystad</t>
  </si>
  <si>
    <t>Noordoostpolder</t>
  </si>
  <si>
    <t>Urk</t>
  </si>
  <si>
    <t>Zeewolde</t>
  </si>
  <si>
    <t>Nuenen, Gerwen en Nederwetten</t>
  </si>
  <si>
    <t>Bergen (L.)</t>
  </si>
  <si>
    <t>Bergen (NH.)</t>
  </si>
  <si>
    <t>Montfoort</t>
  </si>
  <si>
    <t>Sint Anthonis</t>
  </si>
  <si>
    <t>Súdwest-Fryslân</t>
  </si>
  <si>
    <t>Hoog</t>
  </si>
  <si>
    <t>Nederland</t>
  </si>
  <si>
    <t>s-Gravenhage</t>
  </si>
  <si>
    <t>Hengelo</t>
  </si>
  <si>
    <t>Investeringsruimte</t>
  </si>
  <si>
    <t>Onbenutte belastingcapaciteit</t>
  </si>
  <si>
    <t>Voorzieningen</t>
  </si>
  <si>
    <t>Overige langlopende schulden</t>
  </si>
  <si>
    <t>Langlopende leningen</t>
  </si>
  <si>
    <t>Reserves</t>
  </si>
  <si>
    <t>Totaal voorraden</t>
  </si>
  <si>
    <t>Totaal langlopende schuld</t>
  </si>
  <si>
    <t>Afschrijvingspercentage</t>
  </si>
  <si>
    <t>Mutatie voorziening</t>
  </si>
  <si>
    <t>Inw.gevoeligheid midden laag</t>
  </si>
  <si>
    <t>Overige niet ingedeelde uitgaven</t>
  </si>
  <si>
    <t>Overige niet ingedeelde inkomsten</t>
  </si>
  <si>
    <t>Materiële vaste activa</t>
  </si>
  <si>
    <t xml:space="preserve">Totaal (im-)materiële vaste activa </t>
  </si>
  <si>
    <t>Onderhanden werk incl. bouwgrond in expl.</t>
  </si>
  <si>
    <t>Rente-opbrengst</t>
  </si>
  <si>
    <t>Ombuiging grondexploitatie</t>
  </si>
  <si>
    <t>Gem kst.</t>
  </si>
  <si>
    <t>Gem opbrgst.</t>
  </si>
  <si>
    <t>Correctie 0%</t>
  </si>
  <si>
    <t>Inroepen verleende garanties</t>
  </si>
  <si>
    <t>Laag</t>
  </si>
  <si>
    <t>Boekwinst verkopen kapitaalverstrekkingen</t>
  </si>
  <si>
    <t>Handmatig</t>
  </si>
  <si>
    <t>Netto schuld incl.</t>
  </si>
  <si>
    <t>Investering 2024</t>
  </si>
  <si>
    <t>Opbrengst verkoop 2024</t>
  </si>
  <si>
    <t>Taakwijziging fin.verhouding</t>
  </si>
  <si>
    <t>Onbenutte belst.cap.</t>
  </si>
  <si>
    <t>Ombuigingsrelevante uitgaven</t>
  </si>
  <si>
    <t>Balansprognose</t>
  </si>
  <si>
    <t>Nieuwe langlopende uitzettingen</t>
  </si>
  <si>
    <t>Krimpenerwaard</t>
  </si>
  <si>
    <t>Nissewaard</t>
  </si>
  <si>
    <t>s-Hertogenbosch</t>
  </si>
  <si>
    <t>Rente nieuwe 10 jaars lening</t>
  </si>
  <si>
    <t>Quick ratio</t>
  </si>
  <si>
    <t xml:space="preserve">Boekwinst verkopen materiele vaste activa </t>
  </si>
  <si>
    <t>Saldo bouwgrond</t>
  </si>
  <si>
    <t>(Im-)materiële vaste activa</t>
  </si>
  <si>
    <t>Opbrengst verkoop bezit</t>
  </si>
  <si>
    <t>in exploitatie result.</t>
  </si>
  <si>
    <t>Netto schuldquote (incl. uitgeleend geld)</t>
  </si>
  <si>
    <t>Opbrengst verkoop 2025</t>
  </si>
  <si>
    <t>Gooise Meren</t>
  </si>
  <si>
    <t>Baten v. mutatie reserves incl. bouwgrondexpl.</t>
  </si>
  <si>
    <t>Lasten v. mutatie reserves incl. kostprijs verk. bouwgrond</t>
  </si>
  <si>
    <t>Economische groei -/- groei inw. NL</t>
  </si>
  <si>
    <t>Niet in exploitatie genomen grond</t>
  </si>
  <si>
    <t>Onderh.werk bouwgrondexploitatie</t>
  </si>
  <si>
    <t>Netto schuld / inw.</t>
  </si>
  <si>
    <t>Ombuiging investeringen (im)materiële activa + invest.bijdragen derden</t>
  </si>
  <si>
    <t>Afname onderhanden werk (kst.pr.verkopen)</t>
  </si>
  <si>
    <t>Overige belastingen</t>
  </si>
  <si>
    <t>Bijstand</t>
  </si>
  <si>
    <t>Overige specifieke &amp; decentr. uitkeringen</t>
  </si>
  <si>
    <t>Groeivoet lopende uitgaven</t>
  </si>
  <si>
    <t>Inkomsten voor bestemming reserves en excl. rente, boekwinst verk. activa, bouwgrondexploitatie (a)</t>
  </si>
  <si>
    <t>Rente-inkomsten (b)</t>
  </si>
  <si>
    <t>Boekwinst (verkoop) vaste materiele en financiele activa (d)</t>
  </si>
  <si>
    <t xml:space="preserve">Baten bouwgrond (c) </t>
  </si>
  <si>
    <t>Lopende uitgaven excl. rente, afschrijvingen, investeringen, bouwgrondexploitatie (f)</t>
  </si>
  <si>
    <t>Rente-uitgaven (g)</t>
  </si>
  <si>
    <t>Lasten bouwgrond (h)</t>
  </si>
  <si>
    <t>Afschrijvingen (i)</t>
  </si>
  <si>
    <t>Mutatie voorzieningen (j)</t>
  </si>
  <si>
    <t>Baten voor mutatie reserves (a + b + c + d + e)</t>
  </si>
  <si>
    <t>Boekwinst (verlies) overboeking / verkoop strategische gronden (e)</t>
  </si>
  <si>
    <t>Netto schuld excl.</t>
  </si>
  <si>
    <t>Inkomensmix</t>
  </si>
  <si>
    <t>DR</t>
  </si>
  <si>
    <t>NB</t>
  </si>
  <si>
    <t>NH</t>
  </si>
  <si>
    <t>GLD</t>
  </si>
  <si>
    <t>FR</t>
  </si>
  <si>
    <t>ZH</t>
  </si>
  <si>
    <t>OV</t>
  </si>
  <si>
    <t>FL</t>
  </si>
  <si>
    <t>UT</t>
  </si>
  <si>
    <t>GR</t>
  </si>
  <si>
    <t>LB</t>
  </si>
  <si>
    <t>Berg en Dal</t>
  </si>
  <si>
    <t>ZL</t>
  </si>
  <si>
    <t>De Fryske Marren</t>
  </si>
  <si>
    <t>1. Gemeente</t>
  </si>
  <si>
    <t>Onroerende zaak belasting niet-woningen</t>
  </si>
  <si>
    <t>Rente liquide middelen &amp; uitzettingen</t>
  </si>
  <si>
    <t>Rente nieuw doorgeleend geld</t>
  </si>
  <si>
    <t>Immateriële vaste activa (incl.bijdr.activa derden)</t>
  </si>
  <si>
    <t>Vaste activa</t>
  </si>
  <si>
    <t>Vlottende activa</t>
  </si>
  <si>
    <t>Vlottende passiva</t>
  </si>
  <si>
    <t>Vaste Passiva</t>
  </si>
  <si>
    <t>Boekwinst overboeking NIEGG naar onderhandenwerk</t>
  </si>
  <si>
    <t>Afhankelijkheidsratio</t>
  </si>
  <si>
    <t>2018</t>
  </si>
  <si>
    <t>2019</t>
  </si>
  <si>
    <t>2. Groei inwoners</t>
  </si>
  <si>
    <t>4. Groei bedrijfsvestigingen</t>
  </si>
  <si>
    <t>Gemeente bevolkingsprognose</t>
  </si>
  <si>
    <t>Ratio's exploitatie</t>
  </si>
  <si>
    <t xml:space="preserve">Eigen bijdragen WMO &amp; Jeugd </t>
  </si>
  <si>
    <t xml:space="preserve">Inflatie CPI </t>
  </si>
  <si>
    <t xml:space="preserve">Trendmatige economische groei </t>
  </si>
  <si>
    <t>Totaal ombuigingen</t>
  </si>
  <si>
    <t>Meijerijstad</t>
  </si>
  <si>
    <t>Investering 2026</t>
  </si>
  <si>
    <t>Opbrengst verkoop 2026</t>
  </si>
  <si>
    <t>0. Provincie</t>
  </si>
  <si>
    <t>Vorderingen &amp; debiteuren</t>
  </si>
  <si>
    <t xml:space="preserve">Kortlopende uitzettingen &amp; liquide middelen </t>
  </si>
  <si>
    <t>Begeleid wonen</t>
  </si>
  <si>
    <t>Voogdij jeugd 18+</t>
  </si>
  <si>
    <t>Resultaat exploitatie in % van baten</t>
  </si>
  <si>
    <t>Bruto rentedruk in % van baten</t>
  </si>
  <si>
    <t>Onbenutte belastingcapaciteit in % baten</t>
  </si>
  <si>
    <t>Primair surplus in % baten</t>
  </si>
  <si>
    <t>Ombuigingsrelevante lopende uitg. in % van lasten</t>
  </si>
  <si>
    <t>Bedrijfsvestigingen 2017</t>
  </si>
  <si>
    <t>Bedrijfsvestigingen 2013</t>
  </si>
  <si>
    <t>Bedrijfsvestigingen 2014</t>
  </si>
  <si>
    <t>Bedrijfsvestigingen 2015</t>
  </si>
  <si>
    <t>Bedrijfsvestigingen 2016</t>
  </si>
  <si>
    <t>Effectieve netto schuldquote</t>
  </si>
  <si>
    <t>Netto investeringsquote</t>
  </si>
  <si>
    <t>2. Baten bouwgrond gem.</t>
  </si>
  <si>
    <t>3. Lasten bouwgrond gem.</t>
  </si>
  <si>
    <t>Prijspeil binnenlands bruto product</t>
  </si>
  <si>
    <t>Exploitatieresultaat</t>
  </si>
  <si>
    <t xml:space="preserve">Prijspeil beloning werknemers </t>
  </si>
  <si>
    <t>Prijspeil bruto binnenlandsproduct</t>
  </si>
  <si>
    <t>5. Investeringen</t>
  </si>
  <si>
    <t>Netto lasten per inwoner</t>
  </si>
  <si>
    <t xml:space="preserve">Ombuigingsrelevante netto lasten </t>
  </si>
  <si>
    <t xml:space="preserve">Totaal ombuigingen 5 jaar in constante prijzen </t>
  </si>
  <si>
    <t>Vorderingen en debiteuren</t>
  </si>
  <si>
    <t>Kortlopende uitzettingen en liquide middelen</t>
  </si>
  <si>
    <t>Kortlopende schuld en RC krediet</t>
  </si>
  <si>
    <t>Kortlopende leningen &amp; rek.courant krediet</t>
  </si>
  <si>
    <t>3. Klasse structuur</t>
  </si>
  <si>
    <t>Voorraadquote (inclusief NIEG)</t>
  </si>
  <si>
    <t>Meierijstad</t>
  </si>
  <si>
    <t>1. Gemeenten</t>
  </si>
  <si>
    <t>Totaal netto vermogen</t>
  </si>
  <si>
    <t>4. Afschrijvingslasten</t>
  </si>
  <si>
    <t>Overige leges</t>
  </si>
  <si>
    <t>Aandeel overdachten ex bijstand van baten</t>
  </si>
  <si>
    <t>Inkomsten val 20% rijksoverdrachten</t>
  </si>
  <si>
    <t>Aandeel overige inkomsten baten</t>
  </si>
  <si>
    <t xml:space="preserve">Aandeel lopende uitgaven ex bijstand </t>
  </si>
  <si>
    <t>Prijspeil netto materieel</t>
  </si>
  <si>
    <t xml:space="preserve">Groei uitgaven is gelijk aan loonstijging &amp; groei inwoners </t>
  </si>
  <si>
    <t>Altena</t>
  </si>
  <si>
    <t>Beekdaelen</t>
  </si>
  <si>
    <t>Het Hogeland</t>
  </si>
  <si>
    <t>Hoeksche Waard</t>
  </si>
  <si>
    <t>Midden-Groningen</t>
  </si>
  <si>
    <t>Molenlanden</t>
  </si>
  <si>
    <t>Noardeast-Fryslân</t>
  </si>
  <si>
    <t>Vijfheerenlanden</t>
  </si>
  <si>
    <t>Waadhoeke</t>
  </si>
  <si>
    <t>West-Betuwe</t>
  </si>
  <si>
    <t>Westerkwartier</t>
  </si>
  <si>
    <t>Westerwolde</t>
  </si>
  <si>
    <t>Investering 2027</t>
  </si>
  <si>
    <t>Opbrengst verkoop 2027</t>
  </si>
  <si>
    <t>Investering 2028</t>
  </si>
  <si>
    <t>Opbrengst verkoop 2028</t>
  </si>
  <si>
    <t>Aflossing 2023</t>
  </si>
  <si>
    <t>Aflossing 2027</t>
  </si>
  <si>
    <t>Totale correctie grondopbrengst</t>
  </si>
  <si>
    <t xml:space="preserve">Netto opbrengst 5% </t>
  </si>
  <si>
    <t>Correctie 5%</t>
  </si>
  <si>
    <t>2. Kortgeldratio</t>
  </si>
  <si>
    <t>5. Voorraadquote</t>
  </si>
  <si>
    <t>6. Effectieve netto schuldquote</t>
  </si>
  <si>
    <t>Bedrijfsvestigingen 2018</t>
  </si>
  <si>
    <t>-</t>
  </si>
  <si>
    <t>2. Onroerendezaakbelasting</t>
  </si>
  <si>
    <t>3. Onroerendezaakbelasting woningen</t>
  </si>
  <si>
    <t>4. Onroerendezaakbelasting niet-woningen</t>
  </si>
  <si>
    <t>5. Parkeerheffingen</t>
  </si>
  <si>
    <t>6. Precariobelasting</t>
  </si>
  <si>
    <t>7. Toeristenbelasting</t>
  </si>
  <si>
    <t>8. Overige belastingen</t>
  </si>
  <si>
    <t>9. Rioolheffing</t>
  </si>
  <si>
    <t>10. Reinigingsrechten en afvalstoffenheffing</t>
  </si>
  <si>
    <t>11. Secretarieleges burgerzaken</t>
  </si>
  <si>
    <t>12. Begraafplaatsrechten</t>
  </si>
  <si>
    <t>13. Leges wonen en bouwen</t>
  </si>
  <si>
    <t>14. Overige leges</t>
  </si>
  <si>
    <t>15. WOZ waarde totaal onroerende zaken x 1000</t>
  </si>
  <si>
    <t>16. WOZ waarde woningen x 1000</t>
  </si>
  <si>
    <t>17. WOZ waarde niet-woningen x 1000</t>
  </si>
  <si>
    <t>18. Gemiddelde woningwaarde x 1000</t>
  </si>
  <si>
    <t>19. Belastingcapaciteit OZB tarief 0,1905%</t>
  </si>
  <si>
    <t>20. Onbenutte belastingcapaciteit OZB</t>
  </si>
  <si>
    <t>21. Onbenutte belastingcapaciteit OZB</t>
  </si>
  <si>
    <t>Begraafplaatsrechten</t>
  </si>
  <si>
    <t>Stijging lopende uitgaven 2021</t>
  </si>
  <si>
    <t>9. BBZ</t>
  </si>
  <si>
    <t>10. Onderwijsachterstanden</t>
  </si>
  <si>
    <t>Integratie-uitkering WSW oud, beschut werk nieuw en Wajong</t>
  </si>
  <si>
    <t>Lonen en salarissen inclusief sociale lasten</t>
  </si>
  <si>
    <t>Inkomstenregelingen (bijstand, wsw-oud etc) excl. afschrijvingslasten, lonen gemeente en rentelasten</t>
  </si>
  <si>
    <t>Zorg en jeugd excl. afschrijvingslasten, lonen gemeente en rentelasten</t>
  </si>
  <si>
    <t>Bestuur en ondersteuning excl. afschrijvingslasten, lonen gemeente en rentelasten</t>
  </si>
  <si>
    <t>Openbare orde &amp; veiligheid excl. afschrijvingslasten, lonen gemeente en rentelasten</t>
  </si>
  <si>
    <t>Onderwijs excl. afschrijvingslasten, lonen gemeente en rentelasten</t>
  </si>
  <si>
    <t>Economie excl. afschrijvingslasten, lonen gemeente en rentelasten</t>
  </si>
  <si>
    <t>Sport, cultuur en recreatie excl. afschrijvingslasten, lonen gemeente en rentelasten</t>
  </si>
  <si>
    <t>Volksgezondheid en milieu excl. afschrijvingslasten, lonen gemeente en rentelasten</t>
  </si>
  <si>
    <t>Volkshuisvesting excl. bouwgrondexploitatie, afschrijvingslasten, lonen gemeente en rentelasten</t>
  </si>
  <si>
    <t>Exploitatie</t>
  </si>
  <si>
    <t>Voorzieningenniveau</t>
  </si>
  <si>
    <t>Weerbaarheid</t>
  </si>
  <si>
    <t>Houdbaarheidsquote</t>
  </si>
  <si>
    <t>Rentestijging 2021 t.o.v. begin 2020</t>
  </si>
  <si>
    <t>Rentestijging 2022 t.o.v. begin 2020</t>
  </si>
  <si>
    <t>Rentestijging 2023 t.o.v. begin 2020</t>
  </si>
  <si>
    <t>Totale val aan baten in 2021</t>
  </si>
  <si>
    <t>Stijging lopende uitgaven 2022</t>
  </si>
  <si>
    <t>Groei zorgkosten</t>
  </si>
  <si>
    <t xml:space="preserve">Volumegroei zorgkosten </t>
  </si>
  <si>
    <t>Investering 2022</t>
  </si>
  <si>
    <t>Investering 2029</t>
  </si>
  <si>
    <t>Opbrengst verkoop 2029</t>
  </si>
  <si>
    <t>Aflossing 2025</t>
  </si>
  <si>
    <t xml:space="preserve">Gemiddeld rentepercentage restant 2026 </t>
  </si>
  <si>
    <t>Aflossing 2029</t>
  </si>
  <si>
    <t>Gemiddeld rentepercentage restant 2029</t>
  </si>
  <si>
    <t>Inkomsten val 11% overige inkomsten</t>
  </si>
  <si>
    <t>excl.bouwgrondexpl.</t>
  </si>
  <si>
    <t>incl.bouwgrondexpl.</t>
  </si>
  <si>
    <t>Klasse centrumfunctie &amp; sociale structuur</t>
  </si>
  <si>
    <t>Langlopende uitgezette leningen</t>
  </si>
  <si>
    <t>Lasten voor mutatie reserves (f + g + h + i + j)</t>
  </si>
  <si>
    <t xml:space="preserve">Groei inkomsten is gelijk aan prijspeil BBP &amp; economische groei gecorrigeerd voor bevolkingsgroei gemeente  </t>
  </si>
  <si>
    <t>Bedrijfsvestigingen 2019</t>
  </si>
  <si>
    <t>Leges wonen en bouwen</t>
  </si>
  <si>
    <t>6. Lonen en salarissen</t>
  </si>
  <si>
    <t>Inwoners 31 dec 2016</t>
  </si>
  <si>
    <t>Inwoners 31 december 2017</t>
  </si>
  <si>
    <t>Vermogenspositie</t>
  </si>
  <si>
    <r>
      <t>Financi</t>
    </r>
    <r>
      <rPr>
        <b/>
        <sz val="14"/>
        <color theme="1"/>
        <rFont val="Calibri"/>
        <family val="2"/>
      </rPr>
      <t>ë</t>
    </r>
    <r>
      <rPr>
        <b/>
        <sz val="14"/>
        <color theme="1"/>
        <rFont val="Calibri"/>
        <family val="2"/>
        <scheme val="minor"/>
      </rPr>
      <t>le conditie index</t>
    </r>
  </si>
  <si>
    <t>2. Immateriele activa</t>
  </si>
  <si>
    <t>3. Gronden &amp; terreinen</t>
  </si>
  <si>
    <t>4. Materiele vaste activa</t>
  </si>
  <si>
    <t>5. Kapitaalverstrekkingen</t>
  </si>
  <si>
    <t>6. Leningen aan verbonden partijen</t>
  </si>
  <si>
    <t>7. Leningen aan derden</t>
  </si>
  <si>
    <t>8. Langlopende uitzettingen</t>
  </si>
  <si>
    <t>9. Onderhanden werk</t>
  </si>
  <si>
    <t>10. Overige voorraden</t>
  </si>
  <si>
    <t>11. Vorderingen &amp; debiteuren</t>
  </si>
  <si>
    <t>12. Kortlopende uitzettingen &amp; liquide middelen</t>
  </si>
  <si>
    <t>13. Overlopende activa</t>
  </si>
  <si>
    <t>14. Reserves</t>
  </si>
  <si>
    <t>15. Voorzieningen</t>
  </si>
  <si>
    <t>16. Langlopende leningen</t>
  </si>
  <si>
    <t>17. Overige langlopende schulden</t>
  </si>
  <si>
    <t>18. Kortlopende leningen &amp; rek.courant krediet</t>
  </si>
  <si>
    <t>19. Crediteuren</t>
  </si>
  <si>
    <t>20. Overlopende passiva</t>
  </si>
  <si>
    <t>Aansl.verschil expl.</t>
  </si>
  <si>
    <t xml:space="preserve">22. Exploitatieresutaat </t>
  </si>
  <si>
    <t>23. Baten totaal</t>
  </si>
  <si>
    <t>24. Lasten totaal</t>
  </si>
  <si>
    <t>25. Netto investeringen 2016-2019</t>
  </si>
  <si>
    <t>26. Onbenutte belastingcapaciteit</t>
  </si>
  <si>
    <t>27. Overdrachten rijk</t>
  </si>
  <si>
    <t>28. Inwoners eind 2019</t>
  </si>
  <si>
    <t>3. Netto schuldquote</t>
  </si>
  <si>
    <t>Exploit 2017</t>
  </si>
  <si>
    <t>Exploit 2018</t>
  </si>
  <si>
    <t>4. Uitleenquote</t>
  </si>
  <si>
    <t>7. Solvabiliteitsratio</t>
  </si>
  <si>
    <t>8. Exploitatieresultaat</t>
  </si>
  <si>
    <t>11. Aantal negatief</t>
  </si>
  <si>
    <t>12. Netto investeringsquote</t>
  </si>
  <si>
    <t>13. Onbenutte belastingcapaciteit</t>
  </si>
  <si>
    <t>14. Afhankelijkheidsratio</t>
  </si>
  <si>
    <t>15. Netto lasten</t>
  </si>
  <si>
    <t>17. Houdbaarheidsquote</t>
  </si>
  <si>
    <t>18. FCI</t>
  </si>
  <si>
    <t>16. Houdbaarheidstekort</t>
  </si>
  <si>
    <t>Kasgeldratio</t>
  </si>
  <si>
    <t>Gronden en terreinen</t>
  </si>
  <si>
    <t>Uitkomsten scenario</t>
  </si>
  <si>
    <t>Rentestijging 2022 t.o.v. begin 2021</t>
  </si>
  <si>
    <t>Rentestijging 2023 t.o.v. begin 2021</t>
  </si>
  <si>
    <t>Rentestijging 2024 t.o.v. begin 2021</t>
  </si>
  <si>
    <t>Val baten uit overdrachten ex bijstand 2022 in %</t>
  </si>
  <si>
    <t>Val baten uit overige inkomsten 2022 in %</t>
  </si>
  <si>
    <t>Val opbrengst grondexpl. 2022</t>
  </si>
  <si>
    <t>Val opbrengst grondexpl. vanaf 2023</t>
  </si>
  <si>
    <t>Doelzoeken</t>
  </si>
  <si>
    <t>Negatieve resultaten in laatste 3 jaar</t>
  </si>
  <si>
    <t xml:space="preserve">Macrogegevens </t>
  </si>
  <si>
    <t>Trend 2022-2026</t>
  </si>
  <si>
    <t>18. Belastingcapaciteit OZB tarief 0,1853%</t>
  </si>
  <si>
    <t>19. Onbenutte belastingcapaciteit OZB</t>
  </si>
  <si>
    <t>Lasten v mutatie reserves 2021</t>
  </si>
  <si>
    <t>18. Belastingcapaciteit OZB tarief 0,1809%</t>
  </si>
  <si>
    <t>15. WOZ waarde woningen 2020 x mln.</t>
  </si>
  <si>
    <t>17. WOZ waarde niet-woningen 2020 x mln.</t>
  </si>
  <si>
    <t>16. WOZ waarde woningen herwaard. x mln</t>
  </si>
  <si>
    <t>.</t>
  </si>
  <si>
    <t>Eemsdelta</t>
  </si>
  <si>
    <t>'s-Gravenhage (gemeente)</t>
  </si>
  <si>
    <t>Groningen (gemeente)</t>
  </si>
  <si>
    <t>Hengelo (O.)</t>
  </si>
  <si>
    <t>'s-Hertogenbosch</t>
  </si>
  <si>
    <t>Laren (NH.)</t>
  </si>
  <si>
    <t>Middelburg (Z.)</t>
  </si>
  <si>
    <t>Rijswijk (ZH.)</t>
  </si>
  <si>
    <t>Stein (L.)</t>
  </si>
  <si>
    <t>Utrecht (gemeente)</t>
  </si>
  <si>
    <t>Pachten</t>
  </si>
  <si>
    <t>Huren</t>
  </si>
  <si>
    <t>Dividenden en winsten</t>
  </si>
  <si>
    <t>Lonen taakveld 0</t>
  </si>
  <si>
    <t>Lonen taakveld 1</t>
  </si>
  <si>
    <t>Lonen taakveld 2</t>
  </si>
  <si>
    <t>Lonen taakveld 3</t>
  </si>
  <si>
    <t>Lonen taakveld 4</t>
  </si>
  <si>
    <t>Lonen taakveld 5</t>
  </si>
  <si>
    <t>Lonen taakveld 7</t>
  </si>
  <si>
    <t>Lonen taakveld 8</t>
  </si>
  <si>
    <t>Lonen grondexploitatie</t>
  </si>
  <si>
    <t>Afschrijvingen taakveld 0</t>
  </si>
  <si>
    <t>Afschrijvingen taakveld 1</t>
  </si>
  <si>
    <t>Afschrijvingen taakveld 2</t>
  </si>
  <si>
    <t>Afschrijvingen taakveld 3</t>
  </si>
  <si>
    <t>Afschrijvingen taakveld 4</t>
  </si>
  <si>
    <t>Afschrijvingen taakveld 5</t>
  </si>
  <si>
    <t>Afschrijvingen taakveld 7</t>
  </si>
  <si>
    <t>Afschrijvingen taakveld 8</t>
  </si>
  <si>
    <t>Afschrijvingen grondexploitatie</t>
  </si>
  <si>
    <t>Lasten taakveld 0 ex rente</t>
  </si>
  <si>
    <t>Lasten taakveld 1 ex rente</t>
  </si>
  <si>
    <t>Lasten taakveld 2 ex rente</t>
  </si>
  <si>
    <t>Lasten taakveld 3 ex rente</t>
  </si>
  <si>
    <t>Lasten taakveld 4 ex rente</t>
  </si>
  <si>
    <t>Lasten taakveld 5 ex rente</t>
  </si>
  <si>
    <t>Lasten taakveld 7 ex rente</t>
  </si>
  <si>
    <t>Lasten taakveld 8 ex rente en grondex</t>
  </si>
  <si>
    <t>Lasten grondexploitatie</t>
  </si>
  <si>
    <t>Lasten taakveld 6 zorg</t>
  </si>
  <si>
    <t>CBS</t>
  </si>
  <si>
    <t>2. Gemeentefonds</t>
  </si>
  <si>
    <t>3. Algemene uitkering</t>
  </si>
  <si>
    <t>5. Beschermd wonen</t>
  </si>
  <si>
    <t>4. Voogdij 18+</t>
  </si>
  <si>
    <t>7. DU + inburgering + raadsledenverg</t>
  </si>
  <si>
    <t>8. Gebundelde uitkering Participatiewet</t>
  </si>
  <si>
    <t>11. Overige overdrachten Rijk</t>
  </si>
  <si>
    <t>Decentralisatie-uitkeringen incl. inburgering en raadsledenverg.</t>
  </si>
  <si>
    <t>Klasse</t>
  </si>
  <si>
    <t>21. Baten v mut reserves 2020</t>
  </si>
  <si>
    <t>22. Onbenutte belastingcapaciteit 2020</t>
  </si>
  <si>
    <t>exploitatieresult.op rij</t>
  </si>
  <si>
    <t>Lasten taakveld 6 werk</t>
  </si>
  <si>
    <t>Totale lasten 2021</t>
  </si>
  <si>
    <t>Lonen taakveld 6 werk</t>
  </si>
  <si>
    <t>Lonen taakveld 6 zorg</t>
  </si>
  <si>
    <t>Afschrivingejn taakveld 6 werk</t>
  </si>
  <si>
    <t>Afschrijvingen taakveld 6 zorg</t>
  </si>
  <si>
    <t>2. Lonen en salarissen</t>
  </si>
  <si>
    <t>3. Afschrijvingen</t>
  </si>
  <si>
    <t>4. Rente</t>
  </si>
  <si>
    <t xml:space="preserve">5. Lasten taakveld 0 </t>
  </si>
  <si>
    <t>6. Lasten taakveld 1</t>
  </si>
  <si>
    <t>7. Lasten taakveld 2</t>
  </si>
  <si>
    <t>8. Lasten taakveld 3</t>
  </si>
  <si>
    <t>9. Lasten taakveld 4</t>
  </si>
  <si>
    <t>10. Lasten taakveld 5</t>
  </si>
  <si>
    <t>11. Lasten taakveld 6 werk</t>
  </si>
  <si>
    <t>12. Lasten taakveld 6 zorg</t>
  </si>
  <si>
    <t>13. Lasten taakveld 7</t>
  </si>
  <si>
    <t>14. Lasten taakveld 8</t>
  </si>
  <si>
    <t>Verkeer en vervoer excl. afschrijvingslasten, lonen gemeente en rentelasten</t>
  </si>
  <si>
    <t>Inwoners 31 december 2018</t>
  </si>
  <si>
    <t>Materiele activa 2017 incl NIEG</t>
  </si>
  <si>
    <t>Materiele activa 2018 incl NIEG</t>
  </si>
  <si>
    <t>Materiele activa 2019 incl NIEG</t>
  </si>
  <si>
    <t>Netto lasten</t>
  </si>
  <si>
    <t>laag onder</t>
  </si>
  <si>
    <t>laag boven</t>
  </si>
  <si>
    <t>midden onder</t>
  </si>
  <si>
    <t>midden boven</t>
  </si>
  <si>
    <t>hoog onder</t>
  </si>
  <si>
    <t>hoog boven</t>
  </si>
  <si>
    <t xml:space="preserve">Sign.wrd </t>
  </si>
  <si>
    <t>mid onder</t>
  </si>
  <si>
    <t>mid boven</t>
  </si>
  <si>
    <t>onder</t>
  </si>
  <si>
    <t>boven</t>
  </si>
  <si>
    <t>8. Exploitatieresultaat 2020</t>
  </si>
  <si>
    <t>Exploitatieresultaat 2019</t>
  </si>
  <si>
    <t>Exploitatieresultaat 2018</t>
  </si>
  <si>
    <t>2. Kasgeldratio</t>
  </si>
  <si>
    <t>Materiële activa 2016 incl. NIEG</t>
  </si>
  <si>
    <t>Materiële activa 2014 incl. NIEG</t>
  </si>
  <si>
    <t>Materiële activa 2015 incl. NIEG</t>
  </si>
  <si>
    <t>Inwoners 31 december 2019</t>
  </si>
  <si>
    <t>5. Afschrijvingen</t>
  </si>
  <si>
    <t xml:space="preserve">22. Exploitatieresutaat balans </t>
  </si>
  <si>
    <t>25. Exploitatieresultaat</t>
  </si>
  <si>
    <t>26. Netto investeringen 2017-2020</t>
  </si>
  <si>
    <t>27. Onbenutte belastingcapaciteit</t>
  </si>
  <si>
    <t>28. Overdrachten rijk</t>
  </si>
  <si>
    <t>29. Netto lasten</t>
  </si>
  <si>
    <t>30. Inwoners eind 2020</t>
  </si>
  <si>
    <t>Stijging lopende uitgaven 2022 in %</t>
  </si>
  <si>
    <t>Stijging lopende uitgaven 2023 in %</t>
  </si>
  <si>
    <t>16. Houdbaarheidsquote</t>
  </si>
  <si>
    <t>Mutaties</t>
  </si>
  <si>
    <t>Inkomensmutatie</t>
  </si>
  <si>
    <t>accrescorrectie</t>
  </si>
  <si>
    <t>Lastenmutatie</t>
  </si>
  <si>
    <t>Dijk en Waard</t>
  </si>
  <si>
    <t>Land van Cuijk</t>
  </si>
  <si>
    <t>Maashorst</t>
  </si>
  <si>
    <t>6. Participatie</t>
  </si>
  <si>
    <t>12. Overdrachten Rijk</t>
  </si>
  <si>
    <t>13. Pachten</t>
  </si>
  <si>
    <t>14. Huren</t>
  </si>
  <si>
    <t>15. Dividenden &amp; winsten</t>
  </si>
  <si>
    <t>Begroting 2022</t>
  </si>
  <si>
    <t>Parkeerheffingen</t>
  </si>
  <si>
    <t>Jaarrek. 2021</t>
  </si>
  <si>
    <t>Afschrijvingslasten (im-)materiële activa 2022</t>
  </si>
  <si>
    <t>Exploitatie 2022</t>
  </si>
  <si>
    <t>Ombuigingspercentage per jaar</t>
  </si>
  <si>
    <t>17. Baten v mutatie reserves 2022</t>
  </si>
  <si>
    <t>18. Lasten v mutatie reserves 2022</t>
  </si>
  <si>
    <t>19. Baten v mutatie reserves 2021</t>
  </si>
  <si>
    <t>20. Lasten v mutatie reserves 2021</t>
  </si>
  <si>
    <t>16. Bouwgrondexploitatie</t>
  </si>
  <si>
    <t>1.Gemeente</t>
  </si>
  <si>
    <t>2.Lasten excl afschr, bouwgrond en rente.</t>
  </si>
  <si>
    <t>3.Voogdij 18+</t>
  </si>
  <si>
    <t>4.Beschermd wonen</t>
  </si>
  <si>
    <t>5.Participatie</t>
  </si>
  <si>
    <t>6.DU + inburgering + raadsledenverg</t>
  </si>
  <si>
    <t>7.Gebundelde uitkering Participatiewet</t>
  </si>
  <si>
    <t>8.Overige overdrachten Rijk</t>
  </si>
  <si>
    <t>9.Rioolheffing</t>
  </si>
  <si>
    <t>10.Reinigingsrechten en afvalstoffenheffing</t>
  </si>
  <si>
    <t>11.Secretarieleges burgerzaken</t>
  </si>
  <si>
    <t>12.Begraafplaatsrechten</t>
  </si>
  <si>
    <t>13.Leges wonen en bouwen</t>
  </si>
  <si>
    <t>14.Overige leges</t>
  </si>
  <si>
    <t>6. Participatie incl TOZO</t>
  </si>
  <si>
    <t>13. Baten v mutatie reserves 2021</t>
  </si>
  <si>
    <t>14. Lasten v mutatie reserves 2021</t>
  </si>
  <si>
    <t>15.Resultaat 2021</t>
  </si>
  <si>
    <t>12. Overdrachten Rijk 2021</t>
  </si>
  <si>
    <t>16. Afhankelijkheidsratio 2021</t>
  </si>
  <si>
    <t>17. Huren en pachten</t>
  </si>
  <si>
    <t>21. Baten v mutatie reserves 2021</t>
  </si>
  <si>
    <t>22. Onbenutte belastingcapaciteit 2021</t>
  </si>
  <si>
    <t>22. Baten v.mut.reserves</t>
  </si>
  <si>
    <t>23. Onbenutte belastingcapaciteit</t>
  </si>
  <si>
    <t>1. Rijksoverdrachten</t>
  </si>
  <si>
    <t>2. OZB</t>
  </si>
  <si>
    <t>3. Riool rechten</t>
  </si>
  <si>
    <t>4. Afvalstoffenheffing</t>
  </si>
  <si>
    <t xml:space="preserve">5. Bouwgrond </t>
  </si>
  <si>
    <t>6. Overige belastingen</t>
  </si>
  <si>
    <t>7. Overige rechten &amp; leges</t>
  </si>
  <si>
    <t>8. Rente en dividend</t>
  </si>
  <si>
    <t>9. Overige eigen inkomsten</t>
  </si>
  <si>
    <t>Inwoners eind 2021</t>
  </si>
  <si>
    <t>Rentestijging 2023 t.o.v. begin 2022</t>
  </si>
  <si>
    <t>Rentestijging 2024 t.o.v. begin 2022</t>
  </si>
  <si>
    <t>Ombuigingspercentage per jaar vanaf 2023 t/m 2027</t>
  </si>
  <si>
    <t>Ombuiging investeringen vanaf 2023</t>
  </si>
  <si>
    <t>Afschrijving leningen derden 2023</t>
  </si>
  <si>
    <t xml:space="preserve">Afschrijving leningen verbonden partijen 2023 </t>
  </si>
  <si>
    <t>Val opbrengst bouwgrondexpl. vanaf 2024 in %</t>
  </si>
  <si>
    <t>Val opbrengst bouwgrondexpl. 2023 in %</t>
  </si>
  <si>
    <t xml:space="preserve">Stijging lopende uitgaven ex bijstand 2024 in % </t>
  </si>
  <si>
    <t>Stijging lopende uitgaven ex bijstand 2023 in %</t>
  </si>
  <si>
    <t>Val baten 2023 uit overige inkomsten in %</t>
  </si>
  <si>
    <t>Val baten 2023 uit overdrachten ex bijstand in %</t>
  </si>
  <si>
    <t>Rentestijging 2025 t.o.v. begin 2022</t>
  </si>
  <si>
    <t>5. Inwoners 31 december 2021</t>
  </si>
  <si>
    <t>Inwoners 31 december 2020</t>
  </si>
  <si>
    <t>2. Lasten v. mut. reserves excl. toegerek. rente</t>
  </si>
  <si>
    <t>3. Lasten bouwgrond</t>
  </si>
  <si>
    <t>7. Bestuur &amp; ondersteuning ex</t>
  </si>
  <si>
    <t>8. Veiligheid ex</t>
  </si>
  <si>
    <t>9. Verkeer &amp; vervoer ex</t>
  </si>
  <si>
    <t>10. Economie ex</t>
  </si>
  <si>
    <t>11. Onderwijs ex</t>
  </si>
  <si>
    <t>12. Sport, Cultuur &amp; Recreatie ex</t>
  </si>
  <si>
    <t>13. Participatie ex</t>
  </si>
  <si>
    <t>14. Zorg &amp; Jeugd ex</t>
  </si>
  <si>
    <t>15. Volksgezondheid &amp; milieu ex</t>
  </si>
  <si>
    <t>16. Volkshuisvesting ex</t>
  </si>
  <si>
    <t>6. Baten bouwgrond 2022</t>
  </si>
  <si>
    <t>7. Lasten bouwgrond 2022</t>
  </si>
  <si>
    <t>2020 tot 2025</t>
  </si>
  <si>
    <t>2025 tot 2030</t>
  </si>
  <si>
    <t>2030 tot 2035</t>
  </si>
  <si>
    <t>2035 tot 2040</t>
  </si>
  <si>
    <t>2040 tot 2045</t>
  </si>
  <si>
    <t>2045 tot 2050</t>
  </si>
  <si>
    <t>2. Lasten ex. afschr, rente &amp; grondexploit.</t>
  </si>
  <si>
    <t>3. Overdrachten</t>
  </si>
  <si>
    <t>4. Rioolheffing</t>
  </si>
  <si>
    <t>5. Afvalstoffenheffing</t>
  </si>
  <si>
    <t>6. Begraafplaatsrechten</t>
  </si>
  <si>
    <t>7. Secretarieleges</t>
  </si>
  <si>
    <t>8. Bouwleges</t>
  </si>
  <si>
    <t>9. Overige leges</t>
  </si>
  <si>
    <t>10. Toeristenbelasting</t>
  </si>
  <si>
    <t>11. Parkeerbelasting</t>
  </si>
  <si>
    <t>14. Netto lasten per inwoner</t>
  </si>
  <si>
    <t>8. Baten bouwgrond 2012</t>
  </si>
  <si>
    <t>9. Lasten bouwgrond 2012</t>
  </si>
  <si>
    <t>10. Baten bouwgrond 2013</t>
  </si>
  <si>
    <t>11. Lasten bouwgrond 2013</t>
  </si>
  <si>
    <t>12. Baten bouwgrond 2014</t>
  </si>
  <si>
    <t>13. Lasten bouwgrond 2014</t>
  </si>
  <si>
    <t>14. Baten bouwgrond 2015</t>
  </si>
  <si>
    <t>15. Lasten bouwgrond 2015</t>
  </si>
  <si>
    <t>16. Baten bouwgrond 2016</t>
  </si>
  <si>
    <t>17. Lasten bouwgrond 2016</t>
  </si>
  <si>
    <t>18. Baten bouwgrond 2017</t>
  </si>
  <si>
    <t>19. Lasten bouwgrond 2017</t>
  </si>
  <si>
    <t>20. Baten bouwgrond 2018</t>
  </si>
  <si>
    <t>21. Lasten bouwgrond 2018</t>
  </si>
  <si>
    <t>22. Baten bouwgrond 2019</t>
  </si>
  <si>
    <t>23. Lasten bouwgrond 2019</t>
  </si>
  <si>
    <t>24. baten bouwgrond 2020</t>
  </si>
  <si>
    <t>25. Lasten bouwgrond 2020</t>
  </si>
  <si>
    <t>26. Inwoners eind 2021</t>
  </si>
  <si>
    <t>27. Materiele activa 2017 incl. NIEG</t>
  </si>
  <si>
    <t>28. Materiele activa 2018 incl NIEG</t>
  </si>
  <si>
    <t>Groei inwoners Nederland per jaar 2022-2035</t>
  </si>
  <si>
    <t xml:space="preserve">Groei inwoners gemeente per jaar 2022-2035 </t>
  </si>
  <si>
    <t>Beginbalans 1 januari 2022</t>
  </si>
  <si>
    <t>Investeringen per inwoner 2022</t>
  </si>
  <si>
    <t>Investering 2023</t>
  </si>
  <si>
    <t xml:space="preserve">Investering 2025 </t>
  </si>
  <si>
    <t>Investering 2030</t>
  </si>
  <si>
    <t>Opbrengst verkoop 2030</t>
  </si>
  <si>
    <t>Investering 2031</t>
  </si>
  <si>
    <t>Opbrengst verkoop 2031</t>
  </si>
  <si>
    <t>Aflossing 2022</t>
  </si>
  <si>
    <t>Gemiddeld rentepercentage 2022</t>
  </si>
  <si>
    <t xml:space="preserve">Gemiddeld rentepercentage restant 2023 </t>
  </si>
  <si>
    <t xml:space="preserve">Aflossing 2024 </t>
  </si>
  <si>
    <t>Gemiddeld rentepercentage restant 2024</t>
  </si>
  <si>
    <t>Gemiddeld rentepercentage restant 2025</t>
  </si>
  <si>
    <t>Aflossing 2026</t>
  </si>
  <si>
    <t xml:space="preserve">Gemiddeld rentepercentage restant 2027 </t>
  </si>
  <si>
    <t xml:space="preserve">Gemiddeld rentepercentage restant 2028 </t>
  </si>
  <si>
    <t xml:space="preserve">Aflossing 2028 </t>
  </si>
  <si>
    <t>Aflossing 2030</t>
  </si>
  <si>
    <t>Gemiddeld rentepercentage restant 2030</t>
  </si>
  <si>
    <t>Aflossing 2031</t>
  </si>
  <si>
    <t>Gemiddeld rentepercentage restant 2031</t>
  </si>
  <si>
    <t>15.Toeristenbelasting</t>
  </si>
  <si>
    <t>16. Parkeerbelasting</t>
  </si>
  <si>
    <t>15.Klasse</t>
  </si>
  <si>
    <t>EMU saldo 2022 (rood = EMU-tekort)</t>
  </si>
  <si>
    <t>Precario</t>
  </si>
  <si>
    <t>Slechtweer</t>
  </si>
  <si>
    <t>18. Pachten 2021</t>
  </si>
  <si>
    <t>19. Houdbaarheidsquote 2021</t>
  </si>
  <si>
    <t>17. Pachten</t>
  </si>
  <si>
    <t>18.Netto lasten</t>
  </si>
  <si>
    <t>19.Inwoners begin 2021</t>
  </si>
  <si>
    <t>20.Netto lasten per inwoner</t>
  </si>
  <si>
    <t>21. Afhankelijkheid 2022</t>
  </si>
  <si>
    <t>22. Houdbaarheidsquote 2022</t>
  </si>
  <si>
    <t>12. Pachten</t>
  </si>
  <si>
    <t>13. Netto lasten</t>
  </si>
  <si>
    <t>14. Inwoners begin 2022</t>
  </si>
  <si>
    <t>15. Netto lasten per inwoner</t>
  </si>
  <si>
    <t>16. Klasse</t>
  </si>
  <si>
    <r>
      <rPr>
        <sz val="10"/>
        <color theme="1"/>
        <rFont val="Calibri"/>
        <family val="2"/>
      </rPr>
      <t>©</t>
    </r>
    <r>
      <rPr>
        <sz val="10"/>
        <color theme="1"/>
        <rFont val="Arial"/>
        <family val="2"/>
      </rPr>
      <t xml:space="preserve"> Jan v.d. Lei, maart 2022</t>
    </r>
  </si>
  <si>
    <t>Nett</t>
  </si>
  <si>
    <t>CAO-loon marktsector</t>
  </si>
  <si>
    <t xml:space="preserve">Prijspeil CAO loon marktsector </t>
  </si>
  <si>
    <t>Groei uitgaven is gelijk aan 0,5 * pp netto materieel &amp; 0,5 * CAO loon markt &amp; 0,5 * economische groei &amp; 0,5 * groei inwoners gemeente</t>
  </si>
  <si>
    <t>Groei uitgaven is gelijk aan 0,5 * CPI &amp; 0,5 * CAO loon markt &amp; groei inwoners gemeente</t>
  </si>
  <si>
    <t>Groei uitgaven is gelijk aan 0,4 * pp netto materieel &amp; 0,6 * CAO loon markt &amp; groei inwoners gemeente</t>
  </si>
  <si>
    <t xml:space="preserve">Groei uitgaven is gelijk aan 0,6 * CAO loon markt &amp; 0,4 * CPI &amp; groei inwoners &amp; volumegroei zorg gecorrigeerd v. bevolkingsgroei gemeente </t>
  </si>
  <si>
    <t xml:space="preserve">Groei inkomsten is gelijk aan CPI &amp; groei inwoners </t>
  </si>
  <si>
    <t>Groei inkomsten is gelijk aan loonstijging &amp; groei inwoners gemeente</t>
  </si>
  <si>
    <t xml:space="preserve">Groei inkomsten is gelijk aan 0,5 * pp netto materieel &amp; 0,5 loonstijging &amp; groei inwoners gemeente  </t>
  </si>
  <si>
    <t>Groei inkomsten is gelijk aan CPI &amp; economische groei gecorr voor bevolkingsgroei &amp; groei inwoners gemeente</t>
  </si>
  <si>
    <t xml:space="preserve">Groei inkomsten is gelijk aan 0,3 * pp netto materieel &amp; 0,7 * loonstijging &amp; groei inwoners gemeente </t>
  </si>
  <si>
    <t>FCI 2022</t>
  </si>
  <si>
    <t xml:space="preserve">voor de gemeenten Ameland, Amsterdam, Rotterdam, Schiermonnikoog, s Gravenhage, Terschelling en  </t>
  </si>
  <si>
    <t xml:space="preserve">Door een extra vast bedrag in de algemene uitkering is de signalering op het kengetal netto lasten per inwoner </t>
  </si>
  <si>
    <t>Vlieland onjuist. De uitkomst van de Financiele conditie index moet bij deze gemeenten met 1 punt worden</t>
  </si>
  <si>
    <t>opgehoogd.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</si>
</sst>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 #,##0;&quot;€&quot;\ \-#,##0"/>
    <numFmt numFmtId="6" formatCode="&quot;€&quot;\ #,##0;[Red]&quot;€&quot;\ \-#,##0"/>
    <numFmt numFmtId="42" formatCode="_ &quot;€&quot;\ * #,##0_ ;_ &quot;€&quot;\ * \-#,##0_ ;_ &quot;€&quot;\ * &quot;-&quot;_ ;_ @_ "/>
    <numFmt numFmtId="44" formatCode="_ &quot;€&quot;\ * #,##0.00_ ;_ &quot;€&quot;\ * \-#,##0.00_ ;_ &quot;€&quot;\ * &quot;-&quot;??_ ;_ @_ "/>
    <numFmt numFmtId="43" formatCode="_ * #,##0.00_ ;_ * \-#,##0.00_ ;_ * &quot;-&quot;??_ ;_ @_ "/>
    <numFmt numFmtId="164" formatCode="_-&quot;€&quot;\ * #,##0_-;_-&quot;€&quot;\ * #,##0\-;_-&quot;€&quot;\ * &quot;-&quot;_-;_-@_-"/>
    <numFmt numFmtId="165" formatCode="0.0%"/>
    <numFmt numFmtId="166" formatCode="_-&quot;€&quot;\ * #,##0.0_-;_-&quot;€&quot;\ * #,##0.0\-;_-&quot;€&quot;\ * &quot;-&quot;?_-;_-@_-"/>
    <numFmt numFmtId="167" formatCode="&quot;€&quot;\ #,##0"/>
    <numFmt numFmtId="168" formatCode="&quot;€&quot;\ #,##0;[Red]&quot;€&quot;\ #,##0"/>
    <numFmt numFmtId="169" formatCode="#,##0_ ;[Red]\-#,##0\ "/>
    <numFmt numFmtId="170" formatCode="0.0"/>
    <numFmt numFmtId="171" formatCode="0.0000%"/>
    <numFmt numFmtId="172" formatCode="0.000000%"/>
    <numFmt numFmtId="173" formatCode="0.0000"/>
    <numFmt numFmtId="174" formatCode="0.000"/>
    <numFmt numFmtId="175" formatCode="#,##0_ ;\-#,##0\ "/>
    <numFmt numFmtId="176" formatCode="#,##0.0"/>
  </numFmts>
  <fonts count="26" x14ac:knownFonts="1">
    <font>
      <sz val="10"/>
      <color theme="1"/>
      <name val="Arial"/>
      <family val="2"/>
    </font>
    <font>
      <sz val="10"/>
      <name val="Arial"/>
      <family val="2"/>
    </font>
    <font>
      <b/>
      <sz val="8"/>
      <name val="Arial"/>
      <family val="2"/>
    </font>
    <font>
      <b/>
      <sz val="9"/>
      <color indexed="81"/>
      <name val="Tahoma"/>
      <family val="2"/>
    </font>
    <font>
      <b/>
      <sz val="10"/>
      <color theme="1"/>
      <name val="Arial"/>
      <family val="2"/>
    </font>
    <font>
      <sz val="10"/>
      <color rgb="FFFF0000"/>
      <name val="Arial"/>
      <family val="2"/>
    </font>
    <font>
      <sz val="10"/>
      <color theme="1"/>
      <name val="Calibri"/>
      <family val="2"/>
    </font>
    <font>
      <u val="singleAccounting"/>
      <sz val="10"/>
      <color theme="1"/>
      <name val="Arial"/>
      <family val="2"/>
    </font>
    <font>
      <sz val="8"/>
      <name val="Arial"/>
      <family val="2"/>
    </font>
    <font>
      <b/>
      <sz val="10"/>
      <name val="Arial"/>
      <family val="2"/>
    </font>
    <font>
      <sz val="11"/>
      <color indexed="8"/>
      <name val="Calibri"/>
      <family val="2"/>
      <scheme val="minor"/>
    </font>
    <font>
      <sz val="9"/>
      <color indexed="81"/>
      <name val="Tahoma"/>
      <family val="2"/>
    </font>
    <font>
      <sz val="9"/>
      <color theme="1"/>
      <name val="Arial"/>
      <family val="2"/>
    </font>
    <font>
      <u/>
      <sz val="10"/>
      <color theme="1"/>
      <name val="Arial"/>
      <family val="2"/>
    </font>
    <font>
      <sz val="10"/>
      <color theme="1"/>
      <name val="Arial"/>
      <family val="2"/>
    </font>
    <font>
      <b/>
      <u/>
      <sz val="10"/>
      <color theme="1"/>
      <name val="Arial"/>
      <family val="2"/>
    </font>
    <font>
      <sz val="10"/>
      <color theme="4" tint="0.79998168889431442"/>
      <name val="Arial"/>
      <family val="2"/>
    </font>
    <font>
      <b/>
      <sz val="8"/>
      <color theme="1"/>
      <name val="Arial"/>
      <family val="2"/>
    </font>
    <font>
      <b/>
      <sz val="12"/>
      <color theme="1"/>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4"/>
      <color theme="1"/>
      <name val="Calibri"/>
      <family val="2"/>
    </font>
    <font>
      <sz val="11"/>
      <color rgb="FF000000"/>
      <name val="Calibri"/>
      <family val="2"/>
      <scheme val="minor"/>
    </font>
    <font>
      <sz val="11"/>
      <color rgb="FF000000"/>
      <name val="Calibri"/>
      <family val="2"/>
    </font>
    <font>
      <b/>
      <sz val="10"/>
      <color theme="4" tint="0.79998168889431442"/>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s>
  <cellStyleXfs count="4">
    <xf numFmtId="0" fontId="0" fillId="0" borderId="0"/>
    <xf numFmtId="0" fontId="2" fillId="0" borderId="0" applyNumberFormat="0" applyFill="0" applyBorder="0" applyProtection="0"/>
    <xf numFmtId="0" fontId="10" fillId="0" borderId="0"/>
    <xf numFmtId="43" fontId="14" fillId="0" borderId="0" applyFont="0" applyFill="0" applyBorder="0" applyAlignment="0" applyProtection="0"/>
  </cellStyleXfs>
  <cellXfs count="369">
    <xf numFmtId="0" fontId="0" fillId="0" borderId="0" xfId="0"/>
    <xf numFmtId="0" fontId="4" fillId="2" borderId="0" xfId="0" applyFont="1" applyFill="1" applyProtection="1"/>
    <xf numFmtId="0" fontId="4" fillId="2" borderId="0" xfId="0" applyFont="1" applyFill="1" applyProtection="1">
      <protection hidden="1"/>
    </xf>
    <xf numFmtId="0" fontId="0" fillId="2" borderId="0" xfId="0" applyFill="1" applyProtection="1">
      <protection hidden="1"/>
    </xf>
    <xf numFmtId="165" fontId="0" fillId="2" borderId="0" xfId="0" applyNumberFormat="1" applyFill="1" applyProtection="1"/>
    <xf numFmtId="0" fontId="0" fillId="2" borderId="0" xfId="0" applyFill="1" applyProtection="1"/>
    <xf numFmtId="9" fontId="0" fillId="2" borderId="0" xfId="0" applyNumberFormat="1" applyFill="1" applyProtection="1">
      <protection hidden="1"/>
    </xf>
    <xf numFmtId="10" fontId="0" fillId="2" borderId="0" xfId="0" applyNumberFormat="1" applyFill="1" applyProtection="1">
      <protection hidden="1"/>
    </xf>
    <xf numFmtId="164" fontId="0" fillId="2" borderId="0" xfId="0" applyNumberFormat="1" applyFill="1" applyProtection="1"/>
    <xf numFmtId="9" fontId="0" fillId="2" borderId="0" xfId="0" applyNumberFormat="1" applyFill="1" applyProtection="1"/>
    <xf numFmtId="164" fontId="0" fillId="0" borderId="0" xfId="0" applyNumberFormat="1" applyFill="1" applyProtection="1">
      <protection locked="0"/>
    </xf>
    <xf numFmtId="164" fontId="0" fillId="2" borderId="0" xfId="0" applyNumberFormat="1" applyFill="1" applyProtection="1">
      <protection hidden="1"/>
    </xf>
    <xf numFmtId="0" fontId="0" fillId="2" borderId="0" xfId="0" applyFill="1" applyAlignment="1" applyProtection="1">
      <alignment horizontal="right"/>
      <protection hidden="1"/>
    </xf>
    <xf numFmtId="0" fontId="0" fillId="2" borderId="0" xfId="0" applyFill="1"/>
    <xf numFmtId="14" fontId="0" fillId="2" borderId="0" xfId="0" applyNumberFormat="1" applyFill="1"/>
    <xf numFmtId="164" fontId="0" fillId="2" borderId="0" xfId="0" applyNumberFormat="1" applyFill="1"/>
    <xf numFmtId="9" fontId="0" fillId="2" borderId="0" xfId="0" applyNumberFormat="1" applyFill="1"/>
    <xf numFmtId="165" fontId="0" fillId="2" borderId="0" xfId="0" applyNumberFormat="1" applyFill="1"/>
    <xf numFmtId="165" fontId="0" fillId="2" borderId="0" xfId="0" applyNumberFormat="1" applyFill="1" applyProtection="1">
      <protection hidden="1"/>
    </xf>
    <xf numFmtId="164" fontId="0" fillId="0" borderId="0" xfId="0" applyNumberFormat="1" applyFont="1" applyFill="1" applyProtection="1">
      <protection locked="0"/>
    </xf>
    <xf numFmtId="6" fontId="0" fillId="2" borderId="0" xfId="0" applyNumberFormat="1" applyFill="1" applyProtection="1">
      <protection hidden="1"/>
    </xf>
    <xf numFmtId="6" fontId="1" fillId="2" borderId="0" xfId="0" applyNumberFormat="1" applyFont="1" applyFill="1" applyProtection="1">
      <protection hidden="1"/>
    </xf>
    <xf numFmtId="164" fontId="7" fillId="2" borderId="0" xfId="0" applyNumberFormat="1" applyFont="1" applyFill="1" applyProtection="1"/>
    <xf numFmtId="3" fontId="0" fillId="2" borderId="0" xfId="0" applyNumberFormat="1" applyFill="1" applyProtection="1">
      <protection hidden="1"/>
    </xf>
    <xf numFmtId="5" fontId="0" fillId="2" borderId="0" xfId="0" applyNumberFormat="1" applyFill="1" applyProtection="1">
      <protection hidden="1"/>
    </xf>
    <xf numFmtId="3" fontId="0" fillId="2" borderId="0" xfId="0" applyNumberFormat="1" applyFill="1"/>
    <xf numFmtId="0" fontId="0" fillId="2" borderId="0" xfId="0" applyFill="1" applyAlignment="1" applyProtection="1">
      <alignment vertical="top"/>
      <protection hidden="1"/>
    </xf>
    <xf numFmtId="6" fontId="0" fillId="2" borderId="0" xfId="0" applyNumberFormat="1" applyFill="1" applyAlignment="1" applyProtection="1">
      <alignment vertical="top"/>
      <protection hidden="1"/>
    </xf>
    <xf numFmtId="0" fontId="0" fillId="2" borderId="0" xfId="0" applyFill="1" applyAlignment="1" applyProtection="1">
      <alignment vertical="top"/>
    </xf>
    <xf numFmtId="164" fontId="0" fillId="0" borderId="0" xfId="0" applyNumberFormat="1" applyFont="1" applyFill="1" applyAlignment="1" applyProtection="1">
      <alignment vertical="top"/>
      <protection locked="0"/>
    </xf>
    <xf numFmtId="164" fontId="0" fillId="0" borderId="0" xfId="0" applyNumberFormat="1" applyFill="1" applyAlignment="1" applyProtection="1">
      <alignment vertical="top"/>
      <protection locked="0"/>
    </xf>
    <xf numFmtId="9" fontId="0" fillId="2" borderId="0" xfId="0" applyNumberFormat="1" applyFill="1" applyAlignment="1" applyProtection="1">
      <alignment vertical="top"/>
      <protection hidden="1"/>
    </xf>
    <xf numFmtId="165" fontId="0" fillId="2" borderId="0" xfId="0" applyNumberFormat="1" applyFill="1" applyAlignment="1" applyProtection="1">
      <alignment vertical="top"/>
      <protection hidden="1"/>
    </xf>
    <xf numFmtId="10" fontId="0" fillId="2" borderId="0" xfId="0" applyNumberFormat="1" applyFill="1" applyProtection="1"/>
    <xf numFmtId="0" fontId="4" fillId="2" borderId="0" xfId="0" applyFont="1" applyFill="1"/>
    <xf numFmtId="42" fontId="0" fillId="2" borderId="0" xfId="0" applyNumberFormat="1" applyFill="1" applyProtection="1"/>
    <xf numFmtId="42" fontId="5" fillId="2" borderId="0" xfId="0" applyNumberFormat="1" applyFont="1" applyFill="1" applyProtection="1"/>
    <xf numFmtId="42" fontId="0" fillId="2" borderId="0" xfId="0" applyNumberFormat="1" applyFill="1" applyProtection="1">
      <protection hidden="1"/>
    </xf>
    <xf numFmtId="0" fontId="4" fillId="2" borderId="0" xfId="0" applyFont="1" applyFill="1"/>
    <xf numFmtId="0" fontId="4" fillId="2" borderId="0" xfId="0" applyFont="1" applyFill="1"/>
    <xf numFmtId="0" fontId="0" fillId="2" borderId="0" xfId="0" applyFill="1" applyBorder="1"/>
    <xf numFmtId="6" fontId="0" fillId="2" borderId="1" xfId="0" applyNumberFormat="1" applyFill="1" applyBorder="1" applyProtection="1">
      <protection hidden="1"/>
    </xf>
    <xf numFmtId="0" fontId="0" fillId="2" borderId="1" xfId="0" applyFill="1" applyBorder="1" applyProtection="1">
      <protection hidden="1"/>
    </xf>
    <xf numFmtId="165" fontId="0" fillId="0" borderId="3" xfId="0" applyNumberFormat="1" applyFill="1" applyBorder="1" applyProtection="1">
      <protection locked="0"/>
    </xf>
    <xf numFmtId="165" fontId="0" fillId="2" borderId="3" xfId="0" applyNumberFormat="1" applyFill="1" applyBorder="1" applyProtection="1"/>
    <xf numFmtId="164" fontId="0" fillId="2" borderId="3" xfId="0" applyNumberFormat="1" applyFill="1" applyBorder="1" applyAlignment="1" applyProtection="1">
      <alignment horizontal="right"/>
    </xf>
    <xf numFmtId="164" fontId="0" fillId="3" borderId="0" xfId="0" applyNumberFormat="1" applyFill="1" applyProtection="1">
      <protection hidden="1"/>
    </xf>
    <xf numFmtId="164" fontId="5" fillId="3" borderId="0" xfId="0" applyNumberFormat="1" applyFont="1" applyFill="1" applyProtection="1">
      <protection hidden="1"/>
    </xf>
    <xf numFmtId="42" fontId="0" fillId="2" borderId="0" xfId="0" applyNumberFormat="1" applyFill="1"/>
    <xf numFmtId="0" fontId="4" fillId="2" borderId="0" xfId="0" applyFont="1" applyFill="1" applyAlignment="1">
      <alignment horizontal="left"/>
    </xf>
    <xf numFmtId="1" fontId="4" fillId="2" borderId="0" xfId="0" applyNumberFormat="1" applyFont="1" applyFill="1"/>
    <xf numFmtId="1" fontId="4" fillId="2" borderId="0" xfId="0" applyNumberFormat="1" applyFont="1" applyFill="1" applyAlignment="1">
      <alignment horizontal="center"/>
    </xf>
    <xf numFmtId="0" fontId="0" fillId="2" borderId="0" xfId="0" applyFill="1" applyAlignment="1">
      <alignment horizontal="center"/>
    </xf>
    <xf numFmtId="0" fontId="4" fillId="2" borderId="0" xfId="0" applyFont="1" applyFill="1" applyAlignment="1">
      <alignment horizontal="center"/>
    </xf>
    <xf numFmtId="0" fontId="4" fillId="2" borderId="0" xfId="0" applyFont="1" applyFill="1" applyAlignment="1"/>
    <xf numFmtId="0" fontId="4" fillId="2" borderId="0" xfId="0" applyFont="1" applyFill="1" applyAlignment="1">
      <alignment horizontal="right"/>
    </xf>
    <xf numFmtId="1" fontId="4" fillId="2" borderId="5" xfId="0" applyNumberFormat="1" applyFont="1" applyFill="1" applyBorder="1" applyAlignment="1">
      <alignment horizontal="right"/>
    </xf>
    <xf numFmtId="0" fontId="4" fillId="2" borderId="5" xfId="0" applyFont="1" applyFill="1" applyBorder="1"/>
    <xf numFmtId="0" fontId="0" fillId="2" borderId="5" xfId="0" applyFill="1" applyBorder="1"/>
    <xf numFmtId="0" fontId="4" fillId="2" borderId="1" xfId="0" applyFont="1" applyFill="1" applyBorder="1" applyAlignment="1">
      <alignment horizontal="right"/>
    </xf>
    <xf numFmtId="1" fontId="4" fillId="2" borderId="2" xfId="0" applyNumberFormat="1" applyFont="1" applyFill="1" applyBorder="1" applyAlignment="1">
      <alignment horizontal="right"/>
    </xf>
    <xf numFmtId="1" fontId="4" fillId="2" borderId="1" xfId="0" applyNumberFormat="1" applyFont="1" applyFill="1" applyBorder="1"/>
    <xf numFmtId="0" fontId="0" fillId="2" borderId="1" xfId="0" applyFill="1" applyBorder="1"/>
    <xf numFmtId="3" fontId="4" fillId="2" borderId="0" xfId="0" applyNumberFormat="1" applyFont="1" applyFill="1"/>
    <xf numFmtId="3" fontId="4" fillId="2" borderId="5" xfId="0" applyNumberFormat="1" applyFont="1" applyFill="1" applyBorder="1"/>
    <xf numFmtId="3" fontId="4" fillId="2" borderId="1" xfId="0" applyNumberFormat="1" applyFont="1" applyFill="1" applyBorder="1"/>
    <xf numFmtId="0" fontId="4" fillId="2" borderId="7" xfId="0" applyFont="1" applyFill="1" applyBorder="1" applyAlignment="1" applyProtection="1">
      <alignment horizontal="center"/>
      <protection hidden="1"/>
    </xf>
    <xf numFmtId="3" fontId="4" fillId="2" borderId="1" xfId="0" applyNumberFormat="1" applyFont="1" applyFill="1" applyBorder="1" applyProtection="1"/>
    <xf numFmtId="0" fontId="8" fillId="0" borderId="0" xfId="0" applyFont="1"/>
    <xf numFmtId="42" fontId="0" fillId="0" borderId="0" xfId="0" applyNumberFormat="1" applyFont="1" applyFill="1" applyProtection="1">
      <protection locked="0"/>
    </xf>
    <xf numFmtId="0" fontId="2" fillId="0" borderId="0" xfId="0" applyFont="1"/>
    <xf numFmtId="164" fontId="7" fillId="0" borderId="0" xfId="0" applyNumberFormat="1" applyFont="1" applyFill="1" applyProtection="1">
      <protection locked="0"/>
    </xf>
    <xf numFmtId="10" fontId="0" fillId="2" borderId="0" xfId="0" applyNumberFormat="1" applyFill="1" applyBorder="1" applyAlignment="1" applyProtection="1">
      <alignment horizontal="right"/>
    </xf>
    <xf numFmtId="10" fontId="8" fillId="0" borderId="0" xfId="0" applyNumberFormat="1" applyFont="1"/>
    <xf numFmtId="0" fontId="2" fillId="0" borderId="0" xfId="2" applyFont="1"/>
    <xf numFmtId="1" fontId="8" fillId="0" borderId="0" xfId="0" applyNumberFormat="1" applyFont="1"/>
    <xf numFmtId="0" fontId="1" fillId="2" borderId="0" xfId="0" applyFont="1" applyFill="1" applyProtection="1"/>
    <xf numFmtId="0" fontId="1" fillId="2" borderId="0" xfId="0" applyFont="1" applyFill="1" applyProtection="1">
      <protection hidden="1"/>
    </xf>
    <xf numFmtId="0" fontId="1" fillId="2" borderId="0" xfId="0" applyFont="1" applyFill="1"/>
    <xf numFmtId="0" fontId="9" fillId="2" borderId="0" xfId="0" applyFont="1" applyFill="1" applyProtection="1">
      <protection hidden="1"/>
    </xf>
    <xf numFmtId="1" fontId="1" fillId="2" borderId="0" xfId="0" applyNumberFormat="1" applyFont="1" applyFill="1" applyProtection="1">
      <protection hidden="1"/>
    </xf>
    <xf numFmtId="9" fontId="1" fillId="2" borderId="0" xfId="0" applyNumberFormat="1" applyFont="1" applyFill="1" applyProtection="1">
      <protection hidden="1"/>
    </xf>
    <xf numFmtId="3" fontId="1" fillId="2" borderId="0" xfId="0" applyNumberFormat="1" applyFont="1" applyFill="1" applyProtection="1">
      <protection hidden="1"/>
    </xf>
    <xf numFmtId="1" fontId="0" fillId="2" borderId="3" xfId="0" applyNumberFormat="1" applyFill="1" applyBorder="1" applyProtection="1"/>
    <xf numFmtId="165" fontId="8" fillId="0" borderId="0" xfId="0" applyNumberFormat="1" applyFont="1"/>
    <xf numFmtId="0" fontId="8" fillId="0" borderId="0" xfId="0" applyFont="1" applyFill="1"/>
    <xf numFmtId="0" fontId="0" fillId="0" borderId="0" xfId="0" applyFill="1"/>
    <xf numFmtId="165" fontId="8" fillId="0" borderId="0" xfId="0" applyNumberFormat="1" applyFont="1" applyFill="1"/>
    <xf numFmtId="164" fontId="0" fillId="2" borderId="0" xfId="0" applyNumberFormat="1" applyFont="1" applyFill="1" applyProtection="1"/>
    <xf numFmtId="2" fontId="8" fillId="0" borderId="0" xfId="0" applyNumberFormat="1" applyFont="1" applyFill="1"/>
    <xf numFmtId="2" fontId="0" fillId="0" borderId="0" xfId="0" applyNumberFormat="1" applyFont="1" applyFill="1"/>
    <xf numFmtId="169" fontId="1" fillId="2" borderId="0" xfId="0" applyNumberFormat="1" applyFont="1" applyFill="1" applyProtection="1">
      <protection hidden="1"/>
    </xf>
    <xf numFmtId="6" fontId="1" fillId="2" borderId="0" xfId="0" applyNumberFormat="1" applyFont="1" applyFill="1" applyProtection="1"/>
    <xf numFmtId="165" fontId="0" fillId="3" borderId="3" xfId="0" applyNumberFormat="1" applyFill="1" applyBorder="1" applyProtection="1">
      <protection hidden="1"/>
    </xf>
    <xf numFmtId="0" fontId="0" fillId="0" borderId="0" xfId="0" applyFont="1" applyFill="1"/>
    <xf numFmtId="1" fontId="2" fillId="0" borderId="0" xfId="0" applyNumberFormat="1" applyFont="1" applyFill="1"/>
    <xf numFmtId="3" fontId="4" fillId="2" borderId="8" xfId="0" applyNumberFormat="1" applyFont="1" applyFill="1" applyBorder="1"/>
    <xf numFmtId="0" fontId="12" fillId="2" borderId="0" xfId="0" applyFont="1" applyFill="1"/>
    <xf numFmtId="1" fontId="0" fillId="2" borderId="1" xfId="0" applyNumberFormat="1" applyFont="1" applyFill="1" applyBorder="1"/>
    <xf numFmtId="0" fontId="0" fillId="2" borderId="0" xfId="0" applyFont="1" applyFill="1"/>
    <xf numFmtId="1" fontId="4" fillId="2" borderId="2" xfId="0" applyNumberFormat="1" applyFont="1" applyFill="1" applyBorder="1"/>
    <xf numFmtId="3" fontId="12" fillId="2" borderId="1" xfId="0" applyNumberFormat="1" applyFont="1" applyFill="1" applyBorder="1" applyProtection="1"/>
    <xf numFmtId="0" fontId="0" fillId="2" borderId="11" xfId="0" applyFill="1" applyBorder="1" applyProtection="1">
      <protection hidden="1"/>
    </xf>
    <xf numFmtId="165" fontId="0" fillId="2" borderId="4" xfId="0" applyNumberFormat="1" applyFill="1" applyBorder="1" applyAlignment="1" applyProtection="1">
      <alignment vertical="top"/>
      <protection hidden="1"/>
    </xf>
    <xf numFmtId="0" fontId="0" fillId="2" borderId="0" xfId="0" applyFill="1" applyBorder="1" applyProtection="1">
      <protection hidden="1"/>
    </xf>
    <xf numFmtId="42" fontId="0" fillId="2" borderId="0" xfId="0" applyNumberFormat="1" applyFill="1" applyBorder="1" applyProtection="1"/>
    <xf numFmtId="9" fontId="0" fillId="2" borderId="3" xfId="0" applyNumberFormat="1" applyFill="1" applyBorder="1" applyProtection="1"/>
    <xf numFmtId="3" fontId="0" fillId="2" borderId="0" xfId="0" applyNumberFormat="1" applyFill="1" applyAlignment="1" applyProtection="1">
      <alignment vertical="top"/>
      <protection hidden="1"/>
    </xf>
    <xf numFmtId="0" fontId="0" fillId="2" borderId="0" xfId="0" applyFill="1" applyAlignment="1" applyProtection="1">
      <alignment vertical="center"/>
    </xf>
    <xf numFmtId="0" fontId="0" fillId="2" borderId="0" xfId="0" applyFill="1" applyAlignment="1" applyProtection="1">
      <alignment vertical="center"/>
      <protection hidden="1"/>
    </xf>
    <xf numFmtId="6" fontId="0" fillId="2" borderId="0" xfId="0" applyNumberFormat="1" applyFill="1" applyAlignment="1" applyProtection="1">
      <alignment vertical="center"/>
      <protection hidden="1"/>
    </xf>
    <xf numFmtId="3" fontId="0" fillId="2" borderId="0" xfId="0" applyNumberFormat="1" applyFont="1" applyFill="1" applyProtection="1"/>
    <xf numFmtId="0" fontId="0" fillId="2" borderId="3" xfId="0" applyFill="1" applyBorder="1" applyProtection="1">
      <protection hidden="1"/>
    </xf>
    <xf numFmtId="0" fontId="4" fillId="2" borderId="6" xfId="0" applyFont="1" applyFill="1" applyBorder="1" applyProtection="1">
      <protection hidden="1"/>
    </xf>
    <xf numFmtId="6" fontId="0" fillId="2" borderId="0" xfId="0" applyNumberFormat="1" applyFill="1"/>
    <xf numFmtId="9" fontId="5" fillId="2" borderId="0" xfId="0" applyNumberFormat="1" applyFont="1" applyFill="1" applyProtection="1">
      <protection hidden="1"/>
    </xf>
    <xf numFmtId="9" fontId="0" fillId="0" borderId="3" xfId="0" applyNumberFormat="1" applyFill="1" applyBorder="1" applyProtection="1">
      <protection locked="0"/>
    </xf>
    <xf numFmtId="5" fontId="0" fillId="2" borderId="4" xfId="0" applyNumberFormat="1" applyFill="1" applyBorder="1" applyProtection="1">
      <protection hidden="1"/>
    </xf>
    <xf numFmtId="164" fontId="0" fillId="2" borderId="0" xfId="0" applyNumberFormat="1" applyFill="1" applyBorder="1" applyAlignment="1" applyProtection="1">
      <alignment horizontal="right"/>
    </xf>
    <xf numFmtId="165" fontId="0" fillId="2" borderId="0" xfId="0" applyNumberFormat="1" applyFill="1" applyBorder="1" applyProtection="1">
      <protection hidden="1"/>
    </xf>
    <xf numFmtId="165" fontId="0" fillId="2" borderId="0" xfId="0" applyNumberFormat="1" applyFill="1" applyBorder="1" applyProtection="1"/>
    <xf numFmtId="3" fontId="4" fillId="2" borderId="0" xfId="0" applyNumberFormat="1" applyFont="1" applyFill="1" applyProtection="1">
      <protection hidden="1"/>
    </xf>
    <xf numFmtId="1" fontId="4" fillId="2" borderId="5" xfId="0" applyNumberFormat="1" applyFont="1" applyFill="1" applyBorder="1"/>
    <xf numFmtId="6" fontId="13" fillId="2" borderId="0" xfId="0" applyNumberFormat="1" applyFont="1" applyFill="1" applyProtection="1">
      <protection hidden="1"/>
    </xf>
    <xf numFmtId="6" fontId="0" fillId="2" borderId="0" xfId="0" applyNumberFormat="1" applyFont="1" applyFill="1" applyProtection="1">
      <protection hidden="1"/>
    </xf>
    <xf numFmtId="167" fontId="0" fillId="2" borderId="0" xfId="0" applyNumberFormat="1" applyFill="1" applyAlignment="1" applyProtection="1">
      <alignment vertical="top"/>
      <protection hidden="1"/>
    </xf>
    <xf numFmtId="170" fontId="0" fillId="2" borderId="1" xfId="0" applyNumberFormat="1" applyFill="1" applyBorder="1"/>
    <xf numFmtId="170" fontId="0" fillId="2" borderId="0" xfId="0" applyNumberFormat="1" applyFill="1" applyBorder="1"/>
    <xf numFmtId="3" fontId="0" fillId="0" borderId="0" xfId="0" applyNumberFormat="1"/>
    <xf numFmtId="1" fontId="0" fillId="0" borderId="0" xfId="0" applyNumberFormat="1"/>
    <xf numFmtId="0" fontId="0" fillId="2" borderId="13" xfId="0" applyFill="1" applyBorder="1"/>
    <xf numFmtId="0" fontId="0" fillId="2" borderId="14" xfId="0" applyFill="1" applyBorder="1"/>
    <xf numFmtId="3" fontId="0" fillId="0" borderId="12" xfId="0" applyNumberFormat="1" applyFont="1" applyFill="1" applyBorder="1" applyProtection="1">
      <protection locked="0"/>
    </xf>
    <xf numFmtId="0" fontId="0" fillId="2" borderId="8" xfId="0" applyFill="1" applyBorder="1"/>
    <xf numFmtId="3" fontId="0" fillId="0" borderId="1" xfId="0" applyNumberFormat="1" applyFont="1" applyFill="1" applyBorder="1" applyProtection="1">
      <protection locked="0"/>
    </xf>
    <xf numFmtId="0" fontId="0" fillId="2" borderId="9" xfId="0" applyFill="1" applyBorder="1"/>
    <xf numFmtId="3" fontId="0" fillId="2" borderId="0" xfId="0" applyNumberFormat="1" applyFont="1" applyFill="1"/>
    <xf numFmtId="3" fontId="0" fillId="0" borderId="0" xfId="0" applyNumberFormat="1" applyFont="1" applyFill="1" applyBorder="1" applyProtection="1">
      <protection locked="0"/>
    </xf>
    <xf numFmtId="3" fontId="0" fillId="2" borderId="0" xfId="0" applyNumberFormat="1" applyFill="1" applyProtection="1"/>
    <xf numFmtId="5" fontId="1" fillId="2" borderId="0" xfId="0" applyNumberFormat="1" applyFont="1" applyFill="1" applyProtection="1">
      <protection hidden="1"/>
    </xf>
    <xf numFmtId="167" fontId="0" fillId="2" borderId="0" xfId="0" applyNumberFormat="1" applyFill="1" applyProtection="1">
      <protection hidden="1"/>
    </xf>
    <xf numFmtId="0" fontId="0" fillId="2" borderId="0" xfId="0" applyFont="1" applyFill="1" applyProtection="1">
      <protection hidden="1"/>
    </xf>
    <xf numFmtId="0" fontId="4" fillId="2" borderId="0" xfId="0" applyFont="1" applyFill="1" applyAlignment="1" applyProtection="1">
      <alignment horizontal="left"/>
    </xf>
    <xf numFmtId="9" fontId="0" fillId="2" borderId="0" xfId="0" applyNumberFormat="1" applyFill="1" applyAlignment="1" applyProtection="1">
      <alignment horizontal="right"/>
    </xf>
    <xf numFmtId="5" fontId="0" fillId="2" borderId="0" xfId="0" applyNumberFormat="1" applyFill="1" applyProtection="1"/>
    <xf numFmtId="6" fontId="0" fillId="2" borderId="0" xfId="0" applyNumberFormat="1" applyFill="1" applyProtection="1"/>
    <xf numFmtId="171" fontId="0" fillId="2" borderId="0" xfId="0" applyNumberFormat="1" applyFill="1" applyProtection="1">
      <protection hidden="1"/>
    </xf>
    <xf numFmtId="165" fontId="0" fillId="2" borderId="1" xfId="0" applyNumberFormat="1" applyFill="1" applyBorder="1"/>
    <xf numFmtId="165" fontId="0" fillId="2" borderId="0" xfId="0" applyNumberFormat="1" applyFill="1" applyAlignment="1">
      <alignment horizontal="right"/>
    </xf>
    <xf numFmtId="42" fontId="0" fillId="2" borderId="12" xfId="0" applyNumberFormat="1" applyFill="1" applyBorder="1" applyProtection="1">
      <protection hidden="1"/>
    </xf>
    <xf numFmtId="42" fontId="0" fillId="2" borderId="1" xfId="0" applyNumberFormat="1" applyFill="1" applyBorder="1" applyProtection="1">
      <protection hidden="1"/>
    </xf>
    <xf numFmtId="164" fontId="0" fillId="2" borderId="12" xfId="0" applyNumberFormat="1" applyFill="1" applyBorder="1" applyProtection="1">
      <protection hidden="1"/>
    </xf>
    <xf numFmtId="164" fontId="0" fillId="2" borderId="1" xfId="0" applyNumberFormat="1" applyFill="1" applyBorder="1" applyProtection="1">
      <protection hidden="1"/>
    </xf>
    <xf numFmtId="42" fontId="0" fillId="2" borderId="2" xfId="0" applyNumberFormat="1" applyFill="1" applyBorder="1" applyProtection="1">
      <protection hidden="1"/>
    </xf>
    <xf numFmtId="172" fontId="0" fillId="2" borderId="0" xfId="0" applyNumberFormat="1" applyFill="1" applyProtection="1">
      <protection hidden="1"/>
    </xf>
    <xf numFmtId="173" fontId="0" fillId="0" borderId="0" xfId="0" applyNumberFormat="1" applyFont="1" applyFill="1"/>
    <xf numFmtId="43" fontId="0" fillId="2" borderId="0" xfId="3" applyFont="1" applyFill="1"/>
    <xf numFmtId="3" fontId="0" fillId="2" borderId="1" xfId="0" applyNumberFormat="1" applyFont="1" applyFill="1" applyBorder="1" applyProtection="1"/>
    <xf numFmtId="0" fontId="15" fillId="2" borderId="0" xfId="0" applyFont="1" applyFill="1"/>
    <xf numFmtId="165" fontId="0" fillId="2" borderId="0" xfId="0" applyNumberFormat="1" applyFill="1" applyAlignment="1" applyProtection="1">
      <alignment horizontal="right"/>
    </xf>
    <xf numFmtId="167" fontId="0" fillId="2" borderId="0" xfId="0" applyNumberFormat="1" applyFill="1"/>
    <xf numFmtId="42" fontId="0" fillId="2" borderId="3" xfId="0" applyNumberFormat="1" applyFill="1" applyBorder="1" applyProtection="1"/>
    <xf numFmtId="3" fontId="8" fillId="0" borderId="0" xfId="0" applyNumberFormat="1" applyFont="1"/>
    <xf numFmtId="170" fontId="8" fillId="0" borderId="0" xfId="0" applyNumberFormat="1" applyFont="1"/>
    <xf numFmtId="170" fontId="2" fillId="0" borderId="0" xfId="0" applyNumberFormat="1" applyFont="1" applyAlignment="1">
      <alignment horizontal="right"/>
    </xf>
    <xf numFmtId="165" fontId="0" fillId="3" borderId="11" xfId="0" applyNumberFormat="1" applyFill="1" applyBorder="1" applyProtection="1">
      <protection hidden="1"/>
    </xf>
    <xf numFmtId="165" fontId="0" fillId="3" borderId="3" xfId="0" applyNumberFormat="1" applyFill="1" applyBorder="1" applyAlignment="1" applyProtection="1">
      <alignment vertical="center"/>
      <protection hidden="1"/>
    </xf>
    <xf numFmtId="0" fontId="4" fillId="3" borderId="10" xfId="0" applyFont="1" applyFill="1" applyBorder="1" applyProtection="1">
      <protection hidden="1"/>
    </xf>
    <xf numFmtId="0" fontId="0" fillId="2" borderId="0" xfId="0" applyNumberFormat="1" applyFill="1" applyProtection="1"/>
    <xf numFmtId="5" fontId="0" fillId="2" borderId="0" xfId="0" applyNumberFormat="1" applyFill="1"/>
    <xf numFmtId="0" fontId="9" fillId="2" borderId="0" xfId="0" applyFont="1" applyFill="1" applyAlignment="1" applyProtection="1">
      <alignment horizontal="center"/>
    </xf>
    <xf numFmtId="0" fontId="9" fillId="2" borderId="0" xfId="0" applyFont="1" applyFill="1" applyAlignment="1" applyProtection="1">
      <alignment horizontal="center"/>
      <protection hidden="1"/>
    </xf>
    <xf numFmtId="171" fontId="2" fillId="0" borderId="0" xfId="0" applyNumberFormat="1" applyFont="1" applyFill="1"/>
    <xf numFmtId="174" fontId="2" fillId="0" borderId="0" xfId="0" applyNumberFormat="1" applyFont="1" applyFill="1"/>
    <xf numFmtId="1" fontId="4" fillId="2" borderId="8" xfId="0" applyNumberFormat="1" applyFont="1" applyFill="1" applyBorder="1"/>
    <xf numFmtId="168" fontId="0" fillId="2" borderId="8" xfId="0" applyNumberFormat="1" applyFill="1" applyBorder="1" applyAlignment="1">
      <alignment horizontal="right"/>
    </xf>
    <xf numFmtId="175" fontId="0" fillId="2" borderId="0" xfId="0" applyNumberFormat="1" applyFill="1"/>
    <xf numFmtId="0" fontId="0" fillId="4" borderId="0" xfId="0" applyFill="1"/>
    <xf numFmtId="0" fontId="4" fillId="4" borderId="0" xfId="0" applyFont="1" applyFill="1"/>
    <xf numFmtId="2" fontId="0" fillId="4" borderId="0" xfId="0" applyNumberFormat="1" applyFill="1"/>
    <xf numFmtId="165" fontId="0" fillId="2" borderId="0" xfId="0" applyNumberFormat="1" applyFill="1" applyBorder="1"/>
    <xf numFmtId="173" fontId="2" fillId="0" borderId="0" xfId="0" applyNumberFormat="1" applyFont="1" applyFill="1"/>
    <xf numFmtId="173" fontId="0" fillId="0" borderId="0" xfId="0" applyNumberFormat="1"/>
    <xf numFmtId="2" fontId="2" fillId="0" borderId="0" xfId="0" applyNumberFormat="1" applyFont="1" applyFill="1"/>
    <xf numFmtId="3" fontId="2" fillId="0" borderId="0" xfId="0" applyNumberFormat="1" applyFont="1" applyFill="1"/>
    <xf numFmtId="3" fontId="2" fillId="0" borderId="0" xfId="0" applyNumberFormat="1" applyFont="1" applyAlignment="1">
      <alignment horizontal="right"/>
    </xf>
    <xf numFmtId="44" fontId="0" fillId="2" borderId="0" xfId="0" applyNumberFormat="1" applyFill="1"/>
    <xf numFmtId="3" fontId="0" fillId="4" borderId="14" xfId="0" applyNumberFormat="1" applyFont="1" applyFill="1" applyBorder="1" applyProtection="1">
      <protection locked="0"/>
    </xf>
    <xf numFmtId="165" fontId="0" fillId="0" borderId="0" xfId="0" applyNumberFormat="1"/>
    <xf numFmtId="42" fontId="5" fillId="0" borderId="0" xfId="0" applyNumberFormat="1" applyFont="1" applyFill="1" applyProtection="1">
      <protection locked="0"/>
    </xf>
    <xf numFmtId="0" fontId="16" fillId="2" borderId="0" xfId="0" applyFont="1" applyFill="1" applyProtection="1">
      <protection hidden="1"/>
    </xf>
    <xf numFmtId="42" fontId="0" fillId="0" borderId="0" xfId="0" applyNumberFormat="1" applyFill="1" applyProtection="1">
      <protection locked="0"/>
    </xf>
    <xf numFmtId="42" fontId="0" fillId="3" borderId="0" xfId="0" applyNumberFormat="1" applyFill="1" applyProtection="1">
      <protection hidden="1"/>
    </xf>
    <xf numFmtId="0" fontId="0" fillId="0" borderId="0" xfId="0" applyNumberFormat="1"/>
    <xf numFmtId="3" fontId="0" fillId="0" borderId="2" xfId="0" applyNumberFormat="1" applyFont="1" applyFill="1" applyBorder="1" applyProtection="1">
      <protection locked="0"/>
    </xf>
    <xf numFmtId="164" fontId="1" fillId="2" borderId="0" xfId="0" applyNumberFormat="1" applyFont="1" applyFill="1" applyAlignment="1" applyProtection="1">
      <alignment horizontal="center"/>
      <protection hidden="1"/>
    </xf>
    <xf numFmtId="1" fontId="16" fillId="2" borderId="0" xfId="0" applyNumberFormat="1" applyFont="1" applyFill="1" applyProtection="1">
      <protection hidden="1"/>
    </xf>
    <xf numFmtId="3" fontId="16" fillId="2" borderId="0" xfId="0" applyNumberFormat="1" applyFont="1" applyFill="1"/>
    <xf numFmtId="0" fontId="0" fillId="4" borderId="0" xfId="0" quotePrefix="1" applyFill="1"/>
    <xf numFmtId="42" fontId="1" fillId="3" borderId="0" xfId="0" applyNumberFormat="1" applyFont="1" applyFill="1" applyProtection="1"/>
    <xf numFmtId="165" fontId="0" fillId="2" borderId="0" xfId="0" applyNumberFormat="1" applyFill="1" applyProtection="1">
      <protection locked="0"/>
    </xf>
    <xf numFmtId="0" fontId="0" fillId="0" borderId="0" xfId="0" applyFont="1"/>
    <xf numFmtId="0" fontId="0" fillId="4" borderId="0" xfId="0" applyFont="1" applyFill="1"/>
    <xf numFmtId="164" fontId="0" fillId="2" borderId="0" xfId="0" applyNumberFormat="1" applyFont="1" applyFill="1"/>
    <xf numFmtId="0" fontId="9" fillId="2" borderId="0" xfId="0" applyFont="1" applyFill="1"/>
    <xf numFmtId="3" fontId="1" fillId="2" borderId="0" xfId="0" applyNumberFormat="1" applyFont="1" applyFill="1"/>
    <xf numFmtId="0" fontId="6" fillId="2" borderId="0" xfId="0" applyFont="1" applyFill="1" applyAlignment="1">
      <alignment horizontal="right"/>
    </xf>
    <xf numFmtId="0" fontId="0" fillId="5" borderId="0" xfId="0" applyFill="1"/>
    <xf numFmtId="1" fontId="0" fillId="0" borderId="0" xfId="0" applyNumberFormat="1" applyFont="1" applyFill="1"/>
    <xf numFmtId="0" fontId="4" fillId="2" borderId="0" xfId="0" applyFont="1" applyFill="1" applyAlignment="1" applyProtection="1">
      <alignment horizontal="right"/>
    </xf>
    <xf numFmtId="0" fontId="0" fillId="2" borderId="0" xfId="0" applyFill="1" applyAlignment="1" applyProtection="1">
      <alignment horizontal="right"/>
    </xf>
    <xf numFmtId="0" fontId="0" fillId="2" borderId="0" xfId="0" applyFill="1" applyAlignment="1" applyProtection="1">
      <alignment horizontal="right" vertical="top"/>
      <protection hidden="1"/>
    </xf>
    <xf numFmtId="0" fontId="0" fillId="2" borderId="0" xfId="0" applyFill="1" applyAlignment="1" applyProtection="1">
      <alignment horizontal="right" vertical="top"/>
    </xf>
    <xf numFmtId="0" fontId="0" fillId="2" borderId="0" xfId="0" applyFill="1" applyAlignment="1" applyProtection="1">
      <alignment horizontal="right" vertical="center"/>
    </xf>
    <xf numFmtId="0" fontId="0" fillId="2" borderId="0" xfId="0" applyFont="1" applyFill="1" applyAlignment="1" applyProtection="1">
      <alignment horizontal="right"/>
    </xf>
    <xf numFmtId="0" fontId="4" fillId="2" borderId="0" xfId="0" applyFont="1" applyFill="1" applyAlignment="1" applyProtection="1">
      <alignment horizontal="right"/>
      <protection hidden="1"/>
    </xf>
    <xf numFmtId="0" fontId="0" fillId="2" borderId="0" xfId="0" applyFill="1" applyAlignment="1" applyProtection="1">
      <alignment horizontal="left"/>
    </xf>
    <xf numFmtId="0" fontId="0" fillId="0" borderId="0" xfId="0" applyFill="1" applyAlignment="1" applyProtection="1">
      <alignment horizontal="left"/>
      <protection locked="0"/>
    </xf>
    <xf numFmtId="0" fontId="0" fillId="2" borderId="0" xfId="0" applyFill="1" applyAlignment="1" applyProtection="1">
      <alignment horizontal="left" vertical="top"/>
    </xf>
    <xf numFmtId="0" fontId="0" fillId="2" borderId="0" xfId="0" applyFill="1" applyAlignment="1" applyProtection="1">
      <alignment horizontal="left" vertical="center"/>
    </xf>
    <xf numFmtId="0" fontId="0" fillId="2" borderId="0" xfId="0" applyFill="1" applyAlignment="1" applyProtection="1">
      <alignment horizontal="left"/>
      <protection hidden="1"/>
    </xf>
    <xf numFmtId="0" fontId="0" fillId="2" borderId="0" xfId="0" applyFont="1" applyFill="1" applyAlignment="1" applyProtection="1">
      <alignment horizontal="left"/>
    </xf>
    <xf numFmtId="0" fontId="0" fillId="2" borderId="0" xfId="0" applyFill="1" applyBorder="1" applyAlignment="1" applyProtection="1">
      <alignment horizontal="left"/>
      <protection hidden="1"/>
    </xf>
    <xf numFmtId="0" fontId="4" fillId="2" borderId="0" xfId="0" applyFont="1" applyFill="1" applyAlignment="1" applyProtection="1">
      <alignment horizontal="right" vertical="top"/>
    </xf>
    <xf numFmtId="0" fontId="4" fillId="2" borderId="0" xfId="0" applyFont="1" applyFill="1" applyAlignment="1" applyProtection="1">
      <alignment horizontal="left" vertical="top"/>
    </xf>
    <xf numFmtId="0" fontId="0" fillId="2" borderId="14" xfId="0" applyFill="1" applyBorder="1" applyAlignment="1" applyProtection="1">
      <alignment horizontal="left"/>
      <protection hidden="1"/>
    </xf>
    <xf numFmtId="0" fontId="0" fillId="2" borderId="0" xfId="0" applyFill="1" applyAlignment="1" applyProtection="1">
      <protection hidden="1"/>
    </xf>
    <xf numFmtId="0" fontId="4" fillId="2" borderId="13" xfId="0" applyFont="1" applyFill="1" applyBorder="1" applyAlignment="1" applyProtection="1">
      <alignment horizontal="left"/>
      <protection hidden="1"/>
    </xf>
    <xf numFmtId="0" fontId="4" fillId="2" borderId="8" xfId="0" applyFont="1" applyFill="1" applyBorder="1" applyAlignment="1" applyProtection="1">
      <alignment horizontal="left"/>
      <protection hidden="1"/>
    </xf>
    <xf numFmtId="0" fontId="4" fillId="2" borderId="9" xfId="0" applyFont="1" applyFill="1" applyBorder="1" applyAlignment="1" applyProtection="1">
      <alignment horizontal="left"/>
      <protection hidden="1"/>
    </xf>
    <xf numFmtId="0" fontId="4" fillId="2" borderId="0" xfId="0" applyFont="1" applyFill="1" applyAlignment="1" applyProtection="1">
      <alignment horizontal="left"/>
      <protection hidden="1"/>
    </xf>
    <xf numFmtId="0" fontId="0" fillId="2" borderId="5" xfId="0" applyFill="1" applyBorder="1" applyAlignment="1" applyProtection="1">
      <alignment horizontal="left"/>
    </xf>
    <xf numFmtId="0" fontId="0" fillId="2" borderId="14" xfId="0" applyFill="1" applyBorder="1" applyAlignment="1" applyProtection="1">
      <alignment horizontal="left"/>
    </xf>
    <xf numFmtId="164" fontId="0" fillId="2" borderId="0" xfId="0" applyNumberFormat="1" applyFont="1" applyFill="1" applyBorder="1" applyProtection="1"/>
    <xf numFmtId="0" fontId="4" fillId="2" borderId="0" xfId="0" applyFont="1" applyFill="1" applyBorder="1" applyAlignment="1" applyProtection="1">
      <alignment horizontal="left"/>
      <protection hidden="1"/>
    </xf>
    <xf numFmtId="164" fontId="0" fillId="2" borderId="0" xfId="0" applyNumberFormat="1" applyFill="1" applyBorder="1" applyProtection="1">
      <protection hidden="1"/>
    </xf>
    <xf numFmtId="42" fontId="0" fillId="2" borderId="0" xfId="0" applyNumberFormat="1" applyFill="1" applyBorder="1" applyProtection="1">
      <protection hidden="1"/>
    </xf>
    <xf numFmtId="1" fontId="17" fillId="0" borderId="0" xfId="0" applyNumberFormat="1" applyFont="1" applyFill="1"/>
    <xf numFmtId="10" fontId="0" fillId="0" borderId="0" xfId="0" applyNumberFormat="1"/>
    <xf numFmtId="0" fontId="4" fillId="0" borderId="6" xfId="0" applyFont="1" applyFill="1" applyBorder="1" applyAlignment="1" applyProtection="1">
      <alignment horizontal="center"/>
      <protection locked="0"/>
    </xf>
    <xf numFmtId="2" fontId="1" fillId="2" borderId="0" xfId="0" applyNumberFormat="1" applyFont="1" applyFill="1" applyProtection="1">
      <protection locked="0"/>
    </xf>
    <xf numFmtId="1" fontId="2" fillId="0" borderId="0" xfId="0" applyNumberFormat="1" applyFont="1"/>
    <xf numFmtId="3" fontId="0" fillId="5" borderId="0" xfId="0" applyNumberFormat="1" applyFill="1"/>
    <xf numFmtId="3" fontId="0" fillId="0" borderId="0" xfId="0" applyNumberFormat="1" applyFill="1"/>
    <xf numFmtId="9" fontId="16" fillId="2" borderId="0" xfId="0" applyNumberFormat="1" applyFont="1" applyFill="1" applyProtection="1">
      <protection hidden="1"/>
    </xf>
    <xf numFmtId="0" fontId="16" fillId="2" borderId="0" xfId="0" applyFont="1" applyFill="1" applyProtection="1"/>
    <xf numFmtId="170" fontId="16" fillId="2" borderId="0" xfId="0" applyNumberFormat="1" applyFont="1" applyFill="1" applyProtection="1">
      <protection hidden="1"/>
    </xf>
    <xf numFmtId="0" fontId="16" fillId="2" borderId="0" xfId="0" applyFont="1" applyFill="1"/>
    <xf numFmtId="170" fontId="16" fillId="2" borderId="0" xfId="0" applyNumberFormat="1" applyFont="1" applyFill="1"/>
    <xf numFmtId="9" fontId="16" fillId="2" borderId="0" xfId="0" applyNumberFormat="1" applyFont="1" applyFill="1"/>
    <xf numFmtId="165" fontId="16" fillId="2" borderId="0" xfId="0" applyNumberFormat="1" applyFont="1" applyFill="1"/>
    <xf numFmtId="165" fontId="16" fillId="2" borderId="0" xfId="0" applyNumberFormat="1" applyFont="1" applyFill="1" applyProtection="1"/>
    <xf numFmtId="170" fontId="16" fillId="2" borderId="0" xfId="0" applyNumberFormat="1" applyFont="1" applyFill="1" applyProtection="1"/>
    <xf numFmtId="0" fontId="4" fillId="2" borderId="0" xfId="0" applyFont="1" applyFill="1" applyBorder="1"/>
    <xf numFmtId="0" fontId="19" fillId="2" borderId="0" xfId="0" applyFont="1" applyFill="1"/>
    <xf numFmtId="165" fontId="19" fillId="2" borderId="0" xfId="0" applyNumberFormat="1" applyFont="1" applyFill="1"/>
    <xf numFmtId="170" fontId="0" fillId="0" borderId="0" xfId="0" applyNumberFormat="1"/>
    <xf numFmtId="1" fontId="19" fillId="2" borderId="0" xfId="0" applyNumberFormat="1" applyFont="1" applyFill="1"/>
    <xf numFmtId="0" fontId="18" fillId="2" borderId="0" xfId="0" applyFont="1" applyFill="1" applyAlignment="1">
      <alignment vertical="center"/>
    </xf>
    <xf numFmtId="2" fontId="1" fillId="0" borderId="0" xfId="0" applyNumberFormat="1" applyFont="1" applyFill="1" applyProtection="1">
      <protection locked="0"/>
    </xf>
    <xf numFmtId="42" fontId="1" fillId="2" borderId="0" xfId="0" applyNumberFormat="1" applyFont="1" applyFill="1"/>
    <xf numFmtId="42" fontId="1" fillId="2" borderId="0" xfId="0" applyNumberFormat="1" applyFont="1" applyFill="1" applyProtection="1">
      <protection hidden="1"/>
    </xf>
    <xf numFmtId="167" fontId="1" fillId="2" borderId="0" xfId="0" applyNumberFormat="1" applyFont="1" applyFill="1"/>
    <xf numFmtId="0" fontId="4" fillId="2" borderId="6" xfId="0" applyFont="1" applyFill="1" applyBorder="1" applyAlignment="1">
      <alignment horizontal="right"/>
    </xf>
    <xf numFmtId="0" fontId="4" fillId="0" borderId="6" xfId="0" applyFont="1" applyFill="1" applyBorder="1" applyAlignment="1" applyProtection="1">
      <alignment horizontal="right"/>
      <protection locked="0"/>
    </xf>
    <xf numFmtId="0" fontId="16" fillId="2" borderId="0" xfId="0" applyFont="1" applyFill="1" applyBorder="1"/>
    <xf numFmtId="3" fontId="19" fillId="2" borderId="0" xfId="0" applyNumberFormat="1" applyFont="1" applyFill="1"/>
    <xf numFmtId="0" fontId="4" fillId="3" borderId="6" xfId="0" applyFont="1" applyFill="1" applyBorder="1" applyProtection="1">
      <protection hidden="1"/>
    </xf>
    <xf numFmtId="9" fontId="0" fillId="0" borderId="11" xfId="0" applyNumberFormat="1" applyFont="1" applyFill="1" applyBorder="1" applyAlignment="1" applyProtection="1">
      <alignment horizontal="right"/>
      <protection locked="0"/>
    </xf>
    <xf numFmtId="9" fontId="0" fillId="0" borderId="4" xfId="0" applyNumberFormat="1" applyFill="1" applyBorder="1" applyProtection="1">
      <protection locked="0"/>
    </xf>
    <xf numFmtId="9" fontId="0" fillId="2" borderId="4" xfId="0" applyNumberFormat="1" applyFill="1" applyBorder="1" applyProtection="1"/>
    <xf numFmtId="0" fontId="23" fillId="0" borderId="0" xfId="0" applyFont="1" applyAlignment="1">
      <alignment horizontal="right" vertical="center"/>
    </xf>
    <xf numFmtId="0" fontId="24" fillId="0" borderId="0" xfId="0" applyFont="1" applyAlignment="1">
      <alignment horizontal="right" vertical="center"/>
    </xf>
    <xf numFmtId="165" fontId="0" fillId="0" borderId="0" xfId="0" applyNumberFormat="1" applyFill="1"/>
    <xf numFmtId="167" fontId="0" fillId="0" borderId="0" xfId="0" applyNumberFormat="1"/>
    <xf numFmtId="0" fontId="0" fillId="3" borderId="11" xfId="0" applyFill="1" applyBorder="1" applyAlignment="1" applyProtection="1">
      <protection hidden="1"/>
    </xf>
    <xf numFmtId="0" fontId="0" fillId="3" borderId="3" xfId="0" applyFill="1" applyBorder="1" applyAlignment="1" applyProtection="1">
      <protection hidden="1"/>
    </xf>
    <xf numFmtId="0" fontId="0" fillId="3" borderId="4" xfId="0" applyFill="1" applyBorder="1" applyAlignment="1" applyProtection="1">
      <protection hidden="1"/>
    </xf>
    <xf numFmtId="1" fontId="2" fillId="0" borderId="0" xfId="0" applyNumberFormat="1" applyFont="1" applyAlignment="1">
      <alignment horizontal="right"/>
    </xf>
    <xf numFmtId="5" fontId="0" fillId="3" borderId="4" xfId="0" applyNumberFormat="1" applyFill="1" applyBorder="1" applyAlignment="1" applyProtection="1">
      <protection hidden="1"/>
    </xf>
    <xf numFmtId="1" fontId="2" fillId="5" borderId="0" xfId="0" applyNumberFormat="1" applyFont="1" applyFill="1"/>
    <xf numFmtId="1" fontId="16" fillId="2" borderId="0" xfId="0" applyNumberFormat="1" applyFont="1" applyFill="1"/>
    <xf numFmtId="0" fontId="25" fillId="2" borderId="13" xfId="0" applyFont="1" applyFill="1" applyBorder="1"/>
    <xf numFmtId="0" fontId="25" fillId="2" borderId="14" xfId="0" applyFont="1" applyFill="1" applyBorder="1" applyAlignment="1">
      <alignment horizontal="center"/>
    </xf>
    <xf numFmtId="0" fontId="25" fillId="2" borderId="12" xfId="0" applyFont="1" applyFill="1" applyBorder="1" applyAlignment="1">
      <alignment horizontal="left"/>
    </xf>
    <xf numFmtId="0" fontId="16" fillId="2" borderId="8" xfId="0" applyFont="1" applyFill="1" applyBorder="1"/>
    <xf numFmtId="0" fontId="16" fillId="2" borderId="0" xfId="0" applyFont="1" applyFill="1" applyBorder="1" applyAlignment="1">
      <alignment horizontal="center"/>
    </xf>
    <xf numFmtId="0" fontId="16" fillId="2" borderId="1" xfId="0" applyFont="1" applyFill="1" applyBorder="1" applyAlignment="1">
      <alignment horizontal="left"/>
    </xf>
    <xf numFmtId="0" fontId="16" fillId="2" borderId="9" xfId="0" applyFont="1" applyFill="1" applyBorder="1"/>
    <xf numFmtId="0" fontId="16" fillId="2" borderId="5" xfId="0" applyFont="1" applyFill="1" applyBorder="1" applyAlignment="1">
      <alignment horizontal="center"/>
    </xf>
    <xf numFmtId="0" fontId="16" fillId="2" borderId="2" xfId="0" applyFont="1" applyFill="1" applyBorder="1" applyAlignment="1">
      <alignment horizontal="left"/>
    </xf>
    <xf numFmtId="0" fontId="16" fillId="2" borderId="13" xfId="0" applyFont="1" applyFill="1" applyBorder="1"/>
    <xf numFmtId="0" fontId="16" fillId="2" borderId="12" xfId="0" applyFont="1" applyFill="1" applyBorder="1"/>
    <xf numFmtId="0" fontId="16" fillId="2" borderId="1" xfId="0" applyFont="1" applyFill="1" applyBorder="1"/>
    <xf numFmtId="165" fontId="16" fillId="2" borderId="2" xfId="0" applyNumberFormat="1" applyFont="1" applyFill="1" applyBorder="1"/>
    <xf numFmtId="10" fontId="0" fillId="0" borderId="3" xfId="0" applyNumberFormat="1" applyFill="1" applyBorder="1" applyProtection="1">
      <protection locked="0"/>
    </xf>
    <xf numFmtId="3" fontId="2" fillId="5" borderId="0" xfId="0" applyNumberFormat="1" applyFont="1" applyFill="1"/>
    <xf numFmtId="3" fontId="0" fillId="0" borderId="0" xfId="0" applyNumberFormat="1" applyAlignment="1">
      <alignment horizontal="right"/>
    </xf>
    <xf numFmtId="0" fontId="0" fillId="2" borderId="0" xfId="0" applyFill="1" applyBorder="1" applyAlignment="1" applyProtection="1">
      <alignment horizontal="left" vertical="top"/>
    </xf>
    <xf numFmtId="0" fontId="25" fillId="2" borderId="0" xfId="0" applyFont="1" applyFill="1" applyAlignment="1">
      <alignment horizontal="center" vertical="center"/>
    </xf>
    <xf numFmtId="10" fontId="0" fillId="5" borderId="0" xfId="0" applyNumberFormat="1" applyFill="1"/>
    <xf numFmtId="10" fontId="0" fillId="0" borderId="0" xfId="0" applyNumberFormat="1" applyFill="1"/>
    <xf numFmtId="0" fontId="0" fillId="2" borderId="4" xfId="0" applyFill="1" applyBorder="1" applyAlignment="1" applyProtection="1">
      <alignment vertical="top"/>
      <protection hidden="1"/>
    </xf>
    <xf numFmtId="0" fontId="0" fillId="2" borderId="6" xfId="0" applyFill="1" applyBorder="1" applyProtection="1">
      <protection hidden="1"/>
    </xf>
    <xf numFmtId="0" fontId="0" fillId="2" borderId="7" xfId="0" applyFill="1" applyBorder="1" applyProtection="1">
      <protection hidden="1"/>
    </xf>
    <xf numFmtId="3" fontId="0" fillId="0" borderId="1" xfId="0" applyNumberFormat="1" applyFill="1" applyBorder="1" applyProtection="1">
      <protection locked="0"/>
    </xf>
    <xf numFmtId="3" fontId="0" fillId="0" borderId="2" xfId="0" applyNumberFormat="1" applyFill="1" applyBorder="1" applyAlignment="1" applyProtection="1">
      <alignment vertical="top"/>
      <protection locked="0"/>
    </xf>
    <xf numFmtId="0" fontId="0" fillId="2" borderId="12" xfId="0" applyFill="1" applyBorder="1" applyAlignment="1" applyProtection="1">
      <alignment vertical="top"/>
      <protection hidden="1"/>
    </xf>
    <xf numFmtId="0" fontId="0" fillId="2" borderId="11" xfId="0" applyFill="1" applyBorder="1" applyAlignment="1" applyProtection="1">
      <alignment vertical="top"/>
      <protection hidden="1"/>
    </xf>
    <xf numFmtId="0" fontId="0" fillId="2" borderId="4" xfId="0" applyFill="1" applyBorder="1" applyProtection="1">
      <protection hidden="1"/>
    </xf>
    <xf numFmtId="9" fontId="0" fillId="0" borderId="2" xfId="0" applyNumberFormat="1" applyFill="1" applyBorder="1" applyProtection="1">
      <protection locked="0"/>
    </xf>
    <xf numFmtId="3" fontId="0" fillId="0" borderId="3" xfId="0" applyNumberFormat="1" applyFill="1" applyBorder="1" applyProtection="1">
      <protection locked="0"/>
    </xf>
    <xf numFmtId="0" fontId="0" fillId="2" borderId="8" xfId="0" applyFill="1" applyBorder="1" applyProtection="1">
      <protection hidden="1"/>
    </xf>
    <xf numFmtId="166" fontId="0" fillId="2" borderId="8" xfId="0" applyNumberFormat="1" applyFill="1" applyBorder="1" applyAlignment="1" applyProtection="1">
      <alignment horizontal="left"/>
      <protection hidden="1"/>
    </xf>
    <xf numFmtId="42" fontId="5" fillId="2" borderId="1" xfId="0" applyNumberFormat="1" applyFont="1" applyFill="1" applyBorder="1" applyProtection="1"/>
    <xf numFmtId="164" fontId="0" fillId="2" borderId="1" xfId="0" applyNumberFormat="1" applyFill="1" applyBorder="1"/>
    <xf numFmtId="166" fontId="0" fillId="2" borderId="8" xfId="0" applyNumberFormat="1" applyFill="1" applyBorder="1" applyProtection="1">
      <protection hidden="1"/>
    </xf>
    <xf numFmtId="166" fontId="0" fillId="2" borderId="9" xfId="0" applyNumberFormat="1" applyFill="1" applyBorder="1" applyProtection="1">
      <protection hidden="1"/>
    </xf>
    <xf numFmtId="0" fontId="4" fillId="2" borderId="10" xfId="0" applyFont="1" applyFill="1" applyBorder="1" applyProtection="1">
      <protection hidden="1"/>
    </xf>
    <xf numFmtId="10" fontId="0" fillId="2" borderId="0" xfId="0" applyNumberFormat="1" applyFill="1" applyBorder="1" applyProtection="1">
      <protection hidden="1"/>
    </xf>
    <xf numFmtId="0" fontId="0" fillId="2" borderId="9" xfId="0" applyFill="1" applyBorder="1" applyProtection="1">
      <protection hidden="1"/>
    </xf>
    <xf numFmtId="0" fontId="0" fillId="2" borderId="5" xfId="0" applyFill="1" applyBorder="1" applyProtection="1">
      <protection hidden="1"/>
    </xf>
    <xf numFmtId="10" fontId="0" fillId="2" borderId="5" xfId="0" applyNumberFormat="1" applyFill="1" applyBorder="1" applyProtection="1">
      <protection hidden="1"/>
    </xf>
    <xf numFmtId="0" fontId="4" fillId="2" borderId="15" xfId="0" applyFont="1" applyFill="1" applyBorder="1" applyProtection="1">
      <protection hidden="1"/>
    </xf>
    <xf numFmtId="9" fontId="0" fillId="2" borderId="0" xfId="0" applyNumberFormat="1" applyFill="1" applyBorder="1" applyProtection="1">
      <protection hidden="1"/>
    </xf>
    <xf numFmtId="9" fontId="0" fillId="2" borderId="5" xfId="0" applyNumberFormat="1" applyFill="1" applyBorder="1" applyProtection="1">
      <protection hidden="1"/>
    </xf>
    <xf numFmtId="0" fontId="0" fillId="2" borderId="15" xfId="0" applyFill="1" applyBorder="1" applyProtection="1">
      <protection hidden="1"/>
    </xf>
    <xf numFmtId="10" fontId="0" fillId="2" borderId="0" xfId="0" applyNumberFormat="1" applyFill="1" applyBorder="1"/>
    <xf numFmtId="10" fontId="0" fillId="2" borderId="1" xfId="0" applyNumberFormat="1" applyFill="1" applyBorder="1"/>
    <xf numFmtId="0" fontId="0" fillId="2" borderId="2" xfId="0" applyFill="1" applyBorder="1"/>
    <xf numFmtId="0" fontId="0" fillId="2" borderId="10" xfId="0" applyFill="1" applyBorder="1" applyAlignment="1">
      <alignment horizontal="right"/>
    </xf>
    <xf numFmtId="0" fontId="0" fillId="2" borderId="15" xfId="0" applyFill="1" applyBorder="1"/>
    <xf numFmtId="0" fontId="0" fillId="2" borderId="7" xfId="0" applyFill="1" applyBorder="1"/>
    <xf numFmtId="0" fontId="0" fillId="2" borderId="8" xfId="0" applyFill="1" applyBorder="1" applyAlignment="1">
      <alignment horizontal="right"/>
    </xf>
    <xf numFmtId="0" fontId="0" fillId="2" borderId="0" xfId="0" applyFill="1" applyBorder="1" applyAlignment="1">
      <alignment horizontal="right"/>
    </xf>
    <xf numFmtId="10" fontId="0" fillId="2" borderId="5" xfId="0" applyNumberFormat="1" applyFill="1" applyBorder="1"/>
    <xf numFmtId="10" fontId="0" fillId="2" borderId="2" xfId="0" applyNumberFormat="1" applyFill="1" applyBorder="1"/>
    <xf numFmtId="0" fontId="0" fillId="2" borderId="15" xfId="0" applyFill="1" applyBorder="1" applyAlignment="1">
      <alignment horizontal="right"/>
    </xf>
    <xf numFmtId="1" fontId="0" fillId="2" borderId="0" xfId="0" applyNumberFormat="1" applyFont="1" applyFill="1"/>
    <xf numFmtId="0" fontId="0" fillId="0" borderId="11" xfId="0" applyBorder="1"/>
    <xf numFmtId="3" fontId="0" fillId="2" borderId="1" xfId="0" applyNumberFormat="1" applyFill="1" applyBorder="1"/>
    <xf numFmtId="165" fontId="0" fillId="5" borderId="0" xfId="0" applyNumberFormat="1" applyFill="1"/>
    <xf numFmtId="176" fontId="8" fillId="0" borderId="0" xfId="0" applyNumberFormat="1" applyFont="1"/>
    <xf numFmtId="1" fontId="8" fillId="0" borderId="0" xfId="0" applyNumberFormat="1" applyFont="1" applyFill="1"/>
    <xf numFmtId="1" fontId="2" fillId="0" borderId="0" xfId="0" applyNumberFormat="1" applyFont="1" applyFill="1" applyAlignment="1">
      <alignment horizontal="right"/>
    </xf>
    <xf numFmtId="10" fontId="0" fillId="2" borderId="3" xfId="0" applyNumberFormat="1" applyFill="1" applyBorder="1" applyProtection="1"/>
    <xf numFmtId="10" fontId="0" fillId="2" borderId="11" xfId="0" applyNumberFormat="1" applyFill="1" applyBorder="1" applyProtection="1"/>
    <xf numFmtId="3" fontId="0" fillId="2" borderId="3" xfId="0" applyNumberFormat="1" applyFill="1" applyBorder="1" applyProtection="1"/>
    <xf numFmtId="10" fontId="0" fillId="2" borderId="4" xfId="0" applyNumberFormat="1" applyFill="1" applyBorder="1" applyAlignment="1" applyProtection="1">
      <alignment horizontal="right"/>
    </xf>
    <xf numFmtId="10" fontId="0" fillId="0" borderId="11" xfId="0" applyNumberFormat="1" applyFill="1" applyBorder="1" applyProtection="1">
      <protection locked="0"/>
    </xf>
    <xf numFmtId="165" fontId="0" fillId="2" borderId="3" xfId="0" applyNumberFormat="1" applyFill="1" applyBorder="1"/>
    <xf numFmtId="0" fontId="0" fillId="2" borderId="4" xfId="0" applyFill="1" applyBorder="1"/>
    <xf numFmtId="164" fontId="0" fillId="0" borderId="0" xfId="0" applyNumberFormat="1" applyFont="1" applyFill="1" applyBorder="1" applyProtection="1">
      <protection locked="0"/>
    </xf>
    <xf numFmtId="164" fontId="1" fillId="2" borderId="0" xfId="0" applyNumberFormat="1" applyFont="1" applyFill="1" applyProtection="1"/>
    <xf numFmtId="1" fontId="0" fillId="0" borderId="0" xfId="0" applyNumberFormat="1" applyFill="1"/>
    <xf numFmtId="3" fontId="0" fillId="0" borderId="0" xfId="0" applyNumberFormat="1" applyFill="1" applyAlignment="1">
      <alignment horizontal="right"/>
    </xf>
    <xf numFmtId="10" fontId="0" fillId="2" borderId="0" xfId="0" applyNumberFormat="1" applyFill="1" applyAlignment="1" applyProtection="1">
      <alignment vertical="top"/>
    </xf>
    <xf numFmtId="10" fontId="0" fillId="2" borderId="0" xfId="0" applyNumberFormat="1" applyFont="1" applyFill="1" applyProtection="1"/>
    <xf numFmtId="176" fontId="0" fillId="0" borderId="0" xfId="0" applyNumberFormat="1"/>
    <xf numFmtId="176" fontId="0" fillId="0" borderId="0" xfId="0" applyNumberFormat="1" applyAlignment="1">
      <alignment horizontal="right"/>
    </xf>
    <xf numFmtId="0" fontId="18" fillId="2" borderId="0" xfId="0" applyFont="1" applyFill="1" applyAlignment="1">
      <alignment vertical="center"/>
    </xf>
    <xf numFmtId="0" fontId="21" fillId="0" borderId="0" xfId="0" applyFont="1" applyAlignment="1">
      <alignment horizontal="center" vertical="center"/>
    </xf>
    <xf numFmtId="0" fontId="21" fillId="0" borderId="0" xfId="0" applyNumberFormat="1" applyFont="1" applyAlignment="1">
      <alignment horizontal="center" vertical="center"/>
    </xf>
    <xf numFmtId="0" fontId="20" fillId="4" borderId="0" xfId="0" applyFont="1" applyFill="1" applyAlignment="1" applyProtection="1">
      <alignment horizontal="center" vertical="center"/>
      <protection locked="0"/>
    </xf>
    <xf numFmtId="0" fontId="21" fillId="2" borderId="0" xfId="0" applyFont="1" applyFill="1" applyAlignment="1">
      <alignment horizontal="left" vertical="center"/>
    </xf>
    <xf numFmtId="3" fontId="0" fillId="2" borderId="8" xfId="0" applyNumberFormat="1" applyFont="1" applyFill="1" applyBorder="1" applyAlignment="1">
      <alignment horizontal="right" vertical="center"/>
    </xf>
    <xf numFmtId="0" fontId="4" fillId="2" borderId="0" xfId="0" applyFont="1" applyFill="1" applyAlignment="1">
      <alignment horizontal="left"/>
    </xf>
    <xf numFmtId="3" fontId="4" fillId="2" borderId="0" xfId="0" applyNumberFormat="1" applyFont="1" applyFill="1" applyProtection="1"/>
    <xf numFmtId="0" fontId="4" fillId="2" borderId="0" xfId="0" applyFont="1" applyFill="1" applyBorder="1"/>
  </cellXfs>
  <cellStyles count="4">
    <cellStyle name="Header" xfId="1" xr:uid="{00000000-0005-0000-0000-000000000000}"/>
    <cellStyle name="Komma" xfId="3" builtinId="3"/>
    <cellStyle name="Standaard" xfId="0" builtinId="0"/>
    <cellStyle name="Standaard 2" xfId="2" xr:uid="{00000000-0005-0000-0000-000003000000}"/>
  </cellStyles>
  <dxfs count="480">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7" tint="-0.24994659260841701"/>
      </font>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Financieringsruimte (groen) ultimo 2021</a:t>
            </a:r>
          </a:p>
        </c:rich>
      </c:tx>
      <c:layout>
        <c:manualLayout>
          <c:xMode val="edge"/>
          <c:yMode val="edge"/>
          <c:x val="5.4448780926817569E-2"/>
          <c:y val="4.16696902258753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6.5306492921867562E-2"/>
          <c:y val="0.16689141214801881"/>
          <c:w val="0.61865848062538598"/>
          <c:h val="0.72872488176946848"/>
        </c:manualLayout>
      </c:layout>
      <c:barChart>
        <c:barDir val="bar"/>
        <c:grouping val="stacked"/>
        <c:varyColors val="0"/>
        <c:ser>
          <c:idx val="0"/>
          <c:order val="0"/>
          <c:tx>
            <c:strRef>
              <c:f>'Financiele conditie'!$B$7</c:f>
              <c:strCache>
                <c:ptCount val="1"/>
                <c:pt idx="0">
                  <c:v>Effectieve netto schuldquote</c:v>
                </c:pt>
              </c:strCache>
            </c:strRef>
          </c:tx>
          <c:spPr>
            <a:solidFill>
              <a:srgbClr val="FF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conditie'!$B$7</c:f>
              <c:strCache>
                <c:ptCount val="1"/>
                <c:pt idx="0">
                  <c:v>Effectieve netto schuldquote</c:v>
                </c:pt>
              </c:strCache>
            </c:strRef>
          </c:cat>
          <c:val>
            <c:numRef>
              <c:f>'Financiele conditie'!$F$7</c:f>
              <c:numCache>
                <c:formatCode>0.0%</c:formatCode>
                <c:ptCount val="1"/>
                <c:pt idx="0">
                  <c:v>1.1557014109324848</c:v>
                </c:pt>
              </c:numCache>
            </c:numRef>
          </c:val>
          <c:extLst>
            <c:ext xmlns:c16="http://schemas.microsoft.com/office/drawing/2014/chart" uri="{C3380CC4-5D6E-409C-BE32-E72D297353CC}">
              <c16:uniqueId val="{00000000-95FF-437F-86C2-B1103932DE6E}"/>
            </c:ext>
          </c:extLst>
        </c:ser>
        <c:ser>
          <c:idx val="1"/>
          <c:order val="1"/>
          <c:tx>
            <c:v>Ruimte onder 120% plafond</c:v>
          </c:tx>
          <c:spPr>
            <a:solidFill>
              <a:srgbClr val="00B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conditie'!$B$7</c:f>
              <c:strCache>
                <c:ptCount val="1"/>
                <c:pt idx="0">
                  <c:v>Effectieve netto schuldquote</c:v>
                </c:pt>
              </c:strCache>
            </c:strRef>
          </c:cat>
          <c:val>
            <c:numRef>
              <c:f>'Financiele conditie'!$L$7</c:f>
              <c:numCache>
                <c:formatCode>0.0%</c:formatCode>
                <c:ptCount val="1"/>
                <c:pt idx="0">
                  <c:v>4.4298589067515159E-2</c:v>
                </c:pt>
              </c:numCache>
            </c:numRef>
          </c:val>
          <c:extLst>
            <c:ext xmlns:c16="http://schemas.microsoft.com/office/drawing/2014/chart" uri="{C3380CC4-5D6E-409C-BE32-E72D297353CC}">
              <c16:uniqueId val="{00000001-95FF-437F-86C2-B1103932DE6E}"/>
            </c:ext>
          </c:extLst>
        </c:ser>
        <c:dLbls>
          <c:showLegendKey val="0"/>
          <c:showVal val="0"/>
          <c:showCatName val="0"/>
          <c:showSerName val="0"/>
          <c:showPercent val="0"/>
          <c:showBubbleSize val="0"/>
        </c:dLbls>
        <c:gapWidth val="55"/>
        <c:overlap val="100"/>
        <c:axId val="582647632"/>
        <c:axId val="582649928"/>
      </c:barChart>
      <c:catAx>
        <c:axId val="582647632"/>
        <c:scaling>
          <c:orientation val="minMax"/>
        </c:scaling>
        <c:delete val="1"/>
        <c:axPos val="r"/>
        <c:numFmt formatCode="General" sourceLinked="1"/>
        <c:majorTickMark val="none"/>
        <c:minorTickMark val="none"/>
        <c:tickLblPos val="nextTo"/>
        <c:crossAx val="582649928"/>
        <c:crosses val="max"/>
        <c:auto val="1"/>
        <c:lblAlgn val="ctr"/>
        <c:lblOffset val="100"/>
        <c:noMultiLvlLbl val="0"/>
      </c:catAx>
      <c:valAx>
        <c:axId val="582649928"/>
        <c:scaling>
          <c:orientation val="minMax"/>
        </c:scaling>
        <c:delete val="0"/>
        <c:axPos val="b"/>
        <c:majorGridlines>
          <c:spPr>
            <a:ln w="9525" cap="flat" cmpd="sng" algn="ctr">
              <a:solidFill>
                <a:schemeClr val="bg2">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582647632"/>
        <c:crosses val="autoZero"/>
        <c:crossBetween val="between"/>
      </c:valAx>
      <c:spPr>
        <a:noFill/>
        <a:ln>
          <a:solidFill>
            <a:schemeClr val="tx1"/>
          </a:solidFill>
        </a:ln>
        <a:effectLst/>
      </c:spPr>
    </c:plotArea>
    <c:legend>
      <c:legendPos val="r"/>
      <c:layout>
        <c:manualLayout>
          <c:xMode val="edge"/>
          <c:yMode val="edge"/>
          <c:x val="0.72873499080331483"/>
          <c:y val="0.3804159375911344"/>
          <c:w val="0.23451960237253808"/>
          <c:h val="0.234954797317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Schuldbelasting bezit (rood) ultimo 2021</a:t>
            </a:r>
          </a:p>
        </c:rich>
      </c:tx>
      <c:layout>
        <c:manualLayout>
          <c:xMode val="edge"/>
          <c:yMode val="edge"/>
          <c:x val="7.4715223097112871E-2"/>
          <c:y val="3.70370370370370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pieChart>
        <c:varyColors val="1"/>
        <c:ser>
          <c:idx val="0"/>
          <c:order val="0"/>
          <c:tx>
            <c:v>solvabiliteitsratio</c:v>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2BE4-4530-923D-7CBBD7ADE52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2BE4-4530-923D-7CBBD7ADE521}"/>
              </c:ext>
            </c:extLst>
          </c:dPt>
          <c:dLbls>
            <c:dLbl>
              <c:idx val="0"/>
              <c:layout>
                <c:manualLayout>
                  <c:x val="-9.1678896320755598E-2"/>
                  <c:y val="9.085754239196280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E4-4530-923D-7CBBD7ADE521}"/>
                </c:ext>
              </c:extLst>
            </c:dLbl>
            <c:dLbl>
              <c:idx val="1"/>
              <c:layout>
                <c:manualLayout>
                  <c:x val="0.10096567230171498"/>
                  <c:y val="-0.16379265456156877"/>
                </c:manualLayout>
              </c:layout>
              <c:tx>
                <c:rich>
                  <a:bodyPr/>
                  <a:lstStyle/>
                  <a:p>
                    <a:r>
                      <a:rPr lang="en-US" baseline="0"/>
                      <a:t> </a:t>
                    </a:r>
                    <a:fld id="{507F830E-BECB-4F0C-A0A7-ACCCF0AFF390}"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BE4-4530-923D-7CBBD7ADE52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0"/>
            <c:showCatName val="0"/>
            <c:showSerName val="0"/>
            <c:showPercent val="1"/>
            <c:showBubbleSize val="0"/>
            <c:showLeaderLines val="0"/>
            <c:extLst>
              <c:ext xmlns:c15="http://schemas.microsoft.com/office/drawing/2012/chart" uri="{CE6537A1-D6FC-4f65-9D91-7224C49458BB}"/>
            </c:extLst>
          </c:dLbls>
          <c:cat>
            <c:strRef>
              <c:f>'Financiele conditie'!$B$8</c:f>
              <c:strCache>
                <c:ptCount val="1"/>
                <c:pt idx="0">
                  <c:v>Solvabiliteitsratio</c:v>
                </c:pt>
              </c:strCache>
            </c:strRef>
          </c:cat>
          <c:val>
            <c:numRef>
              <c:f>('Financiele conditie'!$F$8,'Financiele conditie'!$L$8)</c:f>
              <c:numCache>
                <c:formatCode>0.0%</c:formatCode>
                <c:ptCount val="2"/>
                <c:pt idx="0">
                  <c:v>0.11341405163912026</c:v>
                </c:pt>
                <c:pt idx="1">
                  <c:v>0.88658594836087978</c:v>
                </c:pt>
              </c:numCache>
            </c:numRef>
          </c:val>
          <c:extLst>
            <c:ext xmlns:c16="http://schemas.microsoft.com/office/drawing/2014/chart" uri="{C3380CC4-5D6E-409C-BE32-E72D297353CC}">
              <c16:uniqueId val="{00000004-2BE4-4530-923D-7CBBD7ADE521}"/>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70039497737880041"/>
          <c:y val="0.40335593467483222"/>
          <c:w val="0.24952328347920064"/>
          <c:h val="0.234874662164222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Houdbaarheidsoverschot (+) of tekort (-) 2022</a:t>
            </a:r>
          </a:p>
        </c:rich>
      </c:tx>
      <c:layout>
        <c:manualLayout>
          <c:xMode val="edge"/>
          <c:yMode val="edge"/>
          <c:x val="6.3286252642544213E-2"/>
          <c:y val="3.24074074074074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7.6535023765304189E-2"/>
          <c:y val="0.17171296296296296"/>
          <c:w val="0.60363825845298746"/>
          <c:h val="0.72088764946048411"/>
        </c:manualLayout>
      </c:layout>
      <c:barChart>
        <c:barDir val="bar"/>
        <c:grouping val="stacked"/>
        <c:varyColors val="0"/>
        <c:ser>
          <c:idx val="0"/>
          <c:order val="0"/>
          <c:tx>
            <c:v>Houdbaarheidsquote</c:v>
          </c:tx>
          <c:spPr>
            <a:solidFill>
              <a:schemeClr val="accent1"/>
            </a:solidFill>
            <a:ln>
              <a:noFill/>
            </a:ln>
            <a:effectLst/>
          </c:spPr>
          <c:invertIfNegative val="0"/>
          <c:cat>
            <c:strRef>
              <c:f>'Financiele conditie'!$B$17</c:f>
              <c:strCache>
                <c:ptCount val="1"/>
                <c:pt idx="0">
                  <c:v>Weerbaarheid</c:v>
                </c:pt>
              </c:strCache>
            </c:strRef>
          </c:cat>
          <c:val>
            <c:numRef>
              <c:f>'Financiele conditie'!$I$18</c:f>
              <c:numCache>
                <c:formatCode>0.0%</c:formatCode>
                <c:ptCount val="1"/>
                <c:pt idx="0">
                  <c:v>0.13350000000000001</c:v>
                </c:pt>
              </c:numCache>
            </c:numRef>
          </c:val>
          <c:extLst>
            <c:ext xmlns:c16="http://schemas.microsoft.com/office/drawing/2014/chart" uri="{C3380CC4-5D6E-409C-BE32-E72D297353CC}">
              <c16:uniqueId val="{00000000-A835-40F2-8685-95F6926C54C9}"/>
            </c:ext>
          </c:extLst>
        </c:ser>
        <c:ser>
          <c:idx val="1"/>
          <c:order val="1"/>
          <c:tx>
            <c:v>Houdbaarheid</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conditie'!$B$17</c:f>
              <c:strCache>
                <c:ptCount val="1"/>
                <c:pt idx="0">
                  <c:v>Weerbaarheid</c:v>
                </c:pt>
              </c:strCache>
            </c:strRef>
          </c:cat>
          <c:val>
            <c:numRef>
              <c:f>'Financiele conditie'!$L$18</c:f>
              <c:numCache>
                <c:formatCode>0.0%</c:formatCode>
                <c:ptCount val="1"/>
                <c:pt idx="0">
                  <c:v>0.11649999999999999</c:v>
                </c:pt>
              </c:numCache>
            </c:numRef>
          </c:val>
          <c:extLst>
            <c:ext xmlns:c16="http://schemas.microsoft.com/office/drawing/2014/chart" uri="{C3380CC4-5D6E-409C-BE32-E72D297353CC}">
              <c16:uniqueId val="{00000001-A835-40F2-8685-95F6926C54C9}"/>
            </c:ext>
          </c:extLst>
        </c:ser>
        <c:dLbls>
          <c:showLegendKey val="0"/>
          <c:showVal val="0"/>
          <c:showCatName val="0"/>
          <c:showSerName val="0"/>
          <c:showPercent val="0"/>
          <c:showBubbleSize val="0"/>
        </c:dLbls>
        <c:gapWidth val="55"/>
        <c:overlap val="100"/>
        <c:axId val="582647632"/>
        <c:axId val="582649928"/>
      </c:barChart>
      <c:catAx>
        <c:axId val="582647632"/>
        <c:scaling>
          <c:orientation val="minMax"/>
        </c:scaling>
        <c:delete val="1"/>
        <c:axPos val="r"/>
        <c:numFmt formatCode="General" sourceLinked="1"/>
        <c:majorTickMark val="none"/>
        <c:minorTickMark val="none"/>
        <c:tickLblPos val="nextTo"/>
        <c:crossAx val="582649928"/>
        <c:crosses val="max"/>
        <c:auto val="1"/>
        <c:lblAlgn val="ctr"/>
        <c:lblOffset val="100"/>
        <c:noMultiLvlLbl val="0"/>
      </c:catAx>
      <c:valAx>
        <c:axId val="582649928"/>
        <c:scaling>
          <c:orientation val="minMax"/>
        </c:scaling>
        <c:delete val="0"/>
        <c:axPos val="b"/>
        <c:majorGridlines>
          <c:spPr>
            <a:ln w="9525" cap="flat" cmpd="sng" algn="ctr">
              <a:solidFill>
                <a:schemeClr val="bg2">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582647632"/>
        <c:crosses val="autoZero"/>
        <c:crossBetween val="between"/>
      </c:valAx>
      <c:spPr>
        <a:noFill/>
        <a:ln>
          <a:solidFill>
            <a:schemeClr val="tx1"/>
          </a:solidFill>
        </a:ln>
        <a:effectLst/>
      </c:spPr>
    </c:plotArea>
    <c:legend>
      <c:legendPos val="r"/>
      <c:layout>
        <c:manualLayout>
          <c:xMode val="edge"/>
          <c:yMode val="edge"/>
          <c:x val="0.69442122124440331"/>
          <c:y val="0.3804159375911344"/>
          <c:w val="0.27208217538984097"/>
          <c:h val="0.234954797317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26932388621533E-2"/>
          <c:y val="0.20657814554194967"/>
          <c:w val="0.57262081355659622"/>
          <c:h val="0.68837913089155112"/>
        </c:manualLayout>
      </c:layout>
      <c:barChart>
        <c:barDir val="col"/>
        <c:grouping val="clustered"/>
        <c:varyColors val="0"/>
        <c:ser>
          <c:idx val="0"/>
          <c:order val="0"/>
          <c:tx>
            <c:v>Exploitatieresultaat</c:v>
          </c:tx>
          <c:spPr>
            <a:solidFill>
              <a:schemeClr val="accent2"/>
            </a:solidFill>
            <a:ln>
              <a:noFill/>
            </a:ln>
            <a:effectLst/>
          </c:spPr>
          <c:invertIfNegative val="0"/>
          <c:dLbls>
            <c:dLbl>
              <c:idx val="0"/>
              <c:layout>
                <c:manualLayout>
                  <c:x val="-5.0172746435546768E-17"/>
                  <c:y val="0.191817650244572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2D-4267-A356-9E6FBF890F92}"/>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2022</c:v>
                </c:pt>
              </c:numCache>
            </c:numRef>
          </c:cat>
          <c:val>
            <c:numRef>
              <c:f>'Financiele conditie'!$I$10</c:f>
              <c:numCache>
                <c:formatCode>0.0%</c:formatCode>
                <c:ptCount val="1"/>
                <c:pt idx="0">
                  <c:v>1.8851360717090976E-4</c:v>
                </c:pt>
              </c:numCache>
            </c:numRef>
          </c:val>
          <c:extLst>
            <c:ext xmlns:c16="http://schemas.microsoft.com/office/drawing/2014/chart" uri="{C3380CC4-5D6E-409C-BE32-E72D297353CC}">
              <c16:uniqueId val="{00000000-47B1-434E-8294-F425D0602D68}"/>
            </c:ext>
          </c:extLst>
        </c:ser>
        <c:ser>
          <c:idx val="1"/>
          <c:order val="1"/>
          <c:tx>
            <c:v>Netto investeringen</c:v>
          </c:tx>
          <c:spPr>
            <a:solidFill>
              <a:srgbClr val="00B050"/>
            </a:solidFill>
            <a:ln>
              <a:noFill/>
            </a:ln>
            <a:effectLst/>
          </c:spPr>
          <c:invertIfNegative val="0"/>
          <c:dLbls>
            <c:dLbl>
              <c:idx val="0"/>
              <c:layout>
                <c:manualLayout>
                  <c:x val="0"/>
                  <c:y val="0.2055189109763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2D-4267-A356-9E6FBF890F92}"/>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2022</c:v>
                </c:pt>
              </c:numCache>
            </c:numRef>
          </c:cat>
          <c:val>
            <c:numRef>
              <c:f>'Financiele conditie'!$I$15</c:f>
              <c:numCache>
                <c:formatCode>0.0%</c:formatCode>
                <c:ptCount val="1"/>
                <c:pt idx="0">
                  <c:v>3.0781872165860306E-2</c:v>
                </c:pt>
              </c:numCache>
            </c:numRef>
          </c:val>
          <c:extLst>
            <c:ext xmlns:c16="http://schemas.microsoft.com/office/drawing/2014/chart" uri="{C3380CC4-5D6E-409C-BE32-E72D297353CC}">
              <c16:uniqueId val="{00000001-47B1-434E-8294-F425D0602D68}"/>
            </c:ext>
          </c:extLst>
        </c:ser>
        <c:ser>
          <c:idx val="2"/>
          <c:order val="2"/>
          <c:tx>
            <c:v>Onbenutte belastingcapaciteit</c:v>
          </c:tx>
          <c:spPr>
            <a:solidFill>
              <a:schemeClr val="accent4"/>
            </a:solidFill>
            <a:ln>
              <a:noFill/>
            </a:ln>
            <a:effectLst/>
          </c:spPr>
          <c:invertIfNegative val="0"/>
          <c:dLbls>
            <c:dLbl>
              <c:idx val="0"/>
              <c:layout>
                <c:manualLayout>
                  <c:x val="2.7367268746579091E-3"/>
                  <c:y val="0.19181765024457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73-4189-94D9-E11F5ED94147}"/>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2022</c:v>
                </c:pt>
              </c:numCache>
            </c:numRef>
          </c:cat>
          <c:val>
            <c:numRef>
              <c:f>'Financiele conditie'!$I$12</c:f>
              <c:numCache>
                <c:formatCode>0.0%</c:formatCode>
                <c:ptCount val="1"/>
                <c:pt idx="0">
                  <c:v>-2.3408885089867392E-2</c:v>
                </c:pt>
              </c:numCache>
            </c:numRef>
          </c:val>
          <c:extLst>
            <c:ext xmlns:c16="http://schemas.microsoft.com/office/drawing/2014/chart" uri="{C3380CC4-5D6E-409C-BE32-E72D297353CC}">
              <c16:uniqueId val="{00000002-47B1-434E-8294-F425D0602D68}"/>
            </c:ext>
          </c:extLst>
        </c:ser>
        <c:dLbls>
          <c:showLegendKey val="0"/>
          <c:showVal val="0"/>
          <c:showCatName val="0"/>
          <c:showSerName val="0"/>
          <c:showPercent val="0"/>
          <c:showBubbleSize val="0"/>
        </c:dLbls>
        <c:gapWidth val="150"/>
        <c:axId val="607923880"/>
        <c:axId val="607928800"/>
      </c:barChart>
      <c:catAx>
        <c:axId val="607923880"/>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nl-NL"/>
          </a:p>
        </c:txPr>
        <c:crossAx val="607928800"/>
        <c:crosses val="autoZero"/>
        <c:auto val="0"/>
        <c:lblAlgn val="ctr"/>
        <c:lblOffset val="100"/>
        <c:noMultiLvlLbl val="0"/>
      </c:catAx>
      <c:valAx>
        <c:axId val="607928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607923880"/>
        <c:crosses val="autoZero"/>
        <c:crossBetween val="between"/>
      </c:valAx>
      <c:spPr>
        <a:noFill/>
        <a:ln>
          <a:solidFill>
            <a:schemeClr val="tx1"/>
          </a:solidFill>
        </a:ln>
        <a:effectLst/>
      </c:spPr>
    </c:plotArea>
    <c:legend>
      <c:legendPos val="r"/>
      <c:layout>
        <c:manualLayout>
          <c:xMode val="edge"/>
          <c:yMode val="edge"/>
          <c:x val="0.65723717483446786"/>
          <c:y val="0.38141609699452145"/>
          <c:w val="0.34007537555521228"/>
          <c:h val="0.237167806010957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NL"/>
              <a:t>Ontwikkeling schuldbelasting bezit eind 2021 - 2022</a:t>
            </a:r>
          </a:p>
          <a:p>
            <a:pPr>
              <a:defRPr sz="1000" b="1" i="0" u="none" strike="noStrike" baseline="0">
                <a:solidFill>
                  <a:srgbClr val="000000"/>
                </a:solidFill>
                <a:latin typeface="Arial"/>
                <a:ea typeface="Arial"/>
                <a:cs typeface="Arial"/>
              </a:defRPr>
            </a:pPr>
            <a:endParaRPr lang="nl-NL"/>
          </a:p>
        </c:rich>
      </c:tx>
      <c:layout>
        <c:manualLayout>
          <c:xMode val="edge"/>
          <c:yMode val="edge"/>
          <c:x val="0.38015802712161922"/>
          <c:y val="3.2407407407408786E-2"/>
        </c:manualLayout>
      </c:layout>
      <c:overlay val="0"/>
    </c:title>
    <c:autoTitleDeleted val="0"/>
    <c:plotArea>
      <c:layout>
        <c:manualLayout>
          <c:layoutTarget val="inner"/>
          <c:xMode val="edge"/>
          <c:yMode val="edge"/>
          <c:x val="0.13043318828092118"/>
          <c:y val="0.1463079615048119"/>
          <c:w val="0.48012167783913451"/>
          <c:h val="0.73771216097987768"/>
        </c:manualLayout>
      </c:layout>
      <c:barChart>
        <c:barDir val="col"/>
        <c:grouping val="clustered"/>
        <c:varyColors val="0"/>
        <c:ser>
          <c:idx val="0"/>
          <c:order val="0"/>
          <c:tx>
            <c:strRef>
              <c:f>Balansprognose!$E$39</c:f>
              <c:strCache>
                <c:ptCount val="1"/>
                <c:pt idx="0">
                  <c:v>Schuldratio</c:v>
                </c:pt>
              </c:strCache>
            </c:strRef>
          </c:tx>
          <c:spPr>
            <a:solidFill>
              <a:srgbClr val="C00000"/>
            </a:solidFill>
          </c:spPr>
          <c:invertIfNegative val="0"/>
          <c:cat>
            <c:numRef>
              <c:f>Balansprognose!$F$4:$G$4</c:f>
              <c:numCache>
                <c:formatCode>0</c:formatCode>
                <c:ptCount val="2"/>
                <c:pt idx="0">
                  <c:v>2021</c:v>
                </c:pt>
                <c:pt idx="1">
                  <c:v>2022</c:v>
                </c:pt>
              </c:numCache>
            </c:numRef>
          </c:cat>
          <c:val>
            <c:numRef>
              <c:f>Balansprognose!$F$39:$G$39</c:f>
              <c:numCache>
                <c:formatCode>0.0%</c:formatCode>
                <c:ptCount val="2"/>
                <c:pt idx="0">
                  <c:v>0.86315847007521296</c:v>
                </c:pt>
                <c:pt idx="1">
                  <c:v>0.86573504064694495</c:v>
                </c:pt>
              </c:numCache>
            </c:numRef>
          </c:val>
          <c:extLst>
            <c:ext xmlns:c16="http://schemas.microsoft.com/office/drawing/2014/chart" uri="{C3380CC4-5D6E-409C-BE32-E72D297353CC}">
              <c16:uniqueId val="{00000000-752A-47B0-A5EB-20A0966B6D4C}"/>
            </c:ext>
          </c:extLst>
        </c:ser>
        <c:ser>
          <c:idx val="1"/>
          <c:order val="1"/>
          <c:tx>
            <c:strRef>
              <c:f>Balansprognose!$E$38</c:f>
              <c:strCache>
                <c:ptCount val="1"/>
                <c:pt idx="0">
                  <c:v>Solvabiliteitsratio</c:v>
                </c:pt>
              </c:strCache>
            </c:strRef>
          </c:tx>
          <c:spPr>
            <a:solidFill>
              <a:schemeClr val="accent3">
                <a:lumMod val="75000"/>
              </a:schemeClr>
            </a:solidFill>
          </c:spPr>
          <c:invertIfNegative val="0"/>
          <c:cat>
            <c:numRef>
              <c:f>Balansprognose!$F$4:$G$4</c:f>
              <c:numCache>
                <c:formatCode>0</c:formatCode>
                <c:ptCount val="2"/>
                <c:pt idx="0">
                  <c:v>2021</c:v>
                </c:pt>
                <c:pt idx="1">
                  <c:v>2022</c:v>
                </c:pt>
              </c:numCache>
            </c:numRef>
          </c:cat>
          <c:val>
            <c:numRef>
              <c:f>Balansprognose!$F$38:$G$38</c:f>
              <c:numCache>
                <c:formatCode>0.0%</c:formatCode>
                <c:ptCount val="2"/>
                <c:pt idx="0">
                  <c:v>0.11341405163912026</c:v>
                </c:pt>
                <c:pt idx="1">
                  <c:v>0.11129486922900932</c:v>
                </c:pt>
              </c:numCache>
            </c:numRef>
          </c:val>
          <c:extLst>
            <c:ext xmlns:c16="http://schemas.microsoft.com/office/drawing/2014/chart" uri="{C3380CC4-5D6E-409C-BE32-E72D297353CC}">
              <c16:uniqueId val="{00000001-752A-47B0-A5EB-20A0966B6D4C}"/>
            </c:ext>
          </c:extLst>
        </c:ser>
        <c:ser>
          <c:idx val="2"/>
          <c:order val="2"/>
          <c:tx>
            <c:strRef>
              <c:f>Balansprognose!$E$46</c:f>
              <c:strCache>
                <c:ptCount val="1"/>
                <c:pt idx="0">
                  <c:v>Exploitatieresultaat</c:v>
                </c:pt>
              </c:strCache>
            </c:strRef>
          </c:tx>
          <c:spPr>
            <a:solidFill>
              <a:schemeClr val="accent1">
                <a:lumMod val="50000"/>
              </a:schemeClr>
            </a:solidFill>
          </c:spPr>
          <c:invertIfNegative val="0"/>
          <c:cat>
            <c:numRef>
              <c:f>Balansprognose!$F$4:$G$4</c:f>
              <c:numCache>
                <c:formatCode>0</c:formatCode>
                <c:ptCount val="2"/>
                <c:pt idx="0">
                  <c:v>2021</c:v>
                </c:pt>
                <c:pt idx="1">
                  <c:v>2022</c:v>
                </c:pt>
              </c:numCache>
            </c:numRef>
          </c:cat>
          <c:val>
            <c:numRef>
              <c:f>Balansprognose!$F$46:$G$46</c:f>
              <c:numCache>
                <c:formatCode>0.0%</c:formatCode>
                <c:ptCount val="2"/>
                <c:pt idx="0">
                  <c:v>-2.3426189910704342E-2</c:v>
                </c:pt>
                <c:pt idx="1">
                  <c:v>1.8851360717090976E-4</c:v>
                </c:pt>
              </c:numCache>
            </c:numRef>
          </c:val>
          <c:extLst>
            <c:ext xmlns:c16="http://schemas.microsoft.com/office/drawing/2014/chart" uri="{C3380CC4-5D6E-409C-BE32-E72D297353CC}">
              <c16:uniqueId val="{00000000-1C66-41EF-AB16-595EB1B717B2}"/>
            </c:ext>
          </c:extLst>
        </c:ser>
        <c:dLbls>
          <c:showLegendKey val="0"/>
          <c:showVal val="0"/>
          <c:showCatName val="0"/>
          <c:showSerName val="0"/>
          <c:showPercent val="0"/>
          <c:showBubbleSize val="0"/>
        </c:dLbls>
        <c:gapWidth val="55"/>
        <c:axId val="424475424"/>
        <c:axId val="424468760"/>
      </c:barChart>
      <c:catAx>
        <c:axId val="424475424"/>
        <c:scaling>
          <c:orientation val="minMax"/>
        </c:scaling>
        <c:delete val="0"/>
        <c:axPos val="b"/>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68760"/>
        <c:crosses val="autoZero"/>
        <c:auto val="1"/>
        <c:lblAlgn val="ctr"/>
        <c:lblOffset val="100"/>
        <c:noMultiLvlLbl val="0"/>
      </c:catAx>
      <c:valAx>
        <c:axId val="424468760"/>
        <c:scaling>
          <c:orientation val="minMax"/>
          <c:min val="-0.2"/>
        </c:scaling>
        <c:delete val="0"/>
        <c:axPos val="l"/>
        <c:majorGridlines/>
        <c:numFmt formatCode="0.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75424"/>
        <c:crosses val="autoZero"/>
        <c:crossBetween val="between"/>
      </c:valAx>
    </c:plotArea>
    <c:legend>
      <c:legendPos val="r"/>
      <c:layout>
        <c:manualLayout>
          <c:xMode val="edge"/>
          <c:yMode val="edge"/>
          <c:x val="0.6283112787985039"/>
          <c:y val="0.33796879556724174"/>
          <c:w val="0.20597317771087081"/>
          <c:h val="0.229611791483811"/>
        </c:manualLayout>
      </c:layout>
      <c:overlay val="0"/>
      <c:txPr>
        <a:bodyPr/>
        <a:lstStyle/>
        <a:p>
          <a:pPr>
            <a:defRPr sz="920" b="0" i="0" u="none" strike="noStrike" baseline="0">
              <a:solidFill>
                <a:srgbClr val="000000"/>
              </a:solidFill>
              <a:latin typeface="Calibri"/>
              <a:ea typeface="Calibri"/>
              <a:cs typeface="Calibri"/>
            </a:defRPr>
          </a:pPr>
          <a:endParaRPr lang="nl-NL"/>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60963010905666"/>
          <c:y val="0.19190614985281731"/>
          <c:w val="0.52400373422709912"/>
          <c:h val="0.71582256637810493"/>
        </c:manualLayout>
      </c:layout>
      <c:barChart>
        <c:barDir val="col"/>
        <c:grouping val="clustered"/>
        <c:varyColors val="0"/>
        <c:ser>
          <c:idx val="0"/>
          <c:order val="0"/>
          <c:tx>
            <c:strRef>
              <c:f>Balansprognose!$E$42</c:f>
              <c:strCache>
                <c:ptCount val="1"/>
                <c:pt idx="0">
                  <c:v>Netto schuldquote (incl. uitgeleend geld)</c:v>
                </c:pt>
              </c:strCache>
            </c:strRef>
          </c:tx>
          <c:spPr>
            <a:solidFill>
              <a:srgbClr val="FF0000"/>
            </a:solidFill>
          </c:spPr>
          <c:invertIfNegative val="0"/>
          <c:cat>
            <c:strRef>
              <c:f>Balansprognose!$F$34:$G$34</c:f>
              <c:strCache>
                <c:ptCount val="2"/>
                <c:pt idx="0">
                  <c:v>Jaarrek. 2021</c:v>
                </c:pt>
                <c:pt idx="1">
                  <c:v>Begroting 2022</c:v>
                </c:pt>
              </c:strCache>
            </c:strRef>
          </c:cat>
          <c:val>
            <c:numRef>
              <c:f>Balansprognose!$F$42:$G$42</c:f>
              <c:numCache>
                <c:formatCode>0.0%</c:formatCode>
                <c:ptCount val="2"/>
                <c:pt idx="0">
                  <c:v>1.1533094383765359</c:v>
                </c:pt>
                <c:pt idx="1">
                  <c:v>1.1199714000397476</c:v>
                </c:pt>
              </c:numCache>
            </c:numRef>
          </c:val>
          <c:extLst>
            <c:ext xmlns:c16="http://schemas.microsoft.com/office/drawing/2014/chart" uri="{C3380CC4-5D6E-409C-BE32-E72D297353CC}">
              <c16:uniqueId val="{00000000-0896-46D8-8EBA-B72659604A68}"/>
            </c:ext>
          </c:extLst>
        </c:ser>
        <c:ser>
          <c:idx val="1"/>
          <c:order val="1"/>
          <c:tx>
            <c:strRef>
              <c:f>Balansprognose!$E$43</c:f>
              <c:strCache>
                <c:ptCount val="1"/>
                <c:pt idx="0">
                  <c:v>Uitleenquote</c:v>
                </c:pt>
              </c:strCache>
            </c:strRef>
          </c:tx>
          <c:spPr>
            <a:solidFill>
              <a:srgbClr val="92D050"/>
            </a:solidFill>
          </c:spPr>
          <c:invertIfNegative val="0"/>
          <c:cat>
            <c:strRef>
              <c:f>Balansprognose!$F$34:$G$34</c:f>
              <c:strCache>
                <c:ptCount val="2"/>
                <c:pt idx="0">
                  <c:v>Jaarrek. 2021</c:v>
                </c:pt>
                <c:pt idx="1">
                  <c:v>Begroting 2022</c:v>
                </c:pt>
              </c:strCache>
            </c:strRef>
          </c:cat>
          <c:val>
            <c:numRef>
              <c:f>Balansprognose!$F$43:$G$43</c:f>
              <c:numCache>
                <c:formatCode>0.0%</c:formatCode>
                <c:ptCount val="2"/>
                <c:pt idx="0">
                  <c:v>0.38732792034050806</c:v>
                </c:pt>
                <c:pt idx="1">
                  <c:v>0.36319271819987986</c:v>
                </c:pt>
              </c:numCache>
            </c:numRef>
          </c:val>
          <c:extLst>
            <c:ext xmlns:c16="http://schemas.microsoft.com/office/drawing/2014/chart" uri="{C3380CC4-5D6E-409C-BE32-E72D297353CC}">
              <c16:uniqueId val="{00000001-0896-46D8-8EBA-B72659604A68}"/>
            </c:ext>
          </c:extLst>
        </c:ser>
        <c:ser>
          <c:idx val="2"/>
          <c:order val="2"/>
          <c:tx>
            <c:strRef>
              <c:f>Balansprognose!$E$44</c:f>
              <c:strCache>
                <c:ptCount val="1"/>
                <c:pt idx="0">
                  <c:v>Voorraadquote (inclusief NIEG)</c:v>
                </c:pt>
              </c:strCache>
            </c:strRef>
          </c:tx>
          <c:spPr>
            <a:solidFill>
              <a:schemeClr val="tx2"/>
            </a:solidFill>
          </c:spPr>
          <c:invertIfNegative val="0"/>
          <c:cat>
            <c:strRef>
              <c:f>Balansprognose!$F$34:$G$34</c:f>
              <c:strCache>
                <c:ptCount val="2"/>
                <c:pt idx="0">
                  <c:v>Jaarrek. 2021</c:v>
                </c:pt>
                <c:pt idx="1">
                  <c:v>Begroting 2022</c:v>
                </c:pt>
              </c:strCache>
            </c:strRef>
          </c:cat>
          <c:val>
            <c:numRef>
              <c:f>Balansprognose!$F$44:$G$44</c:f>
              <c:numCache>
                <c:formatCode>0.0%</c:formatCode>
                <c:ptCount val="2"/>
                <c:pt idx="0">
                  <c:v>6.2981968407017114E-2</c:v>
                </c:pt>
                <c:pt idx="1">
                  <c:v>5.9112448409469359E-2</c:v>
                </c:pt>
              </c:numCache>
            </c:numRef>
          </c:val>
          <c:extLst>
            <c:ext xmlns:c16="http://schemas.microsoft.com/office/drawing/2014/chart" uri="{C3380CC4-5D6E-409C-BE32-E72D297353CC}">
              <c16:uniqueId val="{00000002-0896-46D8-8EBA-B72659604A68}"/>
            </c:ext>
          </c:extLst>
        </c:ser>
        <c:ser>
          <c:idx val="3"/>
          <c:order val="3"/>
          <c:tx>
            <c:strRef>
              <c:f>Balansprognose!$E$45</c:f>
              <c:strCache>
                <c:ptCount val="1"/>
                <c:pt idx="0">
                  <c:v>Effectieve netto schuldquote</c:v>
                </c:pt>
              </c:strCache>
            </c:strRef>
          </c:tx>
          <c:invertIfNegative val="0"/>
          <c:cat>
            <c:strRef>
              <c:f>Balansprognose!$F$34:$G$34</c:f>
              <c:strCache>
                <c:ptCount val="2"/>
                <c:pt idx="0">
                  <c:v>Jaarrek. 2021</c:v>
                </c:pt>
                <c:pt idx="1">
                  <c:v>Begroting 2022</c:v>
                </c:pt>
              </c:strCache>
            </c:strRef>
          </c:cat>
          <c:val>
            <c:numRef>
              <c:f>Balansprognose!$F$45:$G$45</c:f>
              <c:numCache>
                <c:formatCode>0.0%</c:formatCode>
                <c:ptCount val="2"/>
                <c:pt idx="0">
                  <c:v>1.1557014109324848</c:v>
                </c:pt>
                <c:pt idx="1">
                  <c:v>1.1221758123371046</c:v>
                </c:pt>
              </c:numCache>
            </c:numRef>
          </c:val>
          <c:extLst>
            <c:ext xmlns:c16="http://schemas.microsoft.com/office/drawing/2014/chart" uri="{C3380CC4-5D6E-409C-BE32-E72D297353CC}">
              <c16:uniqueId val="{00000000-271D-4241-B284-CDB302FE6DCE}"/>
            </c:ext>
          </c:extLst>
        </c:ser>
        <c:ser>
          <c:idx val="4"/>
          <c:order val="4"/>
          <c:tx>
            <c:strRef>
              <c:f>Balansprognose!$E$41</c:f>
              <c:strCache>
                <c:ptCount val="1"/>
                <c:pt idx="0">
                  <c:v>Kasgeldratio</c:v>
                </c:pt>
              </c:strCache>
            </c:strRef>
          </c:tx>
          <c:invertIfNegative val="0"/>
          <c:cat>
            <c:strRef>
              <c:f>Balansprognose!$F$34:$G$34</c:f>
              <c:strCache>
                <c:ptCount val="2"/>
                <c:pt idx="0">
                  <c:v>Jaarrek. 2021</c:v>
                </c:pt>
                <c:pt idx="1">
                  <c:v>Begroting 2022</c:v>
                </c:pt>
              </c:strCache>
            </c:strRef>
          </c:cat>
          <c:val>
            <c:numRef>
              <c:f>Balansprognose!$F$41:$G$41</c:f>
              <c:numCache>
                <c:formatCode>0.0%</c:formatCode>
                <c:ptCount val="2"/>
                <c:pt idx="0">
                  <c:v>7.6167884902125615E-2</c:v>
                </c:pt>
                <c:pt idx="1">
                  <c:v>7.1421706787413941E-2</c:v>
                </c:pt>
              </c:numCache>
            </c:numRef>
          </c:val>
          <c:extLst>
            <c:ext xmlns:c16="http://schemas.microsoft.com/office/drawing/2014/chart" uri="{C3380CC4-5D6E-409C-BE32-E72D297353CC}">
              <c16:uniqueId val="{00000000-BE00-4BB7-BBAD-7C883B68A8D3}"/>
            </c:ext>
          </c:extLst>
        </c:ser>
        <c:dLbls>
          <c:showLegendKey val="0"/>
          <c:showVal val="0"/>
          <c:showCatName val="0"/>
          <c:showSerName val="0"/>
          <c:showPercent val="0"/>
          <c:showBubbleSize val="0"/>
        </c:dLbls>
        <c:gapWidth val="150"/>
        <c:axId val="424471504"/>
        <c:axId val="424471896"/>
      </c:barChart>
      <c:catAx>
        <c:axId val="424471504"/>
        <c:scaling>
          <c:orientation val="minMax"/>
        </c:scaling>
        <c:delete val="0"/>
        <c:axPos val="b"/>
        <c:numFmt formatCode="General" sourceLinked="0"/>
        <c:majorTickMark val="out"/>
        <c:minorTickMark val="none"/>
        <c:tickLblPos val="nextTo"/>
        <c:txPr>
          <a:bodyPr/>
          <a:lstStyle/>
          <a:p>
            <a:pPr>
              <a:defRPr b="1"/>
            </a:pPr>
            <a:endParaRPr lang="nl-NL"/>
          </a:p>
        </c:txPr>
        <c:crossAx val="424471896"/>
        <c:crosses val="autoZero"/>
        <c:auto val="1"/>
        <c:lblAlgn val="ctr"/>
        <c:lblOffset val="100"/>
        <c:noMultiLvlLbl val="0"/>
      </c:catAx>
      <c:valAx>
        <c:axId val="424471896"/>
        <c:scaling>
          <c:orientation val="minMax"/>
        </c:scaling>
        <c:delete val="0"/>
        <c:axPos val="l"/>
        <c:majorGridlines/>
        <c:numFmt formatCode="0.0%" sourceLinked="1"/>
        <c:majorTickMark val="out"/>
        <c:minorTickMark val="none"/>
        <c:tickLblPos val="nextTo"/>
        <c:txPr>
          <a:bodyPr/>
          <a:lstStyle/>
          <a:p>
            <a:pPr>
              <a:defRPr b="1"/>
            </a:pPr>
            <a:endParaRPr lang="nl-NL"/>
          </a:p>
        </c:txPr>
        <c:crossAx val="424471504"/>
        <c:crosses val="autoZero"/>
        <c:crossBetween val="between"/>
      </c:valAx>
    </c:plotArea>
    <c:legend>
      <c:legendPos val="r"/>
      <c:overlay val="0"/>
    </c:legend>
    <c:plotVisOnly val="1"/>
    <c:dispBlanksAs val="gap"/>
    <c:showDLblsOverMax val="0"/>
  </c:chart>
  <c:spPr>
    <a:ln>
      <a:solidFill>
        <a:schemeClr val="tx1"/>
      </a:solidFill>
    </a:ln>
  </c:spPr>
  <c:printSettings>
    <c:headerFooter/>
    <c:pageMargins b="0.75000000000000577" l="0.70000000000000062" r="0.70000000000000062" t="0.75000000000000577"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nl-NL">
                <a:solidFill>
                  <a:sysClr val="windowText" lastClr="000000"/>
                </a:solidFill>
              </a:rPr>
              <a:t>Inkomensmix 2022</a:t>
            </a:r>
          </a:p>
        </c:rich>
      </c:tx>
      <c:layout>
        <c:manualLayout>
          <c:xMode val="edge"/>
          <c:yMode val="edge"/>
          <c:x val="2.2045640128317293E-2"/>
          <c:y val="3.1990808015950799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nl-NL"/>
        </a:p>
      </c:txPr>
    </c:title>
    <c:autoTitleDeleted val="0"/>
    <c:plotArea>
      <c:layout/>
      <c:ofPieChart>
        <c:ofPieType val="pie"/>
        <c:varyColors val="1"/>
        <c:ser>
          <c:idx val="0"/>
          <c:order val="0"/>
          <c:tx>
            <c:strRef>
              <c:f>'Inkomsten &amp; uitgaven'!$P$1</c:f>
              <c:strCache>
                <c:ptCount val="1"/>
                <c:pt idx="0">
                  <c:v>Inkomensmix</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E0-49DF-91C2-E01F4DB707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E0-49DF-91C2-E01F4DB707D2}"/>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2-17CE-4C2C-850B-612822A56A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0E0-49DF-91C2-E01F4DB707D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0E0-49DF-91C2-E01F4DB707D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0E0-49DF-91C2-E01F4DB707D2}"/>
              </c:ext>
            </c:extLst>
          </c:dPt>
          <c:dPt>
            <c:idx val="6"/>
            <c:bubble3D val="0"/>
            <c:spPr>
              <a:solidFill>
                <a:srgbClr val="92D050"/>
              </a:solidFill>
              <a:ln w="19050">
                <a:solidFill>
                  <a:schemeClr val="lt1"/>
                </a:solidFill>
              </a:ln>
              <a:effectLst/>
            </c:spPr>
            <c:extLst>
              <c:ext xmlns:c16="http://schemas.microsoft.com/office/drawing/2014/chart" uri="{C3380CC4-5D6E-409C-BE32-E72D297353CC}">
                <c16:uniqueId val="{00000007-17CE-4C2C-850B-612822A56A57}"/>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A-17CE-4C2C-850B-612822A56A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0E0-49DF-91C2-E01F4DB707D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6D2-416A-882E-2CCDFF32509A}"/>
              </c:ext>
            </c:extLst>
          </c:dPt>
          <c:val>
            <c:numRef>
              <c:f>'Inkomsten &amp; uitgaven'!$Q$2:$Q$10</c:f>
              <c:numCache>
                <c:formatCode>0.0%</c:formatCode>
                <c:ptCount val="9"/>
                <c:pt idx="0">
                  <c:v>0.71507739222843414</c:v>
                </c:pt>
                <c:pt idx="1">
                  <c:v>9.0505937254539578E-2</c:v>
                </c:pt>
                <c:pt idx="2">
                  <c:v>1.7103913505521415E-2</c:v>
                </c:pt>
                <c:pt idx="3">
                  <c:v>3.1572332855888743E-2</c:v>
                </c:pt>
                <c:pt idx="4">
                  <c:v>1.1486392829090238E-3</c:v>
                </c:pt>
                <c:pt idx="5">
                  <c:v>2.5009471884674027E-2</c:v>
                </c:pt>
                <c:pt idx="6">
                  <c:v>2.0680127523910734E-2</c:v>
                </c:pt>
                <c:pt idx="7">
                  <c:v>2.8870827298298062E-2</c:v>
                </c:pt>
                <c:pt idx="8">
                  <c:v>7.0031358165824231E-2</c:v>
                </c:pt>
              </c:numCache>
            </c:numRef>
          </c:val>
          <c:extLst>
            <c:ext xmlns:c15="http://schemas.microsoft.com/office/drawing/2012/chart" uri="{02D57815-91ED-43cb-92C2-25804820EDAC}">
              <c15:filteredCategoryTitle>
                <c15:cat>
                  <c:strRef>
                    <c:extLst>
                      <c:ext uri="{02D57815-91ED-43cb-92C2-25804820EDAC}">
                        <c15:formulaRef>
                          <c15:sqref>'Inkomsten &amp; uitgaven'!$P$2:$P$10</c15:sqref>
                        </c15:formulaRef>
                      </c:ext>
                    </c:extLst>
                    <c:strCache>
                      <c:ptCount val="9"/>
                      <c:pt idx="0">
                        <c:v>1. Rijksoverdrachten</c:v>
                      </c:pt>
                      <c:pt idx="1">
                        <c:v>2. OZB</c:v>
                      </c:pt>
                      <c:pt idx="2">
                        <c:v>3. Riool rechten</c:v>
                      </c:pt>
                      <c:pt idx="3">
                        <c:v>4. Afvalstoffenheffing</c:v>
                      </c:pt>
                      <c:pt idx="4">
                        <c:v>5. Bouwgrond </c:v>
                      </c:pt>
                      <c:pt idx="5">
                        <c:v>6. Overige belastingen</c:v>
                      </c:pt>
                      <c:pt idx="6">
                        <c:v>7. Overige rechten &amp; leges</c:v>
                      </c:pt>
                      <c:pt idx="7">
                        <c:v>8. Rente en dividend</c:v>
                      </c:pt>
                      <c:pt idx="8">
                        <c:v>9. Overige eigen inkomsten</c:v>
                      </c:pt>
                    </c:strCache>
                  </c:strRef>
                </c15:cat>
              </c15:filteredCategoryTitle>
            </c:ext>
            <c:ext xmlns:c16="http://schemas.microsoft.com/office/drawing/2014/chart" uri="{C3380CC4-5D6E-409C-BE32-E72D297353CC}">
              <c16:uniqueId val="{00000000-17CE-4C2C-850B-612822A56A57}"/>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0.30368285214348206"/>
          <c:y val="0.90182352742387883"/>
          <c:w val="0.40189355497229517"/>
          <c:h val="7.2425399614747726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Macrogegevens!$A$2</c:f>
          <c:strCache>
            <c:ptCount val="1"/>
            <c:pt idx="0">
              <c:v>Groningen</c:v>
            </c:pt>
          </c:strCache>
        </c:strRef>
      </c:tx>
      <c:layout>
        <c:manualLayout>
          <c:xMode val="edge"/>
          <c:yMode val="edge"/>
          <c:x val="5.6577088110519307E-2"/>
          <c:y val="3.7037234752435616E-2"/>
        </c:manualLayout>
      </c:layout>
      <c:overlay val="0"/>
      <c:txPr>
        <a:bodyPr/>
        <a:lstStyle/>
        <a:p>
          <a:pPr>
            <a:defRPr sz="1200" b="1" i="0" u="none" strike="noStrike" baseline="0">
              <a:solidFill>
                <a:srgbClr val="000000"/>
              </a:solidFill>
              <a:latin typeface="Calibri"/>
              <a:ea typeface="Calibri"/>
              <a:cs typeface="Calibri"/>
            </a:defRPr>
          </a:pPr>
          <a:endParaRPr lang="nl-NL"/>
        </a:p>
      </c:txPr>
    </c:title>
    <c:autoTitleDeleted val="0"/>
    <c:plotArea>
      <c:layout>
        <c:manualLayout>
          <c:layoutTarget val="inner"/>
          <c:xMode val="edge"/>
          <c:yMode val="edge"/>
          <c:x val="0.15252223680373544"/>
          <c:y val="0.16759262235077757"/>
          <c:w val="0.56221102362204722"/>
          <c:h val="0.63937736949547974"/>
        </c:manualLayout>
      </c:layout>
      <c:lineChart>
        <c:grouping val="standard"/>
        <c:varyColors val="0"/>
        <c:ser>
          <c:idx val="1"/>
          <c:order val="0"/>
          <c:tx>
            <c:strRef>
              <c:f>Macrogegevens!$F$3</c:f>
              <c:strCache>
                <c:ptCount val="1"/>
                <c:pt idx="0">
                  <c:v>Netto schuldquote</c:v>
                </c:pt>
              </c:strCache>
            </c:strRef>
          </c:tx>
          <c:spPr>
            <a:ln w="38100">
              <a:solidFill>
                <a:srgbClr val="FF0000"/>
              </a:solidFill>
            </a:ln>
          </c:spPr>
          <c:marker>
            <c:symbol val="none"/>
          </c:marker>
          <c:cat>
            <c:numRef>
              <c:f>Macrogegevens!$E$4:$E$14</c:f>
              <c:numCache>
                <c:formatCode>0</c:formatCode>
                <c:ptCount val="11"/>
                <c:pt idx="0">
                  <c:v>2021</c:v>
                </c:pt>
                <c:pt idx="1">
                  <c:v>2022</c:v>
                </c:pt>
                <c:pt idx="2">
                  <c:v>2023</c:v>
                </c:pt>
                <c:pt idx="3">
                  <c:v>2024</c:v>
                </c:pt>
                <c:pt idx="4">
                  <c:v>2025</c:v>
                </c:pt>
                <c:pt idx="5">
                  <c:v>2026</c:v>
                </c:pt>
                <c:pt idx="6">
                  <c:v>2027</c:v>
                </c:pt>
                <c:pt idx="7">
                  <c:v>2028</c:v>
                </c:pt>
                <c:pt idx="8">
                  <c:v>2029</c:v>
                </c:pt>
                <c:pt idx="9">
                  <c:v>2030</c:v>
                </c:pt>
                <c:pt idx="10">
                  <c:v>2031</c:v>
                </c:pt>
              </c:numCache>
            </c:numRef>
          </c:cat>
          <c:val>
            <c:numRef>
              <c:f>Macrogegevens!$F$4:$F$14</c:f>
              <c:numCache>
                <c:formatCode>0%</c:formatCode>
                <c:ptCount val="11"/>
                <c:pt idx="0">
                  <c:v>1.1533094383765359</c:v>
                </c:pt>
                <c:pt idx="1">
                  <c:v>1.1199714000397476</c:v>
                </c:pt>
                <c:pt idx="2">
                  <c:v>1.3487915690310419</c:v>
                </c:pt>
                <c:pt idx="3">
                  <c:v>1.4176783811451588</c:v>
                </c:pt>
                <c:pt idx="4">
                  <c:v>1.4649796769458094</c:v>
                </c:pt>
                <c:pt idx="5">
                  <c:v>1.4932788362095739</c:v>
                </c:pt>
                <c:pt idx="6">
                  <c:v>1.5027892080300937</c:v>
                </c:pt>
                <c:pt idx="7">
                  <c:v>1.5026139312261964</c:v>
                </c:pt>
                <c:pt idx="8">
                  <c:v>1.5032326495036754</c:v>
                </c:pt>
                <c:pt idx="9">
                  <c:v>1.5033338113958945</c:v>
                </c:pt>
                <c:pt idx="10">
                  <c:v>1.5032364186221727</c:v>
                </c:pt>
              </c:numCache>
            </c:numRef>
          </c:val>
          <c:smooth val="0"/>
          <c:extLst>
            <c:ext xmlns:c16="http://schemas.microsoft.com/office/drawing/2014/chart" uri="{C3380CC4-5D6E-409C-BE32-E72D297353CC}">
              <c16:uniqueId val="{00000000-FDC6-4504-999C-457E6CC8F028}"/>
            </c:ext>
          </c:extLst>
        </c:ser>
        <c:dLbls>
          <c:showLegendKey val="0"/>
          <c:showVal val="0"/>
          <c:showCatName val="0"/>
          <c:showSerName val="0"/>
          <c:showPercent val="0"/>
          <c:showBubbleSize val="0"/>
        </c:dLbls>
        <c:smooth val="0"/>
        <c:axId val="424163152"/>
        <c:axId val="424166288"/>
      </c:lineChart>
      <c:catAx>
        <c:axId val="424163152"/>
        <c:scaling>
          <c:orientation val="minMax"/>
        </c:scaling>
        <c:delete val="0"/>
        <c:axPos val="b"/>
        <c:numFmt formatCode="0" sourceLinked="1"/>
        <c:majorTickMark val="out"/>
        <c:minorTickMark val="none"/>
        <c:tickLblPos val="nextTo"/>
        <c:txPr>
          <a:bodyPr rot="-2700000" vert="horz"/>
          <a:lstStyle/>
          <a:p>
            <a:pPr>
              <a:defRPr sz="1000" b="1" i="0" u="none" strike="noStrike" baseline="0">
                <a:solidFill>
                  <a:srgbClr val="000000"/>
                </a:solidFill>
                <a:latin typeface="Calibri"/>
                <a:ea typeface="Calibri"/>
                <a:cs typeface="Calibri"/>
              </a:defRPr>
            </a:pPr>
            <a:endParaRPr lang="nl-NL"/>
          </a:p>
        </c:txPr>
        <c:crossAx val="424166288"/>
        <c:crossesAt val="0"/>
        <c:auto val="1"/>
        <c:lblAlgn val="ctr"/>
        <c:lblOffset val="100"/>
        <c:tickLblSkip val="1"/>
        <c:noMultiLvlLbl val="0"/>
      </c:catAx>
      <c:valAx>
        <c:axId val="424166288"/>
        <c:scaling>
          <c:orientation val="minMax"/>
        </c:scaling>
        <c:delete val="0"/>
        <c:axPos val="l"/>
        <c:majorGridlines/>
        <c:numFmt formatCode="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163152"/>
        <c:crosses val="autoZero"/>
        <c:crossBetween val="midCat"/>
      </c:valAx>
    </c:plotArea>
    <c:legend>
      <c:legendPos val="r"/>
      <c:overlay val="0"/>
      <c:txPr>
        <a:bodyPr/>
        <a:lstStyle/>
        <a:p>
          <a:pPr>
            <a:defRPr sz="845" b="1" i="0" u="none" strike="noStrike" baseline="0">
              <a:solidFill>
                <a:srgbClr val="000000"/>
              </a:solidFill>
              <a:latin typeface="Calibri"/>
              <a:ea typeface="Calibri"/>
              <a:cs typeface="Calibri"/>
            </a:defRPr>
          </a:pPr>
          <a:endParaRPr lang="nl-NL"/>
        </a:p>
      </c:txPr>
    </c:legend>
    <c:plotVisOnly val="0"/>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17</xdr:col>
      <xdr:colOff>478367</xdr:colOff>
      <xdr:row>1</xdr:row>
      <xdr:rowOff>19473</xdr:rowOff>
    </xdr:from>
    <xdr:to>
      <xdr:col>24</xdr:col>
      <xdr:colOff>455507</xdr:colOff>
      <xdr:row>16</xdr:row>
      <xdr:rowOff>107192</xdr:rowOff>
    </xdr:to>
    <xdr:graphicFrame macro="">
      <xdr:nvGraphicFramePr>
        <xdr:cNvPr id="7" name="Grafiek 6">
          <a:extLst>
            <a:ext uri="{FF2B5EF4-FFF2-40B4-BE49-F238E27FC236}">
              <a16:creationId xmlns:a16="http://schemas.microsoft.com/office/drawing/2014/main" id="{C436AF1F-D218-44B1-BE8D-9026F83AD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502920</xdr:colOff>
      <xdr:row>17</xdr:row>
      <xdr:rowOff>60960</xdr:rowOff>
    </xdr:from>
    <xdr:to>
      <xdr:col>24</xdr:col>
      <xdr:colOff>487680</xdr:colOff>
      <xdr:row>33</xdr:row>
      <xdr:rowOff>125287</xdr:rowOff>
    </xdr:to>
    <xdr:graphicFrame macro="">
      <xdr:nvGraphicFramePr>
        <xdr:cNvPr id="9" name="Grafiek 8">
          <a:extLst>
            <a:ext uri="{FF2B5EF4-FFF2-40B4-BE49-F238E27FC236}">
              <a16:creationId xmlns:a16="http://schemas.microsoft.com/office/drawing/2014/main" id="{2335CCAA-8AF6-45A5-B054-B0DF67270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400050</xdr:colOff>
      <xdr:row>17</xdr:row>
      <xdr:rowOff>84245</xdr:rowOff>
    </xdr:from>
    <xdr:to>
      <xdr:col>17</xdr:col>
      <xdr:colOff>185420</xdr:colOff>
      <xdr:row>33</xdr:row>
      <xdr:rowOff>156193</xdr:rowOff>
    </xdr:to>
    <xdr:graphicFrame macro="">
      <xdr:nvGraphicFramePr>
        <xdr:cNvPr id="11" name="Grafiek 10">
          <a:extLst>
            <a:ext uri="{FF2B5EF4-FFF2-40B4-BE49-F238E27FC236}">
              <a16:creationId xmlns:a16="http://schemas.microsoft.com/office/drawing/2014/main" id="{6CCC3E99-FEDF-47F2-8329-35FAB0EBA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406399</xdr:colOff>
      <xdr:row>1</xdr:row>
      <xdr:rowOff>16933</xdr:rowOff>
    </xdr:from>
    <xdr:to>
      <xdr:col>17</xdr:col>
      <xdr:colOff>191769</xdr:colOff>
      <xdr:row>16</xdr:row>
      <xdr:rowOff>101066</xdr:rowOff>
    </xdr:to>
    <xdr:graphicFrame macro="">
      <xdr:nvGraphicFramePr>
        <xdr:cNvPr id="12" name="Grafiek 11">
          <a:extLst>
            <a:ext uri="{FF2B5EF4-FFF2-40B4-BE49-F238E27FC236}">
              <a16:creationId xmlns:a16="http://schemas.microsoft.com/office/drawing/2014/main" id="{DDC27AC8-EC67-459C-8B58-464A9594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0.02033</cdr:x>
      <cdr:y>0.02295</cdr:y>
    </cdr:from>
    <cdr:to>
      <cdr:x>0.36566</cdr:x>
      <cdr:y>0.13448</cdr:y>
    </cdr:to>
    <cdr:sp macro="" textlink="">
      <cdr:nvSpPr>
        <cdr:cNvPr id="2" name="Tekstvak 1">
          <a:extLst xmlns:a="http://schemas.openxmlformats.org/drawingml/2006/main">
            <a:ext uri="{FF2B5EF4-FFF2-40B4-BE49-F238E27FC236}">
              <a16:creationId xmlns:a16="http://schemas.microsoft.com/office/drawing/2014/main" id="{A6AA3ACB-B8A1-4C8F-888B-148592DCD596}"/>
            </a:ext>
          </a:extLst>
        </cdr:cNvPr>
        <cdr:cNvSpPr txBox="1"/>
      </cdr:nvSpPr>
      <cdr:spPr>
        <a:xfrm xmlns:a="http://schemas.openxmlformats.org/drawingml/2006/main">
          <a:off x="96494" y="64691"/>
          <a:ext cx="1639225" cy="314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400" b="1"/>
            <a:t>Schuldevolutie 2022</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359410</xdr:colOff>
      <xdr:row>1</xdr:row>
      <xdr:rowOff>3175</xdr:rowOff>
    </xdr:from>
    <xdr:to>
      <xdr:col>18</xdr:col>
      <xdr:colOff>0</xdr:colOff>
      <xdr:row>17</xdr:row>
      <xdr:rowOff>161290</xdr:rowOff>
    </xdr:to>
    <xdr:graphicFrame macro="">
      <xdr:nvGraphicFramePr>
        <xdr:cNvPr id="2061" name="Grafiek 1">
          <a:extLst>
            <a:ext uri="{FF2B5EF4-FFF2-40B4-BE49-F238E27FC236}">
              <a16:creationId xmlns:a16="http://schemas.microsoft.com/office/drawing/2014/main" id="{00000000-0008-0000-01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339090</xdr:colOff>
      <xdr:row>18</xdr:row>
      <xdr:rowOff>132080</xdr:rowOff>
    </xdr:from>
    <xdr:to>
      <xdr:col>18</xdr:col>
      <xdr:colOff>0</xdr:colOff>
      <xdr:row>40</xdr:row>
      <xdr:rowOff>6985</xdr:rowOff>
    </xdr:to>
    <xdr:graphicFrame macro="">
      <xdr:nvGraphicFramePr>
        <xdr:cNvPr id="2" name="Grafiek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0.02431</cdr:x>
      <cdr:y>0.01736</cdr:y>
    </cdr:from>
    <cdr:to>
      <cdr:x>0.38194</cdr:x>
      <cdr:y>0.09028</cdr:y>
    </cdr:to>
    <cdr:sp macro="" textlink="Macrogegevens!$A$2">
      <cdr:nvSpPr>
        <cdr:cNvPr id="4" name="Tekstvak 3">
          <a:extLst xmlns:a="http://schemas.openxmlformats.org/drawingml/2006/main">
            <a:ext uri="{FF2B5EF4-FFF2-40B4-BE49-F238E27FC236}">
              <a16:creationId xmlns:a16="http://schemas.microsoft.com/office/drawing/2014/main" id="{0A1A0206-4226-4F50-B439-E2CD4E31D205}"/>
            </a:ext>
          </a:extLst>
        </cdr:cNvPr>
        <cdr:cNvSpPr txBox="1"/>
      </cdr:nvSpPr>
      <cdr:spPr>
        <a:xfrm xmlns:a="http://schemas.openxmlformats.org/drawingml/2006/main">
          <a:off x="133352" y="47625"/>
          <a:ext cx="1962150" cy="200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463A941-0D9B-472A-8F06-3112169CB947}" type="TxLink">
            <a:rPr lang="en-US" sz="1100" b="1" i="0" u="none" strike="noStrike">
              <a:solidFill>
                <a:srgbClr val="000000"/>
              </a:solidFill>
              <a:latin typeface="+mn-lt"/>
            </a:rPr>
            <a:pPr/>
            <a:t>Groningen</a:t>
          </a:fld>
          <a:endParaRPr lang="nl-NL" sz="1100">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0.0097</cdr:x>
      <cdr:y>0.0221</cdr:y>
    </cdr:from>
    <cdr:to>
      <cdr:x>0.37513</cdr:x>
      <cdr:y>0.08564</cdr:y>
    </cdr:to>
    <cdr:sp macro="" textlink="">
      <cdr:nvSpPr>
        <cdr:cNvPr id="2" name="Tekstvak 1">
          <a:extLst xmlns:a="http://schemas.openxmlformats.org/drawingml/2006/main">
            <a:ext uri="{FF2B5EF4-FFF2-40B4-BE49-F238E27FC236}">
              <a16:creationId xmlns:a16="http://schemas.microsoft.com/office/drawing/2014/main" id="{1F2B7C3E-37EF-401A-B059-BDFE70A796CB}"/>
            </a:ext>
          </a:extLst>
        </cdr:cNvPr>
        <cdr:cNvSpPr txBox="1"/>
      </cdr:nvSpPr>
      <cdr:spPr>
        <a:xfrm xmlns:a="http://schemas.openxmlformats.org/drawingml/2006/main">
          <a:off x="50800" y="76200"/>
          <a:ext cx="1914411" cy="2190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b="1" i="0" u="none" strike="noStrike">
            <a:solidFill>
              <a:srgbClr val="000000"/>
            </a:solidFill>
            <a:latin typeface="Arialri"/>
          </a:endParaRPr>
        </a:p>
        <a:p xmlns:a="http://schemas.openxmlformats.org/drawingml/2006/main">
          <a:endParaRPr lang="en-US" sz="1000" b="1" i="0" u="none" strike="noStrike">
            <a:solidFill>
              <a:srgbClr val="000000"/>
            </a:solidFill>
            <a:latin typeface="Arialri"/>
          </a:endParaRPr>
        </a:p>
      </cdr:txBody>
    </cdr:sp>
  </cdr:relSizeAnchor>
  <cdr:relSizeAnchor xmlns:cdr="http://schemas.openxmlformats.org/drawingml/2006/chartDrawing">
    <cdr:from>
      <cdr:x>0.03487</cdr:x>
      <cdr:y>0.04147</cdr:y>
    </cdr:from>
    <cdr:to>
      <cdr:x>0.3925</cdr:x>
      <cdr:y>0.09955</cdr:y>
    </cdr:to>
    <cdr:sp macro="" textlink="">
      <cdr:nvSpPr>
        <cdr:cNvPr id="3" name="Tekstvak 1">
          <a:extLst xmlns:a="http://schemas.openxmlformats.org/drawingml/2006/main">
            <a:ext uri="{FF2B5EF4-FFF2-40B4-BE49-F238E27FC236}">
              <a16:creationId xmlns:a16="http://schemas.microsoft.com/office/drawing/2014/main" id="{A3FF8521-9632-4569-8A9E-19D58ADB06C4}"/>
            </a:ext>
          </a:extLst>
        </cdr:cNvPr>
        <cdr:cNvSpPr txBox="1"/>
      </cdr:nvSpPr>
      <cdr:spPr>
        <a:xfrm xmlns:a="http://schemas.openxmlformats.org/drawingml/2006/main">
          <a:off x="193040" y="152400"/>
          <a:ext cx="1979815" cy="213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nl-NL" sz="1100">
            <a:latin typeface="Calibri"/>
          </a:endParaRPr>
        </a:p>
      </cdr:txBody>
    </cdr:sp>
  </cdr:relSizeAnchor>
  <cdr:relSizeAnchor xmlns:cdr="http://schemas.openxmlformats.org/drawingml/2006/chartDrawing">
    <cdr:from>
      <cdr:x>0.4306</cdr:x>
      <cdr:y>0.03318</cdr:y>
    </cdr:from>
    <cdr:to>
      <cdr:x>0.62881</cdr:x>
      <cdr:y>0.10783</cdr:y>
    </cdr:to>
    <cdr:sp macro="" textlink="">
      <cdr:nvSpPr>
        <cdr:cNvPr id="4" name="Tekstvak 3">
          <a:extLst xmlns:a="http://schemas.openxmlformats.org/drawingml/2006/main">
            <a:ext uri="{FF2B5EF4-FFF2-40B4-BE49-F238E27FC236}">
              <a16:creationId xmlns:a16="http://schemas.microsoft.com/office/drawing/2014/main" id="{64218DF5-9DC8-4FF6-9DC1-D948BB4021D4}"/>
            </a:ext>
          </a:extLst>
        </cdr:cNvPr>
        <cdr:cNvSpPr txBox="1"/>
      </cdr:nvSpPr>
      <cdr:spPr>
        <a:xfrm xmlns:a="http://schemas.openxmlformats.org/drawingml/2006/main">
          <a:off x="2383790" y="121920"/>
          <a:ext cx="1097280" cy="27432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nl-NL" sz="1100"/>
        </a:p>
      </cdr:txBody>
    </cdr:sp>
  </cdr:relSizeAnchor>
  <cdr:relSizeAnchor xmlns:cdr="http://schemas.openxmlformats.org/drawingml/2006/chartDrawing">
    <cdr:from>
      <cdr:x>0.42094</cdr:x>
      <cdr:y>0.03871</cdr:y>
    </cdr:from>
    <cdr:to>
      <cdr:x>0.94032</cdr:x>
      <cdr:y>0.10783</cdr:y>
    </cdr:to>
    <cdr:sp macro="" textlink="">
      <cdr:nvSpPr>
        <cdr:cNvPr id="5" name="Tekstvak 4">
          <a:extLst xmlns:a="http://schemas.openxmlformats.org/drawingml/2006/main">
            <a:ext uri="{FF2B5EF4-FFF2-40B4-BE49-F238E27FC236}">
              <a16:creationId xmlns:a16="http://schemas.microsoft.com/office/drawing/2014/main" id="{9BDD626D-ABB1-4EDE-BC9C-916A868C568C}"/>
            </a:ext>
          </a:extLst>
        </cdr:cNvPr>
        <cdr:cNvSpPr txBox="1"/>
      </cdr:nvSpPr>
      <cdr:spPr>
        <a:xfrm xmlns:a="http://schemas.openxmlformats.org/drawingml/2006/main">
          <a:off x="2253288" y="135760"/>
          <a:ext cx="2780266" cy="24241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nl-NL" sz="1100" b="1">
              <a:latin typeface="+mn-lt"/>
              <a:ea typeface="+mn-ea"/>
              <a:cs typeface="+mn-cs"/>
            </a:rPr>
            <a:t>Ontwikkeling</a:t>
          </a:r>
          <a:r>
            <a:rPr lang="nl-NL" sz="1100" b="1"/>
            <a:t> schuldendruk eind 2021 - 2022</a:t>
          </a:r>
        </a:p>
      </cdr:txBody>
    </cdr:sp>
  </cdr:relSizeAnchor>
  <cdr:relSizeAnchor xmlns:cdr="http://schemas.openxmlformats.org/drawingml/2006/chartDrawing">
    <cdr:from>
      <cdr:x>0.04588</cdr:x>
      <cdr:y>0.04976</cdr:y>
    </cdr:from>
    <cdr:to>
      <cdr:x>0.40351</cdr:x>
      <cdr:y>0.10784</cdr:y>
    </cdr:to>
    <cdr:sp macro="" textlink="Macrogegevens!$A$2">
      <cdr:nvSpPr>
        <cdr:cNvPr id="9" name="Tekstvak 1">
          <a:extLst xmlns:a="http://schemas.openxmlformats.org/drawingml/2006/main">
            <a:ext uri="{FF2B5EF4-FFF2-40B4-BE49-F238E27FC236}">
              <a16:creationId xmlns:a16="http://schemas.microsoft.com/office/drawing/2014/main" id="{3FC3FCF2-5996-4575-A911-8DB70F490BC9}"/>
            </a:ext>
          </a:extLst>
        </cdr:cNvPr>
        <cdr:cNvSpPr txBox="1"/>
      </cdr:nvSpPr>
      <cdr:spPr>
        <a:xfrm xmlns:a="http://schemas.openxmlformats.org/drawingml/2006/main">
          <a:off x="253988" y="182869"/>
          <a:ext cx="1979815" cy="213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3DEA5E-274B-45FA-884D-FF4B5D54D5D1}" type="TxLink">
            <a:rPr lang="en-US" sz="1000" b="1" i="0" u="none" strike="noStrike">
              <a:solidFill>
                <a:srgbClr val="000000"/>
              </a:solidFill>
              <a:latin typeface="Arial"/>
              <a:cs typeface="Arial"/>
            </a:rPr>
            <a:pPr/>
            <a:t>Groningen</a:t>
          </a:fld>
          <a:endParaRPr lang="nl-NL" sz="1100">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7937</xdr:colOff>
      <xdr:row>11</xdr:row>
      <xdr:rowOff>9525</xdr:rowOff>
    </xdr:from>
    <xdr:to>
      <xdr:col>18</xdr:col>
      <xdr:colOff>95250</xdr:colOff>
      <xdr:row>26</xdr:row>
      <xdr:rowOff>23813</xdr:rowOff>
    </xdr:to>
    <xdr:graphicFrame macro="">
      <xdr:nvGraphicFramePr>
        <xdr:cNvPr id="2" name="Grafie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137160</xdr:colOff>
      <xdr:row>18</xdr:row>
      <xdr:rowOff>173567</xdr:rowOff>
    </xdr:from>
    <xdr:to>
      <xdr:col>10</xdr:col>
      <xdr:colOff>723900</xdr:colOff>
      <xdr:row>36</xdr:row>
      <xdr:rowOff>160020</xdr:rowOff>
    </xdr:to>
    <xdr:graphicFrame macro="">
      <xdr:nvGraphicFramePr>
        <xdr:cNvPr id="4135" name="Grafiek 2">
          <a:extLst>
            <a:ext uri="{FF2B5EF4-FFF2-40B4-BE49-F238E27FC236}">
              <a16:creationId xmlns:a16="http://schemas.microsoft.com/office/drawing/2014/main" id="{00000000-0008-0000-0000-000027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0.45681</cdr:x>
      <cdr:y>0.03831</cdr:y>
    </cdr:from>
    <cdr:to>
      <cdr:x>0.98935</cdr:x>
      <cdr:y>0.11824</cdr:y>
    </cdr:to>
    <cdr:sp macro="" textlink="">
      <cdr:nvSpPr>
        <cdr:cNvPr id="2" name="Tekstvak 1">
          <a:extLst xmlns:a="http://schemas.openxmlformats.org/drawingml/2006/main">
            <a:ext uri="{FF2B5EF4-FFF2-40B4-BE49-F238E27FC236}">
              <a16:creationId xmlns:a16="http://schemas.microsoft.com/office/drawing/2014/main" id="{A1D3C591-34F5-4C9B-ADD4-2BFA2A519C1A}"/>
            </a:ext>
          </a:extLst>
        </cdr:cNvPr>
        <cdr:cNvSpPr txBox="1"/>
      </cdr:nvSpPr>
      <cdr:spPr>
        <a:xfrm xmlns:a="http://schemas.openxmlformats.org/drawingml/2006/main">
          <a:off x="2858676" y="135009"/>
          <a:ext cx="3332574" cy="281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100" b="1"/>
            <a:t>Ontwikkeling netto schuldquote eind 2021-2031</a:t>
          </a:r>
        </a:p>
        <a:p xmlns:a="http://schemas.openxmlformats.org/drawingml/2006/main">
          <a:endParaRPr lang="nl-NL" sz="11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I:\Houdbare%20GF\Algemene%20uitkering%20septembercirculai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uitk_jr_18"/>
      <sheetName val="uitk_jr_19"/>
      <sheetName val="uitk_jr_20"/>
      <sheetName val="uitk_jr_21"/>
      <sheetName val="uitk_jr_22"/>
      <sheetName val="uitk_jr_23"/>
      <sheetName val="Blad1"/>
      <sheetName val="overig"/>
      <sheetName val="bpe_18"/>
      <sheetName val="bpe_19"/>
      <sheetName val="bpe_20"/>
      <sheetName val="bpe_21"/>
      <sheetName val="bpe_22"/>
      <sheetName val="bpe_23"/>
    </sheetNames>
    <sheetDataSet>
      <sheetData sheetId="0"/>
      <sheetData sheetId="1">
        <row r="17">
          <cell r="A17" t="str">
            <v>CBS</v>
          </cell>
        </row>
        <row r="18">
          <cell r="A18">
            <v>874</v>
          </cell>
        </row>
      </sheetData>
      <sheetData sheetId="2"/>
      <sheetData sheetId="3"/>
      <sheetData sheetId="4"/>
      <sheetData sheetId="5"/>
      <sheetData sheetId="6"/>
      <sheetData sheetId="7"/>
      <sheetData sheetId="8">
        <row r="3">
          <cell r="A3" t="str">
            <v>CBS</v>
          </cell>
          <cell r="B3" t="str">
            <v xml:space="preserve">Naam </v>
          </cell>
          <cell r="C3" t="str">
            <v>Prov</v>
          </cell>
          <cell r="D3" t="str">
            <v>SUPPLETIE</v>
          </cell>
          <cell r="E3" t="str">
            <v>SUPPLETIE</v>
          </cell>
          <cell r="F3" t="str">
            <v>ART.12</v>
          </cell>
          <cell r="G3" t="str">
            <v>Suppletie</v>
          </cell>
          <cell r="H3" t="str">
            <v>Cumulatie18</v>
          </cell>
          <cell r="I3" t="str">
            <v>Cumulatie19</v>
          </cell>
          <cell r="J3" t="str">
            <v>Actieplan</v>
          </cell>
          <cell r="K3" t="str">
            <v xml:space="preserve">arbeidsparticipatie mensen met een </v>
          </cell>
          <cell r="L3" t="str">
            <v>Armoedebestrijding</v>
          </cell>
          <cell r="M3" t="str">
            <v>Armoedebestrijding</v>
          </cell>
          <cell r="N3" t="str">
            <v>Basisregistratie</v>
          </cell>
          <cell r="O3" t="str">
            <v>Basisregistratie</v>
          </cell>
          <cell r="P3" t="str">
            <v>beeldende kunst18 ev</v>
          </cell>
          <cell r="Q3" t="str">
            <v>beter benutten18</v>
          </cell>
          <cell r="R3" t="str">
            <v>bevolkingsdaling</v>
          </cell>
          <cell r="S3" t="str">
            <v>bodemsanering18</v>
          </cell>
          <cell r="T3" t="str">
            <v>bodemsanering19</v>
          </cell>
          <cell r="U3" t="str">
            <v>bodemsanering20</v>
          </cell>
          <cell r="V3" t="str">
            <v>bonus beschut werken18</v>
          </cell>
          <cell r="W3" t="str">
            <v>Brede impuls combinatiefunctie/</v>
          </cell>
          <cell r="X3" t="str">
            <v>BRP:</v>
          </cell>
          <cell r="Y3" t="str">
            <v>City Deal18</v>
          </cell>
          <cell r="Z3" t="str">
            <v>dialoog sinterklaasintocht18</v>
          </cell>
          <cell r="AA3" t="str">
            <v>economische zelfstandigheid18</v>
          </cell>
          <cell r="AB3" t="str">
            <v>Erfgoed en ruimte18</v>
          </cell>
          <cell r="AC3" t="str">
            <v>Faciliteitenbesluit</v>
          </cell>
          <cell r="AD3" t="str">
            <v>gez in de stad18-21</v>
          </cell>
          <cell r="AE3" t="str">
            <v>Groeiopgave Almere</v>
          </cell>
          <cell r="AF3" t="str">
            <v>Groeiopgave Almere</v>
          </cell>
          <cell r="AG3" t="str">
            <v>Herstructurering Wsw</v>
          </cell>
          <cell r="AH3" t="str">
            <v>Innovatiepartnerschap</v>
          </cell>
          <cell r="AI3" t="str">
            <v>Innovatieve aanpak</v>
          </cell>
          <cell r="AJ3" t="str">
            <v>Interreg V</v>
          </cell>
          <cell r="AK3" t="str">
            <v>jeugd18 ev</v>
          </cell>
          <cell r="AL3" t="str">
            <v>Jeugdwerkloosheid</v>
          </cell>
          <cell r="AM3" t="str">
            <v>knelpunten18</v>
          </cell>
          <cell r="AN3" t="str">
            <v>knelpunten19</v>
          </cell>
          <cell r="AO3" t="str">
            <v>knelpunten20</v>
          </cell>
          <cell r="AP3" t="str">
            <v>knelpunten21</v>
          </cell>
          <cell r="AQ3" t="str">
            <v>knelpunten22</v>
          </cell>
          <cell r="AR3" t="str">
            <v>knelpunten23</v>
          </cell>
          <cell r="AS3" t="str">
            <v>Leeuwarden Europese</v>
          </cell>
          <cell r="AT3" t="str">
            <v>LHBT18</v>
          </cell>
          <cell r="AU3" t="str">
            <v>Maatschappelijke begeleiding18</v>
          </cell>
          <cell r="AV3" t="str">
            <v>maat. Opvang18-23</v>
          </cell>
          <cell r="AW3" t="str">
            <v>Matchen op werk18</v>
          </cell>
          <cell r="AX3" t="str">
            <v>Milieuzones</v>
          </cell>
          <cell r="AY3" t="str">
            <v>nationale</v>
          </cell>
          <cell r="AZ3" t="str">
            <v>ondersteuning raadsman</v>
          </cell>
          <cell r="BA3" t="str">
            <v>Opvang</v>
          </cell>
          <cell r="BB3" t="str">
            <v>Pilot Nederlandse Kernwaarden18</v>
          </cell>
          <cell r="BC3" t="str">
            <v>Pilot weerbaaropvoeden18</v>
          </cell>
          <cell r="BD3" t="str">
            <v>Referendum18</v>
          </cell>
          <cell r="BE3" t="str">
            <v>RSP Zuiderzeelijn18</v>
          </cell>
          <cell r="BF3" t="str">
            <v>scholenprogramma</v>
          </cell>
          <cell r="BG3" t="str">
            <v>scholenprogramma</v>
          </cell>
          <cell r="BH3" t="str">
            <v>scholenprogramma</v>
          </cell>
          <cell r="BI3" t="str">
            <v>Schulden en</v>
          </cell>
          <cell r="BJ3" t="str">
            <v>Schulden en</v>
          </cell>
          <cell r="BK3" t="str">
            <v>Schulden en</v>
          </cell>
          <cell r="BL3" t="str">
            <v>Spoorstaafconditioneringssystemen18</v>
          </cell>
          <cell r="BM3" t="str">
            <v>Tijdelijke oplossing</v>
          </cell>
          <cell r="BN3" t="str">
            <v>veiligheidshuizen18 ev</v>
          </cell>
          <cell r="BO3" t="str">
            <v>vth-taken18 ev</v>
          </cell>
          <cell r="BP3" t="str">
            <v xml:space="preserve">Verhoogde asielinstroom - </v>
          </cell>
          <cell r="BQ3" t="str">
            <v xml:space="preserve">Verhoogde asielinstroom - </v>
          </cell>
          <cell r="BR3" t="str">
            <v>versterking gemeentelijke</v>
          </cell>
          <cell r="BS3" t="str">
            <v>Versterking lokale werkgelegenheid</v>
          </cell>
          <cell r="BT3" t="str">
            <v>Voorschoolse voorziening</v>
          </cell>
          <cell r="BU3" t="str">
            <v>Voorschoolse voorziening</v>
          </cell>
          <cell r="BV3" t="str">
            <v>Voorschoolse voorziening</v>
          </cell>
          <cell r="BW3" t="str">
            <v>Voorschoolse voorziening</v>
          </cell>
          <cell r="BX3" t="str">
            <v>Voorziening knelpunten</v>
          </cell>
          <cell r="BY3" t="str">
            <v>vrouwenopvang18</v>
          </cell>
          <cell r="BZ3" t="str">
            <v>vrouwenopvang19</v>
          </cell>
          <cell r="CA3" t="str">
            <v>vrouwenopvang20</v>
          </cell>
          <cell r="CB3" t="str">
            <v>vrouwenopvang21-23</v>
          </cell>
          <cell r="CC3" t="str">
            <v>WMO18</v>
          </cell>
          <cell r="CD3" t="str">
            <v>Iu sociaal domeien</v>
          </cell>
          <cell r="CE3" t="str">
            <v>Voogdij/18+</v>
          </cell>
          <cell r="CF3" t="str">
            <v>Suppletie Jeugdzorg</v>
          </cell>
          <cell r="CG3" t="str">
            <v>Voogdij/18+</v>
          </cell>
          <cell r="CH3" t="str">
            <v>Voogdij/18+</v>
          </cell>
          <cell r="CI3" t="str">
            <v>Voogdij/18+</v>
          </cell>
          <cell r="CJ3" t="str">
            <v>Voogdij/18+</v>
          </cell>
          <cell r="CK3" t="str">
            <v>Beschermd wonen</v>
          </cell>
          <cell r="CL3" t="str">
            <v>Beschermd wonen</v>
          </cell>
          <cell r="CM3" t="str">
            <v>Beschermd wonen</v>
          </cell>
          <cell r="CN3" t="str">
            <v>Beschermd wonen</v>
          </cell>
          <cell r="CO3" t="str">
            <v>Beschermd wonen</v>
          </cell>
          <cell r="CP3" t="str">
            <v>Suppletie wmo19</v>
          </cell>
          <cell r="CQ3" t="str">
            <v>Participatie</v>
          </cell>
          <cell r="CR3" t="str">
            <v>Participatie</v>
          </cell>
          <cell r="CS3" t="str">
            <v>Participatie</v>
          </cell>
          <cell r="CT3" t="str">
            <v>Participatie</v>
          </cell>
          <cell r="CU3" t="str">
            <v>Participatie</v>
          </cell>
          <cell r="CV3" t="str">
            <v>Suppletie overheveling iusd</v>
          </cell>
          <cell r="CW3" t="str">
            <v>Digitale content</v>
          </cell>
          <cell r="CX3" t="str">
            <v>EMA Amsterdam</v>
          </cell>
          <cell r="CY3" t="str">
            <v>Erfgoedregistraties18</v>
          </cell>
          <cell r="CZ3" t="str">
            <v>Experimenten sociale</v>
          </cell>
          <cell r="DA3" t="str">
            <v>Impulsgelden</v>
          </cell>
          <cell r="DB3" t="str">
            <v>Jeugdhulp aan kinderen</v>
          </cell>
          <cell r="DC3" t="str">
            <v>Koplopergemeenten</v>
          </cell>
          <cell r="DD3" t="str">
            <v>Meer Maas</v>
          </cell>
          <cell r="DE3" t="str">
            <v>Meer Maas</v>
          </cell>
          <cell r="DF3" t="str">
            <v>Omgevingsspoor</v>
          </cell>
          <cell r="DG3" t="str">
            <v>Pilot opvang en begeleiding</v>
          </cell>
          <cell r="DH3" t="str">
            <v>Regiodeal</v>
          </cell>
          <cell r="DI3" t="str">
            <v>Roode Vaart</v>
          </cell>
          <cell r="DJ3" t="str">
            <v>Terugdringen</v>
          </cell>
          <cell r="DK3" t="str">
            <v>Terugdringen</v>
          </cell>
          <cell r="DL3" t="str">
            <v>Terugdringen</v>
          </cell>
          <cell r="DM3" t="str">
            <v>Transformatiefonds</v>
          </cell>
          <cell r="DN3" t="str">
            <v>Transformatiefonds</v>
          </cell>
          <cell r="DO3" t="str">
            <v>Transformatiefonds</v>
          </cell>
          <cell r="DP3" t="str">
            <v>Versnelling lokale aanpak</v>
          </cell>
        </row>
        <row r="4">
          <cell r="A4"/>
          <cell r="B4"/>
          <cell r="C4"/>
          <cell r="D4" t="str">
            <v>OZB18</v>
          </cell>
          <cell r="E4" t="str">
            <v>OZB19</v>
          </cell>
          <cell r="F4" t="str">
            <v>(aanv uitk)</v>
          </cell>
          <cell r="G4" t="str">
            <v>bommenregeling18</v>
          </cell>
          <cell r="H4"/>
          <cell r="I4"/>
          <cell r="J4" t="str">
            <v>luchtkwaliteit18</v>
          </cell>
          <cell r="K4" t="str">
            <v>psychische beperking18</v>
          </cell>
          <cell r="L4" t="str">
            <v>kinderen 2018</v>
          </cell>
          <cell r="M4" t="str">
            <v>kinderen 2019 ev</v>
          </cell>
          <cell r="N4" t="str">
            <v>Grootschalige Topografie18</v>
          </cell>
          <cell r="O4" t="str">
            <v>Grootschalige Topografie19</v>
          </cell>
          <cell r="P4"/>
          <cell r="Q4"/>
          <cell r="R4" t="str">
            <v>2018-2020</v>
          </cell>
          <cell r="S4"/>
          <cell r="T4"/>
          <cell r="U4"/>
          <cell r="V4"/>
          <cell r="W4" t="str">
            <v>sportcoaches18</v>
          </cell>
          <cell r="X4" t="str">
            <v>centralisering inschrijving vergunninghouders18 ev</v>
          </cell>
          <cell r="Y4"/>
          <cell r="Z4"/>
          <cell r="AA4"/>
          <cell r="AB4"/>
          <cell r="AC4" t="str">
            <v>opvangcentra18</v>
          </cell>
          <cell r="AD4"/>
          <cell r="AE4">
            <v>2018</v>
          </cell>
          <cell r="AF4" t="str">
            <v>2019-2023</v>
          </cell>
          <cell r="AG4" t="str">
            <v>Oost-Groningen18</v>
          </cell>
          <cell r="AH4" t="str">
            <v>Amsterdam</v>
          </cell>
          <cell r="AI4" t="str">
            <v>energiebesparing18</v>
          </cell>
          <cell r="AJ4"/>
          <cell r="AK4"/>
          <cell r="AL4"/>
          <cell r="AM4"/>
          <cell r="AN4"/>
          <cell r="AO4"/>
          <cell r="AP4"/>
          <cell r="AQ4"/>
          <cell r="AR4"/>
          <cell r="AS4" t="str">
            <v>Culturele Hoofdstad 2018</v>
          </cell>
          <cell r="AT4"/>
          <cell r="AU4"/>
          <cell r="AV4"/>
          <cell r="AW4"/>
          <cell r="AX4" t="str">
            <v>grote steden18</v>
          </cell>
          <cell r="AY4" t="str">
            <v>gebiedsontwikkeling18</v>
          </cell>
          <cell r="AZ4" t="str">
            <v>Loppersum18</v>
          </cell>
          <cell r="BA4" t="str">
            <v>Sint Maarten18</v>
          </cell>
          <cell r="BB4"/>
          <cell r="BC4"/>
          <cell r="BD4"/>
          <cell r="BE4"/>
          <cell r="BF4" t="str">
            <v>Groningen18</v>
          </cell>
          <cell r="BG4" t="str">
            <v>Groningen19</v>
          </cell>
          <cell r="BH4" t="str">
            <v>Groningen20-34</v>
          </cell>
          <cell r="BI4" t="str">
            <v>armoede18</v>
          </cell>
          <cell r="BJ4" t="str">
            <v>armoede19</v>
          </cell>
          <cell r="BK4" t="str">
            <v>armoede20</v>
          </cell>
          <cell r="BL4"/>
          <cell r="BM4" t="str">
            <v>anonieme hulplijn</v>
          </cell>
          <cell r="BN4"/>
          <cell r="BO4"/>
          <cell r="BP4" t="str">
            <v>participatie en integratie18</v>
          </cell>
          <cell r="BQ4" t="str">
            <v>partieel effect</v>
          </cell>
          <cell r="BR4" t="str">
            <v>aanpak jihadisme18</v>
          </cell>
          <cell r="BS4" t="str">
            <v>Groningen18-19</v>
          </cell>
          <cell r="BT4" t="str">
            <v>peuters1823</v>
          </cell>
          <cell r="BU4" t="str">
            <v>peuters19</v>
          </cell>
          <cell r="BV4" t="str">
            <v>peuters20</v>
          </cell>
          <cell r="BW4" t="str">
            <v>peuters21-23</v>
          </cell>
          <cell r="BX4" t="str">
            <v>sociaal domein18</v>
          </cell>
          <cell r="CC4"/>
          <cell r="CD4">
            <v>2018</v>
          </cell>
          <cell r="CE4">
            <v>2019</v>
          </cell>
          <cell r="CF4">
            <v>2019</v>
          </cell>
          <cell r="CG4">
            <v>2020</v>
          </cell>
          <cell r="CH4">
            <v>2021</v>
          </cell>
          <cell r="CI4">
            <v>2022</v>
          </cell>
          <cell r="CJ4">
            <v>2023</v>
          </cell>
          <cell r="CK4">
            <v>2019</v>
          </cell>
          <cell r="CL4">
            <v>2020</v>
          </cell>
          <cell r="CM4">
            <v>2021</v>
          </cell>
          <cell r="CN4">
            <v>2022</v>
          </cell>
          <cell r="CO4">
            <v>2023</v>
          </cell>
          <cell r="CP4"/>
          <cell r="CQ4">
            <v>2019</v>
          </cell>
          <cell r="CR4">
            <v>2020</v>
          </cell>
          <cell r="CS4">
            <v>2021</v>
          </cell>
          <cell r="CT4">
            <v>2022</v>
          </cell>
          <cell r="CU4">
            <v>2023</v>
          </cell>
          <cell r="CV4">
            <v>2019</v>
          </cell>
          <cell r="CW4" t="str">
            <v>ontwikkeling raadsleden18</v>
          </cell>
          <cell r="CX4">
            <v>2018</v>
          </cell>
          <cell r="CY4"/>
          <cell r="CZ4" t="str">
            <v>benadering dementie18</v>
          </cell>
          <cell r="DA4" t="str">
            <v>Weerbaar bestuur18</v>
          </cell>
          <cell r="DB4" t="str">
            <v>in een AZC1923</v>
          </cell>
          <cell r="DC4" t="str">
            <v>Clientondersteuning18</v>
          </cell>
          <cell r="DD4" t="str">
            <v>Meer Venlo18</v>
          </cell>
          <cell r="DE4" t="str">
            <v>Meer Venlo19</v>
          </cell>
          <cell r="DF4" t="str">
            <v>Ternaard18</v>
          </cell>
          <cell r="DG4" t="str">
            <v>asielzoekers18</v>
          </cell>
          <cell r="DH4" t="str">
            <v>Eindhoven18</v>
          </cell>
          <cell r="DI4" t="str">
            <v>Zevenbergen18</v>
          </cell>
          <cell r="DJ4" t="str">
            <v>gezondheidsachterstanden18</v>
          </cell>
          <cell r="DK4" t="str">
            <v>gezondheidsachterstanden19</v>
          </cell>
          <cell r="DL4" t="str">
            <v>gezondheidsachterstanden20</v>
          </cell>
          <cell r="DM4" t="str">
            <v>Sociaal Domein Jeugd18</v>
          </cell>
          <cell r="DN4" t="str">
            <v>Sociaal Domein Jeugd19</v>
          </cell>
          <cell r="DO4" t="str">
            <v>Sociaal Domein Jeugd20</v>
          </cell>
          <cell r="DP4" t="str">
            <v>tegen eenzaamheid18</v>
          </cell>
        </row>
        <row r="5">
          <cell r="A5">
            <v>3</v>
          </cell>
          <cell r="B5" t="str">
            <v>Appingedam</v>
          </cell>
          <cell r="C5">
            <v>1</v>
          </cell>
          <cell r="D5">
            <v>45412</v>
          </cell>
          <cell r="E5">
            <v>22706</v>
          </cell>
          <cell r="F5">
            <v>0</v>
          </cell>
          <cell r="G5">
            <v>0</v>
          </cell>
          <cell r="H5">
            <v>0</v>
          </cell>
          <cell r="I5">
            <v>0</v>
          </cell>
          <cell r="J5"/>
          <cell r="K5">
            <v>0</v>
          </cell>
          <cell r="L5">
            <v>80540</v>
          </cell>
          <cell r="M5">
            <v>92706</v>
          </cell>
          <cell r="N5">
            <v>0</v>
          </cell>
          <cell r="O5">
            <v>0</v>
          </cell>
          <cell r="P5">
            <v>0</v>
          </cell>
          <cell r="Q5">
            <v>0</v>
          </cell>
          <cell r="R5">
            <v>0</v>
          </cell>
          <cell r="S5">
            <v>0</v>
          </cell>
          <cell r="T5">
            <v>0</v>
          </cell>
          <cell r="U5">
            <v>0</v>
          </cell>
          <cell r="V5">
            <v>6000</v>
          </cell>
          <cell r="W5">
            <v>43346</v>
          </cell>
          <cell r="X5">
            <v>0</v>
          </cell>
          <cell r="Y5"/>
          <cell r="Z5">
            <v>0</v>
          </cell>
          <cell r="AA5">
            <v>0</v>
          </cell>
          <cell r="AB5">
            <v>0</v>
          </cell>
          <cell r="AC5"/>
          <cell r="AD5">
            <v>46934</v>
          </cell>
          <cell r="AE5">
            <v>0</v>
          </cell>
          <cell r="AF5">
            <v>0</v>
          </cell>
          <cell r="AG5">
            <v>0</v>
          </cell>
          <cell r="AH5">
            <v>0</v>
          </cell>
          <cell r="AI5">
            <v>0</v>
          </cell>
          <cell r="AJ5">
            <v>0</v>
          </cell>
          <cell r="AK5">
            <v>0</v>
          </cell>
          <cell r="AL5"/>
          <cell r="AM5">
            <v>0</v>
          </cell>
          <cell r="AN5">
            <v>0</v>
          </cell>
          <cell r="AO5">
            <v>0</v>
          </cell>
          <cell r="AP5">
            <v>0</v>
          </cell>
          <cell r="AQ5">
            <v>0</v>
          </cell>
          <cell r="AR5">
            <v>0</v>
          </cell>
          <cell r="AS5">
            <v>0</v>
          </cell>
          <cell r="AT5">
            <v>0</v>
          </cell>
          <cell r="AU5">
            <v>2370</v>
          </cell>
          <cell r="AV5">
            <v>0</v>
          </cell>
          <cell r="AW5">
            <v>0</v>
          </cell>
          <cell r="AX5">
            <v>0</v>
          </cell>
          <cell r="AY5"/>
          <cell r="AZ5"/>
          <cell r="BA5">
            <v>0</v>
          </cell>
          <cell r="BB5"/>
          <cell r="BC5">
            <v>0</v>
          </cell>
          <cell r="BD5">
            <v>4202</v>
          </cell>
          <cell r="BE5"/>
          <cell r="BF5">
            <v>905555</v>
          </cell>
          <cell r="BG5">
            <v>2678933</v>
          </cell>
          <cell r="BH5">
            <v>905555</v>
          </cell>
          <cell r="BI5">
            <v>27506</v>
          </cell>
          <cell r="BJ5">
            <v>22641</v>
          </cell>
          <cell r="BK5">
            <v>22641</v>
          </cell>
          <cell r="BL5">
            <v>0</v>
          </cell>
          <cell r="BM5">
            <v>0</v>
          </cell>
          <cell r="BN5">
            <v>0</v>
          </cell>
          <cell r="BO5">
            <v>38428</v>
          </cell>
          <cell r="BP5">
            <v>14232.6</v>
          </cell>
          <cell r="BQ5">
            <v>25639.534883720899</v>
          </cell>
          <cell r="BR5">
            <v>0</v>
          </cell>
          <cell r="BS5">
            <v>0</v>
          </cell>
          <cell r="BT5">
            <v>21308</v>
          </cell>
          <cell r="BU5"/>
          <cell r="BV5"/>
          <cell r="BW5"/>
          <cell r="BX5"/>
          <cell r="BY5">
            <v>0</v>
          </cell>
          <cell r="BZ5">
            <v>0</v>
          </cell>
          <cell r="CA5">
            <v>0</v>
          </cell>
          <cell r="CB5">
            <v>0</v>
          </cell>
          <cell r="CC5">
            <v>1457143</v>
          </cell>
          <cell r="CD5">
            <v>11369393</v>
          </cell>
          <cell r="CE5">
            <v>668390</v>
          </cell>
          <cell r="CF5">
            <v>0</v>
          </cell>
          <cell r="CG5">
            <v>668390</v>
          </cell>
          <cell r="CH5">
            <v>668390</v>
          </cell>
          <cell r="CI5">
            <v>668390</v>
          </cell>
          <cell r="CJ5">
            <v>668390</v>
          </cell>
          <cell r="CK5">
            <v>0</v>
          </cell>
          <cell r="CL5">
            <v>0</v>
          </cell>
          <cell r="CM5">
            <v>0</v>
          </cell>
          <cell r="CN5">
            <v>0</v>
          </cell>
          <cell r="CO5">
            <v>0</v>
          </cell>
          <cell r="CP5">
            <v>-2761</v>
          </cell>
          <cell r="CQ5">
            <v>4317229</v>
          </cell>
          <cell r="CR5">
            <v>4056821</v>
          </cell>
          <cell r="CS5">
            <v>3862505</v>
          </cell>
          <cell r="CT5">
            <v>3699277</v>
          </cell>
          <cell r="CU5">
            <v>3581905</v>
          </cell>
          <cell r="CV5">
            <v>2584</v>
          </cell>
          <cell r="CW5">
            <v>0</v>
          </cell>
          <cell r="CX5">
            <v>0</v>
          </cell>
          <cell r="CY5">
            <v>0</v>
          </cell>
          <cell r="CZ5">
            <v>0</v>
          </cell>
          <cell r="DA5">
            <v>0</v>
          </cell>
          <cell r="DB5"/>
          <cell r="DC5">
            <v>0</v>
          </cell>
          <cell r="DD5">
            <v>0</v>
          </cell>
          <cell r="DE5">
            <v>0</v>
          </cell>
          <cell r="DF5">
            <v>0</v>
          </cell>
          <cell r="DG5">
            <v>0</v>
          </cell>
          <cell r="DH5">
            <v>0</v>
          </cell>
          <cell r="DI5">
            <v>0</v>
          </cell>
          <cell r="DJ5">
            <v>0</v>
          </cell>
          <cell r="DK5">
            <v>0</v>
          </cell>
          <cell r="DL5">
            <v>0</v>
          </cell>
          <cell r="DM5"/>
          <cell r="DN5"/>
          <cell r="DO5"/>
          <cell r="DP5"/>
        </row>
        <row r="6">
          <cell r="A6">
            <v>5</v>
          </cell>
          <cell r="B6" t="str">
            <v>Bedum</v>
          </cell>
          <cell r="C6">
            <v>1</v>
          </cell>
          <cell r="D6">
            <v>8419</v>
          </cell>
          <cell r="E6">
            <v>4210</v>
          </cell>
          <cell r="F6">
            <v>0</v>
          </cell>
          <cell r="G6">
            <v>0</v>
          </cell>
          <cell r="H6">
            <v>-19362</v>
          </cell>
          <cell r="I6">
            <v>-14602</v>
          </cell>
          <cell r="J6"/>
          <cell r="K6">
            <v>0</v>
          </cell>
          <cell r="L6">
            <v>45960</v>
          </cell>
          <cell r="M6">
            <v>42496</v>
          </cell>
          <cell r="N6">
            <v>0</v>
          </cell>
          <cell r="O6">
            <v>0</v>
          </cell>
          <cell r="P6">
            <v>0</v>
          </cell>
          <cell r="Q6">
            <v>0</v>
          </cell>
          <cell r="R6">
            <v>0</v>
          </cell>
          <cell r="S6">
            <v>0</v>
          </cell>
          <cell r="T6">
            <v>0</v>
          </cell>
          <cell r="U6">
            <v>0</v>
          </cell>
          <cell r="V6">
            <v>0</v>
          </cell>
          <cell r="W6">
            <v>46456</v>
          </cell>
          <cell r="X6">
            <v>0</v>
          </cell>
          <cell r="Y6"/>
          <cell r="Z6">
            <v>0</v>
          </cell>
          <cell r="AA6">
            <v>0</v>
          </cell>
          <cell r="AB6">
            <v>0</v>
          </cell>
          <cell r="AC6"/>
          <cell r="AD6">
            <v>0</v>
          </cell>
          <cell r="AE6">
            <v>0</v>
          </cell>
          <cell r="AF6">
            <v>0</v>
          </cell>
          <cell r="AG6">
            <v>0</v>
          </cell>
          <cell r="AH6">
            <v>0</v>
          </cell>
          <cell r="AI6">
            <v>0</v>
          </cell>
          <cell r="AJ6">
            <v>0</v>
          </cell>
          <cell r="AK6">
            <v>0</v>
          </cell>
          <cell r="AL6"/>
          <cell r="AM6">
            <v>0</v>
          </cell>
          <cell r="AN6">
            <v>0</v>
          </cell>
          <cell r="AO6">
            <v>0</v>
          </cell>
          <cell r="AP6">
            <v>0</v>
          </cell>
          <cell r="AQ6">
            <v>0</v>
          </cell>
          <cell r="AR6">
            <v>0</v>
          </cell>
          <cell r="AS6">
            <v>0</v>
          </cell>
          <cell r="AT6">
            <v>0</v>
          </cell>
          <cell r="AU6">
            <v>4740</v>
          </cell>
          <cell r="AV6">
            <v>0</v>
          </cell>
          <cell r="AW6">
            <v>0</v>
          </cell>
          <cell r="AX6">
            <v>0</v>
          </cell>
          <cell r="AY6"/>
          <cell r="AZ6"/>
          <cell r="BA6">
            <v>0</v>
          </cell>
          <cell r="BB6"/>
          <cell r="BC6">
            <v>0</v>
          </cell>
          <cell r="BD6">
            <v>18385</v>
          </cell>
          <cell r="BE6"/>
          <cell r="BF6">
            <v>129376</v>
          </cell>
          <cell r="BG6">
            <v>382738</v>
          </cell>
          <cell r="BH6">
            <v>129376</v>
          </cell>
          <cell r="BI6">
            <v>14534</v>
          </cell>
          <cell r="BJ6">
            <v>11964</v>
          </cell>
          <cell r="BK6">
            <v>11964</v>
          </cell>
          <cell r="BL6">
            <v>0</v>
          </cell>
          <cell r="BM6">
            <v>0</v>
          </cell>
          <cell r="BN6">
            <v>0</v>
          </cell>
          <cell r="BO6">
            <v>10215</v>
          </cell>
          <cell r="BP6">
            <v>7907</v>
          </cell>
          <cell r="BQ6">
            <v>14244.186046511601</v>
          </cell>
          <cell r="BR6">
            <v>0</v>
          </cell>
          <cell r="BS6">
            <v>0</v>
          </cell>
          <cell r="BT6">
            <v>17825</v>
          </cell>
          <cell r="BU6"/>
          <cell r="BV6"/>
          <cell r="BW6"/>
          <cell r="BX6"/>
          <cell r="BY6">
            <v>0</v>
          </cell>
          <cell r="BZ6">
            <v>0</v>
          </cell>
          <cell r="CA6">
            <v>0</v>
          </cell>
          <cell r="CB6">
            <v>0</v>
          </cell>
          <cell r="CC6">
            <v>892783</v>
          </cell>
          <cell r="CD6">
            <v>5683264</v>
          </cell>
          <cell r="CE6">
            <v>577105</v>
          </cell>
          <cell r="CF6">
            <v>-19410</v>
          </cell>
          <cell r="CG6">
            <v>577105</v>
          </cell>
          <cell r="CH6">
            <v>577105</v>
          </cell>
          <cell r="CI6">
            <v>577105</v>
          </cell>
          <cell r="CJ6">
            <v>577105</v>
          </cell>
          <cell r="CK6">
            <v>0</v>
          </cell>
          <cell r="CL6">
            <v>0</v>
          </cell>
          <cell r="CM6">
            <v>0</v>
          </cell>
          <cell r="CN6">
            <v>0</v>
          </cell>
          <cell r="CO6">
            <v>0</v>
          </cell>
          <cell r="CP6">
            <v>-2402</v>
          </cell>
          <cell r="CQ6">
            <v>1120824</v>
          </cell>
          <cell r="CR6">
            <v>1082421</v>
          </cell>
          <cell r="CS6">
            <v>1062335</v>
          </cell>
          <cell r="CT6">
            <v>1022748</v>
          </cell>
          <cell r="CU6">
            <v>1023764</v>
          </cell>
          <cell r="CV6">
            <v>21272</v>
          </cell>
          <cell r="CW6">
            <v>0</v>
          </cell>
          <cell r="CX6">
            <v>0</v>
          </cell>
          <cell r="CY6">
            <v>0</v>
          </cell>
          <cell r="CZ6">
            <v>0</v>
          </cell>
          <cell r="DA6">
            <v>0</v>
          </cell>
          <cell r="DB6"/>
          <cell r="DC6">
            <v>0</v>
          </cell>
          <cell r="DD6">
            <v>0</v>
          </cell>
          <cell r="DE6">
            <v>0</v>
          </cell>
          <cell r="DF6">
            <v>0</v>
          </cell>
          <cell r="DG6">
            <v>0</v>
          </cell>
          <cell r="DH6">
            <v>0</v>
          </cell>
          <cell r="DI6">
            <v>0</v>
          </cell>
          <cell r="DJ6">
            <v>0</v>
          </cell>
          <cell r="DK6">
            <v>0</v>
          </cell>
          <cell r="DL6">
            <v>0</v>
          </cell>
          <cell r="DM6"/>
          <cell r="DN6"/>
          <cell r="DO6"/>
          <cell r="DP6"/>
        </row>
        <row r="7">
          <cell r="A7">
            <v>1663</v>
          </cell>
          <cell r="B7" t="str">
            <v>De Marne</v>
          </cell>
          <cell r="C7">
            <v>1</v>
          </cell>
          <cell r="D7">
            <v>-367</v>
          </cell>
          <cell r="E7">
            <v>-184</v>
          </cell>
          <cell r="F7">
            <v>0</v>
          </cell>
          <cell r="G7">
            <v>0</v>
          </cell>
          <cell r="H7">
            <v>0</v>
          </cell>
          <cell r="I7">
            <v>-2283</v>
          </cell>
          <cell r="J7"/>
          <cell r="K7">
            <v>0</v>
          </cell>
          <cell r="L7">
            <v>50278</v>
          </cell>
          <cell r="M7">
            <v>47948</v>
          </cell>
          <cell r="N7">
            <v>0</v>
          </cell>
          <cell r="O7">
            <v>0</v>
          </cell>
          <cell r="P7">
            <v>0</v>
          </cell>
          <cell r="Q7">
            <v>0</v>
          </cell>
          <cell r="R7">
            <v>236639</v>
          </cell>
          <cell r="S7">
            <v>0</v>
          </cell>
          <cell r="T7">
            <v>0</v>
          </cell>
          <cell r="U7">
            <v>0</v>
          </cell>
          <cell r="V7">
            <v>0</v>
          </cell>
          <cell r="W7">
            <v>41597</v>
          </cell>
          <cell r="X7">
            <v>0</v>
          </cell>
          <cell r="Y7"/>
          <cell r="Z7">
            <v>0</v>
          </cell>
          <cell r="AA7">
            <v>0</v>
          </cell>
          <cell r="AB7">
            <v>0</v>
          </cell>
          <cell r="AC7"/>
          <cell r="AD7">
            <v>20533</v>
          </cell>
          <cell r="AE7">
            <v>0</v>
          </cell>
          <cell r="AF7">
            <v>0</v>
          </cell>
          <cell r="AG7">
            <v>0</v>
          </cell>
          <cell r="AH7">
            <v>0</v>
          </cell>
          <cell r="AI7">
            <v>0</v>
          </cell>
          <cell r="AJ7">
            <v>0</v>
          </cell>
          <cell r="AK7">
            <v>0</v>
          </cell>
          <cell r="AL7"/>
          <cell r="AM7">
            <v>0</v>
          </cell>
          <cell r="AN7">
            <v>0</v>
          </cell>
          <cell r="AO7">
            <v>0</v>
          </cell>
          <cell r="AP7">
            <v>0</v>
          </cell>
          <cell r="AQ7">
            <v>0</v>
          </cell>
          <cell r="AR7">
            <v>0</v>
          </cell>
          <cell r="AS7">
            <v>0</v>
          </cell>
          <cell r="AT7">
            <v>0</v>
          </cell>
          <cell r="AU7">
            <v>0</v>
          </cell>
          <cell r="AV7">
            <v>0</v>
          </cell>
          <cell r="AW7">
            <v>0</v>
          </cell>
          <cell r="AX7">
            <v>0</v>
          </cell>
          <cell r="AY7"/>
          <cell r="AZ7"/>
          <cell r="BA7">
            <v>0</v>
          </cell>
          <cell r="BB7"/>
          <cell r="BC7">
            <v>0</v>
          </cell>
          <cell r="BD7">
            <v>17699</v>
          </cell>
          <cell r="BE7"/>
          <cell r="BF7">
            <v>0</v>
          </cell>
          <cell r="BG7">
            <v>0</v>
          </cell>
          <cell r="BH7">
            <v>0</v>
          </cell>
          <cell r="BI7">
            <v>20227</v>
          </cell>
          <cell r="BJ7">
            <v>16650</v>
          </cell>
          <cell r="BK7">
            <v>16650</v>
          </cell>
          <cell r="BL7">
            <v>0</v>
          </cell>
          <cell r="BM7">
            <v>0</v>
          </cell>
          <cell r="BN7">
            <v>0</v>
          </cell>
          <cell r="BO7">
            <v>92908</v>
          </cell>
          <cell r="BP7">
            <v>0</v>
          </cell>
          <cell r="BQ7">
            <v>0</v>
          </cell>
          <cell r="BR7">
            <v>0</v>
          </cell>
          <cell r="BS7">
            <v>0</v>
          </cell>
          <cell r="BT7">
            <v>30937</v>
          </cell>
          <cell r="BU7"/>
          <cell r="BV7"/>
          <cell r="BW7"/>
          <cell r="BX7"/>
          <cell r="BY7">
            <v>0</v>
          </cell>
          <cell r="BZ7">
            <v>0</v>
          </cell>
          <cell r="CA7">
            <v>0</v>
          </cell>
          <cell r="CB7">
            <v>0</v>
          </cell>
          <cell r="CC7">
            <v>1038226</v>
          </cell>
          <cell r="CD7">
            <v>6038274</v>
          </cell>
          <cell r="CE7">
            <v>507157</v>
          </cell>
          <cell r="CF7">
            <v>0</v>
          </cell>
          <cell r="CG7">
            <v>507157</v>
          </cell>
          <cell r="CH7">
            <v>507157</v>
          </cell>
          <cell r="CI7">
            <v>507157</v>
          </cell>
          <cell r="CJ7">
            <v>507157</v>
          </cell>
          <cell r="CK7">
            <v>0</v>
          </cell>
          <cell r="CL7">
            <v>0</v>
          </cell>
          <cell r="CM7">
            <v>0</v>
          </cell>
          <cell r="CN7">
            <v>0</v>
          </cell>
          <cell r="CO7">
            <v>0</v>
          </cell>
          <cell r="CP7">
            <v>-829</v>
          </cell>
          <cell r="CQ7">
            <v>1372754</v>
          </cell>
          <cell r="CR7">
            <v>1309655</v>
          </cell>
          <cell r="CS7">
            <v>1291215</v>
          </cell>
          <cell r="CT7">
            <v>1253458</v>
          </cell>
          <cell r="CU7">
            <v>1211130</v>
          </cell>
          <cell r="CV7">
            <v>-3691</v>
          </cell>
          <cell r="CW7">
            <v>0</v>
          </cell>
          <cell r="CX7">
            <v>0</v>
          </cell>
          <cell r="CY7">
            <v>0</v>
          </cell>
          <cell r="CZ7">
            <v>0</v>
          </cell>
          <cell r="DA7">
            <v>0</v>
          </cell>
          <cell r="DB7"/>
          <cell r="DC7">
            <v>0</v>
          </cell>
          <cell r="DD7">
            <v>0</v>
          </cell>
          <cell r="DE7">
            <v>0</v>
          </cell>
          <cell r="DF7">
            <v>0</v>
          </cell>
          <cell r="DG7">
            <v>0</v>
          </cell>
          <cell r="DH7">
            <v>0</v>
          </cell>
          <cell r="DI7">
            <v>0</v>
          </cell>
          <cell r="DJ7">
            <v>0</v>
          </cell>
          <cell r="DK7">
            <v>0</v>
          </cell>
          <cell r="DL7">
            <v>0</v>
          </cell>
          <cell r="DM7"/>
          <cell r="DN7"/>
          <cell r="DO7"/>
          <cell r="DP7"/>
        </row>
        <row r="8">
          <cell r="A8">
            <v>10</v>
          </cell>
          <cell r="B8" t="str">
            <v>Delfzijl</v>
          </cell>
          <cell r="C8">
            <v>1</v>
          </cell>
          <cell r="D8">
            <v>76698</v>
          </cell>
          <cell r="E8">
            <v>38349</v>
          </cell>
          <cell r="F8">
            <v>0</v>
          </cell>
          <cell r="G8">
            <v>183633</v>
          </cell>
          <cell r="H8">
            <v>0</v>
          </cell>
          <cell r="I8">
            <v>0</v>
          </cell>
          <cell r="J8"/>
          <cell r="K8">
            <v>0</v>
          </cell>
          <cell r="L8">
            <v>164263</v>
          </cell>
          <cell r="M8">
            <v>175984</v>
          </cell>
          <cell r="N8">
            <v>0</v>
          </cell>
          <cell r="O8">
            <v>0</v>
          </cell>
          <cell r="P8">
            <v>0</v>
          </cell>
          <cell r="Q8">
            <v>0</v>
          </cell>
          <cell r="R8">
            <v>1509824</v>
          </cell>
          <cell r="S8">
            <v>0</v>
          </cell>
          <cell r="T8">
            <v>0</v>
          </cell>
          <cell r="U8">
            <v>0</v>
          </cell>
          <cell r="V8">
            <v>3000</v>
          </cell>
          <cell r="W8">
            <v>75764</v>
          </cell>
          <cell r="X8">
            <v>0</v>
          </cell>
          <cell r="Y8"/>
          <cell r="Z8">
            <v>0</v>
          </cell>
          <cell r="AA8">
            <v>0</v>
          </cell>
          <cell r="AB8">
            <v>0</v>
          </cell>
          <cell r="AC8"/>
          <cell r="AD8">
            <v>78224</v>
          </cell>
          <cell r="AE8">
            <v>0</v>
          </cell>
          <cell r="AF8">
            <v>0</v>
          </cell>
          <cell r="AG8">
            <v>0</v>
          </cell>
          <cell r="AH8">
            <v>0</v>
          </cell>
          <cell r="AI8">
            <v>0</v>
          </cell>
          <cell r="AJ8">
            <v>0</v>
          </cell>
          <cell r="AK8">
            <v>0</v>
          </cell>
          <cell r="AL8"/>
          <cell r="AM8">
            <v>0</v>
          </cell>
          <cell r="AN8">
            <v>0</v>
          </cell>
          <cell r="AO8">
            <v>0</v>
          </cell>
          <cell r="AP8">
            <v>0</v>
          </cell>
          <cell r="AQ8">
            <v>0</v>
          </cell>
          <cell r="AR8">
            <v>0</v>
          </cell>
          <cell r="AS8">
            <v>0</v>
          </cell>
          <cell r="AT8">
            <v>0</v>
          </cell>
          <cell r="AU8">
            <v>2370</v>
          </cell>
          <cell r="AV8">
            <v>0</v>
          </cell>
          <cell r="AW8">
            <v>0</v>
          </cell>
          <cell r="AX8">
            <v>0</v>
          </cell>
          <cell r="AY8"/>
          <cell r="AZ8"/>
          <cell r="BA8">
            <v>0</v>
          </cell>
          <cell r="BB8"/>
          <cell r="BC8">
            <v>0</v>
          </cell>
          <cell r="BD8">
            <v>8764</v>
          </cell>
          <cell r="BE8"/>
          <cell r="BF8">
            <v>463473</v>
          </cell>
          <cell r="BG8">
            <v>1371107</v>
          </cell>
          <cell r="BH8">
            <v>463473</v>
          </cell>
          <cell r="BI8">
            <v>52290</v>
          </cell>
          <cell r="BJ8">
            <v>43042</v>
          </cell>
          <cell r="BK8">
            <v>43042</v>
          </cell>
          <cell r="BL8">
            <v>0</v>
          </cell>
          <cell r="BM8">
            <v>0</v>
          </cell>
          <cell r="BN8">
            <v>0</v>
          </cell>
          <cell r="BO8">
            <v>365794</v>
          </cell>
          <cell r="BP8">
            <v>18976.8</v>
          </cell>
          <cell r="BQ8">
            <v>34186.046511627901</v>
          </cell>
          <cell r="BR8">
            <v>0</v>
          </cell>
          <cell r="BS8">
            <v>0</v>
          </cell>
          <cell r="BT8">
            <v>53659</v>
          </cell>
          <cell r="BU8"/>
          <cell r="BV8"/>
          <cell r="BW8"/>
          <cell r="BX8"/>
          <cell r="BY8">
            <v>0</v>
          </cell>
          <cell r="BZ8">
            <v>0</v>
          </cell>
          <cell r="CA8">
            <v>0</v>
          </cell>
          <cell r="CB8">
            <v>0</v>
          </cell>
          <cell r="CC8">
            <v>2934726</v>
          </cell>
          <cell r="CD8">
            <v>18344493</v>
          </cell>
          <cell r="CE8">
            <v>1815629</v>
          </cell>
          <cell r="CF8">
            <v>893162</v>
          </cell>
          <cell r="CG8">
            <v>1815629</v>
          </cell>
          <cell r="CH8">
            <v>1815629</v>
          </cell>
          <cell r="CI8">
            <v>1815629</v>
          </cell>
          <cell r="CJ8">
            <v>1815629</v>
          </cell>
          <cell r="CK8">
            <v>0</v>
          </cell>
          <cell r="CL8">
            <v>0</v>
          </cell>
          <cell r="CM8">
            <v>0</v>
          </cell>
          <cell r="CN8">
            <v>0</v>
          </cell>
          <cell r="CO8">
            <v>0</v>
          </cell>
          <cell r="CP8">
            <v>-6451</v>
          </cell>
          <cell r="CQ8">
            <v>4450688</v>
          </cell>
          <cell r="CR8">
            <v>4295584</v>
          </cell>
          <cell r="CS8">
            <v>4221252</v>
          </cell>
          <cell r="CT8">
            <v>4096053</v>
          </cell>
          <cell r="CU8">
            <v>3928046</v>
          </cell>
          <cell r="CV8">
            <v>17840</v>
          </cell>
          <cell r="CW8">
            <v>0</v>
          </cell>
          <cell r="CX8">
            <v>0</v>
          </cell>
          <cell r="CY8">
            <v>0</v>
          </cell>
          <cell r="CZ8">
            <v>0</v>
          </cell>
          <cell r="DA8">
            <v>0</v>
          </cell>
          <cell r="DB8"/>
          <cell r="DC8">
            <v>0</v>
          </cell>
          <cell r="DD8">
            <v>0</v>
          </cell>
          <cell r="DE8">
            <v>0</v>
          </cell>
          <cell r="DF8">
            <v>0</v>
          </cell>
          <cell r="DG8">
            <v>0</v>
          </cell>
          <cell r="DH8">
            <v>0</v>
          </cell>
          <cell r="DI8">
            <v>0</v>
          </cell>
          <cell r="DJ8">
            <v>0</v>
          </cell>
          <cell r="DK8">
            <v>0</v>
          </cell>
          <cell r="DL8">
            <v>0</v>
          </cell>
          <cell r="DM8"/>
          <cell r="DN8"/>
          <cell r="DO8"/>
          <cell r="DP8"/>
        </row>
        <row r="9">
          <cell r="A9">
            <v>1651</v>
          </cell>
          <cell r="B9" t="str">
            <v>Eemsmond</v>
          </cell>
          <cell r="C9">
            <v>1</v>
          </cell>
          <cell r="D9">
            <v>80285</v>
          </cell>
          <cell r="E9">
            <v>40143</v>
          </cell>
          <cell r="F9">
            <v>0</v>
          </cell>
          <cell r="G9">
            <v>0</v>
          </cell>
          <cell r="H9">
            <v>0</v>
          </cell>
          <cell r="I9">
            <v>0</v>
          </cell>
          <cell r="J9"/>
          <cell r="K9">
            <v>0</v>
          </cell>
          <cell r="L9">
            <v>85732</v>
          </cell>
          <cell r="M9">
            <v>87825</v>
          </cell>
          <cell r="N9">
            <v>0</v>
          </cell>
          <cell r="O9">
            <v>0</v>
          </cell>
          <cell r="P9">
            <v>0</v>
          </cell>
          <cell r="Q9">
            <v>0</v>
          </cell>
          <cell r="R9">
            <v>0</v>
          </cell>
          <cell r="S9">
            <v>0</v>
          </cell>
          <cell r="T9">
            <v>0</v>
          </cell>
          <cell r="U9">
            <v>0</v>
          </cell>
          <cell r="V9">
            <v>9000</v>
          </cell>
          <cell r="W9">
            <v>41215</v>
          </cell>
          <cell r="X9">
            <v>0</v>
          </cell>
          <cell r="Y9"/>
          <cell r="Z9">
            <v>0</v>
          </cell>
          <cell r="AA9">
            <v>0</v>
          </cell>
          <cell r="AB9">
            <v>0</v>
          </cell>
          <cell r="AC9"/>
          <cell r="AD9">
            <v>59645</v>
          </cell>
          <cell r="AE9">
            <v>0</v>
          </cell>
          <cell r="AF9">
            <v>0</v>
          </cell>
          <cell r="AG9">
            <v>0</v>
          </cell>
          <cell r="AH9">
            <v>0</v>
          </cell>
          <cell r="AI9">
            <v>0</v>
          </cell>
          <cell r="AJ9">
            <v>0</v>
          </cell>
          <cell r="AK9">
            <v>0</v>
          </cell>
          <cell r="AL9"/>
          <cell r="AM9">
            <v>0</v>
          </cell>
          <cell r="AN9">
            <v>0</v>
          </cell>
          <cell r="AO9">
            <v>0</v>
          </cell>
          <cell r="AP9">
            <v>0</v>
          </cell>
          <cell r="AQ9">
            <v>0</v>
          </cell>
          <cell r="AR9">
            <v>0</v>
          </cell>
          <cell r="AS9">
            <v>0</v>
          </cell>
          <cell r="AT9">
            <v>0</v>
          </cell>
          <cell r="AU9">
            <v>0</v>
          </cell>
          <cell r="AV9">
            <v>0</v>
          </cell>
          <cell r="AW9">
            <v>0</v>
          </cell>
          <cell r="AX9">
            <v>0</v>
          </cell>
          <cell r="AY9"/>
          <cell r="AZ9"/>
          <cell r="BA9">
            <v>0</v>
          </cell>
          <cell r="BB9"/>
          <cell r="BC9">
            <v>0</v>
          </cell>
          <cell r="BD9">
            <v>27467</v>
          </cell>
          <cell r="BE9"/>
          <cell r="BF9">
            <v>288144</v>
          </cell>
          <cell r="BG9">
            <v>852426</v>
          </cell>
          <cell r="BH9">
            <v>288144</v>
          </cell>
          <cell r="BI9">
            <v>32393</v>
          </cell>
          <cell r="BJ9">
            <v>26664</v>
          </cell>
          <cell r="BK9">
            <v>26664</v>
          </cell>
          <cell r="BL9">
            <v>0</v>
          </cell>
          <cell r="BM9">
            <v>0</v>
          </cell>
          <cell r="BN9">
            <v>0</v>
          </cell>
          <cell r="BO9">
            <v>207705</v>
          </cell>
          <cell r="BP9">
            <v>1581.4</v>
          </cell>
          <cell r="BQ9">
            <v>2848.8372093023299</v>
          </cell>
          <cell r="BR9">
            <v>0</v>
          </cell>
          <cell r="BS9">
            <v>0</v>
          </cell>
          <cell r="BT9">
            <v>37939</v>
          </cell>
          <cell r="BU9"/>
          <cell r="BV9"/>
          <cell r="BW9"/>
          <cell r="BX9"/>
          <cell r="BY9">
            <v>0</v>
          </cell>
          <cell r="BZ9">
            <v>0</v>
          </cell>
          <cell r="CA9">
            <v>0</v>
          </cell>
          <cell r="CB9">
            <v>0</v>
          </cell>
          <cell r="CC9">
            <v>1645301</v>
          </cell>
          <cell r="CD9">
            <v>13172568</v>
          </cell>
          <cell r="CE9">
            <v>1229723</v>
          </cell>
          <cell r="CF9">
            <v>-27619</v>
          </cell>
          <cell r="CG9">
            <v>1229723</v>
          </cell>
          <cell r="CH9">
            <v>1229723</v>
          </cell>
          <cell r="CI9">
            <v>1229723</v>
          </cell>
          <cell r="CJ9">
            <v>1229723</v>
          </cell>
          <cell r="CK9">
            <v>0</v>
          </cell>
          <cell r="CL9">
            <v>0</v>
          </cell>
          <cell r="CM9">
            <v>0</v>
          </cell>
          <cell r="CN9">
            <v>0</v>
          </cell>
          <cell r="CO9">
            <v>0</v>
          </cell>
          <cell r="CP9">
            <v>0</v>
          </cell>
          <cell r="CQ9">
            <v>4284927</v>
          </cell>
          <cell r="CR9">
            <v>4009189</v>
          </cell>
          <cell r="CS9">
            <v>3837591</v>
          </cell>
          <cell r="CT9">
            <v>3632262</v>
          </cell>
          <cell r="CU9">
            <v>3504411</v>
          </cell>
          <cell r="CV9">
            <v>-14266</v>
          </cell>
          <cell r="CW9">
            <v>0</v>
          </cell>
          <cell r="CX9">
            <v>0</v>
          </cell>
          <cell r="CY9">
            <v>0</v>
          </cell>
          <cell r="CZ9">
            <v>0</v>
          </cell>
          <cell r="DA9">
            <v>0</v>
          </cell>
          <cell r="DB9"/>
          <cell r="DC9">
            <v>0</v>
          </cell>
          <cell r="DD9">
            <v>0</v>
          </cell>
          <cell r="DE9">
            <v>0</v>
          </cell>
          <cell r="DF9">
            <v>0</v>
          </cell>
          <cell r="DG9">
            <v>0</v>
          </cell>
          <cell r="DH9">
            <v>0</v>
          </cell>
          <cell r="DI9">
            <v>0</v>
          </cell>
          <cell r="DJ9">
            <v>0</v>
          </cell>
          <cell r="DK9">
            <v>0</v>
          </cell>
          <cell r="DL9">
            <v>0</v>
          </cell>
          <cell r="DM9"/>
          <cell r="DN9"/>
          <cell r="DO9"/>
          <cell r="DP9"/>
        </row>
        <row r="10">
          <cell r="A10">
            <v>14</v>
          </cell>
          <cell r="B10" t="str">
            <v>Groningen</v>
          </cell>
          <cell r="C10">
            <v>1</v>
          </cell>
          <cell r="D10">
            <v>509335</v>
          </cell>
          <cell r="E10">
            <v>254668</v>
          </cell>
          <cell r="F10">
            <v>0</v>
          </cell>
          <cell r="G10">
            <v>176531</v>
          </cell>
          <cell r="H10">
            <v>-180061</v>
          </cell>
          <cell r="I10">
            <v>-81413</v>
          </cell>
          <cell r="J10"/>
          <cell r="K10">
            <v>7500</v>
          </cell>
          <cell r="L10">
            <v>1125576</v>
          </cell>
          <cell r="M10">
            <v>1209187</v>
          </cell>
          <cell r="N10">
            <v>0</v>
          </cell>
          <cell r="O10">
            <v>0</v>
          </cell>
          <cell r="P10">
            <v>473748</v>
          </cell>
          <cell r="Q10">
            <v>0</v>
          </cell>
          <cell r="R10">
            <v>0</v>
          </cell>
          <cell r="S10">
            <v>795351</v>
          </cell>
          <cell r="T10">
            <v>795351</v>
          </cell>
          <cell r="U10">
            <v>795351</v>
          </cell>
          <cell r="V10">
            <v>100750</v>
          </cell>
          <cell r="W10">
            <v>505383</v>
          </cell>
          <cell r="X10">
            <v>0</v>
          </cell>
          <cell r="Y10"/>
          <cell r="Z10">
            <v>0</v>
          </cell>
          <cell r="AA10">
            <v>40000</v>
          </cell>
          <cell r="AB10">
            <v>0</v>
          </cell>
          <cell r="AC10"/>
          <cell r="AD10">
            <v>484988</v>
          </cell>
          <cell r="AE10">
            <v>0</v>
          </cell>
          <cell r="AF10">
            <v>0</v>
          </cell>
          <cell r="AG10">
            <v>0</v>
          </cell>
          <cell r="AH10">
            <v>0</v>
          </cell>
          <cell r="AI10">
            <v>297554</v>
          </cell>
          <cell r="AJ10">
            <v>0</v>
          </cell>
          <cell r="AK10">
            <v>553998</v>
          </cell>
          <cell r="AL10"/>
          <cell r="AM10">
            <v>0</v>
          </cell>
          <cell r="AN10">
            <v>0</v>
          </cell>
          <cell r="AO10">
            <v>0</v>
          </cell>
          <cell r="AP10">
            <v>0</v>
          </cell>
          <cell r="AQ10">
            <v>0</v>
          </cell>
          <cell r="AR10">
            <v>0</v>
          </cell>
          <cell r="AS10">
            <v>0</v>
          </cell>
          <cell r="AT10">
            <v>20000</v>
          </cell>
          <cell r="AU10">
            <v>18960</v>
          </cell>
          <cell r="AV10">
            <v>17835604.6787544</v>
          </cell>
          <cell r="AW10">
            <v>80000</v>
          </cell>
          <cell r="AX10">
            <v>0</v>
          </cell>
          <cell r="AY10"/>
          <cell r="AZ10"/>
          <cell r="BA10">
            <v>0</v>
          </cell>
          <cell r="BB10"/>
          <cell r="BC10">
            <v>0</v>
          </cell>
          <cell r="BD10">
            <v>355511</v>
          </cell>
          <cell r="BE10"/>
          <cell r="BF10">
            <v>0</v>
          </cell>
          <cell r="BG10">
            <v>0</v>
          </cell>
          <cell r="BH10">
            <v>0</v>
          </cell>
          <cell r="BI10">
            <v>441468</v>
          </cell>
          <cell r="BJ10">
            <v>363394</v>
          </cell>
          <cell r="BK10">
            <v>363394</v>
          </cell>
          <cell r="BL10">
            <v>0</v>
          </cell>
          <cell r="BM10">
            <v>0</v>
          </cell>
          <cell r="BN10">
            <v>265650</v>
          </cell>
          <cell r="BO10">
            <v>393034</v>
          </cell>
          <cell r="BP10">
            <v>83814.2</v>
          </cell>
          <cell r="BQ10">
            <v>150988.372093023</v>
          </cell>
          <cell r="BR10">
            <v>0</v>
          </cell>
          <cell r="BS10">
            <v>1900000</v>
          </cell>
          <cell r="BT10">
            <v>398639</v>
          </cell>
          <cell r="BU10"/>
          <cell r="BV10"/>
          <cell r="BW10"/>
          <cell r="BX10"/>
          <cell r="BY10">
            <v>4263706.2933300799</v>
          </cell>
          <cell r="BZ10">
            <v>4899369.3957027597</v>
          </cell>
          <cell r="CA10">
            <v>4953672.2737948997</v>
          </cell>
          <cell r="CB10">
            <v>5106998.0472315298</v>
          </cell>
          <cell r="CC10">
            <v>12350025</v>
          </cell>
          <cell r="CD10">
            <v>185000289</v>
          </cell>
          <cell r="CE10">
            <v>12277453</v>
          </cell>
          <cell r="CF10">
            <v>-194866</v>
          </cell>
          <cell r="CG10">
            <v>12277453</v>
          </cell>
          <cell r="CH10">
            <v>12277453</v>
          </cell>
          <cell r="CI10">
            <v>12277453</v>
          </cell>
          <cell r="CJ10">
            <v>12277453</v>
          </cell>
          <cell r="CK10">
            <v>70390479</v>
          </cell>
          <cell r="CL10">
            <v>70355150</v>
          </cell>
          <cell r="CM10">
            <v>70354578</v>
          </cell>
          <cell r="CN10">
            <v>70353322</v>
          </cell>
          <cell r="CO10">
            <v>70355063</v>
          </cell>
          <cell r="CP10">
            <v>0</v>
          </cell>
          <cell r="CQ10">
            <v>28694513</v>
          </cell>
          <cell r="CR10">
            <v>27294604</v>
          </cell>
          <cell r="CS10">
            <v>26494000</v>
          </cell>
          <cell r="CT10">
            <v>25827886</v>
          </cell>
          <cell r="CU10">
            <v>25008929</v>
          </cell>
          <cell r="CV10">
            <v>1809562</v>
          </cell>
          <cell r="CW10">
            <v>0</v>
          </cell>
          <cell r="CX10">
            <v>0</v>
          </cell>
          <cell r="CY10">
            <v>0</v>
          </cell>
          <cell r="CZ10">
            <v>0</v>
          </cell>
          <cell r="DA10">
            <v>0</v>
          </cell>
          <cell r="DB10"/>
          <cell r="DC10">
            <v>0</v>
          </cell>
          <cell r="DD10">
            <v>0</v>
          </cell>
          <cell r="DE10">
            <v>0</v>
          </cell>
          <cell r="DF10">
            <v>0</v>
          </cell>
          <cell r="DG10">
            <v>0</v>
          </cell>
          <cell r="DH10">
            <v>0</v>
          </cell>
          <cell r="DI10">
            <v>0</v>
          </cell>
          <cell r="DJ10">
            <v>0</v>
          </cell>
          <cell r="DK10">
            <v>0</v>
          </cell>
          <cell r="DL10">
            <v>0</v>
          </cell>
          <cell r="DM10"/>
          <cell r="DN10"/>
          <cell r="DO10"/>
          <cell r="DP10"/>
        </row>
        <row r="11">
          <cell r="A11">
            <v>15</v>
          </cell>
          <cell r="B11" t="str">
            <v>Grootegast</v>
          </cell>
          <cell r="C11">
            <v>1</v>
          </cell>
          <cell r="D11">
            <v>15454</v>
          </cell>
          <cell r="E11">
            <v>7727</v>
          </cell>
          <cell r="F11">
            <v>0</v>
          </cell>
          <cell r="G11">
            <v>0</v>
          </cell>
          <cell r="H11">
            <v>-26978</v>
          </cell>
          <cell r="I11">
            <v>-12461</v>
          </cell>
          <cell r="J11"/>
          <cell r="K11">
            <v>0</v>
          </cell>
          <cell r="L11">
            <v>48467</v>
          </cell>
          <cell r="M11">
            <v>51329</v>
          </cell>
          <cell r="N11">
            <v>0</v>
          </cell>
          <cell r="O11">
            <v>0</v>
          </cell>
          <cell r="P11">
            <v>0</v>
          </cell>
          <cell r="Q11">
            <v>0</v>
          </cell>
          <cell r="R11">
            <v>0</v>
          </cell>
          <cell r="S11">
            <v>0</v>
          </cell>
          <cell r="T11">
            <v>0</v>
          </cell>
          <cell r="U11">
            <v>0</v>
          </cell>
          <cell r="V11">
            <v>3000</v>
          </cell>
          <cell r="W11">
            <v>57147</v>
          </cell>
          <cell r="X11">
            <v>0</v>
          </cell>
          <cell r="Y11"/>
          <cell r="Z11">
            <v>0</v>
          </cell>
          <cell r="AA11">
            <v>0</v>
          </cell>
          <cell r="AB11">
            <v>0</v>
          </cell>
          <cell r="AC11"/>
          <cell r="AD11">
            <v>21511</v>
          </cell>
          <cell r="AE11">
            <v>0</v>
          </cell>
          <cell r="AF11">
            <v>0</v>
          </cell>
          <cell r="AG11">
            <v>0</v>
          </cell>
          <cell r="AH11">
            <v>0</v>
          </cell>
          <cell r="AI11">
            <v>0</v>
          </cell>
          <cell r="AJ11">
            <v>0</v>
          </cell>
          <cell r="AK11">
            <v>0</v>
          </cell>
          <cell r="AL11"/>
          <cell r="AM11">
            <v>0</v>
          </cell>
          <cell r="AN11">
            <v>0</v>
          </cell>
          <cell r="AO11">
            <v>0</v>
          </cell>
          <cell r="AP11">
            <v>0</v>
          </cell>
          <cell r="AQ11">
            <v>0</v>
          </cell>
          <cell r="AR11">
            <v>0</v>
          </cell>
          <cell r="AS11">
            <v>0</v>
          </cell>
          <cell r="AT11">
            <v>0</v>
          </cell>
          <cell r="AU11">
            <v>0</v>
          </cell>
          <cell r="AV11">
            <v>0</v>
          </cell>
          <cell r="AW11">
            <v>0</v>
          </cell>
          <cell r="AX11">
            <v>0</v>
          </cell>
          <cell r="AY11"/>
          <cell r="AZ11"/>
          <cell r="BA11">
            <v>0</v>
          </cell>
          <cell r="BB11"/>
          <cell r="BC11">
            <v>0</v>
          </cell>
          <cell r="BD11">
            <v>21344</v>
          </cell>
          <cell r="BE11"/>
          <cell r="BF11">
            <v>0</v>
          </cell>
          <cell r="BG11">
            <v>0</v>
          </cell>
          <cell r="BH11">
            <v>0</v>
          </cell>
          <cell r="BI11">
            <v>15792</v>
          </cell>
          <cell r="BJ11">
            <v>12999</v>
          </cell>
          <cell r="BK11">
            <v>12999</v>
          </cell>
          <cell r="BL11">
            <v>0</v>
          </cell>
          <cell r="BM11">
            <v>0</v>
          </cell>
          <cell r="BN11">
            <v>0</v>
          </cell>
          <cell r="BO11">
            <v>119175</v>
          </cell>
          <cell r="BP11">
            <v>4744.2</v>
          </cell>
          <cell r="BQ11">
            <v>8546.5116279069807</v>
          </cell>
          <cell r="BR11">
            <v>0</v>
          </cell>
          <cell r="BS11">
            <v>0</v>
          </cell>
          <cell r="BT11">
            <v>27285</v>
          </cell>
          <cell r="BU11"/>
          <cell r="BV11"/>
          <cell r="BW11"/>
          <cell r="BX11"/>
          <cell r="BY11">
            <v>0</v>
          </cell>
          <cell r="BZ11">
            <v>0</v>
          </cell>
          <cell r="CA11">
            <v>0</v>
          </cell>
          <cell r="CB11">
            <v>0</v>
          </cell>
          <cell r="CC11">
            <v>949169</v>
          </cell>
          <cell r="CD11">
            <v>7208574</v>
          </cell>
          <cell r="CE11">
            <v>679431</v>
          </cell>
          <cell r="CF11">
            <v>-30235</v>
          </cell>
          <cell r="CG11">
            <v>679431</v>
          </cell>
          <cell r="CH11">
            <v>679431</v>
          </cell>
          <cell r="CI11">
            <v>679431</v>
          </cell>
          <cell r="CJ11">
            <v>679431</v>
          </cell>
          <cell r="CK11">
            <v>0</v>
          </cell>
          <cell r="CL11">
            <v>0</v>
          </cell>
          <cell r="CM11">
            <v>0</v>
          </cell>
          <cell r="CN11">
            <v>0</v>
          </cell>
          <cell r="CO11">
            <v>0</v>
          </cell>
          <cell r="CP11">
            <v>0</v>
          </cell>
          <cell r="CQ11">
            <v>1846544</v>
          </cell>
          <cell r="CR11">
            <v>1778262</v>
          </cell>
          <cell r="CS11">
            <v>1754360</v>
          </cell>
          <cell r="CT11">
            <v>1684516</v>
          </cell>
          <cell r="CU11">
            <v>1650907</v>
          </cell>
          <cell r="CV11">
            <v>1071</v>
          </cell>
          <cell r="CW11">
            <v>0</v>
          </cell>
          <cell r="CX11">
            <v>0</v>
          </cell>
          <cell r="CY11">
            <v>0</v>
          </cell>
          <cell r="CZ11">
            <v>0</v>
          </cell>
          <cell r="DA11">
            <v>0</v>
          </cell>
          <cell r="DB11"/>
          <cell r="DC11">
            <v>0</v>
          </cell>
          <cell r="DD11">
            <v>0</v>
          </cell>
          <cell r="DE11">
            <v>0</v>
          </cell>
          <cell r="DF11">
            <v>0</v>
          </cell>
          <cell r="DG11">
            <v>0</v>
          </cell>
          <cell r="DH11">
            <v>0</v>
          </cell>
          <cell r="DI11">
            <v>0</v>
          </cell>
          <cell r="DJ11">
            <v>0</v>
          </cell>
          <cell r="DK11">
            <v>0</v>
          </cell>
          <cell r="DL11">
            <v>0</v>
          </cell>
          <cell r="DM11"/>
          <cell r="DN11"/>
          <cell r="DO11"/>
          <cell r="DP11"/>
        </row>
        <row r="12">
          <cell r="A12">
            <v>17</v>
          </cell>
          <cell r="B12" t="str">
            <v>Haren</v>
          </cell>
          <cell r="C12">
            <v>1</v>
          </cell>
          <cell r="D12">
            <v>29111</v>
          </cell>
          <cell r="E12">
            <v>14555</v>
          </cell>
          <cell r="F12">
            <v>0</v>
          </cell>
          <cell r="G12">
            <v>0</v>
          </cell>
          <cell r="H12">
            <v>230467</v>
          </cell>
          <cell r="I12">
            <v>192619</v>
          </cell>
          <cell r="J12"/>
          <cell r="K12">
            <v>0</v>
          </cell>
          <cell r="L12">
            <v>47850</v>
          </cell>
          <cell r="M12">
            <v>48853</v>
          </cell>
          <cell r="N12">
            <v>0</v>
          </cell>
          <cell r="O12">
            <v>0</v>
          </cell>
          <cell r="P12">
            <v>0</v>
          </cell>
          <cell r="Q12">
            <v>0</v>
          </cell>
          <cell r="R12">
            <v>0</v>
          </cell>
          <cell r="S12">
            <v>0</v>
          </cell>
          <cell r="T12">
            <v>0</v>
          </cell>
          <cell r="U12">
            <v>0</v>
          </cell>
          <cell r="V12">
            <v>3000</v>
          </cell>
          <cell r="W12">
            <v>44852</v>
          </cell>
          <cell r="X12">
            <v>0</v>
          </cell>
          <cell r="Y12"/>
          <cell r="Z12">
            <v>0</v>
          </cell>
          <cell r="AA12">
            <v>0</v>
          </cell>
          <cell r="AB12">
            <v>0</v>
          </cell>
          <cell r="AC12"/>
          <cell r="AD12">
            <v>0</v>
          </cell>
          <cell r="AE12">
            <v>0</v>
          </cell>
          <cell r="AF12">
            <v>0</v>
          </cell>
          <cell r="AG12">
            <v>0</v>
          </cell>
          <cell r="AH12">
            <v>0</v>
          </cell>
          <cell r="AI12">
            <v>0</v>
          </cell>
          <cell r="AJ12">
            <v>0</v>
          </cell>
          <cell r="AK12">
            <v>0</v>
          </cell>
          <cell r="AL12"/>
          <cell r="AM12">
            <v>0</v>
          </cell>
          <cell r="AN12">
            <v>0</v>
          </cell>
          <cell r="AO12">
            <v>0</v>
          </cell>
          <cell r="AP12">
            <v>0</v>
          </cell>
          <cell r="AQ12">
            <v>0</v>
          </cell>
          <cell r="AR12">
            <v>0</v>
          </cell>
          <cell r="AS12">
            <v>0</v>
          </cell>
          <cell r="AT12">
            <v>0</v>
          </cell>
          <cell r="AU12">
            <v>0</v>
          </cell>
          <cell r="AV12">
            <v>0</v>
          </cell>
          <cell r="AW12">
            <v>0</v>
          </cell>
          <cell r="AX12">
            <v>0</v>
          </cell>
          <cell r="AY12"/>
          <cell r="AZ12"/>
          <cell r="BA12">
            <v>0</v>
          </cell>
          <cell r="BB12"/>
          <cell r="BC12">
            <v>0</v>
          </cell>
          <cell r="BD12">
            <v>34334</v>
          </cell>
          <cell r="BE12"/>
          <cell r="BF12">
            <v>0</v>
          </cell>
          <cell r="BG12">
            <v>0</v>
          </cell>
          <cell r="BH12">
            <v>0</v>
          </cell>
          <cell r="BI12">
            <v>22974</v>
          </cell>
          <cell r="BJ12">
            <v>18911</v>
          </cell>
          <cell r="BK12">
            <v>18911</v>
          </cell>
          <cell r="BL12">
            <v>0</v>
          </cell>
          <cell r="BM12">
            <v>0</v>
          </cell>
          <cell r="BN12">
            <v>0</v>
          </cell>
          <cell r="BO12">
            <v>15566</v>
          </cell>
          <cell r="BP12">
            <v>6325.6</v>
          </cell>
          <cell r="BQ12">
            <v>11395.3488372093</v>
          </cell>
          <cell r="BR12">
            <v>0</v>
          </cell>
          <cell r="BS12">
            <v>0</v>
          </cell>
          <cell r="BT12">
            <v>31867</v>
          </cell>
          <cell r="BU12"/>
          <cell r="BV12"/>
          <cell r="BW12"/>
          <cell r="BX12"/>
          <cell r="BY12">
            <v>0</v>
          </cell>
          <cell r="BZ12">
            <v>0</v>
          </cell>
          <cell r="CA12">
            <v>0</v>
          </cell>
          <cell r="CB12">
            <v>0</v>
          </cell>
          <cell r="CC12">
            <v>1550412</v>
          </cell>
          <cell r="CD12">
            <v>5692689</v>
          </cell>
          <cell r="CE12">
            <v>576575</v>
          </cell>
          <cell r="CF12">
            <v>0</v>
          </cell>
          <cell r="CG12">
            <v>576575</v>
          </cell>
          <cell r="CH12">
            <v>576575</v>
          </cell>
          <cell r="CI12">
            <v>576575</v>
          </cell>
          <cell r="CJ12">
            <v>576575</v>
          </cell>
          <cell r="CK12">
            <v>0</v>
          </cell>
          <cell r="CL12">
            <v>0</v>
          </cell>
          <cell r="CM12">
            <v>0</v>
          </cell>
          <cell r="CN12">
            <v>0</v>
          </cell>
          <cell r="CO12">
            <v>0</v>
          </cell>
          <cell r="CP12">
            <v>0</v>
          </cell>
          <cell r="CQ12">
            <v>610507</v>
          </cell>
          <cell r="CR12">
            <v>598599</v>
          </cell>
          <cell r="CS12">
            <v>598581</v>
          </cell>
          <cell r="CT12">
            <v>599701</v>
          </cell>
          <cell r="CU12">
            <v>579763</v>
          </cell>
          <cell r="CV12">
            <v>-251042</v>
          </cell>
          <cell r="CW12">
            <v>0</v>
          </cell>
          <cell r="CX12">
            <v>0</v>
          </cell>
          <cell r="CY12">
            <v>0</v>
          </cell>
          <cell r="CZ12">
            <v>0</v>
          </cell>
          <cell r="DA12">
            <v>0</v>
          </cell>
          <cell r="DB12"/>
          <cell r="DC12">
            <v>0</v>
          </cell>
          <cell r="DD12">
            <v>0</v>
          </cell>
          <cell r="DE12">
            <v>0</v>
          </cell>
          <cell r="DF12">
            <v>0</v>
          </cell>
          <cell r="DG12">
            <v>0</v>
          </cell>
          <cell r="DH12">
            <v>0</v>
          </cell>
          <cell r="DI12">
            <v>0</v>
          </cell>
          <cell r="DJ12">
            <v>0</v>
          </cell>
          <cell r="DK12">
            <v>0</v>
          </cell>
          <cell r="DL12">
            <v>0</v>
          </cell>
          <cell r="DM12"/>
          <cell r="DN12"/>
          <cell r="DO12"/>
          <cell r="DP12"/>
        </row>
        <row r="13">
          <cell r="A13">
            <v>22</v>
          </cell>
          <cell r="B13" t="str">
            <v>Leek</v>
          </cell>
          <cell r="C13">
            <v>1</v>
          </cell>
          <cell r="D13">
            <v>27540</v>
          </cell>
          <cell r="E13">
            <v>13770</v>
          </cell>
          <cell r="F13">
            <v>0</v>
          </cell>
          <cell r="G13">
            <v>0</v>
          </cell>
          <cell r="H13">
            <v>-25639</v>
          </cell>
          <cell r="I13">
            <v>-8562</v>
          </cell>
          <cell r="J13"/>
          <cell r="K13">
            <v>0</v>
          </cell>
          <cell r="L13">
            <v>87284</v>
          </cell>
          <cell r="M13">
            <v>81992</v>
          </cell>
          <cell r="N13">
            <v>0</v>
          </cell>
          <cell r="O13">
            <v>0</v>
          </cell>
          <cell r="P13">
            <v>0</v>
          </cell>
          <cell r="Q13">
            <v>0</v>
          </cell>
          <cell r="R13">
            <v>0</v>
          </cell>
          <cell r="S13">
            <v>0</v>
          </cell>
          <cell r="T13">
            <v>0</v>
          </cell>
          <cell r="U13">
            <v>0</v>
          </cell>
          <cell r="V13">
            <v>15000</v>
          </cell>
          <cell r="W13">
            <v>59399</v>
          </cell>
          <cell r="X13">
            <v>0</v>
          </cell>
          <cell r="Y13"/>
          <cell r="Z13">
            <v>0</v>
          </cell>
          <cell r="AA13">
            <v>0</v>
          </cell>
          <cell r="AB13">
            <v>0</v>
          </cell>
          <cell r="AC13"/>
          <cell r="AD13">
            <v>49867</v>
          </cell>
          <cell r="AE13">
            <v>0</v>
          </cell>
          <cell r="AF13">
            <v>0</v>
          </cell>
          <cell r="AG13">
            <v>0</v>
          </cell>
          <cell r="AH13">
            <v>0</v>
          </cell>
          <cell r="AI13">
            <v>0</v>
          </cell>
          <cell r="AJ13">
            <v>0</v>
          </cell>
          <cell r="AK13">
            <v>0</v>
          </cell>
          <cell r="AL13"/>
          <cell r="AM13">
            <v>0</v>
          </cell>
          <cell r="AN13">
            <v>0</v>
          </cell>
          <cell r="AO13">
            <v>0</v>
          </cell>
          <cell r="AP13">
            <v>0</v>
          </cell>
          <cell r="AQ13">
            <v>0</v>
          </cell>
          <cell r="AR13">
            <v>0</v>
          </cell>
          <cell r="AS13">
            <v>0</v>
          </cell>
          <cell r="AT13">
            <v>0</v>
          </cell>
          <cell r="AU13">
            <v>0</v>
          </cell>
          <cell r="AV13">
            <v>0</v>
          </cell>
          <cell r="AW13">
            <v>0</v>
          </cell>
          <cell r="AX13">
            <v>0</v>
          </cell>
          <cell r="AY13"/>
          <cell r="AZ13"/>
          <cell r="BA13">
            <v>0</v>
          </cell>
          <cell r="BB13"/>
          <cell r="BC13">
            <v>0</v>
          </cell>
          <cell r="BD13">
            <v>34462</v>
          </cell>
          <cell r="BE13"/>
          <cell r="BF13">
            <v>0</v>
          </cell>
          <cell r="BG13">
            <v>0</v>
          </cell>
          <cell r="BH13">
            <v>0</v>
          </cell>
          <cell r="BI13">
            <v>30389</v>
          </cell>
          <cell r="BJ13">
            <v>25015</v>
          </cell>
          <cell r="BK13">
            <v>25015</v>
          </cell>
          <cell r="BL13">
            <v>0</v>
          </cell>
          <cell r="BM13">
            <v>0</v>
          </cell>
          <cell r="BN13">
            <v>0</v>
          </cell>
          <cell r="BO13">
            <v>62263</v>
          </cell>
          <cell r="BP13">
            <v>11069.8</v>
          </cell>
          <cell r="BQ13">
            <v>19941.8604651163</v>
          </cell>
          <cell r="BR13">
            <v>0</v>
          </cell>
          <cell r="BS13">
            <v>0</v>
          </cell>
          <cell r="BT13">
            <v>36023</v>
          </cell>
          <cell r="BU13"/>
          <cell r="BV13"/>
          <cell r="BW13"/>
          <cell r="BX13"/>
          <cell r="BY13">
            <v>0</v>
          </cell>
          <cell r="BZ13">
            <v>0</v>
          </cell>
          <cell r="CA13">
            <v>0</v>
          </cell>
          <cell r="CB13">
            <v>0</v>
          </cell>
          <cell r="CC13">
            <v>1820501</v>
          </cell>
          <cell r="CD13">
            <v>12830992</v>
          </cell>
          <cell r="CE13">
            <v>1598539</v>
          </cell>
          <cell r="CF13">
            <v>-3398</v>
          </cell>
          <cell r="CG13">
            <v>1598539</v>
          </cell>
          <cell r="CH13">
            <v>1598539</v>
          </cell>
          <cell r="CI13">
            <v>1598539</v>
          </cell>
          <cell r="CJ13">
            <v>1598539</v>
          </cell>
          <cell r="CK13">
            <v>0</v>
          </cell>
          <cell r="CL13">
            <v>0</v>
          </cell>
          <cell r="CM13">
            <v>0</v>
          </cell>
          <cell r="CN13">
            <v>0</v>
          </cell>
          <cell r="CO13">
            <v>0</v>
          </cell>
          <cell r="CP13">
            <v>-2604</v>
          </cell>
          <cell r="CQ13">
            <v>3481658</v>
          </cell>
          <cell r="CR13">
            <v>3304390</v>
          </cell>
          <cell r="CS13">
            <v>3172943</v>
          </cell>
          <cell r="CT13">
            <v>2975264</v>
          </cell>
          <cell r="CU13">
            <v>2865007</v>
          </cell>
          <cell r="CV13">
            <v>16325</v>
          </cell>
          <cell r="CW13">
            <v>0</v>
          </cell>
          <cell r="CX13">
            <v>0</v>
          </cell>
          <cell r="CY13">
            <v>0</v>
          </cell>
          <cell r="CZ13">
            <v>0</v>
          </cell>
          <cell r="DA13">
            <v>0</v>
          </cell>
          <cell r="DB13"/>
          <cell r="DC13">
            <v>0</v>
          </cell>
          <cell r="DD13">
            <v>0</v>
          </cell>
          <cell r="DE13">
            <v>0</v>
          </cell>
          <cell r="DF13">
            <v>0</v>
          </cell>
          <cell r="DG13">
            <v>0</v>
          </cell>
          <cell r="DH13">
            <v>0</v>
          </cell>
          <cell r="DI13">
            <v>0</v>
          </cell>
          <cell r="DJ13">
            <v>0</v>
          </cell>
          <cell r="DK13">
            <v>0</v>
          </cell>
          <cell r="DL13">
            <v>0</v>
          </cell>
          <cell r="DM13"/>
          <cell r="DN13"/>
          <cell r="DO13"/>
          <cell r="DP13"/>
        </row>
        <row r="14">
          <cell r="A14">
            <v>24</v>
          </cell>
          <cell r="B14" t="str">
            <v>Loppersum</v>
          </cell>
          <cell r="C14">
            <v>1</v>
          </cell>
          <cell r="D14">
            <v>21182</v>
          </cell>
          <cell r="E14">
            <v>10591</v>
          </cell>
          <cell r="F14">
            <v>0</v>
          </cell>
          <cell r="G14">
            <v>42579</v>
          </cell>
          <cell r="H14">
            <v>-16867</v>
          </cell>
          <cell r="I14">
            <v>-5575</v>
          </cell>
          <cell r="J14"/>
          <cell r="K14">
            <v>0</v>
          </cell>
          <cell r="L14">
            <v>47751</v>
          </cell>
          <cell r="M14">
            <v>45234</v>
          </cell>
          <cell r="N14">
            <v>0</v>
          </cell>
          <cell r="O14">
            <v>0</v>
          </cell>
          <cell r="P14">
            <v>0</v>
          </cell>
          <cell r="Q14">
            <v>0</v>
          </cell>
          <cell r="R14">
            <v>0</v>
          </cell>
          <cell r="S14">
            <v>0</v>
          </cell>
          <cell r="T14">
            <v>0</v>
          </cell>
          <cell r="U14">
            <v>0</v>
          </cell>
          <cell r="V14">
            <v>3000</v>
          </cell>
          <cell r="W14">
            <v>26265</v>
          </cell>
          <cell r="X14">
            <v>0</v>
          </cell>
          <cell r="Y14"/>
          <cell r="Z14">
            <v>0</v>
          </cell>
          <cell r="AA14">
            <v>0</v>
          </cell>
          <cell r="AB14">
            <v>0</v>
          </cell>
          <cell r="AC14"/>
          <cell r="AD14">
            <v>23467</v>
          </cell>
          <cell r="AE14">
            <v>0</v>
          </cell>
          <cell r="AF14">
            <v>0</v>
          </cell>
          <cell r="AG14">
            <v>0</v>
          </cell>
          <cell r="AH14">
            <v>0</v>
          </cell>
          <cell r="AI14">
            <v>0</v>
          </cell>
          <cell r="AJ14">
            <v>0</v>
          </cell>
          <cell r="AK14">
            <v>0</v>
          </cell>
          <cell r="AL14"/>
          <cell r="AM14">
            <v>0</v>
          </cell>
          <cell r="AN14">
            <v>0</v>
          </cell>
          <cell r="AO14">
            <v>0</v>
          </cell>
          <cell r="AP14">
            <v>0</v>
          </cell>
          <cell r="AQ14">
            <v>0</v>
          </cell>
          <cell r="AR14">
            <v>0</v>
          </cell>
          <cell r="AS14">
            <v>0</v>
          </cell>
          <cell r="AT14">
            <v>0</v>
          </cell>
          <cell r="AU14">
            <v>0</v>
          </cell>
          <cell r="AV14">
            <v>0</v>
          </cell>
          <cell r="AW14">
            <v>0</v>
          </cell>
          <cell r="AX14">
            <v>0</v>
          </cell>
          <cell r="AY14"/>
          <cell r="AZ14"/>
          <cell r="BA14">
            <v>0</v>
          </cell>
          <cell r="BB14"/>
          <cell r="BC14">
            <v>0</v>
          </cell>
          <cell r="BD14">
            <v>3480</v>
          </cell>
          <cell r="BE14"/>
          <cell r="BF14">
            <v>181694</v>
          </cell>
          <cell r="BG14">
            <v>537511</v>
          </cell>
          <cell r="BH14">
            <v>181694</v>
          </cell>
          <cell r="BI14">
            <v>15541</v>
          </cell>
          <cell r="BJ14">
            <v>12792</v>
          </cell>
          <cell r="BK14">
            <v>12792</v>
          </cell>
          <cell r="BL14">
            <v>0</v>
          </cell>
          <cell r="BM14">
            <v>0</v>
          </cell>
          <cell r="BN14">
            <v>0</v>
          </cell>
          <cell r="BO14">
            <v>25294</v>
          </cell>
          <cell r="BP14">
            <v>0</v>
          </cell>
          <cell r="BQ14">
            <v>0</v>
          </cell>
          <cell r="BR14">
            <v>0</v>
          </cell>
          <cell r="BS14">
            <v>0</v>
          </cell>
          <cell r="BT14">
            <v>29489</v>
          </cell>
          <cell r="BU14"/>
          <cell r="BV14"/>
          <cell r="BW14"/>
          <cell r="BX14"/>
          <cell r="BY14">
            <v>0</v>
          </cell>
          <cell r="BZ14">
            <v>0</v>
          </cell>
          <cell r="CA14">
            <v>0</v>
          </cell>
          <cell r="CB14">
            <v>0</v>
          </cell>
          <cell r="CC14">
            <v>867713</v>
          </cell>
          <cell r="CD14">
            <v>5634849</v>
          </cell>
          <cell r="CE14">
            <v>799554</v>
          </cell>
          <cell r="CF14">
            <v>-13555</v>
          </cell>
          <cell r="CG14">
            <v>799554</v>
          </cell>
          <cell r="CH14">
            <v>799554</v>
          </cell>
          <cell r="CI14">
            <v>799554</v>
          </cell>
          <cell r="CJ14">
            <v>799554</v>
          </cell>
          <cell r="CK14">
            <v>0</v>
          </cell>
          <cell r="CL14">
            <v>0</v>
          </cell>
          <cell r="CM14">
            <v>0</v>
          </cell>
          <cell r="CN14">
            <v>0</v>
          </cell>
          <cell r="CO14">
            <v>0</v>
          </cell>
          <cell r="CP14">
            <v>0</v>
          </cell>
          <cell r="CQ14">
            <v>939163</v>
          </cell>
          <cell r="CR14">
            <v>910204</v>
          </cell>
          <cell r="CS14">
            <v>863564</v>
          </cell>
          <cell r="CT14">
            <v>847408</v>
          </cell>
          <cell r="CU14">
            <v>810817</v>
          </cell>
          <cell r="CV14">
            <v>28976</v>
          </cell>
          <cell r="CW14">
            <v>0</v>
          </cell>
          <cell r="CX14">
            <v>0</v>
          </cell>
          <cell r="CY14">
            <v>0</v>
          </cell>
          <cell r="CZ14">
            <v>0</v>
          </cell>
          <cell r="DA14">
            <v>0</v>
          </cell>
          <cell r="DB14"/>
          <cell r="DC14">
            <v>0</v>
          </cell>
          <cell r="DD14">
            <v>0</v>
          </cell>
          <cell r="DE14">
            <v>0</v>
          </cell>
          <cell r="DF14">
            <v>0</v>
          </cell>
          <cell r="DG14">
            <v>0</v>
          </cell>
          <cell r="DH14">
            <v>0</v>
          </cell>
          <cell r="DI14">
            <v>0</v>
          </cell>
          <cell r="DJ14">
            <v>0</v>
          </cell>
          <cell r="DK14">
            <v>0</v>
          </cell>
          <cell r="DL14">
            <v>0</v>
          </cell>
          <cell r="DM14"/>
          <cell r="DN14"/>
          <cell r="DO14"/>
          <cell r="DP14"/>
        </row>
        <row r="15">
          <cell r="A15">
            <v>25</v>
          </cell>
          <cell r="B15" t="str">
            <v>Marum</v>
          </cell>
          <cell r="C15">
            <v>1</v>
          </cell>
          <cell r="D15">
            <v>2562</v>
          </cell>
          <cell r="E15">
            <v>1281</v>
          </cell>
          <cell r="F15">
            <v>0</v>
          </cell>
          <cell r="G15">
            <v>0</v>
          </cell>
          <cell r="H15">
            <v>-14752</v>
          </cell>
          <cell r="I15">
            <v>-5729</v>
          </cell>
          <cell r="J15"/>
          <cell r="K15">
            <v>0</v>
          </cell>
          <cell r="L15">
            <v>40270</v>
          </cell>
          <cell r="M15">
            <v>37187</v>
          </cell>
          <cell r="N15">
            <v>0</v>
          </cell>
          <cell r="O15">
            <v>0</v>
          </cell>
          <cell r="P15">
            <v>0</v>
          </cell>
          <cell r="Q15">
            <v>0</v>
          </cell>
          <cell r="R15">
            <v>0</v>
          </cell>
          <cell r="S15">
            <v>0</v>
          </cell>
          <cell r="T15">
            <v>0</v>
          </cell>
          <cell r="U15">
            <v>0</v>
          </cell>
          <cell r="V15">
            <v>0</v>
          </cell>
          <cell r="W15">
            <v>33134</v>
          </cell>
          <cell r="X15">
            <v>0</v>
          </cell>
          <cell r="Y15"/>
          <cell r="Z15">
            <v>0</v>
          </cell>
          <cell r="AA15">
            <v>0</v>
          </cell>
          <cell r="AB15">
            <v>0</v>
          </cell>
          <cell r="AC15"/>
          <cell r="AD15">
            <v>0</v>
          </cell>
          <cell r="AE15">
            <v>0</v>
          </cell>
          <cell r="AF15">
            <v>0</v>
          </cell>
          <cell r="AG15">
            <v>0</v>
          </cell>
          <cell r="AH15">
            <v>0</v>
          </cell>
          <cell r="AI15">
            <v>0</v>
          </cell>
          <cell r="AJ15">
            <v>0</v>
          </cell>
          <cell r="AK15">
            <v>0</v>
          </cell>
          <cell r="AL15"/>
          <cell r="AM15">
            <v>0</v>
          </cell>
          <cell r="AN15">
            <v>0</v>
          </cell>
          <cell r="AO15">
            <v>0</v>
          </cell>
          <cell r="AP15">
            <v>0</v>
          </cell>
          <cell r="AQ15">
            <v>0</v>
          </cell>
          <cell r="AR15">
            <v>0</v>
          </cell>
          <cell r="AS15">
            <v>0</v>
          </cell>
          <cell r="AT15">
            <v>0</v>
          </cell>
          <cell r="AU15">
            <v>2370</v>
          </cell>
          <cell r="AV15">
            <v>0</v>
          </cell>
          <cell r="AW15">
            <v>0</v>
          </cell>
          <cell r="AX15">
            <v>0</v>
          </cell>
          <cell r="AY15"/>
          <cell r="AZ15"/>
          <cell r="BA15">
            <v>0</v>
          </cell>
          <cell r="BB15"/>
          <cell r="BC15">
            <v>0</v>
          </cell>
          <cell r="BD15">
            <v>18225</v>
          </cell>
          <cell r="BE15"/>
          <cell r="BF15">
            <v>0</v>
          </cell>
          <cell r="BG15">
            <v>0</v>
          </cell>
          <cell r="BH15">
            <v>0</v>
          </cell>
          <cell r="BI15">
            <v>15257</v>
          </cell>
          <cell r="BJ15">
            <v>12559</v>
          </cell>
          <cell r="BK15">
            <v>12559</v>
          </cell>
          <cell r="BL15">
            <v>0</v>
          </cell>
          <cell r="BM15">
            <v>0</v>
          </cell>
          <cell r="BN15">
            <v>0</v>
          </cell>
          <cell r="BO15">
            <v>27726</v>
          </cell>
          <cell r="BP15">
            <v>11069.8</v>
          </cell>
          <cell r="BQ15">
            <v>19941.8604651163</v>
          </cell>
          <cell r="BR15">
            <v>0</v>
          </cell>
          <cell r="BS15">
            <v>0</v>
          </cell>
          <cell r="BT15">
            <v>21351</v>
          </cell>
          <cell r="BU15"/>
          <cell r="BV15"/>
          <cell r="BW15"/>
          <cell r="BX15"/>
          <cell r="BY15">
            <v>0</v>
          </cell>
          <cell r="BZ15">
            <v>0</v>
          </cell>
          <cell r="CA15">
            <v>0</v>
          </cell>
          <cell r="CB15">
            <v>0</v>
          </cell>
          <cell r="CC15">
            <v>737088</v>
          </cell>
          <cell r="CD15">
            <v>5436079</v>
          </cell>
          <cell r="CE15">
            <v>448969</v>
          </cell>
          <cell r="CF15">
            <v>-4199</v>
          </cell>
          <cell r="CG15">
            <v>448969</v>
          </cell>
          <cell r="CH15">
            <v>448969</v>
          </cell>
          <cell r="CI15">
            <v>448969</v>
          </cell>
          <cell r="CJ15">
            <v>448969</v>
          </cell>
          <cell r="CK15">
            <v>0</v>
          </cell>
          <cell r="CL15">
            <v>0</v>
          </cell>
          <cell r="CM15">
            <v>0</v>
          </cell>
          <cell r="CN15">
            <v>0</v>
          </cell>
          <cell r="CO15">
            <v>0</v>
          </cell>
          <cell r="CP15">
            <v>-1456</v>
          </cell>
          <cell r="CQ15">
            <v>1354582</v>
          </cell>
          <cell r="CR15">
            <v>1301902</v>
          </cell>
          <cell r="CS15">
            <v>1275298</v>
          </cell>
          <cell r="CT15">
            <v>1253159</v>
          </cell>
          <cell r="CU15">
            <v>1228808</v>
          </cell>
          <cell r="CV15">
            <v>14801</v>
          </cell>
          <cell r="CW15">
            <v>0</v>
          </cell>
          <cell r="CX15">
            <v>0</v>
          </cell>
          <cell r="CY15">
            <v>0</v>
          </cell>
          <cell r="CZ15">
            <v>0</v>
          </cell>
          <cell r="DA15">
            <v>0</v>
          </cell>
          <cell r="DB15"/>
          <cell r="DC15">
            <v>0</v>
          </cell>
          <cell r="DD15">
            <v>0</v>
          </cell>
          <cell r="DE15">
            <v>0</v>
          </cell>
          <cell r="DF15">
            <v>0</v>
          </cell>
          <cell r="DG15">
            <v>0</v>
          </cell>
          <cell r="DH15">
            <v>0</v>
          </cell>
          <cell r="DI15">
            <v>0</v>
          </cell>
          <cell r="DJ15">
            <v>0</v>
          </cell>
          <cell r="DK15">
            <v>0</v>
          </cell>
          <cell r="DL15">
            <v>0</v>
          </cell>
          <cell r="DM15"/>
          <cell r="DN15"/>
          <cell r="DO15"/>
          <cell r="DP15"/>
        </row>
        <row r="16">
          <cell r="A16">
            <v>1952</v>
          </cell>
          <cell r="B16" t="str">
            <v>Midden-Groningen</v>
          </cell>
          <cell r="C16">
            <v>1</v>
          </cell>
          <cell r="D16">
            <v>113988</v>
          </cell>
          <cell r="E16">
            <v>56994</v>
          </cell>
          <cell r="F16">
            <v>0</v>
          </cell>
          <cell r="G16">
            <v>0</v>
          </cell>
          <cell r="H16">
            <v>1250909</v>
          </cell>
          <cell r="I16">
            <v>1790743</v>
          </cell>
          <cell r="J16"/>
          <cell r="K16">
            <v>0</v>
          </cell>
          <cell r="L16">
            <v>361381</v>
          </cell>
          <cell r="M16">
            <v>355359</v>
          </cell>
          <cell r="N16">
            <v>0</v>
          </cell>
          <cell r="O16">
            <v>0</v>
          </cell>
          <cell r="P16">
            <v>0</v>
          </cell>
          <cell r="Q16">
            <v>0</v>
          </cell>
          <cell r="R16">
            <v>0</v>
          </cell>
          <cell r="S16">
            <v>0</v>
          </cell>
          <cell r="T16">
            <v>0</v>
          </cell>
          <cell r="U16">
            <v>0</v>
          </cell>
          <cell r="V16">
            <v>38500</v>
          </cell>
          <cell r="W16">
            <v>218199</v>
          </cell>
          <cell r="X16">
            <v>0</v>
          </cell>
          <cell r="Y16"/>
          <cell r="Z16">
            <v>0</v>
          </cell>
          <cell r="AA16">
            <v>0</v>
          </cell>
          <cell r="AB16">
            <v>0</v>
          </cell>
          <cell r="AC16"/>
          <cell r="AD16">
            <v>188181</v>
          </cell>
          <cell r="AE16">
            <v>0</v>
          </cell>
          <cell r="AF16">
            <v>0</v>
          </cell>
          <cell r="AG16">
            <v>0</v>
          </cell>
          <cell r="AH16">
            <v>0</v>
          </cell>
          <cell r="AI16">
            <v>0</v>
          </cell>
          <cell r="AJ16">
            <v>0</v>
          </cell>
          <cell r="AK16">
            <v>0</v>
          </cell>
          <cell r="AL16"/>
          <cell r="AM16">
            <v>0</v>
          </cell>
          <cell r="AN16">
            <v>0</v>
          </cell>
          <cell r="AO16">
            <v>0</v>
          </cell>
          <cell r="AP16">
            <v>0</v>
          </cell>
          <cell r="AQ16">
            <v>0</v>
          </cell>
          <cell r="AR16">
            <v>0</v>
          </cell>
          <cell r="AS16">
            <v>0</v>
          </cell>
          <cell r="AT16">
            <v>0</v>
          </cell>
          <cell r="AU16">
            <v>11850</v>
          </cell>
          <cell r="AV16">
            <v>0</v>
          </cell>
          <cell r="AW16">
            <v>0</v>
          </cell>
          <cell r="AX16">
            <v>0</v>
          </cell>
          <cell r="AY16"/>
          <cell r="AZ16"/>
          <cell r="BA16">
            <v>0</v>
          </cell>
          <cell r="BB16"/>
          <cell r="BC16">
            <v>0</v>
          </cell>
          <cell r="BD16">
            <v>107250</v>
          </cell>
          <cell r="BE16"/>
          <cell r="BF16">
            <v>896924</v>
          </cell>
          <cell r="BG16">
            <v>2653399</v>
          </cell>
          <cell r="BH16">
            <v>896924</v>
          </cell>
          <cell r="BI16">
            <v>120527</v>
          </cell>
          <cell r="BJ16">
            <v>99212</v>
          </cell>
          <cell r="BK16">
            <v>99212</v>
          </cell>
          <cell r="BL16">
            <v>0</v>
          </cell>
          <cell r="BM16">
            <v>0</v>
          </cell>
          <cell r="BN16">
            <v>0</v>
          </cell>
          <cell r="BO16">
            <v>614845</v>
          </cell>
          <cell r="BP16">
            <v>15814</v>
          </cell>
          <cell r="BQ16">
            <v>28488.372093023299</v>
          </cell>
          <cell r="BR16">
            <v>0</v>
          </cell>
          <cell r="BS16">
            <v>0</v>
          </cell>
          <cell r="BT16">
            <v>127782</v>
          </cell>
          <cell r="BU16"/>
          <cell r="BV16"/>
          <cell r="BW16"/>
          <cell r="BX16"/>
          <cell r="BY16">
            <v>0</v>
          </cell>
          <cell r="BZ16">
            <v>0</v>
          </cell>
          <cell r="CA16">
            <v>0</v>
          </cell>
          <cell r="CB16">
            <v>0</v>
          </cell>
          <cell r="CC16">
            <v>5979437</v>
          </cell>
          <cell r="CD16">
            <v>43852711</v>
          </cell>
          <cell r="CE16">
            <v>4747938</v>
          </cell>
          <cell r="CF16">
            <v>38176</v>
          </cell>
          <cell r="CG16">
            <v>4747938</v>
          </cell>
          <cell r="CH16">
            <v>4747938</v>
          </cell>
          <cell r="CI16">
            <v>4747938</v>
          </cell>
          <cell r="CJ16">
            <v>4747938</v>
          </cell>
          <cell r="CK16">
            <v>0</v>
          </cell>
          <cell r="CL16">
            <v>0</v>
          </cell>
          <cell r="CM16">
            <v>0</v>
          </cell>
          <cell r="CN16">
            <v>0</v>
          </cell>
          <cell r="CO16">
            <v>0</v>
          </cell>
          <cell r="CP16">
            <v>-6183</v>
          </cell>
          <cell r="CQ16">
            <v>10509245</v>
          </cell>
          <cell r="CR16">
            <v>10016470</v>
          </cell>
          <cell r="CS16">
            <v>9792277</v>
          </cell>
          <cell r="CT16">
            <v>9629841</v>
          </cell>
          <cell r="CU16">
            <v>9396549</v>
          </cell>
          <cell r="CV16">
            <v>68597</v>
          </cell>
          <cell r="CW16">
            <v>0</v>
          </cell>
          <cell r="CX16">
            <v>0</v>
          </cell>
          <cell r="CY16">
            <v>0</v>
          </cell>
          <cell r="CZ16">
            <v>0</v>
          </cell>
          <cell r="DA16">
            <v>0</v>
          </cell>
          <cell r="DB16"/>
          <cell r="DC16">
            <v>50000</v>
          </cell>
          <cell r="DD16">
            <v>0</v>
          </cell>
          <cell r="DE16">
            <v>0</v>
          </cell>
          <cell r="DF16">
            <v>0</v>
          </cell>
          <cell r="DG16">
            <v>0</v>
          </cell>
          <cell r="DH16">
            <v>0</v>
          </cell>
          <cell r="DI16">
            <v>0</v>
          </cell>
          <cell r="DJ16">
            <v>0</v>
          </cell>
          <cell r="DK16">
            <v>0</v>
          </cell>
          <cell r="DL16">
            <v>0</v>
          </cell>
          <cell r="DM16"/>
          <cell r="DN16"/>
          <cell r="DO16"/>
          <cell r="DP16"/>
        </row>
        <row r="17">
          <cell r="A17">
            <v>1895</v>
          </cell>
          <cell r="B17" t="str">
            <v>Oldambt</v>
          </cell>
          <cell r="C17">
            <v>1</v>
          </cell>
          <cell r="D17">
            <v>172680</v>
          </cell>
          <cell r="E17">
            <v>86340</v>
          </cell>
          <cell r="F17">
            <v>0</v>
          </cell>
          <cell r="G17">
            <v>0</v>
          </cell>
          <cell r="H17">
            <v>-51463</v>
          </cell>
          <cell r="I17">
            <v>-21985</v>
          </cell>
          <cell r="J17"/>
          <cell r="K17">
            <v>0</v>
          </cell>
          <cell r="L17">
            <v>215953</v>
          </cell>
          <cell r="M17">
            <v>216932</v>
          </cell>
          <cell r="N17">
            <v>0</v>
          </cell>
          <cell r="O17">
            <v>0</v>
          </cell>
          <cell r="P17">
            <v>0</v>
          </cell>
          <cell r="Q17">
            <v>0</v>
          </cell>
          <cell r="R17">
            <v>2242805</v>
          </cell>
          <cell r="S17">
            <v>0</v>
          </cell>
          <cell r="T17">
            <v>0</v>
          </cell>
          <cell r="U17">
            <v>0</v>
          </cell>
          <cell r="V17">
            <v>0</v>
          </cell>
          <cell r="W17">
            <v>104857</v>
          </cell>
          <cell r="X17">
            <v>0</v>
          </cell>
          <cell r="Y17"/>
          <cell r="Z17">
            <v>0</v>
          </cell>
          <cell r="AA17">
            <v>0</v>
          </cell>
          <cell r="AB17">
            <v>0</v>
          </cell>
          <cell r="AC17"/>
          <cell r="AD17">
            <v>147647</v>
          </cell>
          <cell r="AE17">
            <v>0</v>
          </cell>
          <cell r="AF17">
            <v>0</v>
          </cell>
          <cell r="AG17">
            <v>2200000</v>
          </cell>
          <cell r="AH17">
            <v>0</v>
          </cell>
          <cell r="AI17">
            <v>0</v>
          </cell>
          <cell r="AJ17">
            <v>0</v>
          </cell>
          <cell r="AK17">
            <v>0</v>
          </cell>
          <cell r="AL17"/>
          <cell r="AM17">
            <v>0</v>
          </cell>
          <cell r="AN17">
            <v>0</v>
          </cell>
          <cell r="AO17">
            <v>0</v>
          </cell>
          <cell r="AP17">
            <v>0</v>
          </cell>
          <cell r="AQ17">
            <v>0</v>
          </cell>
          <cell r="AR17">
            <v>0</v>
          </cell>
          <cell r="AS17">
            <v>0</v>
          </cell>
          <cell r="AT17">
            <v>0</v>
          </cell>
          <cell r="AU17">
            <v>9480</v>
          </cell>
          <cell r="AV17">
            <v>0</v>
          </cell>
          <cell r="AW17">
            <v>0</v>
          </cell>
          <cell r="AX17">
            <v>0</v>
          </cell>
          <cell r="AY17"/>
          <cell r="AZ17"/>
          <cell r="BA17">
            <v>0</v>
          </cell>
          <cell r="BB17"/>
          <cell r="BC17">
            <v>0</v>
          </cell>
          <cell r="BD17">
            <v>13377</v>
          </cell>
          <cell r="BE17"/>
          <cell r="BF17">
            <v>0</v>
          </cell>
          <cell r="BG17">
            <v>0</v>
          </cell>
          <cell r="BH17">
            <v>0</v>
          </cell>
          <cell r="BI17">
            <v>91805</v>
          </cell>
          <cell r="BJ17">
            <v>75569</v>
          </cell>
          <cell r="BK17">
            <v>75569</v>
          </cell>
          <cell r="BL17">
            <v>0</v>
          </cell>
          <cell r="BM17">
            <v>0</v>
          </cell>
          <cell r="BN17">
            <v>0</v>
          </cell>
          <cell r="BO17">
            <v>183383</v>
          </cell>
          <cell r="BP17">
            <v>33209.4</v>
          </cell>
          <cell r="BQ17">
            <v>59825.581395348803</v>
          </cell>
          <cell r="BR17">
            <v>0</v>
          </cell>
          <cell r="BS17">
            <v>0</v>
          </cell>
          <cell r="BT17">
            <v>85215</v>
          </cell>
          <cell r="BU17"/>
          <cell r="BV17"/>
          <cell r="BW17"/>
          <cell r="BX17"/>
          <cell r="BY17">
            <v>0</v>
          </cell>
          <cell r="BZ17">
            <v>0</v>
          </cell>
          <cell r="CA17">
            <v>0</v>
          </cell>
          <cell r="CB17">
            <v>0</v>
          </cell>
          <cell r="CC17">
            <v>4646355</v>
          </cell>
          <cell r="CD17">
            <v>38542429</v>
          </cell>
          <cell r="CE17">
            <v>4012990</v>
          </cell>
          <cell r="CF17">
            <v>0</v>
          </cell>
          <cell r="CG17">
            <v>4012990</v>
          </cell>
          <cell r="CH17">
            <v>4012990</v>
          </cell>
          <cell r="CI17">
            <v>4012990</v>
          </cell>
          <cell r="CJ17">
            <v>4012990</v>
          </cell>
          <cell r="CK17">
            <v>0</v>
          </cell>
          <cell r="CL17">
            <v>0</v>
          </cell>
          <cell r="CM17">
            <v>0</v>
          </cell>
          <cell r="CN17">
            <v>0</v>
          </cell>
          <cell r="CO17">
            <v>0</v>
          </cell>
          <cell r="CP17">
            <v>-7971</v>
          </cell>
          <cell r="CQ17">
            <v>14179484</v>
          </cell>
          <cell r="CR17">
            <v>13384793</v>
          </cell>
          <cell r="CS17">
            <v>12788744</v>
          </cell>
          <cell r="CT17">
            <v>12273788</v>
          </cell>
          <cell r="CU17">
            <v>11703254</v>
          </cell>
          <cell r="CV17">
            <v>83228</v>
          </cell>
          <cell r="CW17">
            <v>0</v>
          </cell>
          <cell r="CX17">
            <v>0</v>
          </cell>
          <cell r="CY17">
            <v>0</v>
          </cell>
          <cell r="CZ17">
            <v>0</v>
          </cell>
          <cell r="DA17">
            <v>0</v>
          </cell>
          <cell r="DB17"/>
          <cell r="DC17">
            <v>0</v>
          </cell>
          <cell r="DD17">
            <v>0</v>
          </cell>
          <cell r="DE17">
            <v>0</v>
          </cell>
          <cell r="DF17">
            <v>0</v>
          </cell>
          <cell r="DG17">
            <v>0</v>
          </cell>
          <cell r="DH17">
            <v>0</v>
          </cell>
          <cell r="DI17">
            <v>0</v>
          </cell>
          <cell r="DJ17">
            <v>0</v>
          </cell>
          <cell r="DK17">
            <v>0</v>
          </cell>
          <cell r="DL17">
            <v>0</v>
          </cell>
          <cell r="DM17"/>
          <cell r="DN17"/>
          <cell r="DO17"/>
          <cell r="DP17"/>
        </row>
        <row r="18">
          <cell r="A18">
            <v>765</v>
          </cell>
          <cell r="B18" t="str">
            <v>Pekela</v>
          </cell>
          <cell r="C18">
            <v>1</v>
          </cell>
          <cell r="D18">
            <v>35748</v>
          </cell>
          <cell r="E18">
            <v>17874</v>
          </cell>
          <cell r="F18">
            <v>0</v>
          </cell>
          <cell r="G18">
            <v>0</v>
          </cell>
          <cell r="H18">
            <v>0</v>
          </cell>
          <cell r="I18">
            <v>0</v>
          </cell>
          <cell r="J18"/>
          <cell r="K18">
            <v>0</v>
          </cell>
          <cell r="L18">
            <v>98844</v>
          </cell>
          <cell r="M18">
            <v>85373</v>
          </cell>
          <cell r="N18">
            <v>0</v>
          </cell>
          <cell r="O18">
            <v>0</v>
          </cell>
          <cell r="P18">
            <v>0</v>
          </cell>
          <cell r="Q18">
            <v>0</v>
          </cell>
          <cell r="R18">
            <v>0</v>
          </cell>
          <cell r="S18">
            <v>0</v>
          </cell>
          <cell r="T18">
            <v>0</v>
          </cell>
          <cell r="U18">
            <v>0</v>
          </cell>
          <cell r="V18">
            <v>3000</v>
          </cell>
          <cell r="W18">
            <v>30305</v>
          </cell>
          <cell r="X18">
            <v>0</v>
          </cell>
          <cell r="Y18"/>
          <cell r="Z18">
            <v>0</v>
          </cell>
          <cell r="AA18">
            <v>0</v>
          </cell>
          <cell r="AB18">
            <v>0</v>
          </cell>
          <cell r="AC18"/>
          <cell r="AD18">
            <v>62579</v>
          </cell>
          <cell r="AE18">
            <v>0</v>
          </cell>
          <cell r="AF18">
            <v>0</v>
          </cell>
          <cell r="AG18">
            <v>0</v>
          </cell>
          <cell r="AH18">
            <v>0</v>
          </cell>
          <cell r="AI18">
            <v>0</v>
          </cell>
          <cell r="AJ18">
            <v>0</v>
          </cell>
          <cell r="AK18">
            <v>0</v>
          </cell>
          <cell r="AL18"/>
          <cell r="AM18">
            <v>0</v>
          </cell>
          <cell r="AN18">
            <v>0</v>
          </cell>
          <cell r="AO18">
            <v>0</v>
          </cell>
          <cell r="AP18">
            <v>0</v>
          </cell>
          <cell r="AQ18">
            <v>0</v>
          </cell>
          <cell r="AR18">
            <v>0</v>
          </cell>
          <cell r="AS18">
            <v>0</v>
          </cell>
          <cell r="AT18">
            <v>0</v>
          </cell>
          <cell r="AU18">
            <v>2370</v>
          </cell>
          <cell r="AV18">
            <v>0</v>
          </cell>
          <cell r="AW18">
            <v>0</v>
          </cell>
          <cell r="AX18">
            <v>0</v>
          </cell>
          <cell r="AY18"/>
          <cell r="AZ18"/>
          <cell r="BA18">
            <v>0</v>
          </cell>
          <cell r="BB18"/>
          <cell r="BC18">
            <v>0</v>
          </cell>
          <cell r="BD18">
            <v>4394</v>
          </cell>
          <cell r="BE18"/>
          <cell r="BF18">
            <v>0</v>
          </cell>
          <cell r="BG18">
            <v>0</v>
          </cell>
          <cell r="BH18">
            <v>0</v>
          </cell>
          <cell r="BI18">
            <v>28877</v>
          </cell>
          <cell r="BJ18">
            <v>23770</v>
          </cell>
          <cell r="BK18">
            <v>23770</v>
          </cell>
          <cell r="BL18">
            <v>0</v>
          </cell>
          <cell r="BM18">
            <v>0</v>
          </cell>
          <cell r="BN18">
            <v>0</v>
          </cell>
          <cell r="BO18">
            <v>52534</v>
          </cell>
          <cell r="BP18">
            <v>1581.4</v>
          </cell>
          <cell r="BQ18">
            <v>2848.8372093023299</v>
          </cell>
          <cell r="BR18">
            <v>0</v>
          </cell>
          <cell r="BS18">
            <v>0</v>
          </cell>
          <cell r="BT18">
            <v>26079</v>
          </cell>
          <cell r="BU18"/>
          <cell r="BV18"/>
          <cell r="BW18"/>
          <cell r="BX18"/>
          <cell r="BY18">
            <v>0</v>
          </cell>
          <cell r="BZ18">
            <v>0</v>
          </cell>
          <cell r="CA18">
            <v>0</v>
          </cell>
          <cell r="CB18">
            <v>0</v>
          </cell>
          <cell r="CC18">
            <v>1412371</v>
          </cell>
          <cell r="CD18">
            <v>13193578</v>
          </cell>
          <cell r="CE18">
            <v>554804</v>
          </cell>
          <cell r="CF18">
            <v>152472</v>
          </cell>
          <cell r="CG18">
            <v>554804</v>
          </cell>
          <cell r="CH18">
            <v>554804</v>
          </cell>
          <cell r="CI18">
            <v>554804</v>
          </cell>
          <cell r="CJ18">
            <v>554804</v>
          </cell>
          <cell r="CK18">
            <v>0</v>
          </cell>
          <cell r="CL18">
            <v>0</v>
          </cell>
          <cell r="CM18">
            <v>0</v>
          </cell>
          <cell r="CN18">
            <v>0</v>
          </cell>
          <cell r="CO18">
            <v>0</v>
          </cell>
          <cell r="CP18">
            <v>-2064</v>
          </cell>
          <cell r="CQ18">
            <v>5062054</v>
          </cell>
          <cell r="CR18">
            <v>4763089</v>
          </cell>
          <cell r="CS18">
            <v>4626619</v>
          </cell>
          <cell r="CT18">
            <v>4477530</v>
          </cell>
          <cell r="CU18">
            <v>4324084</v>
          </cell>
          <cell r="CV18">
            <v>-112044</v>
          </cell>
          <cell r="CW18">
            <v>0</v>
          </cell>
          <cell r="CX18">
            <v>0</v>
          </cell>
          <cell r="CY18">
            <v>0</v>
          </cell>
          <cell r="CZ18">
            <v>0</v>
          </cell>
          <cell r="DA18">
            <v>0</v>
          </cell>
          <cell r="DB18"/>
          <cell r="DC18">
            <v>0</v>
          </cell>
          <cell r="DD18">
            <v>0</v>
          </cell>
          <cell r="DE18">
            <v>0</v>
          </cell>
          <cell r="DF18">
            <v>0</v>
          </cell>
          <cell r="DG18">
            <v>0</v>
          </cell>
          <cell r="DH18">
            <v>0</v>
          </cell>
          <cell r="DI18">
            <v>0</v>
          </cell>
          <cell r="DJ18">
            <v>0</v>
          </cell>
          <cell r="DK18">
            <v>0</v>
          </cell>
          <cell r="DL18">
            <v>0</v>
          </cell>
          <cell r="DM18"/>
          <cell r="DN18"/>
          <cell r="DO18"/>
          <cell r="DP18"/>
        </row>
        <row r="19">
          <cell r="A19">
            <v>37</v>
          </cell>
          <cell r="B19" t="str">
            <v>Stadskanaal</v>
          </cell>
          <cell r="C19">
            <v>1</v>
          </cell>
          <cell r="D19">
            <v>44045</v>
          </cell>
          <cell r="E19">
            <v>22022</v>
          </cell>
          <cell r="F19">
            <v>0</v>
          </cell>
          <cell r="G19">
            <v>0</v>
          </cell>
          <cell r="H19">
            <v>-25264</v>
          </cell>
          <cell r="I19">
            <v>-666</v>
          </cell>
          <cell r="J19"/>
          <cell r="K19">
            <v>0</v>
          </cell>
          <cell r="L19">
            <v>194863</v>
          </cell>
          <cell r="M19">
            <v>178388</v>
          </cell>
          <cell r="N19">
            <v>0</v>
          </cell>
          <cell r="O19">
            <v>0</v>
          </cell>
          <cell r="P19">
            <v>0</v>
          </cell>
          <cell r="Q19">
            <v>0</v>
          </cell>
          <cell r="R19">
            <v>0</v>
          </cell>
          <cell r="S19">
            <v>0</v>
          </cell>
          <cell r="T19">
            <v>0</v>
          </cell>
          <cell r="U19">
            <v>0</v>
          </cell>
          <cell r="V19">
            <v>6000</v>
          </cell>
          <cell r="W19">
            <v>128095</v>
          </cell>
          <cell r="X19">
            <v>0</v>
          </cell>
          <cell r="Y19"/>
          <cell r="Z19">
            <v>0</v>
          </cell>
          <cell r="AA19">
            <v>0</v>
          </cell>
          <cell r="AB19">
            <v>0</v>
          </cell>
          <cell r="AC19"/>
          <cell r="AD19">
            <v>119291</v>
          </cell>
          <cell r="AE19">
            <v>0</v>
          </cell>
          <cell r="AF19">
            <v>0</v>
          </cell>
          <cell r="AG19">
            <v>0</v>
          </cell>
          <cell r="AH19">
            <v>0</v>
          </cell>
          <cell r="AI19">
            <v>0</v>
          </cell>
          <cell r="AJ19">
            <v>0</v>
          </cell>
          <cell r="AK19">
            <v>0</v>
          </cell>
          <cell r="AL19"/>
          <cell r="AM19">
            <v>0</v>
          </cell>
          <cell r="AN19">
            <v>0</v>
          </cell>
          <cell r="AO19">
            <v>0</v>
          </cell>
          <cell r="AP19">
            <v>0</v>
          </cell>
          <cell r="AQ19">
            <v>0</v>
          </cell>
          <cell r="AR19">
            <v>0</v>
          </cell>
          <cell r="AS19">
            <v>0</v>
          </cell>
          <cell r="AT19">
            <v>0</v>
          </cell>
          <cell r="AU19">
            <v>16590</v>
          </cell>
          <cell r="AV19">
            <v>0</v>
          </cell>
          <cell r="AW19">
            <v>0</v>
          </cell>
          <cell r="AX19">
            <v>0</v>
          </cell>
          <cell r="AY19"/>
          <cell r="AZ19"/>
          <cell r="BA19">
            <v>0</v>
          </cell>
          <cell r="BB19"/>
          <cell r="BC19">
            <v>0</v>
          </cell>
          <cell r="BD19">
            <v>11322</v>
          </cell>
          <cell r="BE19"/>
          <cell r="BF19">
            <v>0</v>
          </cell>
          <cell r="BG19">
            <v>0</v>
          </cell>
          <cell r="BH19">
            <v>0</v>
          </cell>
          <cell r="BI19">
            <v>74317</v>
          </cell>
          <cell r="BJ19">
            <v>61174</v>
          </cell>
          <cell r="BK19">
            <v>61174</v>
          </cell>
          <cell r="BL19">
            <v>0</v>
          </cell>
          <cell r="BM19">
            <v>0</v>
          </cell>
          <cell r="BN19">
            <v>0</v>
          </cell>
          <cell r="BO19">
            <v>184356</v>
          </cell>
          <cell r="BP19">
            <v>41116.400000000001</v>
          </cell>
          <cell r="BQ19">
            <v>74069.767441860502</v>
          </cell>
          <cell r="BR19">
            <v>0</v>
          </cell>
          <cell r="BS19">
            <v>0</v>
          </cell>
          <cell r="BT19">
            <v>65067</v>
          </cell>
          <cell r="BU19"/>
          <cell r="BV19"/>
          <cell r="BW19"/>
          <cell r="BX19"/>
          <cell r="BY19">
            <v>0</v>
          </cell>
          <cell r="BZ19">
            <v>0</v>
          </cell>
          <cell r="CA19">
            <v>0</v>
          </cell>
          <cell r="CB19">
            <v>0</v>
          </cell>
          <cell r="CC19">
            <v>4095506</v>
          </cell>
          <cell r="CD19">
            <v>37747342</v>
          </cell>
          <cell r="CE19">
            <v>3219972</v>
          </cell>
          <cell r="CF19">
            <v>0</v>
          </cell>
          <cell r="CG19">
            <v>3219972</v>
          </cell>
          <cell r="CH19">
            <v>3219972</v>
          </cell>
          <cell r="CI19">
            <v>3219972</v>
          </cell>
          <cell r="CJ19">
            <v>3219972</v>
          </cell>
          <cell r="CK19">
            <v>0</v>
          </cell>
          <cell r="CL19">
            <v>0</v>
          </cell>
          <cell r="CM19">
            <v>0</v>
          </cell>
          <cell r="CN19">
            <v>0</v>
          </cell>
          <cell r="CO19">
            <v>0</v>
          </cell>
          <cell r="CP19">
            <v>-242</v>
          </cell>
          <cell r="CQ19">
            <v>17034252</v>
          </cell>
          <cell r="CR19">
            <v>16158989</v>
          </cell>
          <cell r="CS19">
            <v>15741941</v>
          </cell>
          <cell r="CT19">
            <v>15328174</v>
          </cell>
          <cell r="CU19">
            <v>14881763</v>
          </cell>
          <cell r="CV19">
            <v>56619</v>
          </cell>
          <cell r="CW19">
            <v>0</v>
          </cell>
          <cell r="CX19">
            <v>0</v>
          </cell>
          <cell r="CY19">
            <v>0</v>
          </cell>
          <cell r="CZ19">
            <v>0</v>
          </cell>
          <cell r="DA19">
            <v>0</v>
          </cell>
          <cell r="DB19"/>
          <cell r="DC19">
            <v>0</v>
          </cell>
          <cell r="DD19">
            <v>0</v>
          </cell>
          <cell r="DE19">
            <v>0</v>
          </cell>
          <cell r="DF19">
            <v>0</v>
          </cell>
          <cell r="DG19">
            <v>0</v>
          </cell>
          <cell r="DH19">
            <v>0</v>
          </cell>
          <cell r="DI19">
            <v>0</v>
          </cell>
          <cell r="DJ19">
            <v>0</v>
          </cell>
          <cell r="DK19">
            <v>0</v>
          </cell>
          <cell r="DL19">
            <v>0</v>
          </cell>
          <cell r="DM19"/>
          <cell r="DN19"/>
          <cell r="DO19"/>
          <cell r="DP19"/>
        </row>
        <row r="20">
          <cell r="A20">
            <v>9</v>
          </cell>
          <cell r="B20" t="str">
            <v>Ten Boer</v>
          </cell>
          <cell r="C20">
            <v>1</v>
          </cell>
          <cell r="D20">
            <v>19283</v>
          </cell>
          <cell r="E20">
            <v>9641</v>
          </cell>
          <cell r="F20">
            <v>0</v>
          </cell>
          <cell r="G20">
            <v>0</v>
          </cell>
          <cell r="H20">
            <v>-9224</v>
          </cell>
          <cell r="I20">
            <v>-5330</v>
          </cell>
          <cell r="J20"/>
          <cell r="K20">
            <v>0</v>
          </cell>
          <cell r="L20">
            <v>33147</v>
          </cell>
          <cell r="M20">
            <v>34806</v>
          </cell>
          <cell r="N20">
            <v>0</v>
          </cell>
          <cell r="O20">
            <v>0</v>
          </cell>
          <cell r="P20">
            <v>0</v>
          </cell>
          <cell r="Q20">
            <v>0</v>
          </cell>
          <cell r="R20">
            <v>0</v>
          </cell>
          <cell r="S20">
            <v>0</v>
          </cell>
          <cell r="T20">
            <v>0</v>
          </cell>
          <cell r="U20">
            <v>0</v>
          </cell>
          <cell r="V20">
            <v>12000</v>
          </cell>
          <cell r="W20">
            <v>33822</v>
          </cell>
          <cell r="X20">
            <v>0</v>
          </cell>
          <cell r="Y20"/>
          <cell r="Z20">
            <v>0</v>
          </cell>
          <cell r="AA20">
            <v>0</v>
          </cell>
          <cell r="AB20">
            <v>0</v>
          </cell>
          <cell r="AC20"/>
          <cell r="AD20">
            <v>0</v>
          </cell>
          <cell r="AE20">
            <v>0</v>
          </cell>
          <cell r="AF20">
            <v>0</v>
          </cell>
          <cell r="AG20">
            <v>0</v>
          </cell>
          <cell r="AH20">
            <v>0</v>
          </cell>
          <cell r="AI20">
            <v>0</v>
          </cell>
          <cell r="AJ20">
            <v>0</v>
          </cell>
          <cell r="AK20">
            <v>0</v>
          </cell>
          <cell r="AL20"/>
          <cell r="AM20">
            <v>0</v>
          </cell>
          <cell r="AN20">
            <v>0</v>
          </cell>
          <cell r="AO20">
            <v>0</v>
          </cell>
          <cell r="AP20">
            <v>0</v>
          </cell>
          <cell r="AQ20">
            <v>0</v>
          </cell>
          <cell r="AR20">
            <v>0</v>
          </cell>
          <cell r="AS20">
            <v>0</v>
          </cell>
          <cell r="AT20">
            <v>0</v>
          </cell>
          <cell r="AU20">
            <v>0</v>
          </cell>
          <cell r="AV20">
            <v>0</v>
          </cell>
          <cell r="AW20">
            <v>0</v>
          </cell>
          <cell r="AX20">
            <v>0</v>
          </cell>
          <cell r="AY20"/>
          <cell r="AZ20"/>
          <cell r="BA20">
            <v>0</v>
          </cell>
          <cell r="BB20"/>
          <cell r="BC20">
            <v>0</v>
          </cell>
          <cell r="BD20">
            <v>12786</v>
          </cell>
          <cell r="BE20"/>
          <cell r="BF20">
            <v>134834</v>
          </cell>
          <cell r="BG20">
            <v>398885</v>
          </cell>
          <cell r="BH20">
            <v>134834</v>
          </cell>
          <cell r="BI20">
            <v>9991</v>
          </cell>
          <cell r="BJ20">
            <v>8224</v>
          </cell>
          <cell r="BK20">
            <v>8224</v>
          </cell>
          <cell r="BL20">
            <v>0</v>
          </cell>
          <cell r="BM20">
            <v>0</v>
          </cell>
          <cell r="BN20">
            <v>0</v>
          </cell>
          <cell r="BO20">
            <v>10215</v>
          </cell>
          <cell r="BP20">
            <v>0</v>
          </cell>
          <cell r="BQ20">
            <v>0</v>
          </cell>
          <cell r="BR20">
            <v>0</v>
          </cell>
          <cell r="BS20">
            <v>0</v>
          </cell>
          <cell r="BT20">
            <v>19833</v>
          </cell>
          <cell r="BU20"/>
          <cell r="BV20"/>
          <cell r="BW20"/>
          <cell r="BX20"/>
          <cell r="BY20">
            <v>0</v>
          </cell>
          <cell r="BZ20">
            <v>0</v>
          </cell>
          <cell r="CA20">
            <v>0</v>
          </cell>
          <cell r="CB20">
            <v>0</v>
          </cell>
          <cell r="CC20">
            <v>506139</v>
          </cell>
          <cell r="CD20">
            <v>2898642</v>
          </cell>
          <cell r="CE20">
            <v>510448</v>
          </cell>
          <cell r="CF20">
            <v>0</v>
          </cell>
          <cell r="CG20">
            <v>510448</v>
          </cell>
          <cell r="CH20">
            <v>510448</v>
          </cell>
          <cell r="CI20">
            <v>510448</v>
          </cell>
          <cell r="CJ20">
            <v>510448</v>
          </cell>
          <cell r="CK20">
            <v>0</v>
          </cell>
          <cell r="CL20">
            <v>0</v>
          </cell>
          <cell r="CM20">
            <v>0</v>
          </cell>
          <cell r="CN20">
            <v>0</v>
          </cell>
          <cell r="CO20">
            <v>0</v>
          </cell>
          <cell r="CP20">
            <v>-1933</v>
          </cell>
          <cell r="CQ20">
            <v>40702</v>
          </cell>
          <cell r="CR20">
            <v>45278</v>
          </cell>
          <cell r="CS20">
            <v>46781</v>
          </cell>
          <cell r="CT20">
            <v>50945</v>
          </cell>
          <cell r="CU20">
            <v>55091</v>
          </cell>
          <cell r="CV20">
            <v>5624</v>
          </cell>
          <cell r="CW20">
            <v>0</v>
          </cell>
          <cell r="CX20">
            <v>0</v>
          </cell>
          <cell r="CY20">
            <v>0</v>
          </cell>
          <cell r="CZ20">
            <v>0</v>
          </cell>
          <cell r="DA20">
            <v>0</v>
          </cell>
          <cell r="DB20"/>
          <cell r="DC20">
            <v>0</v>
          </cell>
          <cell r="DD20">
            <v>0</v>
          </cell>
          <cell r="DE20">
            <v>0</v>
          </cell>
          <cell r="DF20">
            <v>0</v>
          </cell>
          <cell r="DG20">
            <v>0</v>
          </cell>
          <cell r="DH20">
            <v>0</v>
          </cell>
          <cell r="DI20">
            <v>0</v>
          </cell>
          <cell r="DJ20">
            <v>0</v>
          </cell>
          <cell r="DK20">
            <v>0</v>
          </cell>
          <cell r="DL20">
            <v>0</v>
          </cell>
          <cell r="DM20"/>
          <cell r="DN20"/>
          <cell r="DO20"/>
          <cell r="DP20"/>
        </row>
        <row r="21">
          <cell r="A21">
            <v>47</v>
          </cell>
          <cell r="B21" t="str">
            <v>Veendam</v>
          </cell>
          <cell r="C21">
            <v>1</v>
          </cell>
          <cell r="D21">
            <v>24814</v>
          </cell>
          <cell r="E21">
            <v>12407</v>
          </cell>
          <cell r="F21">
            <v>0</v>
          </cell>
          <cell r="G21">
            <v>0</v>
          </cell>
          <cell r="H21">
            <v>619817</v>
          </cell>
          <cell r="I21">
            <v>204392</v>
          </cell>
          <cell r="J21"/>
          <cell r="K21">
            <v>0</v>
          </cell>
          <cell r="L21">
            <v>168640</v>
          </cell>
          <cell r="M21">
            <v>164651</v>
          </cell>
          <cell r="N21">
            <v>0</v>
          </cell>
          <cell r="O21">
            <v>0</v>
          </cell>
          <cell r="P21">
            <v>0</v>
          </cell>
          <cell r="Q21">
            <v>0</v>
          </cell>
          <cell r="R21">
            <v>0</v>
          </cell>
          <cell r="S21">
            <v>0</v>
          </cell>
          <cell r="T21">
            <v>0</v>
          </cell>
          <cell r="U21">
            <v>0</v>
          </cell>
          <cell r="V21">
            <v>12000</v>
          </cell>
          <cell r="W21">
            <v>62429</v>
          </cell>
          <cell r="X21">
            <v>0</v>
          </cell>
          <cell r="Y21"/>
          <cell r="Z21">
            <v>0</v>
          </cell>
          <cell r="AA21">
            <v>0</v>
          </cell>
          <cell r="AB21">
            <v>0</v>
          </cell>
          <cell r="AC21"/>
          <cell r="AD21">
            <v>85068</v>
          </cell>
          <cell r="AE21">
            <v>0</v>
          </cell>
          <cell r="AF21">
            <v>0</v>
          </cell>
          <cell r="AG21">
            <v>0</v>
          </cell>
          <cell r="AH21">
            <v>0</v>
          </cell>
          <cell r="AI21">
            <v>0</v>
          </cell>
          <cell r="AJ21">
            <v>0</v>
          </cell>
          <cell r="AK21">
            <v>0</v>
          </cell>
          <cell r="AL21"/>
          <cell r="AM21">
            <v>0</v>
          </cell>
          <cell r="AN21">
            <v>0</v>
          </cell>
          <cell r="AO21">
            <v>0</v>
          </cell>
          <cell r="AP21">
            <v>0</v>
          </cell>
          <cell r="AQ21">
            <v>0</v>
          </cell>
          <cell r="AR21">
            <v>0</v>
          </cell>
          <cell r="AS21">
            <v>0</v>
          </cell>
          <cell r="AT21">
            <v>0</v>
          </cell>
          <cell r="AU21">
            <v>7110</v>
          </cell>
          <cell r="AV21">
            <v>0</v>
          </cell>
          <cell r="AW21">
            <v>0</v>
          </cell>
          <cell r="AX21">
            <v>0</v>
          </cell>
          <cell r="AY21"/>
          <cell r="AZ21"/>
          <cell r="BA21">
            <v>0</v>
          </cell>
          <cell r="BB21"/>
          <cell r="BC21">
            <v>0</v>
          </cell>
          <cell r="BD21">
            <v>9663</v>
          </cell>
          <cell r="BE21"/>
          <cell r="BF21">
            <v>0</v>
          </cell>
          <cell r="BG21">
            <v>0</v>
          </cell>
          <cell r="BH21">
            <v>0</v>
          </cell>
          <cell r="BI21">
            <v>59038</v>
          </cell>
          <cell r="BJ21">
            <v>48597</v>
          </cell>
          <cell r="BK21">
            <v>48597</v>
          </cell>
          <cell r="BL21">
            <v>0</v>
          </cell>
          <cell r="BM21">
            <v>0</v>
          </cell>
          <cell r="BN21">
            <v>0</v>
          </cell>
          <cell r="BO21">
            <v>228135</v>
          </cell>
          <cell r="BP21">
            <v>34790.800000000003</v>
          </cell>
          <cell r="BQ21">
            <v>62674.418604651197</v>
          </cell>
          <cell r="BR21">
            <v>0</v>
          </cell>
          <cell r="BS21">
            <v>0</v>
          </cell>
          <cell r="BT21">
            <v>52721</v>
          </cell>
          <cell r="BU21"/>
          <cell r="BV21"/>
          <cell r="BW21"/>
          <cell r="BX21"/>
          <cell r="BY21">
            <v>0</v>
          </cell>
          <cell r="BZ21">
            <v>0</v>
          </cell>
          <cell r="CA21">
            <v>0</v>
          </cell>
          <cell r="CB21">
            <v>0</v>
          </cell>
          <cell r="CC21">
            <v>2950753</v>
          </cell>
          <cell r="CD21">
            <v>25650821</v>
          </cell>
          <cell r="CE21">
            <v>2793174</v>
          </cell>
          <cell r="CF21">
            <v>0</v>
          </cell>
          <cell r="CG21">
            <v>2793174</v>
          </cell>
          <cell r="CH21">
            <v>2793174</v>
          </cell>
          <cell r="CI21">
            <v>2793174</v>
          </cell>
          <cell r="CJ21">
            <v>2793174</v>
          </cell>
          <cell r="CK21">
            <v>0</v>
          </cell>
          <cell r="CL21">
            <v>0</v>
          </cell>
          <cell r="CM21">
            <v>0</v>
          </cell>
          <cell r="CN21">
            <v>0</v>
          </cell>
          <cell r="CO21">
            <v>0</v>
          </cell>
          <cell r="CP21">
            <v>0</v>
          </cell>
          <cell r="CQ21">
            <v>8917395</v>
          </cell>
          <cell r="CR21">
            <v>8530173</v>
          </cell>
          <cell r="CS21">
            <v>8320189</v>
          </cell>
          <cell r="CT21">
            <v>8154694</v>
          </cell>
          <cell r="CU21">
            <v>8020310</v>
          </cell>
          <cell r="CV21">
            <v>28271</v>
          </cell>
          <cell r="CW21">
            <v>0</v>
          </cell>
          <cell r="CX21">
            <v>0</v>
          </cell>
          <cell r="CY21">
            <v>0</v>
          </cell>
          <cell r="CZ21">
            <v>0</v>
          </cell>
          <cell r="DA21">
            <v>0</v>
          </cell>
          <cell r="DB21"/>
          <cell r="DC21">
            <v>0</v>
          </cell>
          <cell r="DD21">
            <v>0</v>
          </cell>
          <cell r="DE21">
            <v>0</v>
          </cell>
          <cell r="DF21">
            <v>0</v>
          </cell>
          <cell r="DG21">
            <v>0</v>
          </cell>
          <cell r="DH21">
            <v>0</v>
          </cell>
          <cell r="DI21">
            <v>0</v>
          </cell>
          <cell r="DJ21">
            <v>0</v>
          </cell>
          <cell r="DK21">
            <v>0</v>
          </cell>
          <cell r="DL21">
            <v>0</v>
          </cell>
          <cell r="DM21"/>
          <cell r="DN21"/>
          <cell r="DO21"/>
          <cell r="DP21"/>
        </row>
        <row r="22">
          <cell r="A22">
            <v>1950</v>
          </cell>
          <cell r="B22" t="str">
            <v>Westerwolde</v>
          </cell>
          <cell r="C22">
            <v>1</v>
          </cell>
          <cell r="D22">
            <v>9749</v>
          </cell>
          <cell r="E22">
            <v>4875</v>
          </cell>
          <cell r="F22">
            <v>0</v>
          </cell>
          <cell r="G22">
            <v>0</v>
          </cell>
          <cell r="H22">
            <v>-32083</v>
          </cell>
          <cell r="I22">
            <v>-5645</v>
          </cell>
          <cell r="J22"/>
          <cell r="K22">
            <v>0</v>
          </cell>
          <cell r="L22">
            <v>118859</v>
          </cell>
          <cell r="M22">
            <v>118346</v>
          </cell>
          <cell r="N22">
            <v>0</v>
          </cell>
          <cell r="O22">
            <v>0</v>
          </cell>
          <cell r="P22">
            <v>0</v>
          </cell>
          <cell r="Q22">
            <v>0</v>
          </cell>
          <cell r="R22">
            <v>0</v>
          </cell>
          <cell r="S22">
            <v>0</v>
          </cell>
          <cell r="T22">
            <v>0</v>
          </cell>
          <cell r="U22">
            <v>0</v>
          </cell>
          <cell r="V22">
            <v>9000</v>
          </cell>
          <cell r="W22">
            <v>92524</v>
          </cell>
          <cell r="X22">
            <v>2237369</v>
          </cell>
          <cell r="Y22"/>
          <cell r="Z22">
            <v>0</v>
          </cell>
          <cell r="AA22">
            <v>0</v>
          </cell>
          <cell r="AB22">
            <v>0</v>
          </cell>
          <cell r="AC22"/>
          <cell r="AD22">
            <v>115380</v>
          </cell>
          <cell r="AE22">
            <v>0</v>
          </cell>
          <cell r="AF22">
            <v>0</v>
          </cell>
          <cell r="AG22">
            <v>0</v>
          </cell>
          <cell r="AH22">
            <v>0</v>
          </cell>
          <cell r="AI22">
            <v>0</v>
          </cell>
          <cell r="AJ22">
            <v>0</v>
          </cell>
          <cell r="AK22">
            <v>0</v>
          </cell>
          <cell r="AL22"/>
          <cell r="AM22">
            <v>0</v>
          </cell>
          <cell r="AN22">
            <v>0</v>
          </cell>
          <cell r="AO22">
            <v>0</v>
          </cell>
          <cell r="AP22">
            <v>0</v>
          </cell>
          <cell r="AQ22">
            <v>0</v>
          </cell>
          <cell r="AR22">
            <v>0</v>
          </cell>
          <cell r="AS22">
            <v>0</v>
          </cell>
          <cell r="AT22">
            <v>0</v>
          </cell>
          <cell r="AU22">
            <v>0</v>
          </cell>
          <cell r="AV22">
            <v>0</v>
          </cell>
          <cell r="AW22">
            <v>0</v>
          </cell>
          <cell r="AX22">
            <v>0</v>
          </cell>
          <cell r="AY22"/>
          <cell r="AZ22"/>
          <cell r="BA22">
            <v>0</v>
          </cell>
          <cell r="BB22"/>
          <cell r="BC22">
            <v>0</v>
          </cell>
          <cell r="BD22">
            <v>43557</v>
          </cell>
          <cell r="BE22"/>
          <cell r="BF22">
            <v>0</v>
          </cell>
          <cell r="BG22">
            <v>0</v>
          </cell>
          <cell r="BH22">
            <v>0</v>
          </cell>
          <cell r="BI22">
            <v>48843</v>
          </cell>
          <cell r="BJ22">
            <v>40205</v>
          </cell>
          <cell r="BK22">
            <v>40205</v>
          </cell>
          <cell r="BL22">
            <v>0</v>
          </cell>
          <cell r="BM22">
            <v>0</v>
          </cell>
          <cell r="BN22">
            <v>0</v>
          </cell>
          <cell r="BO22">
            <v>129390</v>
          </cell>
          <cell r="BP22">
            <v>1581.4</v>
          </cell>
          <cell r="BQ22">
            <v>2848.8372093023299</v>
          </cell>
          <cell r="BR22">
            <v>0</v>
          </cell>
          <cell r="BS22">
            <v>0</v>
          </cell>
          <cell r="BT22">
            <v>60900</v>
          </cell>
          <cell r="BU22"/>
          <cell r="BV22"/>
          <cell r="BW22"/>
          <cell r="BX22"/>
          <cell r="BY22">
            <v>0</v>
          </cell>
          <cell r="BZ22">
            <v>0</v>
          </cell>
          <cell r="CA22">
            <v>0</v>
          </cell>
          <cell r="CB22">
            <v>0</v>
          </cell>
          <cell r="CC22">
            <v>2916397</v>
          </cell>
          <cell r="CD22">
            <v>20708234</v>
          </cell>
          <cell r="CE22">
            <v>1256401</v>
          </cell>
          <cell r="CF22">
            <v>-13386</v>
          </cell>
          <cell r="CG22">
            <v>1256401</v>
          </cell>
          <cell r="CH22">
            <v>1256401</v>
          </cell>
          <cell r="CI22">
            <v>1256401</v>
          </cell>
          <cell r="CJ22">
            <v>1256401</v>
          </cell>
          <cell r="CK22">
            <v>0</v>
          </cell>
          <cell r="CL22">
            <v>0</v>
          </cell>
          <cell r="CM22">
            <v>0</v>
          </cell>
          <cell r="CN22">
            <v>0</v>
          </cell>
          <cell r="CO22">
            <v>0</v>
          </cell>
          <cell r="CP22">
            <v>0</v>
          </cell>
          <cell r="CQ22">
            <v>8294042</v>
          </cell>
          <cell r="CR22">
            <v>7790449</v>
          </cell>
          <cell r="CS22">
            <v>7456354</v>
          </cell>
          <cell r="CT22">
            <v>7096205</v>
          </cell>
          <cell r="CU22">
            <v>6880854</v>
          </cell>
          <cell r="CV22">
            <v>38888</v>
          </cell>
          <cell r="CW22">
            <v>0</v>
          </cell>
          <cell r="CX22">
            <v>0</v>
          </cell>
          <cell r="CY22">
            <v>0</v>
          </cell>
          <cell r="CZ22">
            <v>0</v>
          </cell>
          <cell r="DA22">
            <v>0</v>
          </cell>
          <cell r="DB22"/>
          <cell r="DC22">
            <v>0</v>
          </cell>
          <cell r="DD22">
            <v>0</v>
          </cell>
          <cell r="DE22">
            <v>0</v>
          </cell>
          <cell r="DF22">
            <v>0</v>
          </cell>
          <cell r="DG22">
            <v>0</v>
          </cell>
          <cell r="DH22">
            <v>0</v>
          </cell>
          <cell r="DI22">
            <v>0</v>
          </cell>
          <cell r="DJ22">
            <v>0</v>
          </cell>
          <cell r="DK22">
            <v>0</v>
          </cell>
          <cell r="DL22">
            <v>0</v>
          </cell>
          <cell r="DM22"/>
          <cell r="DN22"/>
          <cell r="DO22"/>
          <cell r="DP22"/>
        </row>
        <row r="23">
          <cell r="A23">
            <v>53</v>
          </cell>
          <cell r="B23" t="str">
            <v>Winsum</v>
          </cell>
          <cell r="C23">
            <v>1</v>
          </cell>
          <cell r="D23">
            <v>38554</v>
          </cell>
          <cell r="E23">
            <v>19277</v>
          </cell>
          <cell r="F23">
            <v>0</v>
          </cell>
          <cell r="G23">
            <v>0</v>
          </cell>
          <cell r="H23">
            <v>-9862</v>
          </cell>
          <cell r="I23">
            <v>-2305</v>
          </cell>
          <cell r="J23"/>
          <cell r="K23">
            <v>0</v>
          </cell>
          <cell r="L23">
            <v>57898</v>
          </cell>
          <cell r="M23">
            <v>57852</v>
          </cell>
          <cell r="N23">
            <v>0</v>
          </cell>
          <cell r="O23">
            <v>0</v>
          </cell>
          <cell r="P23">
            <v>0</v>
          </cell>
          <cell r="Q23">
            <v>0</v>
          </cell>
          <cell r="R23">
            <v>0</v>
          </cell>
          <cell r="S23">
            <v>0</v>
          </cell>
          <cell r="T23">
            <v>0</v>
          </cell>
          <cell r="U23">
            <v>0</v>
          </cell>
          <cell r="V23">
            <v>0</v>
          </cell>
          <cell r="W23">
            <v>27881</v>
          </cell>
          <cell r="X23">
            <v>0</v>
          </cell>
          <cell r="Y23"/>
          <cell r="Z23">
            <v>0</v>
          </cell>
          <cell r="AA23">
            <v>0</v>
          </cell>
          <cell r="AB23">
            <v>0</v>
          </cell>
          <cell r="AC23"/>
          <cell r="AD23">
            <v>0</v>
          </cell>
          <cell r="AE23">
            <v>0</v>
          </cell>
          <cell r="AF23">
            <v>0</v>
          </cell>
          <cell r="AG23">
            <v>0</v>
          </cell>
          <cell r="AH23">
            <v>0</v>
          </cell>
          <cell r="AI23">
            <v>0</v>
          </cell>
          <cell r="AJ23">
            <v>0</v>
          </cell>
          <cell r="AK23">
            <v>0</v>
          </cell>
          <cell r="AL23"/>
          <cell r="AM23">
            <v>0</v>
          </cell>
          <cell r="AN23">
            <v>0</v>
          </cell>
          <cell r="AO23">
            <v>0</v>
          </cell>
          <cell r="AP23">
            <v>0</v>
          </cell>
          <cell r="AQ23">
            <v>0</v>
          </cell>
          <cell r="AR23">
            <v>0</v>
          </cell>
          <cell r="AS23">
            <v>0</v>
          </cell>
          <cell r="AT23">
            <v>0</v>
          </cell>
          <cell r="AU23">
            <v>7110</v>
          </cell>
          <cell r="AV23">
            <v>0</v>
          </cell>
          <cell r="AW23">
            <v>0</v>
          </cell>
          <cell r="AX23">
            <v>0</v>
          </cell>
          <cell r="AY23"/>
          <cell r="AZ23"/>
          <cell r="BA23">
            <v>0</v>
          </cell>
          <cell r="BB23"/>
          <cell r="BC23">
            <v>0</v>
          </cell>
          <cell r="BD23">
            <v>23853</v>
          </cell>
          <cell r="BE23"/>
          <cell r="BF23">
            <v>0</v>
          </cell>
          <cell r="BG23">
            <v>0</v>
          </cell>
          <cell r="BH23">
            <v>0</v>
          </cell>
          <cell r="BI23">
            <v>20493</v>
          </cell>
          <cell r="BJ23">
            <v>16869</v>
          </cell>
          <cell r="BK23">
            <v>16869</v>
          </cell>
          <cell r="BL23">
            <v>0</v>
          </cell>
          <cell r="BM23">
            <v>0</v>
          </cell>
          <cell r="BN23">
            <v>0</v>
          </cell>
          <cell r="BO23">
            <v>68586</v>
          </cell>
          <cell r="BP23">
            <v>1581.4</v>
          </cell>
          <cell r="BQ23">
            <v>2848.8372093023299</v>
          </cell>
          <cell r="BR23">
            <v>0</v>
          </cell>
          <cell r="BS23">
            <v>0</v>
          </cell>
          <cell r="BT23">
            <v>30775</v>
          </cell>
          <cell r="BU23"/>
          <cell r="BV23"/>
          <cell r="BW23"/>
          <cell r="BX23"/>
          <cell r="BY23">
            <v>0</v>
          </cell>
          <cell r="BZ23">
            <v>0</v>
          </cell>
          <cell r="CA23">
            <v>0</v>
          </cell>
          <cell r="CB23">
            <v>0</v>
          </cell>
          <cell r="CC23">
            <v>1050258</v>
          </cell>
          <cell r="CD23">
            <v>7226129</v>
          </cell>
          <cell r="CE23">
            <v>493111</v>
          </cell>
          <cell r="CF23">
            <v>-5604</v>
          </cell>
          <cell r="CG23">
            <v>493111</v>
          </cell>
          <cell r="CH23">
            <v>493111</v>
          </cell>
          <cell r="CI23">
            <v>493111</v>
          </cell>
          <cell r="CJ23">
            <v>493111</v>
          </cell>
          <cell r="CK23">
            <v>0</v>
          </cell>
          <cell r="CL23">
            <v>0</v>
          </cell>
          <cell r="CM23">
            <v>0</v>
          </cell>
          <cell r="CN23">
            <v>0</v>
          </cell>
          <cell r="CO23">
            <v>0</v>
          </cell>
          <cell r="CP23">
            <v>0</v>
          </cell>
          <cell r="CQ23">
            <v>1672223</v>
          </cell>
          <cell r="CR23">
            <v>1597384</v>
          </cell>
          <cell r="CS23">
            <v>1548119</v>
          </cell>
          <cell r="CT23">
            <v>1514641</v>
          </cell>
          <cell r="CU23">
            <v>1452444</v>
          </cell>
          <cell r="CV23">
            <v>25361</v>
          </cell>
          <cell r="CW23">
            <v>0</v>
          </cell>
          <cell r="CX23">
            <v>0</v>
          </cell>
          <cell r="CY23">
            <v>0</v>
          </cell>
          <cell r="CZ23">
            <v>0</v>
          </cell>
          <cell r="DA23">
            <v>0</v>
          </cell>
          <cell r="DB23"/>
          <cell r="DC23">
            <v>0</v>
          </cell>
          <cell r="DD23">
            <v>0</v>
          </cell>
          <cell r="DE23">
            <v>0</v>
          </cell>
          <cell r="DF23">
            <v>0</v>
          </cell>
          <cell r="DG23">
            <v>0</v>
          </cell>
          <cell r="DH23">
            <v>0</v>
          </cell>
          <cell r="DI23">
            <v>0</v>
          </cell>
          <cell r="DJ23">
            <v>0</v>
          </cell>
          <cell r="DK23">
            <v>0</v>
          </cell>
          <cell r="DL23">
            <v>0</v>
          </cell>
          <cell r="DM23"/>
          <cell r="DN23"/>
          <cell r="DO23"/>
          <cell r="DP23"/>
        </row>
        <row r="24">
          <cell r="A24">
            <v>56</v>
          </cell>
          <cell r="B24" t="str">
            <v>Zuidhorn</v>
          </cell>
          <cell r="C24">
            <v>1</v>
          </cell>
          <cell r="D24">
            <v>14464</v>
          </cell>
          <cell r="E24">
            <v>7232</v>
          </cell>
          <cell r="F24">
            <v>0</v>
          </cell>
          <cell r="G24">
            <v>11366</v>
          </cell>
          <cell r="H24">
            <v>-6317</v>
          </cell>
          <cell r="I24">
            <v>-1531</v>
          </cell>
          <cell r="J24"/>
          <cell r="K24">
            <v>0</v>
          </cell>
          <cell r="L24">
            <v>52824</v>
          </cell>
          <cell r="M24">
            <v>54638</v>
          </cell>
          <cell r="N24">
            <v>0</v>
          </cell>
          <cell r="O24">
            <v>0</v>
          </cell>
          <cell r="P24">
            <v>0</v>
          </cell>
          <cell r="Q24">
            <v>0</v>
          </cell>
          <cell r="R24">
            <v>0</v>
          </cell>
          <cell r="S24">
            <v>0</v>
          </cell>
          <cell r="T24">
            <v>0</v>
          </cell>
          <cell r="U24">
            <v>0</v>
          </cell>
          <cell r="V24">
            <v>0</v>
          </cell>
          <cell r="W24">
            <v>78390</v>
          </cell>
          <cell r="X24">
            <v>0</v>
          </cell>
          <cell r="Y24"/>
          <cell r="Z24">
            <v>0</v>
          </cell>
          <cell r="AA24">
            <v>0</v>
          </cell>
          <cell r="AB24">
            <v>0</v>
          </cell>
          <cell r="AC24"/>
          <cell r="AD24">
            <v>20000</v>
          </cell>
          <cell r="AE24">
            <v>0</v>
          </cell>
          <cell r="AF24">
            <v>0</v>
          </cell>
          <cell r="AG24">
            <v>0</v>
          </cell>
          <cell r="AH24">
            <v>0</v>
          </cell>
          <cell r="AI24">
            <v>0</v>
          </cell>
          <cell r="AJ24">
            <v>0</v>
          </cell>
          <cell r="AK24">
            <v>0</v>
          </cell>
          <cell r="AL24"/>
          <cell r="AM24">
            <v>0</v>
          </cell>
          <cell r="AN24">
            <v>0</v>
          </cell>
          <cell r="AO24">
            <v>0</v>
          </cell>
          <cell r="AP24">
            <v>0</v>
          </cell>
          <cell r="AQ24">
            <v>0</v>
          </cell>
          <cell r="AR24">
            <v>0</v>
          </cell>
          <cell r="AS24">
            <v>0</v>
          </cell>
          <cell r="AT24">
            <v>0</v>
          </cell>
          <cell r="AU24">
            <v>2370</v>
          </cell>
          <cell r="AV24">
            <v>0</v>
          </cell>
          <cell r="AW24">
            <v>0</v>
          </cell>
          <cell r="AX24">
            <v>0</v>
          </cell>
          <cell r="AY24"/>
          <cell r="AZ24"/>
          <cell r="BA24">
            <v>0</v>
          </cell>
          <cell r="BB24"/>
          <cell r="BC24">
            <v>0</v>
          </cell>
          <cell r="BD24">
            <v>33087</v>
          </cell>
          <cell r="BE24"/>
          <cell r="BF24">
            <v>0</v>
          </cell>
          <cell r="BG24">
            <v>0</v>
          </cell>
          <cell r="BH24">
            <v>0</v>
          </cell>
          <cell r="BI24">
            <v>21278</v>
          </cell>
          <cell r="BJ24">
            <v>17515</v>
          </cell>
          <cell r="BK24">
            <v>17515</v>
          </cell>
          <cell r="BL24">
            <v>0</v>
          </cell>
          <cell r="BM24">
            <v>0</v>
          </cell>
          <cell r="BN24">
            <v>0</v>
          </cell>
          <cell r="BO24">
            <v>72478</v>
          </cell>
          <cell r="BP24">
            <v>20558.2</v>
          </cell>
          <cell r="BQ24">
            <v>37034.8837209302</v>
          </cell>
          <cell r="BR24">
            <v>0</v>
          </cell>
          <cell r="BS24">
            <v>0</v>
          </cell>
          <cell r="BT24">
            <v>40435</v>
          </cell>
          <cell r="BU24"/>
          <cell r="BV24"/>
          <cell r="BW24"/>
          <cell r="BX24"/>
          <cell r="BY24">
            <v>0</v>
          </cell>
          <cell r="BZ24">
            <v>0</v>
          </cell>
          <cell r="CA24">
            <v>0</v>
          </cell>
          <cell r="CB24">
            <v>0</v>
          </cell>
          <cell r="CC24">
            <v>1256998</v>
          </cell>
          <cell r="CD24">
            <v>8590860</v>
          </cell>
          <cell r="CE24">
            <v>1004843</v>
          </cell>
          <cell r="CF24">
            <v>0</v>
          </cell>
          <cell r="CG24">
            <v>1004843</v>
          </cell>
          <cell r="CH24">
            <v>1004843</v>
          </cell>
          <cell r="CI24">
            <v>1004843</v>
          </cell>
          <cell r="CJ24">
            <v>1004843</v>
          </cell>
          <cell r="CK24">
            <v>0</v>
          </cell>
          <cell r="CL24">
            <v>0</v>
          </cell>
          <cell r="CM24">
            <v>0</v>
          </cell>
          <cell r="CN24">
            <v>0</v>
          </cell>
          <cell r="CO24">
            <v>0</v>
          </cell>
          <cell r="CP24">
            <v>-554</v>
          </cell>
          <cell r="CQ24">
            <v>1473321</v>
          </cell>
          <cell r="CR24">
            <v>1388008</v>
          </cell>
          <cell r="CS24">
            <v>1362310</v>
          </cell>
          <cell r="CT24">
            <v>1314411</v>
          </cell>
          <cell r="CU24">
            <v>1312741</v>
          </cell>
          <cell r="CV24">
            <v>-5315</v>
          </cell>
          <cell r="CW24">
            <v>0</v>
          </cell>
          <cell r="CX24">
            <v>0</v>
          </cell>
          <cell r="CY24">
            <v>0</v>
          </cell>
          <cell r="CZ24">
            <v>0</v>
          </cell>
          <cell r="DA24">
            <v>0</v>
          </cell>
          <cell r="DB24"/>
          <cell r="DC24">
            <v>0</v>
          </cell>
          <cell r="DD24">
            <v>0</v>
          </cell>
          <cell r="DE24">
            <v>0</v>
          </cell>
          <cell r="DF24">
            <v>0</v>
          </cell>
          <cell r="DG24">
            <v>0</v>
          </cell>
          <cell r="DH24">
            <v>0</v>
          </cell>
          <cell r="DI24">
            <v>0</v>
          </cell>
          <cell r="DJ24">
            <v>0</v>
          </cell>
          <cell r="DK24">
            <v>0</v>
          </cell>
          <cell r="DL24">
            <v>0</v>
          </cell>
          <cell r="DM24"/>
          <cell r="DN24"/>
          <cell r="DO24"/>
          <cell r="DP24"/>
        </row>
        <row r="25">
          <cell r="A25">
            <v>59</v>
          </cell>
          <cell r="B25" t="str">
            <v>Achtkarspelen</v>
          </cell>
          <cell r="C25">
            <v>2</v>
          </cell>
          <cell r="D25">
            <v>57811</v>
          </cell>
          <cell r="E25">
            <v>28906</v>
          </cell>
          <cell r="F25">
            <v>0</v>
          </cell>
          <cell r="G25">
            <v>0</v>
          </cell>
          <cell r="H25">
            <v>-95131</v>
          </cell>
          <cell r="I25">
            <v>-44818</v>
          </cell>
          <cell r="J25"/>
          <cell r="K25">
            <v>0</v>
          </cell>
          <cell r="L25">
            <v>148027</v>
          </cell>
          <cell r="M25">
            <v>147605</v>
          </cell>
          <cell r="N25">
            <v>0</v>
          </cell>
          <cell r="O25">
            <v>0</v>
          </cell>
          <cell r="P25">
            <v>0</v>
          </cell>
          <cell r="Q25">
            <v>0</v>
          </cell>
          <cell r="R25">
            <v>326571</v>
          </cell>
          <cell r="S25">
            <v>0</v>
          </cell>
          <cell r="T25">
            <v>0</v>
          </cell>
          <cell r="U25">
            <v>0</v>
          </cell>
          <cell r="V25">
            <v>0</v>
          </cell>
          <cell r="W25">
            <v>118959</v>
          </cell>
          <cell r="X25">
            <v>0</v>
          </cell>
          <cell r="Y25"/>
          <cell r="Z25">
            <v>0</v>
          </cell>
          <cell r="AA25">
            <v>0</v>
          </cell>
          <cell r="AB25">
            <v>0</v>
          </cell>
          <cell r="AC25"/>
          <cell r="AD25">
            <v>75290</v>
          </cell>
          <cell r="AE25">
            <v>0</v>
          </cell>
          <cell r="AF25">
            <v>0</v>
          </cell>
          <cell r="AG25">
            <v>0</v>
          </cell>
          <cell r="AH25">
            <v>0</v>
          </cell>
          <cell r="AI25">
            <v>0</v>
          </cell>
          <cell r="AJ25">
            <v>0</v>
          </cell>
          <cell r="AK25">
            <v>0</v>
          </cell>
          <cell r="AL25"/>
          <cell r="AM25">
            <v>0</v>
          </cell>
          <cell r="AN25">
            <v>0</v>
          </cell>
          <cell r="AO25">
            <v>0</v>
          </cell>
          <cell r="AP25">
            <v>0</v>
          </cell>
          <cell r="AQ25">
            <v>0</v>
          </cell>
          <cell r="AR25">
            <v>0</v>
          </cell>
          <cell r="AS25">
            <v>0</v>
          </cell>
          <cell r="AT25">
            <v>0</v>
          </cell>
          <cell r="AU25">
            <v>0</v>
          </cell>
          <cell r="AV25">
            <v>0</v>
          </cell>
          <cell r="AW25">
            <v>0</v>
          </cell>
          <cell r="AX25">
            <v>0</v>
          </cell>
          <cell r="AY25"/>
          <cell r="AZ25"/>
          <cell r="BA25">
            <v>0</v>
          </cell>
          <cell r="BB25"/>
          <cell r="BC25">
            <v>0</v>
          </cell>
          <cell r="BD25">
            <v>9791</v>
          </cell>
          <cell r="BE25"/>
          <cell r="BF25">
            <v>0</v>
          </cell>
          <cell r="BG25">
            <v>0</v>
          </cell>
          <cell r="BH25">
            <v>0</v>
          </cell>
          <cell r="BI25">
            <v>50044</v>
          </cell>
          <cell r="BJ25">
            <v>41193</v>
          </cell>
          <cell r="BK25">
            <v>41193</v>
          </cell>
          <cell r="BL25">
            <v>0</v>
          </cell>
          <cell r="BM25">
            <v>0</v>
          </cell>
          <cell r="BN25">
            <v>0</v>
          </cell>
          <cell r="BO25">
            <v>146901</v>
          </cell>
          <cell r="BP25">
            <v>14232.6</v>
          </cell>
          <cell r="BQ25">
            <v>25639.534883720899</v>
          </cell>
          <cell r="BR25">
            <v>0</v>
          </cell>
          <cell r="BS25">
            <v>0</v>
          </cell>
          <cell r="BT25">
            <v>61532</v>
          </cell>
          <cell r="BU25"/>
          <cell r="BV25"/>
          <cell r="BW25"/>
          <cell r="BX25"/>
          <cell r="BY25">
            <v>0</v>
          </cell>
          <cell r="BZ25">
            <v>0</v>
          </cell>
          <cell r="CA25">
            <v>0</v>
          </cell>
          <cell r="CB25">
            <v>0</v>
          </cell>
          <cell r="CC25">
            <v>2466808</v>
          </cell>
          <cell r="CD25">
            <v>18550205</v>
          </cell>
          <cell r="CE25">
            <v>1228734</v>
          </cell>
          <cell r="CF25">
            <v>-108494</v>
          </cell>
          <cell r="CG25">
            <v>1228734</v>
          </cell>
          <cell r="CH25">
            <v>1228734</v>
          </cell>
          <cell r="CI25">
            <v>1228734</v>
          </cell>
          <cell r="CJ25">
            <v>1228734</v>
          </cell>
          <cell r="CK25">
            <v>0</v>
          </cell>
          <cell r="CL25">
            <v>0</v>
          </cell>
          <cell r="CM25">
            <v>0</v>
          </cell>
          <cell r="CN25">
            <v>0</v>
          </cell>
          <cell r="CO25">
            <v>0</v>
          </cell>
          <cell r="CP25">
            <v>0</v>
          </cell>
          <cell r="CQ25">
            <v>4642807</v>
          </cell>
          <cell r="CR25">
            <v>4383321</v>
          </cell>
          <cell r="CS25">
            <v>4255791</v>
          </cell>
          <cell r="CT25">
            <v>4167039</v>
          </cell>
          <cell r="CU25">
            <v>4006849</v>
          </cell>
          <cell r="CV25">
            <v>-81135</v>
          </cell>
          <cell r="CW25">
            <v>0</v>
          </cell>
          <cell r="CX25">
            <v>0</v>
          </cell>
          <cell r="CY25">
            <v>0</v>
          </cell>
          <cell r="CZ25">
            <v>0</v>
          </cell>
          <cell r="DA25">
            <v>0</v>
          </cell>
          <cell r="DB25"/>
          <cell r="DC25">
            <v>0</v>
          </cell>
          <cell r="DD25">
            <v>0</v>
          </cell>
          <cell r="DE25">
            <v>0</v>
          </cell>
          <cell r="DF25">
            <v>0</v>
          </cell>
          <cell r="DG25">
            <v>0</v>
          </cell>
          <cell r="DH25">
            <v>0</v>
          </cell>
          <cell r="DI25">
            <v>0</v>
          </cell>
          <cell r="DJ25">
            <v>0</v>
          </cell>
          <cell r="DK25">
            <v>0</v>
          </cell>
          <cell r="DL25">
            <v>0</v>
          </cell>
          <cell r="DM25"/>
          <cell r="DN25"/>
          <cell r="DO25"/>
          <cell r="DP25"/>
        </row>
        <row r="26">
          <cell r="A26">
            <v>60</v>
          </cell>
          <cell r="B26" t="str">
            <v>Ameland</v>
          </cell>
          <cell r="C26">
            <v>2</v>
          </cell>
          <cell r="D26">
            <v>-10284</v>
          </cell>
          <cell r="E26">
            <v>-5142</v>
          </cell>
          <cell r="F26">
            <v>0</v>
          </cell>
          <cell r="G26">
            <v>0</v>
          </cell>
          <cell r="H26">
            <v>-12723</v>
          </cell>
          <cell r="I26">
            <v>-11260</v>
          </cell>
          <cell r="J26"/>
          <cell r="K26">
            <v>0</v>
          </cell>
          <cell r="L26">
            <v>12256</v>
          </cell>
          <cell r="M26">
            <v>7618</v>
          </cell>
          <cell r="N26">
            <v>0</v>
          </cell>
          <cell r="O26">
            <v>0</v>
          </cell>
          <cell r="P26">
            <v>0</v>
          </cell>
          <cell r="Q26">
            <v>0</v>
          </cell>
          <cell r="R26">
            <v>0</v>
          </cell>
          <cell r="S26">
            <v>0</v>
          </cell>
          <cell r="T26">
            <v>0</v>
          </cell>
          <cell r="U26">
            <v>0</v>
          </cell>
          <cell r="V26">
            <v>0</v>
          </cell>
          <cell r="W26">
            <v>27213</v>
          </cell>
          <cell r="X26">
            <v>0</v>
          </cell>
          <cell r="Y26"/>
          <cell r="Z26">
            <v>0</v>
          </cell>
          <cell r="AA26">
            <v>0</v>
          </cell>
          <cell r="AB26">
            <v>0</v>
          </cell>
          <cell r="AC26"/>
          <cell r="AD26">
            <v>0</v>
          </cell>
          <cell r="AE26">
            <v>0</v>
          </cell>
          <cell r="AF26">
            <v>0</v>
          </cell>
          <cell r="AG26">
            <v>0</v>
          </cell>
          <cell r="AH26">
            <v>0</v>
          </cell>
          <cell r="AI26">
            <v>0</v>
          </cell>
          <cell r="AJ26">
            <v>0</v>
          </cell>
          <cell r="AK26">
            <v>0</v>
          </cell>
          <cell r="AL26"/>
          <cell r="AM26">
            <v>0</v>
          </cell>
          <cell r="AN26">
            <v>0</v>
          </cell>
          <cell r="AO26">
            <v>0</v>
          </cell>
          <cell r="AP26">
            <v>0</v>
          </cell>
          <cell r="AQ26">
            <v>0</v>
          </cell>
          <cell r="AR26">
            <v>0</v>
          </cell>
          <cell r="AS26">
            <v>0</v>
          </cell>
          <cell r="AT26">
            <v>0</v>
          </cell>
          <cell r="AU26">
            <v>0</v>
          </cell>
          <cell r="AV26">
            <v>0</v>
          </cell>
          <cell r="AW26">
            <v>0</v>
          </cell>
          <cell r="AX26">
            <v>0</v>
          </cell>
          <cell r="AY26"/>
          <cell r="AZ26"/>
          <cell r="BA26">
            <v>0</v>
          </cell>
          <cell r="BB26"/>
          <cell r="BC26">
            <v>0</v>
          </cell>
          <cell r="BD26">
            <v>1275</v>
          </cell>
          <cell r="BE26"/>
          <cell r="BF26">
            <v>0</v>
          </cell>
          <cell r="BG26">
            <v>0</v>
          </cell>
          <cell r="BH26">
            <v>0</v>
          </cell>
          <cell r="BI26">
            <v>2651</v>
          </cell>
          <cell r="BJ26">
            <v>2183</v>
          </cell>
          <cell r="BK26">
            <v>2183</v>
          </cell>
          <cell r="BL26">
            <v>0</v>
          </cell>
          <cell r="BM26">
            <v>0</v>
          </cell>
          <cell r="BN26">
            <v>0</v>
          </cell>
          <cell r="BO26">
            <v>22376</v>
          </cell>
          <cell r="BP26">
            <v>0</v>
          </cell>
          <cell r="BQ26">
            <v>0</v>
          </cell>
          <cell r="BR26">
            <v>0</v>
          </cell>
          <cell r="BS26">
            <v>0</v>
          </cell>
          <cell r="BT26">
            <v>7938</v>
          </cell>
          <cell r="BU26"/>
          <cell r="BV26"/>
          <cell r="BW26"/>
          <cell r="BX26"/>
          <cell r="BY26">
            <v>0</v>
          </cell>
          <cell r="BZ26">
            <v>0</v>
          </cell>
          <cell r="CA26">
            <v>0</v>
          </cell>
          <cell r="CB26">
            <v>0</v>
          </cell>
          <cell r="CC26">
            <v>273698</v>
          </cell>
          <cell r="CD26">
            <v>1303611</v>
          </cell>
          <cell r="CE26">
            <v>78853</v>
          </cell>
          <cell r="CF26">
            <v>-21301</v>
          </cell>
          <cell r="CG26">
            <v>78853</v>
          </cell>
          <cell r="CH26">
            <v>78853</v>
          </cell>
          <cell r="CI26">
            <v>78853</v>
          </cell>
          <cell r="CJ26">
            <v>78853</v>
          </cell>
          <cell r="CK26">
            <v>0</v>
          </cell>
          <cell r="CL26">
            <v>0</v>
          </cell>
          <cell r="CM26">
            <v>0</v>
          </cell>
          <cell r="CN26">
            <v>0</v>
          </cell>
          <cell r="CO26">
            <v>0</v>
          </cell>
          <cell r="CP26">
            <v>-872</v>
          </cell>
          <cell r="CQ26">
            <v>270789</v>
          </cell>
          <cell r="CR26">
            <v>261670</v>
          </cell>
          <cell r="CS26">
            <v>250501</v>
          </cell>
          <cell r="CT26">
            <v>221669</v>
          </cell>
          <cell r="CU26">
            <v>221364</v>
          </cell>
          <cell r="CV26">
            <v>-17301</v>
          </cell>
          <cell r="CW26">
            <v>0</v>
          </cell>
          <cell r="CX26">
            <v>0</v>
          </cell>
          <cell r="CY26">
            <v>0</v>
          </cell>
          <cell r="CZ26">
            <v>0</v>
          </cell>
          <cell r="DA26">
            <v>0</v>
          </cell>
          <cell r="DB26"/>
          <cell r="DC26">
            <v>0</v>
          </cell>
          <cell r="DD26">
            <v>0</v>
          </cell>
          <cell r="DE26">
            <v>0</v>
          </cell>
          <cell r="DF26">
            <v>0</v>
          </cell>
          <cell r="DG26">
            <v>0</v>
          </cell>
          <cell r="DH26">
            <v>0</v>
          </cell>
          <cell r="DI26">
            <v>0</v>
          </cell>
          <cell r="DJ26">
            <v>0</v>
          </cell>
          <cell r="DK26">
            <v>0</v>
          </cell>
          <cell r="DL26">
            <v>0</v>
          </cell>
          <cell r="DM26"/>
          <cell r="DN26"/>
          <cell r="DO26"/>
          <cell r="DP26"/>
        </row>
        <row r="27">
          <cell r="A27">
            <v>1891</v>
          </cell>
          <cell r="B27" t="str">
            <v>Dantumadiel</v>
          </cell>
          <cell r="C27">
            <v>2</v>
          </cell>
          <cell r="D27">
            <v>7117</v>
          </cell>
          <cell r="E27">
            <v>3558</v>
          </cell>
          <cell r="F27">
            <v>0</v>
          </cell>
          <cell r="G27">
            <v>0</v>
          </cell>
          <cell r="H27">
            <v>-77973</v>
          </cell>
          <cell r="I27">
            <v>-39637</v>
          </cell>
          <cell r="J27"/>
          <cell r="K27">
            <v>0</v>
          </cell>
          <cell r="L27">
            <v>90726</v>
          </cell>
          <cell r="M27">
            <v>82849</v>
          </cell>
          <cell r="N27">
            <v>0</v>
          </cell>
          <cell r="O27">
            <v>0</v>
          </cell>
          <cell r="P27">
            <v>0</v>
          </cell>
          <cell r="Q27">
            <v>0</v>
          </cell>
          <cell r="R27">
            <v>0</v>
          </cell>
          <cell r="S27">
            <v>0</v>
          </cell>
          <cell r="T27">
            <v>0</v>
          </cell>
          <cell r="U27">
            <v>0</v>
          </cell>
          <cell r="V27">
            <v>3000</v>
          </cell>
          <cell r="W27">
            <v>83777</v>
          </cell>
          <cell r="X27">
            <v>0</v>
          </cell>
          <cell r="Y27"/>
          <cell r="Z27">
            <v>0</v>
          </cell>
          <cell r="AA27">
            <v>0</v>
          </cell>
          <cell r="AB27">
            <v>0</v>
          </cell>
          <cell r="AC27"/>
          <cell r="AD27">
            <v>57690</v>
          </cell>
          <cell r="AE27">
            <v>0</v>
          </cell>
          <cell r="AF27">
            <v>0</v>
          </cell>
          <cell r="AG27">
            <v>0</v>
          </cell>
          <cell r="AH27">
            <v>0</v>
          </cell>
          <cell r="AI27">
            <v>0</v>
          </cell>
          <cell r="AJ27">
            <v>0</v>
          </cell>
          <cell r="AK27">
            <v>0</v>
          </cell>
          <cell r="AL27"/>
          <cell r="AM27">
            <v>0</v>
          </cell>
          <cell r="AN27">
            <v>0</v>
          </cell>
          <cell r="AO27">
            <v>0</v>
          </cell>
          <cell r="AP27">
            <v>0</v>
          </cell>
          <cell r="AQ27">
            <v>0</v>
          </cell>
          <cell r="AR27">
            <v>0</v>
          </cell>
          <cell r="AS27">
            <v>0</v>
          </cell>
          <cell r="AT27">
            <v>0</v>
          </cell>
          <cell r="AU27">
            <v>0</v>
          </cell>
          <cell r="AV27">
            <v>0</v>
          </cell>
          <cell r="AW27">
            <v>0</v>
          </cell>
          <cell r="AX27">
            <v>0</v>
          </cell>
          <cell r="AY27"/>
          <cell r="AZ27"/>
          <cell r="BA27">
            <v>0</v>
          </cell>
          <cell r="BB27"/>
          <cell r="BC27">
            <v>0</v>
          </cell>
          <cell r="BD27">
            <v>6649</v>
          </cell>
          <cell r="BE27"/>
          <cell r="BF27">
            <v>0</v>
          </cell>
          <cell r="BG27">
            <v>0</v>
          </cell>
          <cell r="BH27">
            <v>0</v>
          </cell>
          <cell r="BI27">
            <v>34018</v>
          </cell>
          <cell r="BJ27">
            <v>28002</v>
          </cell>
          <cell r="BK27">
            <v>28002</v>
          </cell>
          <cell r="BL27">
            <v>0</v>
          </cell>
          <cell r="BM27">
            <v>0</v>
          </cell>
          <cell r="BN27">
            <v>0</v>
          </cell>
          <cell r="BO27">
            <v>67613</v>
          </cell>
          <cell r="BP27">
            <v>1581.4</v>
          </cell>
          <cell r="BQ27">
            <v>2848.8372093023299</v>
          </cell>
          <cell r="BR27">
            <v>0</v>
          </cell>
          <cell r="BS27">
            <v>0</v>
          </cell>
          <cell r="BT27">
            <v>40678</v>
          </cell>
          <cell r="BU27"/>
          <cell r="BV27"/>
          <cell r="BW27"/>
          <cell r="BX27"/>
          <cell r="BY27">
            <v>0</v>
          </cell>
          <cell r="BZ27">
            <v>0</v>
          </cell>
          <cell r="CA27">
            <v>0</v>
          </cell>
          <cell r="CB27">
            <v>0</v>
          </cell>
          <cell r="CC27">
            <v>1805135</v>
          </cell>
          <cell r="CD27">
            <v>14173223</v>
          </cell>
          <cell r="CE27">
            <v>1330010</v>
          </cell>
          <cell r="CF27">
            <v>-95694</v>
          </cell>
          <cell r="CG27">
            <v>1330010</v>
          </cell>
          <cell r="CH27">
            <v>1330010</v>
          </cell>
          <cell r="CI27">
            <v>1330010</v>
          </cell>
          <cell r="CJ27">
            <v>1330010</v>
          </cell>
          <cell r="CK27">
            <v>0</v>
          </cell>
          <cell r="CL27">
            <v>0</v>
          </cell>
          <cell r="CM27">
            <v>0</v>
          </cell>
          <cell r="CN27">
            <v>0</v>
          </cell>
          <cell r="CO27">
            <v>0</v>
          </cell>
          <cell r="CP27">
            <v>0</v>
          </cell>
          <cell r="CQ27">
            <v>4952309</v>
          </cell>
          <cell r="CR27">
            <v>4623966</v>
          </cell>
          <cell r="CS27">
            <v>4449012</v>
          </cell>
          <cell r="CT27">
            <v>4291563</v>
          </cell>
          <cell r="CU27">
            <v>4195801</v>
          </cell>
          <cell r="CV27">
            <v>8765</v>
          </cell>
          <cell r="CW27">
            <v>0</v>
          </cell>
          <cell r="CX27">
            <v>0</v>
          </cell>
          <cell r="CY27">
            <v>0</v>
          </cell>
          <cell r="CZ27">
            <v>0</v>
          </cell>
          <cell r="DA27">
            <v>0</v>
          </cell>
          <cell r="DB27"/>
          <cell r="DC27">
            <v>0</v>
          </cell>
          <cell r="DD27">
            <v>0</v>
          </cell>
          <cell r="DE27">
            <v>0</v>
          </cell>
          <cell r="DF27">
            <v>0</v>
          </cell>
          <cell r="DG27">
            <v>0</v>
          </cell>
          <cell r="DH27">
            <v>0</v>
          </cell>
          <cell r="DI27">
            <v>0</v>
          </cell>
          <cell r="DJ27">
            <v>0</v>
          </cell>
          <cell r="DK27">
            <v>0</v>
          </cell>
          <cell r="DL27">
            <v>0</v>
          </cell>
          <cell r="DM27"/>
          <cell r="DN27"/>
          <cell r="DO27"/>
          <cell r="DP27"/>
        </row>
        <row r="28">
          <cell r="A28">
            <v>1940</v>
          </cell>
          <cell r="B28" t="str">
            <v>De Fryske Marren</v>
          </cell>
          <cell r="C28">
            <v>2</v>
          </cell>
          <cell r="D28">
            <v>-12688</v>
          </cell>
          <cell r="E28">
            <v>-6344</v>
          </cell>
          <cell r="F28">
            <v>0</v>
          </cell>
          <cell r="G28">
            <v>520925</v>
          </cell>
          <cell r="H28">
            <v>-69758</v>
          </cell>
          <cell r="I28">
            <v>-19588</v>
          </cell>
          <cell r="J28"/>
          <cell r="K28">
            <v>0</v>
          </cell>
          <cell r="L28">
            <v>189093</v>
          </cell>
          <cell r="M28">
            <v>203124</v>
          </cell>
          <cell r="N28">
            <v>0</v>
          </cell>
          <cell r="O28">
            <v>0</v>
          </cell>
          <cell r="P28">
            <v>0</v>
          </cell>
          <cell r="Q28">
            <v>0</v>
          </cell>
          <cell r="R28">
            <v>0</v>
          </cell>
          <cell r="S28">
            <v>0</v>
          </cell>
          <cell r="T28">
            <v>0</v>
          </cell>
          <cell r="U28">
            <v>0</v>
          </cell>
          <cell r="V28">
            <v>0</v>
          </cell>
          <cell r="W28">
            <v>219647</v>
          </cell>
          <cell r="X28">
            <v>0</v>
          </cell>
          <cell r="Y28"/>
          <cell r="Z28">
            <v>0</v>
          </cell>
          <cell r="AA28">
            <v>0</v>
          </cell>
          <cell r="AB28">
            <v>0</v>
          </cell>
          <cell r="AC28"/>
          <cell r="AD28">
            <v>58668</v>
          </cell>
          <cell r="AE28">
            <v>0</v>
          </cell>
          <cell r="AF28">
            <v>0</v>
          </cell>
          <cell r="AG28">
            <v>0</v>
          </cell>
          <cell r="AH28">
            <v>0</v>
          </cell>
          <cell r="AI28">
            <v>0</v>
          </cell>
          <cell r="AJ28">
            <v>0</v>
          </cell>
          <cell r="AK28">
            <v>0</v>
          </cell>
          <cell r="AL28"/>
          <cell r="AM28">
            <v>0</v>
          </cell>
          <cell r="AN28">
            <v>0</v>
          </cell>
          <cell r="AO28">
            <v>0</v>
          </cell>
          <cell r="AP28">
            <v>0</v>
          </cell>
          <cell r="AQ28">
            <v>0</v>
          </cell>
          <cell r="AR28">
            <v>0</v>
          </cell>
          <cell r="AS28">
            <v>0</v>
          </cell>
          <cell r="AT28">
            <v>0</v>
          </cell>
          <cell r="AU28">
            <v>4740</v>
          </cell>
          <cell r="AV28">
            <v>0</v>
          </cell>
          <cell r="AW28">
            <v>0</v>
          </cell>
          <cell r="AX28">
            <v>0</v>
          </cell>
          <cell r="AY28"/>
          <cell r="AZ28"/>
          <cell r="BA28">
            <v>0</v>
          </cell>
          <cell r="BB28"/>
          <cell r="BC28">
            <v>0</v>
          </cell>
          <cell r="BD28">
            <v>18108</v>
          </cell>
          <cell r="BE28"/>
          <cell r="BF28">
            <v>0</v>
          </cell>
          <cell r="BG28">
            <v>0</v>
          </cell>
          <cell r="BH28">
            <v>0</v>
          </cell>
          <cell r="BI28">
            <v>71676</v>
          </cell>
          <cell r="BJ28">
            <v>59000</v>
          </cell>
          <cell r="BK28">
            <v>59000</v>
          </cell>
          <cell r="BL28">
            <v>0</v>
          </cell>
          <cell r="BM28">
            <v>0</v>
          </cell>
          <cell r="BN28">
            <v>0</v>
          </cell>
          <cell r="BO28">
            <v>307812</v>
          </cell>
          <cell r="BP28">
            <v>18976.8</v>
          </cell>
          <cell r="BQ28">
            <v>34186.046511627901</v>
          </cell>
          <cell r="BR28">
            <v>0</v>
          </cell>
          <cell r="BS28">
            <v>0</v>
          </cell>
          <cell r="BT28">
            <v>118048</v>
          </cell>
          <cell r="BU28"/>
          <cell r="BV28"/>
          <cell r="BW28"/>
          <cell r="BX28"/>
          <cell r="BY28">
            <v>0</v>
          </cell>
          <cell r="BZ28">
            <v>0</v>
          </cell>
          <cell r="CA28">
            <v>0</v>
          </cell>
          <cell r="CB28">
            <v>0</v>
          </cell>
          <cell r="CC28">
            <v>4014962</v>
          </cell>
          <cell r="CD28">
            <v>20100795</v>
          </cell>
          <cell r="CE28">
            <v>1111029</v>
          </cell>
          <cell r="CF28">
            <v>-47547</v>
          </cell>
          <cell r="CG28">
            <v>1111029</v>
          </cell>
          <cell r="CH28">
            <v>1111029</v>
          </cell>
          <cell r="CI28">
            <v>1111029</v>
          </cell>
          <cell r="CJ28">
            <v>1111029</v>
          </cell>
          <cell r="CK28">
            <v>0</v>
          </cell>
          <cell r="CL28">
            <v>0</v>
          </cell>
          <cell r="CM28">
            <v>0</v>
          </cell>
          <cell r="CN28">
            <v>0</v>
          </cell>
          <cell r="CO28">
            <v>0</v>
          </cell>
          <cell r="CP28">
            <v>0</v>
          </cell>
          <cell r="CQ28">
            <v>3396087</v>
          </cell>
          <cell r="CR28">
            <v>3179823</v>
          </cell>
          <cell r="CS28">
            <v>3063988</v>
          </cell>
          <cell r="CT28">
            <v>2947575</v>
          </cell>
          <cell r="CU28">
            <v>2854280</v>
          </cell>
          <cell r="CV28">
            <v>125430</v>
          </cell>
          <cell r="CW28">
            <v>0</v>
          </cell>
          <cell r="CX28">
            <v>0</v>
          </cell>
          <cell r="CY28">
            <v>0</v>
          </cell>
          <cell r="CZ28">
            <v>0</v>
          </cell>
          <cell r="DA28">
            <v>0</v>
          </cell>
          <cell r="DB28"/>
          <cell r="DC28">
            <v>0</v>
          </cell>
          <cell r="DD28">
            <v>0</v>
          </cell>
          <cell r="DE28">
            <v>0</v>
          </cell>
          <cell r="DF28">
            <v>0</v>
          </cell>
          <cell r="DG28">
            <v>0</v>
          </cell>
          <cell r="DH28">
            <v>0</v>
          </cell>
          <cell r="DI28">
            <v>0</v>
          </cell>
          <cell r="DJ28">
            <v>0</v>
          </cell>
          <cell r="DK28">
            <v>0</v>
          </cell>
          <cell r="DL28">
            <v>0</v>
          </cell>
          <cell r="DM28"/>
          <cell r="DN28"/>
          <cell r="DO28"/>
          <cell r="DP28"/>
        </row>
        <row r="29">
          <cell r="A29">
            <v>58</v>
          </cell>
          <cell r="B29" t="str">
            <v>Dongeradeel</v>
          </cell>
          <cell r="C29">
            <v>2</v>
          </cell>
          <cell r="D29">
            <v>1295</v>
          </cell>
          <cell r="E29">
            <v>647</v>
          </cell>
          <cell r="F29">
            <v>0</v>
          </cell>
          <cell r="G29">
            <v>0</v>
          </cell>
          <cell r="H29">
            <v>-69679</v>
          </cell>
          <cell r="I29">
            <v>-33252</v>
          </cell>
          <cell r="J29"/>
          <cell r="K29">
            <v>0</v>
          </cell>
          <cell r="L29">
            <v>135970</v>
          </cell>
          <cell r="M29">
            <v>137202</v>
          </cell>
          <cell r="N29">
            <v>0</v>
          </cell>
          <cell r="O29">
            <v>0</v>
          </cell>
          <cell r="P29">
            <v>0</v>
          </cell>
          <cell r="Q29">
            <v>0</v>
          </cell>
          <cell r="R29">
            <v>0</v>
          </cell>
          <cell r="S29">
            <v>0</v>
          </cell>
          <cell r="T29">
            <v>0</v>
          </cell>
          <cell r="U29">
            <v>0</v>
          </cell>
          <cell r="V29">
            <v>15000</v>
          </cell>
          <cell r="W29">
            <v>106130</v>
          </cell>
          <cell r="X29">
            <v>0</v>
          </cell>
          <cell r="Y29"/>
          <cell r="Z29">
            <v>35000</v>
          </cell>
          <cell r="AA29">
            <v>0</v>
          </cell>
          <cell r="AB29">
            <v>0</v>
          </cell>
          <cell r="AC29"/>
          <cell r="AD29">
            <v>76268</v>
          </cell>
          <cell r="AE29">
            <v>0</v>
          </cell>
          <cell r="AF29">
            <v>0</v>
          </cell>
          <cell r="AG29">
            <v>0</v>
          </cell>
          <cell r="AH29">
            <v>0</v>
          </cell>
          <cell r="AI29">
            <v>0</v>
          </cell>
          <cell r="AJ29">
            <v>0</v>
          </cell>
          <cell r="AK29">
            <v>0</v>
          </cell>
          <cell r="AL29"/>
          <cell r="AM29">
            <v>0</v>
          </cell>
          <cell r="AN29">
            <v>0</v>
          </cell>
          <cell r="AO29">
            <v>0</v>
          </cell>
          <cell r="AP29">
            <v>0</v>
          </cell>
          <cell r="AQ29">
            <v>0</v>
          </cell>
          <cell r="AR29">
            <v>0</v>
          </cell>
          <cell r="AS29">
            <v>0</v>
          </cell>
          <cell r="AT29">
            <v>0</v>
          </cell>
          <cell r="AU29">
            <v>0</v>
          </cell>
          <cell r="AV29">
            <v>0</v>
          </cell>
          <cell r="AW29">
            <v>0</v>
          </cell>
          <cell r="AX29">
            <v>0</v>
          </cell>
          <cell r="AY29"/>
          <cell r="AZ29"/>
          <cell r="BA29">
            <v>0</v>
          </cell>
          <cell r="BB29"/>
          <cell r="BC29">
            <v>0</v>
          </cell>
          <cell r="BD29">
            <v>41933</v>
          </cell>
          <cell r="BE29"/>
          <cell r="BF29">
            <v>0</v>
          </cell>
          <cell r="BG29">
            <v>0</v>
          </cell>
          <cell r="BH29">
            <v>0</v>
          </cell>
          <cell r="BI29">
            <v>45717</v>
          </cell>
          <cell r="BJ29">
            <v>37632</v>
          </cell>
          <cell r="BK29">
            <v>37632</v>
          </cell>
          <cell r="BL29">
            <v>0</v>
          </cell>
          <cell r="BM29">
            <v>0</v>
          </cell>
          <cell r="BN29">
            <v>0</v>
          </cell>
          <cell r="BO29">
            <v>16052</v>
          </cell>
          <cell r="BP29">
            <v>4744.2</v>
          </cell>
          <cell r="BQ29">
            <v>8546.5116279069807</v>
          </cell>
          <cell r="BR29">
            <v>0</v>
          </cell>
          <cell r="BS29">
            <v>0</v>
          </cell>
          <cell r="BT29">
            <v>59787</v>
          </cell>
          <cell r="BU29"/>
          <cell r="BV29"/>
          <cell r="BW29"/>
          <cell r="BX29"/>
          <cell r="BY29">
            <v>0</v>
          </cell>
          <cell r="BZ29">
            <v>0</v>
          </cell>
          <cell r="CA29">
            <v>0</v>
          </cell>
          <cell r="CB29">
            <v>0</v>
          </cell>
          <cell r="CC29">
            <v>2288155</v>
          </cell>
          <cell r="CD29">
            <v>18446500</v>
          </cell>
          <cell r="CE29">
            <v>798211</v>
          </cell>
          <cell r="CF29">
            <v>-80994</v>
          </cell>
          <cell r="CG29">
            <v>798211</v>
          </cell>
          <cell r="CH29">
            <v>798211</v>
          </cell>
          <cell r="CI29">
            <v>798211</v>
          </cell>
          <cell r="CJ29">
            <v>798211</v>
          </cell>
          <cell r="CK29">
            <v>0</v>
          </cell>
          <cell r="CL29">
            <v>0</v>
          </cell>
          <cell r="CM29">
            <v>0</v>
          </cell>
          <cell r="CN29">
            <v>0</v>
          </cell>
          <cell r="CO29">
            <v>0</v>
          </cell>
          <cell r="CP29">
            <v>0</v>
          </cell>
          <cell r="CQ29">
            <v>6514014</v>
          </cell>
          <cell r="CR29">
            <v>6196289</v>
          </cell>
          <cell r="CS29">
            <v>6050656</v>
          </cell>
          <cell r="CT29">
            <v>5884040</v>
          </cell>
          <cell r="CU29">
            <v>5748871</v>
          </cell>
          <cell r="CV29">
            <v>-2259</v>
          </cell>
          <cell r="CW29">
            <v>0</v>
          </cell>
          <cell r="CX29">
            <v>0</v>
          </cell>
          <cell r="CY29">
            <v>0</v>
          </cell>
          <cell r="CZ29">
            <v>0</v>
          </cell>
          <cell r="DA29">
            <v>0</v>
          </cell>
          <cell r="DB29"/>
          <cell r="DC29">
            <v>0</v>
          </cell>
          <cell r="DD29">
            <v>0</v>
          </cell>
          <cell r="DE29">
            <v>0</v>
          </cell>
          <cell r="DF29">
            <v>215000</v>
          </cell>
          <cell r="DG29">
            <v>0</v>
          </cell>
          <cell r="DH29">
            <v>0</v>
          </cell>
          <cell r="DI29">
            <v>0</v>
          </cell>
          <cell r="DJ29">
            <v>0</v>
          </cell>
          <cell r="DK29">
            <v>0</v>
          </cell>
          <cell r="DL29">
            <v>0</v>
          </cell>
          <cell r="DM29"/>
          <cell r="DN29"/>
          <cell r="DO29"/>
          <cell r="DP29"/>
        </row>
        <row r="30">
          <cell r="A30">
            <v>1722</v>
          </cell>
          <cell r="B30" t="str">
            <v>Ferwerderadiel</v>
          </cell>
          <cell r="C30">
            <v>2</v>
          </cell>
          <cell r="D30">
            <v>15523</v>
          </cell>
          <cell r="E30">
            <v>7762</v>
          </cell>
          <cell r="F30">
            <v>0</v>
          </cell>
          <cell r="G30">
            <v>34193</v>
          </cell>
          <cell r="H30">
            <v>-29359</v>
          </cell>
          <cell r="I30">
            <v>-14622</v>
          </cell>
          <cell r="J30"/>
          <cell r="K30">
            <v>0</v>
          </cell>
          <cell r="L30">
            <v>34022</v>
          </cell>
          <cell r="M30">
            <v>33473</v>
          </cell>
          <cell r="N30">
            <v>0</v>
          </cell>
          <cell r="O30">
            <v>0</v>
          </cell>
          <cell r="P30">
            <v>0</v>
          </cell>
          <cell r="Q30">
            <v>0</v>
          </cell>
          <cell r="R30">
            <v>0</v>
          </cell>
          <cell r="S30">
            <v>0</v>
          </cell>
          <cell r="T30">
            <v>0</v>
          </cell>
          <cell r="U30">
            <v>0</v>
          </cell>
          <cell r="V30">
            <v>0</v>
          </cell>
          <cell r="W30">
            <v>38292</v>
          </cell>
          <cell r="X30">
            <v>0</v>
          </cell>
          <cell r="Y30"/>
          <cell r="Z30">
            <v>0</v>
          </cell>
          <cell r="AA30">
            <v>0</v>
          </cell>
          <cell r="AB30">
            <v>0</v>
          </cell>
          <cell r="AC30"/>
          <cell r="AD30">
            <v>0</v>
          </cell>
          <cell r="AE30">
            <v>0</v>
          </cell>
          <cell r="AF30">
            <v>0</v>
          </cell>
          <cell r="AG30">
            <v>0</v>
          </cell>
          <cell r="AH30">
            <v>0</v>
          </cell>
          <cell r="AI30">
            <v>0</v>
          </cell>
          <cell r="AJ30">
            <v>0</v>
          </cell>
          <cell r="AK30">
            <v>0</v>
          </cell>
          <cell r="AL30"/>
          <cell r="AM30">
            <v>0</v>
          </cell>
          <cell r="AN30">
            <v>0</v>
          </cell>
          <cell r="AO30">
            <v>0</v>
          </cell>
          <cell r="AP30">
            <v>0</v>
          </cell>
          <cell r="AQ30">
            <v>0</v>
          </cell>
          <cell r="AR30">
            <v>0</v>
          </cell>
          <cell r="AS30">
            <v>0</v>
          </cell>
          <cell r="AT30">
            <v>0</v>
          </cell>
          <cell r="AU30">
            <v>0</v>
          </cell>
          <cell r="AV30">
            <v>0</v>
          </cell>
          <cell r="AW30">
            <v>0</v>
          </cell>
          <cell r="AX30">
            <v>0</v>
          </cell>
          <cell r="AY30"/>
          <cell r="AZ30"/>
          <cell r="BA30">
            <v>0</v>
          </cell>
          <cell r="BB30"/>
          <cell r="BC30">
            <v>0</v>
          </cell>
          <cell r="BD30">
            <v>15325</v>
          </cell>
          <cell r="BE30"/>
          <cell r="BF30">
            <v>0</v>
          </cell>
          <cell r="BG30">
            <v>0</v>
          </cell>
          <cell r="BH30">
            <v>0</v>
          </cell>
          <cell r="BI30">
            <v>14133</v>
          </cell>
          <cell r="BJ30">
            <v>11634</v>
          </cell>
          <cell r="BK30">
            <v>11634</v>
          </cell>
          <cell r="BL30">
            <v>0</v>
          </cell>
          <cell r="BM30">
            <v>0</v>
          </cell>
          <cell r="BN30">
            <v>0</v>
          </cell>
          <cell r="BO30">
            <v>10215</v>
          </cell>
          <cell r="BP30">
            <v>4744.2</v>
          </cell>
          <cell r="BQ30">
            <v>8546.5116279069807</v>
          </cell>
          <cell r="BR30">
            <v>0</v>
          </cell>
          <cell r="BS30">
            <v>0</v>
          </cell>
          <cell r="BT30">
            <v>21672</v>
          </cell>
          <cell r="BU30"/>
          <cell r="BV30"/>
          <cell r="BW30"/>
          <cell r="BX30"/>
          <cell r="BY30">
            <v>0</v>
          </cell>
          <cell r="BZ30">
            <v>0</v>
          </cell>
          <cell r="CA30">
            <v>0</v>
          </cell>
          <cell r="CB30">
            <v>0</v>
          </cell>
          <cell r="CC30">
            <v>655766</v>
          </cell>
          <cell r="CD30">
            <v>4619115</v>
          </cell>
          <cell r="CE30">
            <v>374460</v>
          </cell>
          <cell r="CF30">
            <v>-35564</v>
          </cell>
          <cell r="CG30">
            <v>374460</v>
          </cell>
          <cell r="CH30">
            <v>374460</v>
          </cell>
          <cell r="CI30">
            <v>374460</v>
          </cell>
          <cell r="CJ30">
            <v>374460</v>
          </cell>
          <cell r="CK30">
            <v>0</v>
          </cell>
          <cell r="CL30">
            <v>0</v>
          </cell>
          <cell r="CM30">
            <v>0</v>
          </cell>
          <cell r="CN30">
            <v>0</v>
          </cell>
          <cell r="CO30">
            <v>0</v>
          </cell>
          <cell r="CP30">
            <v>0</v>
          </cell>
          <cell r="CQ30">
            <v>1059265</v>
          </cell>
          <cell r="CR30">
            <v>1032680</v>
          </cell>
          <cell r="CS30">
            <v>1032479</v>
          </cell>
          <cell r="CT30">
            <v>1034235</v>
          </cell>
          <cell r="CU30">
            <v>1035617</v>
          </cell>
          <cell r="CV30">
            <v>-11062</v>
          </cell>
          <cell r="CW30">
            <v>0</v>
          </cell>
          <cell r="CX30">
            <v>0</v>
          </cell>
          <cell r="CY30">
            <v>0</v>
          </cell>
          <cell r="CZ30">
            <v>0</v>
          </cell>
          <cell r="DA30">
            <v>0</v>
          </cell>
          <cell r="DB30"/>
          <cell r="DC30">
            <v>0</v>
          </cell>
          <cell r="DD30">
            <v>0</v>
          </cell>
          <cell r="DE30">
            <v>0</v>
          </cell>
          <cell r="DF30">
            <v>0</v>
          </cell>
          <cell r="DG30">
            <v>0</v>
          </cell>
          <cell r="DH30">
            <v>0</v>
          </cell>
          <cell r="DI30">
            <v>0</v>
          </cell>
          <cell r="DJ30">
            <v>0</v>
          </cell>
          <cell r="DK30">
            <v>0</v>
          </cell>
          <cell r="DL30">
            <v>0</v>
          </cell>
          <cell r="DM30"/>
          <cell r="DN30"/>
          <cell r="DO30"/>
          <cell r="DP30"/>
        </row>
        <row r="31">
          <cell r="A31">
            <v>72</v>
          </cell>
          <cell r="B31" t="str">
            <v>Harlingen</v>
          </cell>
          <cell r="C31">
            <v>2</v>
          </cell>
          <cell r="D31">
            <v>12693</v>
          </cell>
          <cell r="E31">
            <v>6347</v>
          </cell>
          <cell r="F31">
            <v>0</v>
          </cell>
          <cell r="G31">
            <v>0</v>
          </cell>
          <cell r="H31">
            <v>-16274</v>
          </cell>
          <cell r="I31">
            <v>0</v>
          </cell>
          <cell r="J31"/>
          <cell r="K31">
            <v>0</v>
          </cell>
          <cell r="L31">
            <v>88279</v>
          </cell>
          <cell r="M31">
            <v>86421</v>
          </cell>
          <cell r="N31">
            <v>0</v>
          </cell>
          <cell r="O31">
            <v>0</v>
          </cell>
          <cell r="P31">
            <v>0</v>
          </cell>
          <cell r="Q31">
            <v>0</v>
          </cell>
          <cell r="R31">
            <v>0</v>
          </cell>
          <cell r="S31">
            <v>0</v>
          </cell>
          <cell r="T31">
            <v>0</v>
          </cell>
          <cell r="U31">
            <v>0</v>
          </cell>
          <cell r="V31">
            <v>3000</v>
          </cell>
          <cell r="W31">
            <v>61423</v>
          </cell>
          <cell r="X31">
            <v>0</v>
          </cell>
          <cell r="Y31"/>
          <cell r="Z31">
            <v>0</v>
          </cell>
          <cell r="AA31">
            <v>0</v>
          </cell>
          <cell r="AB31">
            <v>0</v>
          </cell>
          <cell r="AC31"/>
          <cell r="AD31">
            <v>70401</v>
          </cell>
          <cell r="AE31">
            <v>0</v>
          </cell>
          <cell r="AF31">
            <v>0</v>
          </cell>
          <cell r="AG31">
            <v>0</v>
          </cell>
          <cell r="AH31">
            <v>0</v>
          </cell>
          <cell r="AI31">
            <v>0</v>
          </cell>
          <cell r="AJ31">
            <v>0</v>
          </cell>
          <cell r="AK31">
            <v>0</v>
          </cell>
          <cell r="AL31"/>
          <cell r="AM31">
            <v>0</v>
          </cell>
          <cell r="AN31">
            <v>0</v>
          </cell>
          <cell r="AO31">
            <v>0</v>
          </cell>
          <cell r="AP31">
            <v>0</v>
          </cell>
          <cell r="AQ31">
            <v>0</v>
          </cell>
          <cell r="AR31">
            <v>0</v>
          </cell>
          <cell r="AS31">
            <v>0</v>
          </cell>
          <cell r="AT31">
            <v>0</v>
          </cell>
          <cell r="AU31">
            <v>0</v>
          </cell>
          <cell r="AV31">
            <v>0</v>
          </cell>
          <cell r="AW31">
            <v>0</v>
          </cell>
          <cell r="AX31">
            <v>0</v>
          </cell>
          <cell r="AY31"/>
          <cell r="AZ31"/>
          <cell r="BA31">
            <v>0</v>
          </cell>
          <cell r="BB31"/>
          <cell r="BC31">
            <v>0</v>
          </cell>
          <cell r="BD31">
            <v>5567</v>
          </cell>
          <cell r="BE31"/>
          <cell r="BF31">
            <v>0</v>
          </cell>
          <cell r="BG31">
            <v>0</v>
          </cell>
          <cell r="BH31">
            <v>0</v>
          </cell>
          <cell r="BI31">
            <v>35350</v>
          </cell>
          <cell r="BJ31">
            <v>29098</v>
          </cell>
          <cell r="BK31">
            <v>29098</v>
          </cell>
          <cell r="BL31">
            <v>0</v>
          </cell>
          <cell r="BM31">
            <v>0</v>
          </cell>
          <cell r="BN31">
            <v>0</v>
          </cell>
          <cell r="BO31">
            <v>283101</v>
          </cell>
          <cell r="BP31">
            <v>1581.4</v>
          </cell>
          <cell r="BQ31">
            <v>2848.8372093023299</v>
          </cell>
          <cell r="BR31">
            <v>0</v>
          </cell>
          <cell r="BS31">
            <v>0</v>
          </cell>
          <cell r="BT31">
            <v>29732</v>
          </cell>
          <cell r="BU31"/>
          <cell r="BV31"/>
          <cell r="BW31"/>
          <cell r="BX31"/>
          <cell r="BY31">
            <v>0</v>
          </cell>
          <cell r="BZ31">
            <v>0</v>
          </cell>
          <cell r="CA31">
            <v>0</v>
          </cell>
          <cell r="CB31">
            <v>0</v>
          </cell>
          <cell r="CC31">
            <v>1602314</v>
          </cell>
          <cell r="CD31">
            <v>9758566</v>
          </cell>
          <cell r="CE31">
            <v>374759</v>
          </cell>
          <cell r="CF31">
            <v>0</v>
          </cell>
          <cell r="CG31">
            <v>374759</v>
          </cell>
          <cell r="CH31">
            <v>374759</v>
          </cell>
          <cell r="CI31">
            <v>374759</v>
          </cell>
          <cell r="CJ31">
            <v>374759</v>
          </cell>
          <cell r="CK31">
            <v>0</v>
          </cell>
          <cell r="CL31">
            <v>0</v>
          </cell>
          <cell r="CM31">
            <v>0</v>
          </cell>
          <cell r="CN31">
            <v>0</v>
          </cell>
          <cell r="CO31">
            <v>0</v>
          </cell>
          <cell r="CP31">
            <v>0</v>
          </cell>
          <cell r="CQ31">
            <v>2106185</v>
          </cell>
          <cell r="CR31">
            <v>2018924</v>
          </cell>
          <cell r="CS31">
            <v>1996041</v>
          </cell>
          <cell r="CT31">
            <v>1932058</v>
          </cell>
          <cell r="CU31">
            <v>1891793</v>
          </cell>
          <cell r="CV31">
            <v>-16578</v>
          </cell>
          <cell r="CW31">
            <v>0</v>
          </cell>
          <cell r="CX31">
            <v>0</v>
          </cell>
          <cell r="CY31">
            <v>0</v>
          </cell>
          <cell r="CZ31">
            <v>0</v>
          </cell>
          <cell r="DA31">
            <v>0</v>
          </cell>
          <cell r="DB31"/>
          <cell r="DC31">
            <v>0</v>
          </cell>
          <cell r="DD31">
            <v>0</v>
          </cell>
          <cell r="DE31">
            <v>0</v>
          </cell>
          <cell r="DF31">
            <v>0</v>
          </cell>
          <cell r="DG31">
            <v>0</v>
          </cell>
          <cell r="DH31">
            <v>0</v>
          </cell>
          <cell r="DI31">
            <v>0</v>
          </cell>
          <cell r="DJ31">
            <v>0</v>
          </cell>
          <cell r="DK31">
            <v>0</v>
          </cell>
          <cell r="DL31">
            <v>0</v>
          </cell>
          <cell r="DM31"/>
          <cell r="DN31"/>
          <cell r="DO31"/>
          <cell r="DP31"/>
        </row>
        <row r="32">
          <cell r="A32">
            <v>74</v>
          </cell>
          <cell r="B32" t="str">
            <v>Heerenveen</v>
          </cell>
          <cell r="C32">
            <v>2</v>
          </cell>
          <cell r="D32">
            <v>65564</v>
          </cell>
          <cell r="E32">
            <v>32782</v>
          </cell>
          <cell r="F32">
            <v>0</v>
          </cell>
          <cell r="G32">
            <v>0</v>
          </cell>
          <cell r="H32">
            <v>-35602</v>
          </cell>
          <cell r="I32">
            <v>-22774</v>
          </cell>
          <cell r="J32"/>
          <cell r="K32">
            <v>0</v>
          </cell>
          <cell r="L32">
            <v>217146</v>
          </cell>
          <cell r="M32">
            <v>218551</v>
          </cell>
          <cell r="N32">
            <v>0</v>
          </cell>
          <cell r="O32">
            <v>0</v>
          </cell>
          <cell r="P32">
            <v>0</v>
          </cell>
          <cell r="Q32">
            <v>0</v>
          </cell>
          <cell r="R32">
            <v>0</v>
          </cell>
          <cell r="S32">
            <v>0</v>
          </cell>
          <cell r="T32">
            <v>0</v>
          </cell>
          <cell r="U32">
            <v>0</v>
          </cell>
          <cell r="V32">
            <v>3000</v>
          </cell>
          <cell r="W32">
            <v>194378</v>
          </cell>
          <cell r="X32">
            <v>0</v>
          </cell>
          <cell r="Y32"/>
          <cell r="Z32">
            <v>0</v>
          </cell>
          <cell r="AA32">
            <v>0</v>
          </cell>
          <cell r="AB32">
            <v>0</v>
          </cell>
          <cell r="AC32"/>
          <cell r="AD32">
            <v>56712</v>
          </cell>
          <cell r="AE32">
            <v>0</v>
          </cell>
          <cell r="AF32">
            <v>0</v>
          </cell>
          <cell r="AG32">
            <v>0</v>
          </cell>
          <cell r="AH32">
            <v>0</v>
          </cell>
          <cell r="AI32">
            <v>0</v>
          </cell>
          <cell r="AJ32">
            <v>0</v>
          </cell>
          <cell r="AK32">
            <v>0</v>
          </cell>
          <cell r="AL32"/>
          <cell r="AM32">
            <v>0</v>
          </cell>
          <cell r="AN32">
            <v>0</v>
          </cell>
          <cell r="AO32">
            <v>0</v>
          </cell>
          <cell r="AP32">
            <v>0</v>
          </cell>
          <cell r="AQ32">
            <v>0</v>
          </cell>
          <cell r="AR32">
            <v>0</v>
          </cell>
          <cell r="AS32">
            <v>0</v>
          </cell>
          <cell r="AT32">
            <v>0</v>
          </cell>
          <cell r="AU32">
            <v>0</v>
          </cell>
          <cell r="AV32">
            <v>0</v>
          </cell>
          <cell r="AW32">
            <v>0</v>
          </cell>
          <cell r="AX32">
            <v>0</v>
          </cell>
          <cell r="AY32"/>
          <cell r="AZ32"/>
          <cell r="BA32">
            <v>0</v>
          </cell>
          <cell r="BB32"/>
          <cell r="BC32">
            <v>0</v>
          </cell>
          <cell r="BD32">
            <v>17623</v>
          </cell>
          <cell r="BE32"/>
          <cell r="BF32">
            <v>0</v>
          </cell>
          <cell r="BG32">
            <v>0</v>
          </cell>
          <cell r="BH32">
            <v>0</v>
          </cell>
          <cell r="BI32">
            <v>90722</v>
          </cell>
          <cell r="BJ32">
            <v>74678</v>
          </cell>
          <cell r="BK32">
            <v>74678</v>
          </cell>
          <cell r="BL32">
            <v>0</v>
          </cell>
          <cell r="BM32">
            <v>0</v>
          </cell>
          <cell r="BN32">
            <v>0</v>
          </cell>
          <cell r="BO32">
            <v>113941</v>
          </cell>
          <cell r="BP32">
            <v>0</v>
          </cell>
          <cell r="BQ32">
            <v>0</v>
          </cell>
          <cell r="BR32">
            <v>0</v>
          </cell>
          <cell r="BS32">
            <v>0</v>
          </cell>
          <cell r="BT32">
            <v>105818</v>
          </cell>
          <cell r="BU32"/>
          <cell r="BV32"/>
          <cell r="BW32"/>
          <cell r="BX32"/>
          <cell r="BY32">
            <v>0</v>
          </cell>
          <cell r="BZ32">
            <v>0</v>
          </cell>
          <cell r="CA32">
            <v>0</v>
          </cell>
          <cell r="CB32">
            <v>0</v>
          </cell>
          <cell r="CC32">
            <v>4320358</v>
          </cell>
          <cell r="CD32">
            <v>28706130</v>
          </cell>
          <cell r="CE32">
            <v>1494758</v>
          </cell>
          <cell r="CF32">
            <v>-54799</v>
          </cell>
          <cell r="CG32">
            <v>1494758</v>
          </cell>
          <cell r="CH32">
            <v>1494758</v>
          </cell>
          <cell r="CI32">
            <v>1494758</v>
          </cell>
          <cell r="CJ32">
            <v>1494758</v>
          </cell>
          <cell r="CK32">
            <v>0</v>
          </cell>
          <cell r="CL32">
            <v>0</v>
          </cell>
          <cell r="CM32">
            <v>0</v>
          </cell>
          <cell r="CN32">
            <v>0</v>
          </cell>
          <cell r="CO32">
            <v>0</v>
          </cell>
          <cell r="CP32">
            <v>0</v>
          </cell>
          <cell r="CQ32">
            <v>7956590</v>
          </cell>
          <cell r="CR32">
            <v>7481447</v>
          </cell>
          <cell r="CS32">
            <v>7218685</v>
          </cell>
          <cell r="CT32">
            <v>7034504</v>
          </cell>
          <cell r="CU32">
            <v>6834751</v>
          </cell>
          <cell r="CV32">
            <v>80118</v>
          </cell>
          <cell r="CW32">
            <v>0</v>
          </cell>
          <cell r="CX32">
            <v>0</v>
          </cell>
          <cell r="CY32">
            <v>0</v>
          </cell>
          <cell r="CZ32">
            <v>0</v>
          </cell>
          <cell r="DA32">
            <v>0</v>
          </cell>
          <cell r="DB32"/>
          <cell r="DC32">
            <v>0</v>
          </cell>
          <cell r="DD32">
            <v>0</v>
          </cell>
          <cell r="DE32">
            <v>0</v>
          </cell>
          <cell r="DF32">
            <v>0</v>
          </cell>
          <cell r="DG32">
            <v>0</v>
          </cell>
          <cell r="DH32">
            <v>0</v>
          </cell>
          <cell r="DI32">
            <v>0</v>
          </cell>
          <cell r="DJ32">
            <v>0</v>
          </cell>
          <cell r="DK32">
            <v>0</v>
          </cell>
          <cell r="DL32">
            <v>0</v>
          </cell>
          <cell r="DM32"/>
          <cell r="DN32"/>
          <cell r="DO32"/>
          <cell r="DP32"/>
        </row>
        <row r="33">
          <cell r="A33">
            <v>79</v>
          </cell>
          <cell r="B33" t="str">
            <v>Kollumerland en Nwkruisl</v>
          </cell>
          <cell r="C33">
            <v>2</v>
          </cell>
          <cell r="D33">
            <v>-3246</v>
          </cell>
          <cell r="E33">
            <v>-1623</v>
          </cell>
          <cell r="F33">
            <v>0</v>
          </cell>
          <cell r="G33">
            <v>0</v>
          </cell>
          <cell r="H33">
            <v>0</v>
          </cell>
          <cell r="I33">
            <v>0</v>
          </cell>
          <cell r="J33"/>
          <cell r="K33">
            <v>0</v>
          </cell>
          <cell r="L33">
            <v>58017</v>
          </cell>
          <cell r="M33">
            <v>60423</v>
          </cell>
          <cell r="N33">
            <v>0</v>
          </cell>
          <cell r="O33">
            <v>0</v>
          </cell>
          <cell r="P33">
            <v>0</v>
          </cell>
          <cell r="Q33">
            <v>0</v>
          </cell>
          <cell r="R33">
            <v>0</v>
          </cell>
          <cell r="S33">
            <v>0</v>
          </cell>
          <cell r="T33">
            <v>0</v>
          </cell>
          <cell r="U33">
            <v>0</v>
          </cell>
          <cell r="V33">
            <v>3000</v>
          </cell>
          <cell r="W33">
            <v>55592</v>
          </cell>
          <cell r="X33">
            <v>0</v>
          </cell>
          <cell r="Y33"/>
          <cell r="Z33">
            <v>0</v>
          </cell>
          <cell r="AA33">
            <v>0</v>
          </cell>
          <cell r="AB33">
            <v>0</v>
          </cell>
          <cell r="AC33"/>
          <cell r="AD33">
            <v>36178</v>
          </cell>
          <cell r="AE33">
            <v>0</v>
          </cell>
          <cell r="AF33">
            <v>0</v>
          </cell>
          <cell r="AG33">
            <v>0</v>
          </cell>
          <cell r="AH33">
            <v>0</v>
          </cell>
          <cell r="AI33">
            <v>0</v>
          </cell>
          <cell r="AJ33">
            <v>0</v>
          </cell>
          <cell r="AK33">
            <v>0</v>
          </cell>
          <cell r="AL33"/>
          <cell r="AM33">
            <v>0</v>
          </cell>
          <cell r="AN33">
            <v>0</v>
          </cell>
          <cell r="AO33">
            <v>0</v>
          </cell>
          <cell r="AP33">
            <v>0</v>
          </cell>
          <cell r="AQ33">
            <v>0</v>
          </cell>
          <cell r="AR33">
            <v>0</v>
          </cell>
          <cell r="AS33">
            <v>0</v>
          </cell>
          <cell r="AT33">
            <v>0</v>
          </cell>
          <cell r="AU33">
            <v>0</v>
          </cell>
          <cell r="AV33">
            <v>0</v>
          </cell>
          <cell r="AW33">
            <v>0</v>
          </cell>
          <cell r="AX33">
            <v>0</v>
          </cell>
          <cell r="AY33"/>
          <cell r="AZ33"/>
          <cell r="BA33">
            <v>0</v>
          </cell>
          <cell r="BB33"/>
          <cell r="BC33">
            <v>0</v>
          </cell>
          <cell r="BD33">
            <v>22583</v>
          </cell>
          <cell r="BE33"/>
          <cell r="BF33">
            <v>0</v>
          </cell>
          <cell r="BG33">
            <v>0</v>
          </cell>
          <cell r="BH33">
            <v>0</v>
          </cell>
          <cell r="BI33">
            <v>23438</v>
          </cell>
          <cell r="BJ33">
            <v>19293</v>
          </cell>
          <cell r="BK33">
            <v>19293</v>
          </cell>
          <cell r="BL33">
            <v>0</v>
          </cell>
          <cell r="BM33">
            <v>0</v>
          </cell>
          <cell r="BN33">
            <v>0</v>
          </cell>
          <cell r="BO33">
            <v>26267</v>
          </cell>
          <cell r="BP33">
            <v>7907</v>
          </cell>
          <cell r="BQ33">
            <v>14244.186046511601</v>
          </cell>
          <cell r="BR33">
            <v>0</v>
          </cell>
          <cell r="BS33">
            <v>0</v>
          </cell>
          <cell r="BT33">
            <v>30856</v>
          </cell>
          <cell r="BU33"/>
          <cell r="BV33"/>
          <cell r="BW33"/>
          <cell r="BX33"/>
          <cell r="BY33">
            <v>0</v>
          </cell>
          <cell r="BZ33">
            <v>0</v>
          </cell>
          <cell r="CA33">
            <v>0</v>
          </cell>
          <cell r="CB33">
            <v>0</v>
          </cell>
          <cell r="CC33">
            <v>1102380</v>
          </cell>
          <cell r="CD33">
            <v>9036110</v>
          </cell>
          <cell r="CE33">
            <v>524013</v>
          </cell>
          <cell r="CF33">
            <v>-56570</v>
          </cell>
          <cell r="CG33">
            <v>524013</v>
          </cell>
          <cell r="CH33">
            <v>524013</v>
          </cell>
          <cell r="CI33">
            <v>524013</v>
          </cell>
          <cell r="CJ33">
            <v>524013</v>
          </cell>
          <cell r="CK33">
            <v>0</v>
          </cell>
          <cell r="CL33">
            <v>0</v>
          </cell>
          <cell r="CM33">
            <v>0</v>
          </cell>
          <cell r="CN33">
            <v>0</v>
          </cell>
          <cell r="CO33">
            <v>0</v>
          </cell>
          <cell r="CP33">
            <v>193170</v>
          </cell>
          <cell r="CQ33">
            <v>2520056</v>
          </cell>
          <cell r="CR33">
            <v>2404558</v>
          </cell>
          <cell r="CS33">
            <v>2347838</v>
          </cell>
          <cell r="CT33">
            <v>2275695</v>
          </cell>
          <cell r="CU33">
            <v>2199638</v>
          </cell>
          <cell r="CV33">
            <v>-1583</v>
          </cell>
          <cell r="CW33">
            <v>0</v>
          </cell>
          <cell r="CX33">
            <v>0</v>
          </cell>
          <cell r="CY33">
            <v>0</v>
          </cell>
          <cell r="CZ33">
            <v>0</v>
          </cell>
          <cell r="DA33">
            <v>0</v>
          </cell>
          <cell r="DB33"/>
          <cell r="DC33">
            <v>0</v>
          </cell>
          <cell r="DD33">
            <v>0</v>
          </cell>
          <cell r="DE33">
            <v>0</v>
          </cell>
          <cell r="DF33">
            <v>0</v>
          </cell>
          <cell r="DG33">
            <v>0</v>
          </cell>
          <cell r="DH33">
            <v>0</v>
          </cell>
          <cell r="DI33">
            <v>0</v>
          </cell>
          <cell r="DJ33">
            <v>0</v>
          </cell>
          <cell r="DK33">
            <v>0</v>
          </cell>
          <cell r="DL33">
            <v>0</v>
          </cell>
          <cell r="DM33"/>
          <cell r="DN33"/>
          <cell r="DO33"/>
          <cell r="DP33"/>
        </row>
        <row r="34">
          <cell r="A34">
            <v>80</v>
          </cell>
          <cell r="B34" t="str">
            <v>Leeuwarden</v>
          </cell>
          <cell r="C34">
            <v>2</v>
          </cell>
          <cell r="D34">
            <v>512839.24</v>
          </cell>
          <cell r="E34">
            <v>256420.12</v>
          </cell>
          <cell r="F34">
            <v>0</v>
          </cell>
          <cell r="G34">
            <v>0</v>
          </cell>
          <cell r="H34">
            <v>367668.16</v>
          </cell>
          <cell r="I34">
            <v>-4187.4399999999996</v>
          </cell>
          <cell r="J34"/>
          <cell r="K34">
            <v>11536</v>
          </cell>
          <cell r="L34">
            <v>717872.48</v>
          </cell>
          <cell r="M34">
            <v>725736</v>
          </cell>
          <cell r="N34">
            <v>0</v>
          </cell>
          <cell r="O34">
            <v>0</v>
          </cell>
          <cell r="P34">
            <v>150000</v>
          </cell>
          <cell r="Q34">
            <v>385000</v>
          </cell>
          <cell r="R34">
            <v>0</v>
          </cell>
          <cell r="S34">
            <v>642099</v>
          </cell>
          <cell r="T34">
            <v>642099</v>
          </cell>
          <cell r="U34">
            <v>642099</v>
          </cell>
          <cell r="V34">
            <v>33000</v>
          </cell>
          <cell r="W34">
            <v>424716</v>
          </cell>
          <cell r="X34">
            <v>0</v>
          </cell>
          <cell r="Y34"/>
          <cell r="Z34">
            <v>0</v>
          </cell>
          <cell r="AA34">
            <v>40000</v>
          </cell>
          <cell r="AB34">
            <v>0</v>
          </cell>
          <cell r="AC34"/>
          <cell r="AD34">
            <v>231294</v>
          </cell>
          <cell r="AE34">
            <v>0</v>
          </cell>
          <cell r="AF34">
            <v>0</v>
          </cell>
          <cell r="AG34">
            <v>0</v>
          </cell>
          <cell r="AH34">
            <v>0</v>
          </cell>
          <cell r="AI34">
            <v>297554</v>
          </cell>
          <cell r="AJ34">
            <v>0</v>
          </cell>
          <cell r="AK34">
            <v>142644</v>
          </cell>
          <cell r="AL34"/>
          <cell r="AM34">
            <v>0</v>
          </cell>
          <cell r="AN34">
            <v>0</v>
          </cell>
          <cell r="AO34">
            <v>0</v>
          </cell>
          <cell r="AP34">
            <v>0</v>
          </cell>
          <cell r="AQ34">
            <v>0</v>
          </cell>
          <cell r="AR34">
            <v>0</v>
          </cell>
          <cell r="AS34">
            <v>2066000</v>
          </cell>
          <cell r="AT34">
            <v>20000</v>
          </cell>
          <cell r="AU34">
            <v>14220</v>
          </cell>
          <cell r="AV34">
            <v>14715134.0419576</v>
          </cell>
          <cell r="AW34">
            <v>80000</v>
          </cell>
          <cell r="AX34">
            <v>0</v>
          </cell>
          <cell r="AY34"/>
          <cell r="AZ34"/>
          <cell r="BA34">
            <v>0</v>
          </cell>
          <cell r="BB34"/>
          <cell r="BC34">
            <v>0</v>
          </cell>
          <cell r="BD34">
            <v>214416</v>
          </cell>
          <cell r="BE34"/>
          <cell r="BF34">
            <v>0</v>
          </cell>
          <cell r="BG34">
            <v>0</v>
          </cell>
          <cell r="BH34">
            <v>0</v>
          </cell>
          <cell r="BI34">
            <v>255418</v>
          </cell>
          <cell r="BJ34">
            <v>210247</v>
          </cell>
          <cell r="BK34">
            <v>210247</v>
          </cell>
          <cell r="BL34">
            <v>0</v>
          </cell>
          <cell r="BM34">
            <v>0</v>
          </cell>
          <cell r="BN34">
            <v>271040</v>
          </cell>
          <cell r="BO34">
            <v>381574</v>
          </cell>
          <cell r="BP34">
            <v>36372.199999999997</v>
          </cell>
          <cell r="BQ34">
            <v>65523.255813953503</v>
          </cell>
          <cell r="BR34">
            <v>0</v>
          </cell>
          <cell r="BS34">
            <v>0</v>
          </cell>
          <cell r="BT34">
            <v>258949</v>
          </cell>
          <cell r="BU34"/>
          <cell r="BV34"/>
          <cell r="BW34"/>
          <cell r="BX34"/>
          <cell r="BY34">
            <v>3803697.48562465</v>
          </cell>
          <cell r="BZ34">
            <v>7193675.3741356404</v>
          </cell>
          <cell r="CA34">
            <v>7244005.44501347</v>
          </cell>
          <cell r="CB34">
            <v>7386113.8804331999</v>
          </cell>
          <cell r="CC34">
            <v>10328137</v>
          </cell>
          <cell r="CD34">
            <v>130178129</v>
          </cell>
          <cell r="CE34">
            <v>6535106</v>
          </cell>
          <cell r="CF34">
            <v>-9664</v>
          </cell>
          <cell r="CG34">
            <v>6445106</v>
          </cell>
          <cell r="CH34">
            <v>6445106</v>
          </cell>
          <cell r="CI34">
            <v>6445106</v>
          </cell>
          <cell r="CJ34">
            <v>6445106</v>
          </cell>
          <cell r="CK34">
            <v>57359547</v>
          </cell>
          <cell r="CL34">
            <v>57330789</v>
          </cell>
          <cell r="CM34">
            <v>57330323</v>
          </cell>
          <cell r="CN34">
            <v>57329301</v>
          </cell>
          <cell r="CO34">
            <v>57330718</v>
          </cell>
          <cell r="CP34">
            <v>-76</v>
          </cell>
          <cell r="CQ34">
            <v>13951569</v>
          </cell>
          <cell r="CR34">
            <v>13327397</v>
          </cell>
          <cell r="CS34">
            <v>13059888</v>
          </cell>
          <cell r="CT34">
            <v>12784305</v>
          </cell>
          <cell r="CU34">
            <v>12455938</v>
          </cell>
          <cell r="CV34">
            <v>351248</v>
          </cell>
          <cell r="CW34">
            <v>0</v>
          </cell>
          <cell r="CX34">
            <v>0</v>
          </cell>
          <cell r="CY34">
            <v>0</v>
          </cell>
          <cell r="CZ34">
            <v>0</v>
          </cell>
          <cell r="DA34">
            <v>0</v>
          </cell>
          <cell r="DB34"/>
          <cell r="DC34">
            <v>0</v>
          </cell>
          <cell r="DD34">
            <v>0</v>
          </cell>
          <cell r="DE34">
            <v>0</v>
          </cell>
          <cell r="DF34">
            <v>0</v>
          </cell>
          <cell r="DG34">
            <v>0</v>
          </cell>
          <cell r="DH34">
            <v>0</v>
          </cell>
          <cell r="DI34">
            <v>0</v>
          </cell>
          <cell r="DJ34">
            <v>0</v>
          </cell>
          <cell r="DK34">
            <v>0</v>
          </cell>
          <cell r="DL34">
            <v>0</v>
          </cell>
          <cell r="DM34"/>
          <cell r="DN34"/>
          <cell r="DO34"/>
          <cell r="DP34"/>
        </row>
        <row r="35">
          <cell r="A35">
            <v>85</v>
          </cell>
          <cell r="B35" t="str">
            <v>Ooststellingwerf</v>
          </cell>
          <cell r="C35">
            <v>2</v>
          </cell>
          <cell r="D35">
            <v>-18959</v>
          </cell>
          <cell r="E35">
            <v>-9480</v>
          </cell>
          <cell r="F35">
            <v>0</v>
          </cell>
          <cell r="G35">
            <v>0</v>
          </cell>
          <cell r="H35">
            <v>-34517</v>
          </cell>
          <cell r="I35">
            <v>-5511</v>
          </cell>
          <cell r="J35"/>
          <cell r="K35">
            <v>0</v>
          </cell>
          <cell r="L35">
            <v>116014</v>
          </cell>
          <cell r="M35">
            <v>111990</v>
          </cell>
          <cell r="N35">
            <v>0</v>
          </cell>
          <cell r="O35">
            <v>0</v>
          </cell>
          <cell r="P35">
            <v>0</v>
          </cell>
          <cell r="Q35">
            <v>0</v>
          </cell>
          <cell r="R35">
            <v>0</v>
          </cell>
          <cell r="S35">
            <v>0</v>
          </cell>
          <cell r="T35">
            <v>0</v>
          </cell>
          <cell r="U35">
            <v>0</v>
          </cell>
          <cell r="V35">
            <v>0</v>
          </cell>
          <cell r="W35">
            <v>93341</v>
          </cell>
          <cell r="X35">
            <v>0</v>
          </cell>
          <cell r="Y35"/>
          <cell r="Z35">
            <v>0</v>
          </cell>
          <cell r="AA35">
            <v>0</v>
          </cell>
          <cell r="AB35">
            <v>0</v>
          </cell>
          <cell r="AC35"/>
          <cell r="AD35">
            <v>94846</v>
          </cell>
          <cell r="AE35">
            <v>0</v>
          </cell>
          <cell r="AF35">
            <v>0</v>
          </cell>
          <cell r="AG35">
            <v>0</v>
          </cell>
          <cell r="AH35">
            <v>0</v>
          </cell>
          <cell r="AI35">
            <v>0</v>
          </cell>
          <cell r="AJ35">
            <v>0</v>
          </cell>
          <cell r="AK35">
            <v>0</v>
          </cell>
          <cell r="AL35"/>
          <cell r="AM35">
            <v>0</v>
          </cell>
          <cell r="AN35">
            <v>0</v>
          </cell>
          <cell r="AO35">
            <v>0</v>
          </cell>
          <cell r="AP35">
            <v>0</v>
          </cell>
          <cell r="AQ35">
            <v>0</v>
          </cell>
          <cell r="AR35">
            <v>0</v>
          </cell>
          <cell r="AS35">
            <v>0</v>
          </cell>
          <cell r="AT35">
            <v>0</v>
          </cell>
          <cell r="AU35">
            <v>2370</v>
          </cell>
          <cell r="AV35">
            <v>0</v>
          </cell>
          <cell r="AW35">
            <v>0</v>
          </cell>
          <cell r="AX35">
            <v>0</v>
          </cell>
          <cell r="AY35"/>
          <cell r="AZ35"/>
          <cell r="BA35">
            <v>0</v>
          </cell>
          <cell r="BB35"/>
          <cell r="BC35">
            <v>0</v>
          </cell>
          <cell r="BD35">
            <v>8965</v>
          </cell>
          <cell r="BE35"/>
          <cell r="BF35">
            <v>0</v>
          </cell>
          <cell r="BG35">
            <v>0</v>
          </cell>
          <cell r="BH35">
            <v>0</v>
          </cell>
          <cell r="BI35">
            <v>46808</v>
          </cell>
          <cell r="BJ35">
            <v>38530</v>
          </cell>
          <cell r="BK35">
            <v>38530</v>
          </cell>
          <cell r="BL35">
            <v>0</v>
          </cell>
          <cell r="BM35">
            <v>0</v>
          </cell>
          <cell r="BN35">
            <v>0</v>
          </cell>
          <cell r="BO35">
            <v>78315</v>
          </cell>
          <cell r="BP35">
            <v>4744.2</v>
          </cell>
          <cell r="BQ35">
            <v>8546.5116279069807</v>
          </cell>
          <cell r="BR35">
            <v>0</v>
          </cell>
          <cell r="BS35">
            <v>0</v>
          </cell>
          <cell r="BT35">
            <v>53597</v>
          </cell>
          <cell r="BU35"/>
          <cell r="BV35"/>
          <cell r="BW35"/>
          <cell r="BX35"/>
          <cell r="BY35">
            <v>0</v>
          </cell>
          <cell r="BZ35">
            <v>0</v>
          </cell>
          <cell r="CA35">
            <v>0</v>
          </cell>
          <cell r="CB35">
            <v>0</v>
          </cell>
          <cell r="CC35">
            <v>2456321</v>
          </cell>
          <cell r="CD35">
            <v>14569879</v>
          </cell>
          <cell r="CE35">
            <v>1094179</v>
          </cell>
          <cell r="CF35">
            <v>-13355</v>
          </cell>
          <cell r="CG35">
            <v>1094179</v>
          </cell>
          <cell r="CH35">
            <v>1094179</v>
          </cell>
          <cell r="CI35">
            <v>1094179</v>
          </cell>
          <cell r="CJ35">
            <v>1094179</v>
          </cell>
          <cell r="CK35">
            <v>0</v>
          </cell>
          <cell r="CL35">
            <v>0</v>
          </cell>
          <cell r="CM35">
            <v>0</v>
          </cell>
          <cell r="CN35">
            <v>0</v>
          </cell>
          <cell r="CO35">
            <v>0</v>
          </cell>
          <cell r="CP35">
            <v>0</v>
          </cell>
          <cell r="CQ35">
            <v>3203840</v>
          </cell>
          <cell r="CR35">
            <v>3043718</v>
          </cell>
          <cell r="CS35">
            <v>2974842</v>
          </cell>
          <cell r="CT35">
            <v>2814325</v>
          </cell>
          <cell r="CU35">
            <v>2657437</v>
          </cell>
          <cell r="CV35">
            <v>28797</v>
          </cell>
          <cell r="CW35">
            <v>0</v>
          </cell>
          <cell r="CX35">
            <v>0</v>
          </cell>
          <cell r="CY35">
            <v>0</v>
          </cell>
          <cell r="CZ35">
            <v>0</v>
          </cell>
          <cell r="DA35">
            <v>0</v>
          </cell>
          <cell r="DB35"/>
          <cell r="DC35">
            <v>0</v>
          </cell>
          <cell r="DD35">
            <v>0</v>
          </cell>
          <cell r="DE35">
            <v>0</v>
          </cell>
          <cell r="DF35">
            <v>0</v>
          </cell>
          <cell r="DG35">
            <v>0</v>
          </cell>
          <cell r="DH35">
            <v>0</v>
          </cell>
          <cell r="DI35">
            <v>0</v>
          </cell>
          <cell r="DJ35">
            <v>0</v>
          </cell>
          <cell r="DK35">
            <v>0</v>
          </cell>
          <cell r="DL35">
            <v>0</v>
          </cell>
          <cell r="DM35"/>
          <cell r="DN35"/>
          <cell r="DO35"/>
          <cell r="DP35"/>
        </row>
        <row r="36">
          <cell r="A36">
            <v>86</v>
          </cell>
          <cell r="B36" t="str">
            <v>Opsterland</v>
          </cell>
          <cell r="C36">
            <v>2</v>
          </cell>
          <cell r="D36">
            <v>21223</v>
          </cell>
          <cell r="E36">
            <v>10611</v>
          </cell>
          <cell r="F36">
            <v>0</v>
          </cell>
          <cell r="G36">
            <v>0</v>
          </cell>
          <cell r="H36">
            <v>-37064</v>
          </cell>
          <cell r="I36">
            <v>-14057</v>
          </cell>
          <cell r="J36"/>
          <cell r="K36">
            <v>0</v>
          </cell>
          <cell r="L36">
            <v>122839</v>
          </cell>
          <cell r="M36">
            <v>126464</v>
          </cell>
          <cell r="N36">
            <v>0</v>
          </cell>
          <cell r="O36">
            <v>0</v>
          </cell>
          <cell r="P36">
            <v>0</v>
          </cell>
          <cell r="Q36">
            <v>0</v>
          </cell>
          <cell r="R36">
            <v>0</v>
          </cell>
          <cell r="S36">
            <v>0</v>
          </cell>
          <cell r="T36">
            <v>0</v>
          </cell>
          <cell r="U36">
            <v>0</v>
          </cell>
          <cell r="V36">
            <v>0</v>
          </cell>
          <cell r="W36">
            <v>127901</v>
          </cell>
          <cell r="X36">
            <v>0</v>
          </cell>
          <cell r="Y36"/>
          <cell r="Z36">
            <v>0</v>
          </cell>
          <cell r="AA36">
            <v>0</v>
          </cell>
          <cell r="AB36">
            <v>0</v>
          </cell>
          <cell r="AC36"/>
          <cell r="AD36">
            <v>35200</v>
          </cell>
          <cell r="AE36">
            <v>0</v>
          </cell>
          <cell r="AF36">
            <v>0</v>
          </cell>
          <cell r="AG36">
            <v>0</v>
          </cell>
          <cell r="AH36">
            <v>0</v>
          </cell>
          <cell r="AI36">
            <v>0</v>
          </cell>
          <cell r="AJ36">
            <v>0</v>
          </cell>
          <cell r="AK36">
            <v>0</v>
          </cell>
          <cell r="AL36"/>
          <cell r="AM36">
            <v>0</v>
          </cell>
          <cell r="AN36">
            <v>0</v>
          </cell>
          <cell r="AO36">
            <v>0</v>
          </cell>
          <cell r="AP36">
            <v>0</v>
          </cell>
          <cell r="AQ36">
            <v>0</v>
          </cell>
          <cell r="AR36">
            <v>0</v>
          </cell>
          <cell r="AS36">
            <v>0</v>
          </cell>
          <cell r="AT36">
            <v>0</v>
          </cell>
          <cell r="AU36">
            <v>2370</v>
          </cell>
          <cell r="AV36">
            <v>0</v>
          </cell>
          <cell r="AW36">
            <v>0</v>
          </cell>
          <cell r="AX36">
            <v>0</v>
          </cell>
          <cell r="AY36"/>
          <cell r="AZ36"/>
          <cell r="BA36">
            <v>0</v>
          </cell>
          <cell r="BB36"/>
          <cell r="BC36">
            <v>0</v>
          </cell>
          <cell r="BD36">
            <v>10432</v>
          </cell>
          <cell r="BE36"/>
          <cell r="BF36">
            <v>0</v>
          </cell>
          <cell r="BG36">
            <v>0</v>
          </cell>
          <cell r="BH36">
            <v>0</v>
          </cell>
          <cell r="BI36">
            <v>44583</v>
          </cell>
          <cell r="BJ36">
            <v>36698</v>
          </cell>
          <cell r="BK36">
            <v>36698</v>
          </cell>
          <cell r="BL36">
            <v>0</v>
          </cell>
          <cell r="BM36">
            <v>0</v>
          </cell>
          <cell r="BN36">
            <v>0</v>
          </cell>
          <cell r="BO36">
            <v>142037</v>
          </cell>
          <cell r="BP36">
            <v>4744.2</v>
          </cell>
          <cell r="BQ36">
            <v>8546.5116279069807</v>
          </cell>
          <cell r="BR36">
            <v>0</v>
          </cell>
          <cell r="BS36">
            <v>0</v>
          </cell>
          <cell r="BT36">
            <v>67891</v>
          </cell>
          <cell r="BU36"/>
          <cell r="BV36"/>
          <cell r="BW36"/>
          <cell r="BX36"/>
          <cell r="BY36">
            <v>0</v>
          </cell>
          <cell r="BZ36">
            <v>0</v>
          </cell>
          <cell r="CA36">
            <v>0</v>
          </cell>
          <cell r="CB36">
            <v>0</v>
          </cell>
          <cell r="CC36">
            <v>2406734</v>
          </cell>
          <cell r="CD36">
            <v>16393295</v>
          </cell>
          <cell r="CE36">
            <v>2147258</v>
          </cell>
          <cell r="CF36">
            <v>-20713</v>
          </cell>
          <cell r="CG36">
            <v>2147258</v>
          </cell>
          <cell r="CH36">
            <v>2147258</v>
          </cell>
          <cell r="CI36">
            <v>2147258</v>
          </cell>
          <cell r="CJ36">
            <v>2147258</v>
          </cell>
          <cell r="CK36">
            <v>0</v>
          </cell>
          <cell r="CL36">
            <v>0</v>
          </cell>
          <cell r="CM36">
            <v>0</v>
          </cell>
          <cell r="CN36">
            <v>0</v>
          </cell>
          <cell r="CO36">
            <v>0</v>
          </cell>
          <cell r="CP36">
            <v>-1984</v>
          </cell>
          <cell r="CQ36">
            <v>3393643</v>
          </cell>
          <cell r="CR36">
            <v>3219141</v>
          </cell>
          <cell r="CS36">
            <v>3091410</v>
          </cell>
          <cell r="CT36">
            <v>2933672</v>
          </cell>
          <cell r="CU36">
            <v>2794605</v>
          </cell>
          <cell r="CV36">
            <v>-17862</v>
          </cell>
          <cell r="CW36">
            <v>0</v>
          </cell>
          <cell r="CX36">
            <v>0</v>
          </cell>
          <cell r="CY36">
            <v>0</v>
          </cell>
          <cell r="CZ36">
            <v>0</v>
          </cell>
          <cell r="DA36">
            <v>0</v>
          </cell>
          <cell r="DB36"/>
          <cell r="DC36">
            <v>0</v>
          </cell>
          <cell r="DD36">
            <v>0</v>
          </cell>
          <cell r="DE36">
            <v>0</v>
          </cell>
          <cell r="DF36">
            <v>0</v>
          </cell>
          <cell r="DG36">
            <v>0</v>
          </cell>
          <cell r="DH36">
            <v>0</v>
          </cell>
          <cell r="DI36">
            <v>0</v>
          </cell>
          <cell r="DJ36">
            <v>0</v>
          </cell>
          <cell r="DK36">
            <v>0</v>
          </cell>
          <cell r="DL36">
            <v>0</v>
          </cell>
          <cell r="DM36"/>
          <cell r="DN36"/>
          <cell r="DO36"/>
          <cell r="DP36"/>
        </row>
        <row r="37">
          <cell r="A37">
            <v>88</v>
          </cell>
          <cell r="B37" t="str">
            <v>Schiermonnikoog</v>
          </cell>
          <cell r="C37">
            <v>2</v>
          </cell>
          <cell r="D37">
            <v>2951</v>
          </cell>
          <cell r="E37">
            <v>1476</v>
          </cell>
          <cell r="F37">
            <v>0</v>
          </cell>
          <cell r="G37">
            <v>0</v>
          </cell>
          <cell r="H37">
            <v>-2525</v>
          </cell>
          <cell r="I37">
            <v>-2214</v>
          </cell>
          <cell r="J37"/>
          <cell r="K37">
            <v>0</v>
          </cell>
          <cell r="L37">
            <v>1791</v>
          </cell>
          <cell r="M37">
            <v>2428</v>
          </cell>
          <cell r="N37">
            <v>0</v>
          </cell>
          <cell r="O37">
            <v>0</v>
          </cell>
          <cell r="P37">
            <v>0</v>
          </cell>
          <cell r="Q37">
            <v>0</v>
          </cell>
          <cell r="R37">
            <v>0</v>
          </cell>
          <cell r="S37">
            <v>0</v>
          </cell>
          <cell r="T37">
            <v>0</v>
          </cell>
          <cell r="U37">
            <v>0</v>
          </cell>
          <cell r="V37">
            <v>0</v>
          </cell>
          <cell r="W37">
            <v>20204</v>
          </cell>
          <cell r="X37">
            <v>0</v>
          </cell>
          <cell r="Y37"/>
          <cell r="Z37">
            <v>0</v>
          </cell>
          <cell r="AA37">
            <v>0</v>
          </cell>
          <cell r="AB37">
            <v>0</v>
          </cell>
          <cell r="AC37"/>
          <cell r="AD37">
            <v>0</v>
          </cell>
          <cell r="AE37">
            <v>0</v>
          </cell>
          <cell r="AF37">
            <v>0</v>
          </cell>
          <cell r="AG37">
            <v>0</v>
          </cell>
          <cell r="AH37">
            <v>0</v>
          </cell>
          <cell r="AI37">
            <v>0</v>
          </cell>
          <cell r="AJ37">
            <v>0</v>
          </cell>
          <cell r="AK37">
            <v>0</v>
          </cell>
          <cell r="AL37"/>
          <cell r="AM37">
            <v>0</v>
          </cell>
          <cell r="AN37">
            <v>0</v>
          </cell>
          <cell r="AO37">
            <v>0</v>
          </cell>
          <cell r="AP37">
            <v>0</v>
          </cell>
          <cell r="AQ37">
            <v>0</v>
          </cell>
          <cell r="AR37">
            <v>0</v>
          </cell>
          <cell r="AS37">
            <v>0</v>
          </cell>
          <cell r="AT37">
            <v>0</v>
          </cell>
          <cell r="AU37">
            <v>0</v>
          </cell>
          <cell r="AV37">
            <v>0</v>
          </cell>
          <cell r="AW37">
            <v>0</v>
          </cell>
          <cell r="AX37">
            <v>0</v>
          </cell>
          <cell r="AY37"/>
          <cell r="AZ37"/>
          <cell r="BA37">
            <v>0</v>
          </cell>
          <cell r="BB37"/>
          <cell r="BC37">
            <v>0</v>
          </cell>
          <cell r="BD37">
            <v>330</v>
          </cell>
          <cell r="BE37"/>
          <cell r="BF37">
            <v>0</v>
          </cell>
          <cell r="BG37">
            <v>0</v>
          </cell>
          <cell r="BH37">
            <v>0</v>
          </cell>
          <cell r="BI37">
            <v>1206</v>
          </cell>
          <cell r="BJ37">
            <v>993</v>
          </cell>
          <cell r="BK37">
            <v>993</v>
          </cell>
          <cell r="BL37">
            <v>0</v>
          </cell>
          <cell r="BM37">
            <v>0</v>
          </cell>
          <cell r="BN37">
            <v>0</v>
          </cell>
          <cell r="BO37">
            <v>12161</v>
          </cell>
          <cell r="BP37">
            <v>0</v>
          </cell>
          <cell r="BQ37">
            <v>0</v>
          </cell>
          <cell r="BR37">
            <v>0</v>
          </cell>
          <cell r="BS37">
            <v>0</v>
          </cell>
          <cell r="BT37">
            <v>1928</v>
          </cell>
          <cell r="BU37"/>
          <cell r="BV37"/>
          <cell r="BW37"/>
          <cell r="BX37"/>
          <cell r="BY37">
            <v>0</v>
          </cell>
          <cell r="BZ37">
            <v>0</v>
          </cell>
          <cell r="CA37">
            <v>0</v>
          </cell>
          <cell r="CB37">
            <v>0</v>
          </cell>
          <cell r="CC37">
            <v>102263</v>
          </cell>
          <cell r="CD37">
            <v>267452</v>
          </cell>
          <cell r="CE37">
            <v>4747</v>
          </cell>
          <cell r="CF37">
            <v>-5445</v>
          </cell>
          <cell r="CG37">
            <v>4747</v>
          </cell>
          <cell r="CH37">
            <v>4747</v>
          </cell>
          <cell r="CI37">
            <v>4747</v>
          </cell>
          <cell r="CJ37">
            <v>4747</v>
          </cell>
          <cell r="CK37">
            <v>0</v>
          </cell>
          <cell r="CL37">
            <v>0</v>
          </cell>
          <cell r="CM37">
            <v>0</v>
          </cell>
          <cell r="CN37">
            <v>0</v>
          </cell>
          <cell r="CO37">
            <v>0</v>
          </cell>
          <cell r="CP37">
            <v>0</v>
          </cell>
          <cell r="CQ37">
            <v>8496</v>
          </cell>
          <cell r="CR37">
            <v>8497</v>
          </cell>
          <cell r="CS37">
            <v>7198</v>
          </cell>
          <cell r="CT37">
            <v>7199</v>
          </cell>
          <cell r="CU37">
            <v>7199</v>
          </cell>
          <cell r="CV37">
            <v>-6990</v>
          </cell>
          <cell r="CW37">
            <v>0</v>
          </cell>
          <cell r="CX37">
            <v>0</v>
          </cell>
          <cell r="CY37">
            <v>0</v>
          </cell>
          <cell r="CZ37">
            <v>0</v>
          </cell>
          <cell r="DA37">
            <v>0</v>
          </cell>
          <cell r="DB37"/>
          <cell r="DC37">
            <v>0</v>
          </cell>
          <cell r="DD37">
            <v>0</v>
          </cell>
          <cell r="DE37">
            <v>0</v>
          </cell>
          <cell r="DF37">
            <v>0</v>
          </cell>
          <cell r="DG37">
            <v>0</v>
          </cell>
          <cell r="DH37">
            <v>0</v>
          </cell>
          <cell r="DI37">
            <v>0</v>
          </cell>
          <cell r="DJ37">
            <v>0</v>
          </cell>
          <cell r="DK37">
            <v>0</v>
          </cell>
          <cell r="DL37">
            <v>0</v>
          </cell>
          <cell r="DM37"/>
          <cell r="DN37"/>
          <cell r="DO37"/>
          <cell r="DP37"/>
        </row>
        <row r="38">
          <cell r="A38">
            <v>90</v>
          </cell>
          <cell r="B38" t="str">
            <v>Smallingerland</v>
          </cell>
          <cell r="C38">
            <v>2</v>
          </cell>
          <cell r="D38">
            <v>137552</v>
          </cell>
          <cell r="E38">
            <v>68776</v>
          </cell>
          <cell r="F38">
            <v>0</v>
          </cell>
          <cell r="G38">
            <v>0</v>
          </cell>
          <cell r="H38">
            <v>-42647</v>
          </cell>
          <cell r="I38">
            <v>0</v>
          </cell>
          <cell r="J38"/>
          <cell r="K38">
            <v>0</v>
          </cell>
          <cell r="L38">
            <v>292274</v>
          </cell>
          <cell r="M38">
            <v>290544</v>
          </cell>
          <cell r="N38">
            <v>0</v>
          </cell>
          <cell r="O38">
            <v>0</v>
          </cell>
          <cell r="P38">
            <v>0</v>
          </cell>
          <cell r="Q38">
            <v>0</v>
          </cell>
          <cell r="R38">
            <v>0</v>
          </cell>
          <cell r="S38">
            <v>0</v>
          </cell>
          <cell r="T38">
            <v>0</v>
          </cell>
          <cell r="U38">
            <v>0</v>
          </cell>
          <cell r="V38">
            <v>6000</v>
          </cell>
          <cell r="W38">
            <v>201026</v>
          </cell>
          <cell r="X38">
            <v>0</v>
          </cell>
          <cell r="Y38"/>
          <cell r="Z38">
            <v>0</v>
          </cell>
          <cell r="AA38">
            <v>0</v>
          </cell>
          <cell r="AB38">
            <v>0</v>
          </cell>
          <cell r="AC38"/>
          <cell r="AD38">
            <v>129069</v>
          </cell>
          <cell r="AE38">
            <v>0</v>
          </cell>
          <cell r="AF38">
            <v>0</v>
          </cell>
          <cell r="AG38">
            <v>0</v>
          </cell>
          <cell r="AH38">
            <v>0</v>
          </cell>
          <cell r="AI38">
            <v>0</v>
          </cell>
          <cell r="AJ38">
            <v>0</v>
          </cell>
          <cell r="AK38">
            <v>0</v>
          </cell>
          <cell r="AL38"/>
          <cell r="AM38">
            <v>0</v>
          </cell>
          <cell r="AN38">
            <v>0</v>
          </cell>
          <cell r="AO38">
            <v>0</v>
          </cell>
          <cell r="AP38">
            <v>0</v>
          </cell>
          <cell r="AQ38">
            <v>0</v>
          </cell>
          <cell r="AR38">
            <v>0</v>
          </cell>
          <cell r="AS38">
            <v>0</v>
          </cell>
          <cell r="AT38">
            <v>0</v>
          </cell>
          <cell r="AU38">
            <v>2370</v>
          </cell>
          <cell r="AV38">
            <v>0</v>
          </cell>
          <cell r="AW38">
            <v>0</v>
          </cell>
          <cell r="AX38">
            <v>0</v>
          </cell>
          <cell r="AY38"/>
          <cell r="AZ38"/>
          <cell r="BA38">
            <v>0</v>
          </cell>
          <cell r="BB38"/>
          <cell r="BC38">
            <v>0</v>
          </cell>
          <cell r="BD38">
            <v>19551</v>
          </cell>
          <cell r="BE38"/>
          <cell r="BF38">
            <v>0</v>
          </cell>
          <cell r="BG38">
            <v>0</v>
          </cell>
          <cell r="BH38">
            <v>0</v>
          </cell>
          <cell r="BI38">
            <v>105471</v>
          </cell>
          <cell r="BJ38">
            <v>86818</v>
          </cell>
          <cell r="BK38">
            <v>86818</v>
          </cell>
          <cell r="BL38">
            <v>0</v>
          </cell>
          <cell r="BM38">
            <v>0</v>
          </cell>
          <cell r="BN38">
            <v>0</v>
          </cell>
          <cell r="BO38">
            <v>177060</v>
          </cell>
          <cell r="BP38">
            <v>23721</v>
          </cell>
          <cell r="BQ38">
            <v>42732.5581395349</v>
          </cell>
          <cell r="BR38">
            <v>0</v>
          </cell>
          <cell r="BS38">
            <v>0</v>
          </cell>
          <cell r="BT38">
            <v>110466</v>
          </cell>
          <cell r="BU38"/>
          <cell r="BV38"/>
          <cell r="BW38"/>
          <cell r="BX38"/>
          <cell r="BY38">
            <v>0</v>
          </cell>
          <cell r="BZ38">
            <v>0</v>
          </cell>
          <cell r="CA38">
            <v>0</v>
          </cell>
          <cell r="CB38">
            <v>0</v>
          </cell>
          <cell r="CC38">
            <v>5197941</v>
          </cell>
          <cell r="CD38">
            <v>40756337</v>
          </cell>
          <cell r="CE38">
            <v>6443359</v>
          </cell>
          <cell r="CF38">
            <v>0</v>
          </cell>
          <cell r="CG38">
            <v>6443359</v>
          </cell>
          <cell r="CH38">
            <v>6443359</v>
          </cell>
          <cell r="CI38">
            <v>6443359</v>
          </cell>
          <cell r="CJ38">
            <v>6443359</v>
          </cell>
          <cell r="CK38">
            <v>0</v>
          </cell>
          <cell r="CL38">
            <v>0</v>
          </cell>
          <cell r="CM38">
            <v>0</v>
          </cell>
          <cell r="CN38">
            <v>0</v>
          </cell>
          <cell r="CO38">
            <v>0</v>
          </cell>
          <cell r="CP38">
            <v>0</v>
          </cell>
          <cell r="CQ38">
            <v>10679509</v>
          </cell>
          <cell r="CR38">
            <v>10196646</v>
          </cell>
          <cell r="CS38">
            <v>9951031</v>
          </cell>
          <cell r="CT38">
            <v>9782131</v>
          </cell>
          <cell r="CU38">
            <v>9538554</v>
          </cell>
          <cell r="CV38">
            <v>-25145</v>
          </cell>
          <cell r="CW38">
            <v>0</v>
          </cell>
          <cell r="CX38">
            <v>0</v>
          </cell>
          <cell r="CY38">
            <v>0</v>
          </cell>
          <cell r="CZ38">
            <v>0</v>
          </cell>
          <cell r="DA38">
            <v>0</v>
          </cell>
          <cell r="DB38"/>
          <cell r="DC38">
            <v>0</v>
          </cell>
          <cell r="DD38">
            <v>0</v>
          </cell>
          <cell r="DE38">
            <v>0</v>
          </cell>
          <cell r="DF38">
            <v>0</v>
          </cell>
          <cell r="DG38">
            <v>0</v>
          </cell>
          <cell r="DH38">
            <v>0</v>
          </cell>
          <cell r="DI38">
            <v>0</v>
          </cell>
          <cell r="DJ38">
            <v>0</v>
          </cell>
          <cell r="DK38">
            <v>0</v>
          </cell>
          <cell r="DL38">
            <v>0</v>
          </cell>
          <cell r="DM38"/>
          <cell r="DN38"/>
          <cell r="DO38"/>
          <cell r="DP38"/>
        </row>
        <row r="39">
          <cell r="A39">
            <v>1900</v>
          </cell>
          <cell r="B39" t="str">
            <v>Sudwest Fryslan</v>
          </cell>
          <cell r="C39">
            <v>2</v>
          </cell>
          <cell r="D39">
            <v>82392.320000000007</v>
          </cell>
          <cell r="E39">
            <v>41196.660000000003</v>
          </cell>
          <cell r="F39">
            <v>0</v>
          </cell>
          <cell r="G39">
            <v>0</v>
          </cell>
          <cell r="H39">
            <v>-34808.370000000003</v>
          </cell>
          <cell r="I39">
            <v>-41387.42</v>
          </cell>
          <cell r="J39"/>
          <cell r="K39">
            <v>0</v>
          </cell>
          <cell r="L39">
            <v>423001.89</v>
          </cell>
          <cell r="M39">
            <v>450368</v>
          </cell>
          <cell r="N39">
            <v>0</v>
          </cell>
          <cell r="O39">
            <v>0</v>
          </cell>
          <cell r="P39">
            <v>0</v>
          </cell>
          <cell r="Q39">
            <v>0</v>
          </cell>
          <cell r="R39">
            <v>0</v>
          </cell>
          <cell r="S39">
            <v>0</v>
          </cell>
          <cell r="T39">
            <v>0</v>
          </cell>
          <cell r="U39">
            <v>0</v>
          </cell>
          <cell r="V39">
            <v>24000</v>
          </cell>
          <cell r="W39">
            <v>340431</v>
          </cell>
          <cell r="X39">
            <v>0</v>
          </cell>
          <cell r="Y39"/>
          <cell r="Z39">
            <v>0</v>
          </cell>
          <cell r="AA39">
            <v>0</v>
          </cell>
          <cell r="AB39">
            <v>0</v>
          </cell>
          <cell r="AC39"/>
          <cell r="AD39">
            <v>161759</v>
          </cell>
          <cell r="AE39">
            <v>0</v>
          </cell>
          <cell r="AF39">
            <v>0</v>
          </cell>
          <cell r="AG39">
            <v>0</v>
          </cell>
          <cell r="AH39">
            <v>0</v>
          </cell>
          <cell r="AI39">
            <v>0</v>
          </cell>
          <cell r="AJ39">
            <v>0</v>
          </cell>
          <cell r="AK39">
            <v>0</v>
          </cell>
          <cell r="AL39"/>
          <cell r="AM39">
            <v>0</v>
          </cell>
          <cell r="AN39">
            <v>0</v>
          </cell>
          <cell r="AO39">
            <v>0</v>
          </cell>
          <cell r="AP39">
            <v>0</v>
          </cell>
          <cell r="AQ39">
            <v>0</v>
          </cell>
          <cell r="AR39">
            <v>0</v>
          </cell>
          <cell r="AS39">
            <v>0</v>
          </cell>
          <cell r="AT39">
            <v>20000</v>
          </cell>
          <cell r="AU39">
            <v>9480</v>
          </cell>
          <cell r="AV39">
            <v>0</v>
          </cell>
          <cell r="AW39">
            <v>0</v>
          </cell>
          <cell r="AX39">
            <v>0</v>
          </cell>
          <cell r="AY39"/>
          <cell r="AZ39"/>
          <cell r="BA39">
            <v>0</v>
          </cell>
          <cell r="BB39"/>
          <cell r="BC39">
            <v>0</v>
          </cell>
          <cell r="BD39">
            <v>157264</v>
          </cell>
          <cell r="BE39"/>
          <cell r="BF39">
            <v>0</v>
          </cell>
          <cell r="BG39">
            <v>0</v>
          </cell>
          <cell r="BH39">
            <v>0</v>
          </cell>
          <cell r="BI39">
            <v>153576</v>
          </cell>
          <cell r="BJ39">
            <v>126416</v>
          </cell>
          <cell r="BK39">
            <v>126416</v>
          </cell>
          <cell r="BL39">
            <v>0</v>
          </cell>
          <cell r="BM39">
            <v>0</v>
          </cell>
          <cell r="BN39">
            <v>0</v>
          </cell>
          <cell r="BO39">
            <v>344114</v>
          </cell>
          <cell r="BP39">
            <v>31628</v>
          </cell>
          <cell r="BQ39">
            <v>56976.744186046497</v>
          </cell>
          <cell r="BR39">
            <v>0</v>
          </cell>
          <cell r="BS39">
            <v>0</v>
          </cell>
          <cell r="BT39">
            <v>215766</v>
          </cell>
          <cell r="BU39"/>
          <cell r="BV39"/>
          <cell r="BW39"/>
          <cell r="BX39"/>
          <cell r="BY39">
            <v>0</v>
          </cell>
          <cell r="BZ39">
            <v>0</v>
          </cell>
          <cell r="CA39">
            <v>0</v>
          </cell>
          <cell r="CB39">
            <v>0</v>
          </cell>
          <cell r="CC39">
            <v>7456758</v>
          </cell>
          <cell r="CD39">
            <v>49240943</v>
          </cell>
          <cell r="CE39">
            <v>2843008</v>
          </cell>
          <cell r="CF39">
            <v>-100141</v>
          </cell>
          <cell r="CG39">
            <v>2843008</v>
          </cell>
          <cell r="CH39">
            <v>2843008</v>
          </cell>
          <cell r="CI39">
            <v>2843008</v>
          </cell>
          <cell r="CJ39">
            <v>2843008</v>
          </cell>
          <cell r="CK39">
            <v>0</v>
          </cell>
          <cell r="CL39">
            <v>0</v>
          </cell>
          <cell r="CM39">
            <v>0</v>
          </cell>
          <cell r="CN39">
            <v>0</v>
          </cell>
          <cell r="CO39">
            <v>0</v>
          </cell>
          <cell r="CP39">
            <v>0</v>
          </cell>
          <cell r="CQ39">
            <v>13771126</v>
          </cell>
          <cell r="CR39">
            <v>13132185</v>
          </cell>
          <cell r="CS39">
            <v>12764484</v>
          </cell>
          <cell r="CT39">
            <v>12428365</v>
          </cell>
          <cell r="CU39">
            <v>12019328</v>
          </cell>
          <cell r="CV39">
            <v>218157</v>
          </cell>
          <cell r="CW39">
            <v>0</v>
          </cell>
          <cell r="CX39">
            <v>0</v>
          </cell>
          <cell r="CY39">
            <v>0</v>
          </cell>
          <cell r="CZ39">
            <v>0</v>
          </cell>
          <cell r="DA39">
            <v>0</v>
          </cell>
          <cell r="DB39"/>
          <cell r="DC39">
            <v>0</v>
          </cell>
          <cell r="DD39">
            <v>0</v>
          </cell>
          <cell r="DE39">
            <v>0</v>
          </cell>
          <cell r="DF39">
            <v>0</v>
          </cell>
          <cell r="DG39">
            <v>0</v>
          </cell>
          <cell r="DH39">
            <v>0</v>
          </cell>
          <cell r="DI39">
            <v>0</v>
          </cell>
          <cell r="DJ39">
            <v>0</v>
          </cell>
          <cell r="DK39">
            <v>0</v>
          </cell>
          <cell r="DL39">
            <v>0</v>
          </cell>
          <cell r="DM39"/>
          <cell r="DN39"/>
          <cell r="DO39"/>
          <cell r="DP39"/>
        </row>
        <row r="40">
          <cell r="A40">
            <v>93</v>
          </cell>
          <cell r="B40" t="str">
            <v>Terschelling</v>
          </cell>
          <cell r="C40">
            <v>2</v>
          </cell>
          <cell r="D40">
            <v>-10463</v>
          </cell>
          <cell r="E40">
            <v>-5232</v>
          </cell>
          <cell r="F40">
            <v>0</v>
          </cell>
          <cell r="G40">
            <v>0</v>
          </cell>
          <cell r="H40">
            <v>0</v>
          </cell>
          <cell r="I40">
            <v>0</v>
          </cell>
          <cell r="J40"/>
          <cell r="K40">
            <v>0</v>
          </cell>
          <cell r="L40">
            <v>12256</v>
          </cell>
          <cell r="M40">
            <v>11428</v>
          </cell>
          <cell r="N40">
            <v>0</v>
          </cell>
          <cell r="O40">
            <v>0</v>
          </cell>
          <cell r="P40">
            <v>0</v>
          </cell>
          <cell r="Q40">
            <v>0</v>
          </cell>
          <cell r="R40">
            <v>0</v>
          </cell>
          <cell r="S40">
            <v>0</v>
          </cell>
          <cell r="T40">
            <v>0</v>
          </cell>
          <cell r="U40">
            <v>0</v>
          </cell>
          <cell r="V40">
            <v>0</v>
          </cell>
          <cell r="W40">
            <v>27213</v>
          </cell>
          <cell r="X40">
            <v>0</v>
          </cell>
          <cell r="Y40"/>
          <cell r="Z40">
            <v>0</v>
          </cell>
          <cell r="AA40">
            <v>0</v>
          </cell>
          <cell r="AB40">
            <v>0</v>
          </cell>
          <cell r="AC40"/>
          <cell r="AD40">
            <v>0</v>
          </cell>
          <cell r="AE40">
            <v>0</v>
          </cell>
          <cell r="AF40">
            <v>0</v>
          </cell>
          <cell r="AG40">
            <v>0</v>
          </cell>
          <cell r="AH40">
            <v>0</v>
          </cell>
          <cell r="AI40">
            <v>0</v>
          </cell>
          <cell r="AJ40">
            <v>0</v>
          </cell>
          <cell r="AK40">
            <v>0</v>
          </cell>
          <cell r="AL40"/>
          <cell r="AM40">
            <v>0</v>
          </cell>
          <cell r="AN40">
            <v>0</v>
          </cell>
          <cell r="AO40">
            <v>0</v>
          </cell>
          <cell r="AP40">
            <v>0</v>
          </cell>
          <cell r="AQ40">
            <v>0</v>
          </cell>
          <cell r="AR40">
            <v>0</v>
          </cell>
          <cell r="AS40">
            <v>0</v>
          </cell>
          <cell r="AT40">
            <v>0</v>
          </cell>
          <cell r="AU40">
            <v>0</v>
          </cell>
          <cell r="AV40">
            <v>0</v>
          </cell>
          <cell r="AW40">
            <v>0</v>
          </cell>
          <cell r="AX40">
            <v>0</v>
          </cell>
          <cell r="AY40"/>
          <cell r="AZ40"/>
          <cell r="BA40">
            <v>0</v>
          </cell>
          <cell r="BB40"/>
          <cell r="BC40">
            <v>0</v>
          </cell>
          <cell r="BD40">
            <v>1706</v>
          </cell>
          <cell r="BE40"/>
          <cell r="BF40">
            <v>0</v>
          </cell>
          <cell r="BG40">
            <v>0</v>
          </cell>
          <cell r="BH40">
            <v>0</v>
          </cell>
          <cell r="BI40">
            <v>4004</v>
          </cell>
          <cell r="BJ40">
            <v>3296</v>
          </cell>
          <cell r="BK40">
            <v>3296</v>
          </cell>
          <cell r="BL40">
            <v>0</v>
          </cell>
          <cell r="BM40">
            <v>0</v>
          </cell>
          <cell r="BN40">
            <v>0</v>
          </cell>
          <cell r="BO40">
            <v>10215</v>
          </cell>
          <cell r="BP40">
            <v>0</v>
          </cell>
          <cell r="BQ40">
            <v>0</v>
          </cell>
          <cell r="BR40">
            <v>0</v>
          </cell>
          <cell r="BS40">
            <v>0</v>
          </cell>
          <cell r="BT40">
            <v>15485</v>
          </cell>
          <cell r="BU40"/>
          <cell r="BV40"/>
          <cell r="BW40"/>
          <cell r="BX40"/>
          <cell r="BY40">
            <v>0</v>
          </cell>
          <cell r="BZ40">
            <v>0</v>
          </cell>
          <cell r="CA40">
            <v>0</v>
          </cell>
          <cell r="CB40">
            <v>0</v>
          </cell>
          <cell r="CC40">
            <v>305146</v>
          </cell>
          <cell r="CD40">
            <v>1326192</v>
          </cell>
          <cell r="CE40">
            <v>4747</v>
          </cell>
          <cell r="CF40">
            <v>283317</v>
          </cell>
          <cell r="CG40">
            <v>4747</v>
          </cell>
          <cell r="CH40">
            <v>4747</v>
          </cell>
          <cell r="CI40">
            <v>4747</v>
          </cell>
          <cell r="CJ40">
            <v>4747</v>
          </cell>
          <cell r="CK40">
            <v>0</v>
          </cell>
          <cell r="CL40">
            <v>0</v>
          </cell>
          <cell r="CM40">
            <v>0</v>
          </cell>
          <cell r="CN40">
            <v>0</v>
          </cell>
          <cell r="CO40">
            <v>0</v>
          </cell>
          <cell r="CP40">
            <v>-847</v>
          </cell>
          <cell r="CQ40">
            <v>226069</v>
          </cell>
          <cell r="CR40">
            <v>219413</v>
          </cell>
          <cell r="CS40">
            <v>217808</v>
          </cell>
          <cell r="CT40">
            <v>216925</v>
          </cell>
          <cell r="CU40">
            <v>216303</v>
          </cell>
          <cell r="CV40">
            <v>17736</v>
          </cell>
          <cell r="CW40">
            <v>0</v>
          </cell>
          <cell r="CX40">
            <v>0</v>
          </cell>
          <cell r="CY40">
            <v>0</v>
          </cell>
          <cell r="CZ40">
            <v>0</v>
          </cell>
          <cell r="DA40">
            <v>0</v>
          </cell>
          <cell r="DB40"/>
          <cell r="DC40">
            <v>0</v>
          </cell>
          <cell r="DD40">
            <v>0</v>
          </cell>
          <cell r="DE40">
            <v>0</v>
          </cell>
          <cell r="DF40">
            <v>0</v>
          </cell>
          <cell r="DG40">
            <v>0</v>
          </cell>
          <cell r="DH40">
            <v>0</v>
          </cell>
          <cell r="DI40">
            <v>0</v>
          </cell>
          <cell r="DJ40">
            <v>0</v>
          </cell>
          <cell r="DK40">
            <v>0</v>
          </cell>
          <cell r="DL40">
            <v>0</v>
          </cell>
          <cell r="DM40"/>
          <cell r="DN40"/>
          <cell r="DO40"/>
          <cell r="DP40"/>
        </row>
        <row r="41">
          <cell r="A41">
            <v>737</v>
          </cell>
          <cell r="B41" t="str">
            <v>Tytsjerksteradiel</v>
          </cell>
          <cell r="C41">
            <v>2</v>
          </cell>
          <cell r="D41">
            <v>76575</v>
          </cell>
          <cell r="E41">
            <v>38287</v>
          </cell>
          <cell r="F41">
            <v>0</v>
          </cell>
          <cell r="G41">
            <v>0</v>
          </cell>
          <cell r="H41">
            <v>-39182</v>
          </cell>
          <cell r="I41">
            <v>-6875</v>
          </cell>
          <cell r="J41"/>
          <cell r="K41">
            <v>0</v>
          </cell>
          <cell r="L41">
            <v>113806</v>
          </cell>
          <cell r="M41">
            <v>111561</v>
          </cell>
          <cell r="N41">
            <v>0</v>
          </cell>
          <cell r="O41">
            <v>0</v>
          </cell>
          <cell r="P41">
            <v>0</v>
          </cell>
          <cell r="Q41">
            <v>0</v>
          </cell>
          <cell r="R41">
            <v>0</v>
          </cell>
          <cell r="S41">
            <v>0</v>
          </cell>
          <cell r="T41">
            <v>0</v>
          </cell>
          <cell r="U41">
            <v>0</v>
          </cell>
          <cell r="V41">
            <v>0</v>
          </cell>
          <cell r="W41">
            <v>133343</v>
          </cell>
          <cell r="X41">
            <v>0</v>
          </cell>
          <cell r="Y41"/>
          <cell r="Z41">
            <v>0</v>
          </cell>
          <cell r="AA41">
            <v>0</v>
          </cell>
          <cell r="AB41">
            <v>0</v>
          </cell>
          <cell r="AC41"/>
          <cell r="AD41">
            <v>47912</v>
          </cell>
          <cell r="AE41">
            <v>0</v>
          </cell>
          <cell r="AF41">
            <v>0</v>
          </cell>
          <cell r="AG41">
            <v>0</v>
          </cell>
          <cell r="AH41">
            <v>0</v>
          </cell>
          <cell r="AI41">
            <v>0</v>
          </cell>
          <cell r="AJ41">
            <v>0</v>
          </cell>
          <cell r="AK41">
            <v>0</v>
          </cell>
          <cell r="AL41"/>
          <cell r="AM41">
            <v>0</v>
          </cell>
          <cell r="AN41">
            <v>0</v>
          </cell>
          <cell r="AO41">
            <v>0</v>
          </cell>
          <cell r="AP41">
            <v>0</v>
          </cell>
          <cell r="AQ41">
            <v>0</v>
          </cell>
          <cell r="AR41">
            <v>0</v>
          </cell>
          <cell r="AS41">
            <v>0</v>
          </cell>
          <cell r="AT41">
            <v>0</v>
          </cell>
          <cell r="AU41">
            <v>2370</v>
          </cell>
          <cell r="AV41">
            <v>0</v>
          </cell>
          <cell r="AW41">
            <v>0</v>
          </cell>
          <cell r="AX41">
            <v>0</v>
          </cell>
          <cell r="AY41"/>
          <cell r="AZ41"/>
          <cell r="BA41">
            <v>0</v>
          </cell>
          <cell r="BB41"/>
          <cell r="BC41">
            <v>0</v>
          </cell>
          <cell r="BD41">
            <v>11220</v>
          </cell>
          <cell r="BE41"/>
          <cell r="BF41">
            <v>0</v>
          </cell>
          <cell r="BG41">
            <v>0</v>
          </cell>
          <cell r="BH41">
            <v>0</v>
          </cell>
          <cell r="BI41">
            <v>46270</v>
          </cell>
          <cell r="BJ41">
            <v>38087</v>
          </cell>
          <cell r="BK41">
            <v>38087</v>
          </cell>
          <cell r="BL41">
            <v>0</v>
          </cell>
          <cell r="BM41">
            <v>0</v>
          </cell>
          <cell r="BN41">
            <v>0</v>
          </cell>
          <cell r="BO41">
            <v>154198</v>
          </cell>
          <cell r="BP41">
            <v>14232.6</v>
          </cell>
          <cell r="BQ41">
            <v>25639.534883720899</v>
          </cell>
          <cell r="BR41">
            <v>0</v>
          </cell>
          <cell r="BS41">
            <v>0</v>
          </cell>
          <cell r="BT41">
            <v>71107</v>
          </cell>
          <cell r="BU41"/>
          <cell r="BV41"/>
          <cell r="BW41"/>
          <cell r="BX41"/>
          <cell r="BY41">
            <v>0</v>
          </cell>
          <cell r="BZ41">
            <v>0</v>
          </cell>
          <cell r="CA41">
            <v>0</v>
          </cell>
          <cell r="CB41">
            <v>0</v>
          </cell>
          <cell r="CC41">
            <v>2725854</v>
          </cell>
          <cell r="CD41">
            <v>16906384</v>
          </cell>
          <cell r="CE41">
            <v>1909788</v>
          </cell>
          <cell r="CF41">
            <v>-16632</v>
          </cell>
          <cell r="CG41">
            <v>1909788</v>
          </cell>
          <cell r="CH41">
            <v>1909788</v>
          </cell>
          <cell r="CI41">
            <v>1909788</v>
          </cell>
          <cell r="CJ41">
            <v>1909788</v>
          </cell>
          <cell r="CK41">
            <v>0</v>
          </cell>
          <cell r="CL41">
            <v>0</v>
          </cell>
          <cell r="CM41">
            <v>0</v>
          </cell>
          <cell r="CN41">
            <v>0</v>
          </cell>
          <cell r="CO41">
            <v>0</v>
          </cell>
          <cell r="CP41">
            <v>0</v>
          </cell>
          <cell r="CQ41">
            <v>3571588</v>
          </cell>
          <cell r="CR41">
            <v>3413904</v>
          </cell>
          <cell r="CS41">
            <v>3335881</v>
          </cell>
          <cell r="CT41">
            <v>3293879</v>
          </cell>
          <cell r="CU41">
            <v>3189854</v>
          </cell>
          <cell r="CV41">
            <v>-88644</v>
          </cell>
          <cell r="CW41">
            <v>0</v>
          </cell>
          <cell r="CX41">
            <v>0</v>
          </cell>
          <cell r="CY41">
            <v>0</v>
          </cell>
          <cell r="CZ41">
            <v>0</v>
          </cell>
          <cell r="DA41">
            <v>0</v>
          </cell>
          <cell r="DB41"/>
          <cell r="DC41">
            <v>0</v>
          </cell>
          <cell r="DD41">
            <v>0</v>
          </cell>
          <cell r="DE41">
            <v>0</v>
          </cell>
          <cell r="DF41">
            <v>0</v>
          </cell>
          <cell r="DG41">
            <v>0</v>
          </cell>
          <cell r="DH41">
            <v>0</v>
          </cell>
          <cell r="DI41">
            <v>0</v>
          </cell>
          <cell r="DJ41">
            <v>0</v>
          </cell>
          <cell r="DK41">
            <v>0</v>
          </cell>
          <cell r="DL41">
            <v>0</v>
          </cell>
          <cell r="DM41"/>
          <cell r="DN41"/>
          <cell r="DO41"/>
          <cell r="DP41"/>
        </row>
        <row r="42">
          <cell r="A42">
            <v>96</v>
          </cell>
          <cell r="B42" t="str">
            <v>Vlieland</v>
          </cell>
          <cell r="C42">
            <v>2</v>
          </cell>
          <cell r="D42">
            <v>2856</v>
          </cell>
          <cell r="E42">
            <v>1428</v>
          </cell>
          <cell r="F42">
            <v>0</v>
          </cell>
          <cell r="G42">
            <v>0</v>
          </cell>
          <cell r="H42">
            <v>-418</v>
          </cell>
          <cell r="I42">
            <v>-789</v>
          </cell>
          <cell r="J42"/>
          <cell r="K42">
            <v>0</v>
          </cell>
          <cell r="L42">
            <v>3223</v>
          </cell>
          <cell r="M42">
            <v>5238</v>
          </cell>
          <cell r="N42">
            <v>0</v>
          </cell>
          <cell r="O42">
            <v>0</v>
          </cell>
          <cell r="P42">
            <v>0</v>
          </cell>
          <cell r="Q42">
            <v>0</v>
          </cell>
          <cell r="R42">
            <v>0</v>
          </cell>
          <cell r="S42">
            <v>0</v>
          </cell>
          <cell r="T42">
            <v>0</v>
          </cell>
          <cell r="U42">
            <v>0</v>
          </cell>
          <cell r="V42">
            <v>0</v>
          </cell>
          <cell r="W42">
            <v>20204</v>
          </cell>
          <cell r="X42">
            <v>0</v>
          </cell>
          <cell r="Y42"/>
          <cell r="Z42">
            <v>0</v>
          </cell>
          <cell r="AA42">
            <v>0</v>
          </cell>
          <cell r="AB42">
            <v>0</v>
          </cell>
          <cell r="AC42"/>
          <cell r="AD42">
            <v>0</v>
          </cell>
          <cell r="AE42">
            <v>0</v>
          </cell>
          <cell r="AF42">
            <v>0</v>
          </cell>
          <cell r="AG42">
            <v>0</v>
          </cell>
          <cell r="AH42">
            <v>0</v>
          </cell>
          <cell r="AI42">
            <v>0</v>
          </cell>
          <cell r="AJ42">
            <v>0</v>
          </cell>
          <cell r="AK42">
            <v>0</v>
          </cell>
          <cell r="AL42"/>
          <cell r="AM42">
            <v>0</v>
          </cell>
          <cell r="AN42">
            <v>0</v>
          </cell>
          <cell r="AO42">
            <v>0</v>
          </cell>
          <cell r="AP42">
            <v>0</v>
          </cell>
          <cell r="AQ42">
            <v>0</v>
          </cell>
          <cell r="AR42">
            <v>0</v>
          </cell>
          <cell r="AS42">
            <v>0</v>
          </cell>
          <cell r="AT42">
            <v>0</v>
          </cell>
          <cell r="AU42">
            <v>0</v>
          </cell>
          <cell r="AV42">
            <v>0</v>
          </cell>
          <cell r="AW42">
            <v>0</v>
          </cell>
          <cell r="AX42">
            <v>0</v>
          </cell>
          <cell r="AY42"/>
          <cell r="AZ42"/>
          <cell r="BA42">
            <v>0</v>
          </cell>
          <cell r="BB42"/>
          <cell r="BC42">
            <v>0</v>
          </cell>
          <cell r="BD42">
            <v>381</v>
          </cell>
          <cell r="BE42"/>
          <cell r="BF42">
            <v>0</v>
          </cell>
          <cell r="BG42">
            <v>0</v>
          </cell>
          <cell r="BH42">
            <v>0</v>
          </cell>
          <cell r="BI42">
            <v>1486</v>
          </cell>
          <cell r="BJ42">
            <v>1224</v>
          </cell>
          <cell r="BK42">
            <v>1224</v>
          </cell>
          <cell r="BL42">
            <v>0</v>
          </cell>
          <cell r="BM42">
            <v>0</v>
          </cell>
          <cell r="BN42">
            <v>0</v>
          </cell>
          <cell r="BO42">
            <v>10215</v>
          </cell>
          <cell r="BP42">
            <v>0</v>
          </cell>
          <cell r="BQ42">
            <v>0</v>
          </cell>
          <cell r="BR42">
            <v>0</v>
          </cell>
          <cell r="BS42">
            <v>0</v>
          </cell>
          <cell r="BT42">
            <v>2872</v>
          </cell>
          <cell r="BU42"/>
          <cell r="BV42"/>
          <cell r="BW42"/>
          <cell r="BX42"/>
          <cell r="BY42">
            <v>0</v>
          </cell>
          <cell r="BZ42">
            <v>0</v>
          </cell>
          <cell r="CA42">
            <v>0</v>
          </cell>
          <cell r="CB42">
            <v>0</v>
          </cell>
          <cell r="CC42">
            <v>88702</v>
          </cell>
          <cell r="CD42">
            <v>298379</v>
          </cell>
          <cell r="CE42">
            <v>4747</v>
          </cell>
          <cell r="CF42">
            <v>0</v>
          </cell>
          <cell r="CG42">
            <v>4747</v>
          </cell>
          <cell r="CH42">
            <v>4747</v>
          </cell>
          <cell r="CI42">
            <v>4747</v>
          </cell>
          <cell r="CJ42">
            <v>4747</v>
          </cell>
          <cell r="CK42">
            <v>0</v>
          </cell>
          <cell r="CL42">
            <v>0</v>
          </cell>
          <cell r="CM42">
            <v>0</v>
          </cell>
          <cell r="CN42">
            <v>0</v>
          </cell>
          <cell r="CO42">
            <v>0</v>
          </cell>
          <cell r="CP42">
            <v>-287</v>
          </cell>
          <cell r="CQ42">
            <v>8496</v>
          </cell>
          <cell r="CR42">
            <v>8497</v>
          </cell>
          <cell r="CS42">
            <v>7198</v>
          </cell>
          <cell r="CT42">
            <v>7199</v>
          </cell>
          <cell r="CU42">
            <v>7199</v>
          </cell>
          <cell r="CV42">
            <v>639</v>
          </cell>
          <cell r="CW42">
            <v>0</v>
          </cell>
          <cell r="CX42">
            <v>0</v>
          </cell>
          <cell r="CY42">
            <v>0</v>
          </cell>
          <cell r="CZ42">
            <v>0</v>
          </cell>
          <cell r="DA42">
            <v>0</v>
          </cell>
          <cell r="DB42"/>
          <cell r="DC42">
            <v>0</v>
          </cell>
          <cell r="DD42">
            <v>0</v>
          </cell>
          <cell r="DE42">
            <v>0</v>
          </cell>
          <cell r="DF42">
            <v>0</v>
          </cell>
          <cell r="DG42">
            <v>0</v>
          </cell>
          <cell r="DH42">
            <v>0</v>
          </cell>
          <cell r="DI42">
            <v>0</v>
          </cell>
          <cell r="DJ42">
            <v>0</v>
          </cell>
          <cell r="DK42">
            <v>0</v>
          </cell>
          <cell r="DL42">
            <v>0</v>
          </cell>
          <cell r="DM42"/>
          <cell r="DN42"/>
          <cell r="DO42"/>
          <cell r="DP42"/>
        </row>
        <row r="43">
          <cell r="A43">
            <v>1949</v>
          </cell>
          <cell r="B43" t="str">
            <v>Waadhoeke</v>
          </cell>
          <cell r="C43">
            <v>2</v>
          </cell>
          <cell r="D43">
            <v>105956.44</v>
          </cell>
          <cell r="E43">
            <v>52979.22</v>
          </cell>
          <cell r="F43">
            <v>0</v>
          </cell>
          <cell r="G43">
            <v>0</v>
          </cell>
          <cell r="H43">
            <v>-16134.79</v>
          </cell>
          <cell r="I43">
            <v>-6930.14</v>
          </cell>
          <cell r="J43"/>
          <cell r="K43">
            <v>0</v>
          </cell>
          <cell r="L43">
            <v>190614.63</v>
          </cell>
          <cell r="M43">
            <v>184794</v>
          </cell>
          <cell r="N43">
            <v>0</v>
          </cell>
          <cell r="O43">
            <v>0</v>
          </cell>
          <cell r="P43">
            <v>0</v>
          </cell>
          <cell r="Q43">
            <v>0</v>
          </cell>
          <cell r="R43">
            <v>0</v>
          </cell>
          <cell r="S43">
            <v>0</v>
          </cell>
          <cell r="T43">
            <v>0</v>
          </cell>
          <cell r="U43">
            <v>0</v>
          </cell>
          <cell r="V43">
            <v>9000</v>
          </cell>
          <cell r="W43">
            <v>201453</v>
          </cell>
          <cell r="X43">
            <v>0</v>
          </cell>
          <cell r="Y43"/>
          <cell r="Z43">
            <v>0</v>
          </cell>
          <cell r="AA43">
            <v>0</v>
          </cell>
          <cell r="AB43">
            <v>0</v>
          </cell>
          <cell r="AC43"/>
          <cell r="AD43">
            <v>110424</v>
          </cell>
          <cell r="AE43">
            <v>0</v>
          </cell>
          <cell r="AF43">
            <v>0</v>
          </cell>
          <cell r="AG43">
            <v>0</v>
          </cell>
          <cell r="AH43">
            <v>0</v>
          </cell>
          <cell r="AI43">
            <v>0</v>
          </cell>
          <cell r="AJ43">
            <v>0</v>
          </cell>
          <cell r="AK43">
            <v>0</v>
          </cell>
          <cell r="AL43"/>
          <cell r="AM43">
            <v>0</v>
          </cell>
          <cell r="AN43">
            <v>0</v>
          </cell>
          <cell r="AO43">
            <v>0</v>
          </cell>
          <cell r="AP43">
            <v>0</v>
          </cell>
          <cell r="AQ43">
            <v>0</v>
          </cell>
          <cell r="AR43">
            <v>0</v>
          </cell>
          <cell r="AS43">
            <v>0</v>
          </cell>
          <cell r="AT43">
            <v>0</v>
          </cell>
          <cell r="AU43">
            <v>0</v>
          </cell>
          <cell r="AV43">
            <v>0</v>
          </cell>
          <cell r="AW43">
            <v>0</v>
          </cell>
          <cell r="AX43">
            <v>0</v>
          </cell>
          <cell r="AY43"/>
          <cell r="AZ43"/>
          <cell r="BA43">
            <v>0</v>
          </cell>
          <cell r="BB43"/>
          <cell r="BC43">
            <v>0</v>
          </cell>
          <cell r="BD43">
            <v>80685</v>
          </cell>
          <cell r="BE43"/>
          <cell r="BF43">
            <v>0</v>
          </cell>
          <cell r="BG43">
            <v>0</v>
          </cell>
          <cell r="BH43">
            <v>0</v>
          </cell>
          <cell r="BI43">
            <v>78615</v>
          </cell>
          <cell r="BJ43">
            <v>64712</v>
          </cell>
          <cell r="BK43">
            <v>64712</v>
          </cell>
          <cell r="BL43">
            <v>0</v>
          </cell>
          <cell r="BM43">
            <v>0</v>
          </cell>
          <cell r="BN43">
            <v>0</v>
          </cell>
          <cell r="BO43">
            <v>230611</v>
          </cell>
          <cell r="BP43">
            <v>1581.4</v>
          </cell>
          <cell r="BQ43">
            <v>2848.8372093023299</v>
          </cell>
          <cell r="BR43">
            <v>0</v>
          </cell>
          <cell r="BS43">
            <v>0</v>
          </cell>
          <cell r="BT43">
            <v>105386</v>
          </cell>
          <cell r="BU43"/>
          <cell r="BV43"/>
          <cell r="BW43"/>
          <cell r="BX43"/>
          <cell r="BY43">
            <v>0</v>
          </cell>
          <cell r="BZ43">
            <v>0</v>
          </cell>
          <cell r="CA43">
            <v>0</v>
          </cell>
          <cell r="CB43">
            <v>0</v>
          </cell>
          <cell r="CC43">
            <v>3925066</v>
          </cell>
          <cell r="CD43">
            <v>25420945</v>
          </cell>
          <cell r="CE43">
            <v>1579616</v>
          </cell>
          <cell r="CF43">
            <v>46886</v>
          </cell>
          <cell r="CG43">
            <v>1579616</v>
          </cell>
          <cell r="CH43">
            <v>1579616</v>
          </cell>
          <cell r="CI43">
            <v>1579616</v>
          </cell>
          <cell r="CJ43">
            <v>1579616</v>
          </cell>
          <cell r="CK43">
            <v>0</v>
          </cell>
          <cell r="CL43">
            <v>0</v>
          </cell>
          <cell r="CM43">
            <v>0</v>
          </cell>
          <cell r="CN43">
            <v>0</v>
          </cell>
          <cell r="CO43">
            <v>0</v>
          </cell>
          <cell r="CP43">
            <v>-863</v>
          </cell>
          <cell r="CQ43">
            <v>5773523</v>
          </cell>
          <cell r="CR43">
            <v>5526417</v>
          </cell>
          <cell r="CS43">
            <v>5375101</v>
          </cell>
          <cell r="CT43">
            <v>5211602</v>
          </cell>
          <cell r="CU43">
            <v>5061282</v>
          </cell>
          <cell r="CV43">
            <v>-69479</v>
          </cell>
          <cell r="CW43">
            <v>0</v>
          </cell>
          <cell r="CX43">
            <v>0</v>
          </cell>
          <cell r="CY43">
            <v>0</v>
          </cell>
          <cell r="CZ43">
            <v>0</v>
          </cell>
          <cell r="DA43">
            <v>0</v>
          </cell>
          <cell r="DB43"/>
          <cell r="DC43">
            <v>0</v>
          </cell>
          <cell r="DD43">
            <v>0</v>
          </cell>
          <cell r="DE43">
            <v>0</v>
          </cell>
          <cell r="DF43">
            <v>0</v>
          </cell>
          <cell r="DG43">
            <v>0</v>
          </cell>
          <cell r="DH43">
            <v>0</v>
          </cell>
          <cell r="DI43">
            <v>0</v>
          </cell>
          <cell r="DJ43">
            <v>0</v>
          </cell>
          <cell r="DK43">
            <v>0</v>
          </cell>
          <cell r="DL43">
            <v>0</v>
          </cell>
          <cell r="DM43"/>
          <cell r="DN43"/>
          <cell r="DO43"/>
          <cell r="DP43"/>
        </row>
        <row r="44">
          <cell r="A44">
            <v>98</v>
          </cell>
          <cell r="B44" t="str">
            <v>Weststellingwerf</v>
          </cell>
          <cell r="C44">
            <v>2</v>
          </cell>
          <cell r="D44">
            <v>34728</v>
          </cell>
          <cell r="E44">
            <v>17364</v>
          </cell>
          <cell r="F44">
            <v>0</v>
          </cell>
          <cell r="G44">
            <v>0</v>
          </cell>
          <cell r="H44">
            <v>-19841</v>
          </cell>
          <cell r="I44">
            <v>0</v>
          </cell>
          <cell r="J44"/>
          <cell r="K44">
            <v>0</v>
          </cell>
          <cell r="L44">
            <v>116989</v>
          </cell>
          <cell r="M44">
            <v>114323</v>
          </cell>
          <cell r="N44">
            <v>0</v>
          </cell>
          <cell r="O44">
            <v>0</v>
          </cell>
          <cell r="P44">
            <v>0</v>
          </cell>
          <cell r="Q44">
            <v>0</v>
          </cell>
          <cell r="R44">
            <v>0</v>
          </cell>
          <cell r="S44">
            <v>0</v>
          </cell>
          <cell r="T44">
            <v>0</v>
          </cell>
          <cell r="U44">
            <v>0</v>
          </cell>
          <cell r="V44">
            <v>0</v>
          </cell>
          <cell r="W44">
            <v>87280</v>
          </cell>
          <cell r="X44">
            <v>0</v>
          </cell>
          <cell r="Y44"/>
          <cell r="Z44">
            <v>0</v>
          </cell>
          <cell r="AA44">
            <v>0</v>
          </cell>
          <cell r="AB44">
            <v>0</v>
          </cell>
          <cell r="AC44"/>
          <cell r="AD44">
            <v>90935</v>
          </cell>
          <cell r="AE44">
            <v>0</v>
          </cell>
          <cell r="AF44">
            <v>0</v>
          </cell>
          <cell r="AG44">
            <v>0</v>
          </cell>
          <cell r="AH44">
            <v>0</v>
          </cell>
          <cell r="AI44">
            <v>0</v>
          </cell>
          <cell r="AJ44">
            <v>0</v>
          </cell>
          <cell r="AK44">
            <v>0</v>
          </cell>
          <cell r="AL44"/>
          <cell r="AM44">
            <v>0</v>
          </cell>
          <cell r="AN44">
            <v>0</v>
          </cell>
          <cell r="AO44">
            <v>0</v>
          </cell>
          <cell r="AP44">
            <v>0</v>
          </cell>
          <cell r="AQ44">
            <v>0</v>
          </cell>
          <cell r="AR44">
            <v>0</v>
          </cell>
          <cell r="AS44">
            <v>0</v>
          </cell>
          <cell r="AT44">
            <v>0</v>
          </cell>
          <cell r="AU44">
            <v>0</v>
          </cell>
          <cell r="AV44">
            <v>0</v>
          </cell>
          <cell r="AW44">
            <v>0</v>
          </cell>
          <cell r="AX44">
            <v>0</v>
          </cell>
          <cell r="AY44"/>
          <cell r="AZ44"/>
          <cell r="BA44">
            <v>0</v>
          </cell>
          <cell r="BB44"/>
          <cell r="BC44">
            <v>0</v>
          </cell>
          <cell r="BD44">
            <v>8989</v>
          </cell>
          <cell r="BE44"/>
          <cell r="BF44">
            <v>0</v>
          </cell>
          <cell r="BG44">
            <v>0</v>
          </cell>
          <cell r="BH44">
            <v>0</v>
          </cell>
          <cell r="BI44">
            <v>47425</v>
          </cell>
          <cell r="BJ44">
            <v>39038</v>
          </cell>
          <cell r="BK44">
            <v>39038</v>
          </cell>
          <cell r="BL44">
            <v>0</v>
          </cell>
          <cell r="BM44">
            <v>0</v>
          </cell>
          <cell r="BN44">
            <v>0</v>
          </cell>
          <cell r="BO44">
            <v>146901</v>
          </cell>
          <cell r="BP44">
            <v>0</v>
          </cell>
          <cell r="BQ44">
            <v>0</v>
          </cell>
          <cell r="BR44">
            <v>0</v>
          </cell>
          <cell r="BS44">
            <v>0</v>
          </cell>
          <cell r="BT44">
            <v>54890</v>
          </cell>
          <cell r="BU44"/>
          <cell r="BV44"/>
          <cell r="BW44"/>
          <cell r="BX44"/>
          <cell r="BY44">
            <v>0</v>
          </cell>
          <cell r="BZ44">
            <v>0</v>
          </cell>
          <cell r="CA44">
            <v>0</v>
          </cell>
          <cell r="CB44">
            <v>0</v>
          </cell>
          <cell r="CC44">
            <v>2461141</v>
          </cell>
          <cell r="CD44">
            <v>14936022</v>
          </cell>
          <cell r="CE44">
            <v>801288</v>
          </cell>
          <cell r="CF44">
            <v>0</v>
          </cell>
          <cell r="CG44">
            <v>801288</v>
          </cell>
          <cell r="CH44">
            <v>801288</v>
          </cell>
          <cell r="CI44">
            <v>801288</v>
          </cell>
          <cell r="CJ44">
            <v>801288</v>
          </cell>
          <cell r="CK44">
            <v>0</v>
          </cell>
          <cell r="CL44">
            <v>0</v>
          </cell>
          <cell r="CM44">
            <v>0</v>
          </cell>
          <cell r="CN44">
            <v>0</v>
          </cell>
          <cell r="CO44">
            <v>0</v>
          </cell>
          <cell r="CP44">
            <v>0</v>
          </cell>
          <cell r="CQ44">
            <v>4520433</v>
          </cell>
          <cell r="CR44">
            <v>4261068</v>
          </cell>
          <cell r="CS44">
            <v>4091136</v>
          </cell>
          <cell r="CT44">
            <v>4007813</v>
          </cell>
          <cell r="CU44">
            <v>3952189</v>
          </cell>
          <cell r="CV44">
            <v>42872</v>
          </cell>
          <cell r="CW44">
            <v>0</v>
          </cell>
          <cell r="CX44">
            <v>0</v>
          </cell>
          <cell r="CY44">
            <v>0</v>
          </cell>
          <cell r="CZ44">
            <v>0</v>
          </cell>
          <cell r="DA44">
            <v>0</v>
          </cell>
          <cell r="DB44"/>
          <cell r="DC44">
            <v>0</v>
          </cell>
          <cell r="DD44">
            <v>0</v>
          </cell>
          <cell r="DE44">
            <v>0</v>
          </cell>
          <cell r="DF44">
            <v>0</v>
          </cell>
          <cell r="DG44">
            <v>0</v>
          </cell>
          <cell r="DH44">
            <v>0</v>
          </cell>
          <cell r="DI44">
            <v>0</v>
          </cell>
          <cell r="DJ44">
            <v>0</v>
          </cell>
          <cell r="DK44">
            <v>0</v>
          </cell>
          <cell r="DL44">
            <v>0</v>
          </cell>
          <cell r="DM44"/>
          <cell r="DN44"/>
          <cell r="DO44"/>
          <cell r="DP44"/>
        </row>
        <row r="45">
          <cell r="A45">
            <v>1680</v>
          </cell>
          <cell r="B45" t="str">
            <v>Aa en Hunze</v>
          </cell>
          <cell r="C45">
            <v>3</v>
          </cell>
          <cell r="D45">
            <v>-404</v>
          </cell>
          <cell r="E45">
            <v>-202</v>
          </cell>
          <cell r="F45">
            <v>0</v>
          </cell>
          <cell r="G45">
            <v>0</v>
          </cell>
          <cell r="H45">
            <v>-15182</v>
          </cell>
          <cell r="I45">
            <v>-1545</v>
          </cell>
          <cell r="J45"/>
          <cell r="K45">
            <v>0</v>
          </cell>
          <cell r="L45">
            <v>71387</v>
          </cell>
          <cell r="M45">
            <v>67898</v>
          </cell>
          <cell r="N45">
            <v>0</v>
          </cell>
          <cell r="O45">
            <v>0</v>
          </cell>
          <cell r="P45">
            <v>0</v>
          </cell>
          <cell r="Q45">
            <v>0</v>
          </cell>
          <cell r="R45">
            <v>0</v>
          </cell>
          <cell r="S45">
            <v>0</v>
          </cell>
          <cell r="T45">
            <v>0</v>
          </cell>
          <cell r="U45">
            <v>0</v>
          </cell>
          <cell r="V45">
            <v>6000</v>
          </cell>
          <cell r="W45">
            <v>98744</v>
          </cell>
          <cell r="X45">
            <v>0</v>
          </cell>
          <cell r="Y45"/>
          <cell r="Z45">
            <v>0</v>
          </cell>
          <cell r="AA45">
            <v>0</v>
          </cell>
          <cell r="AB45">
            <v>0</v>
          </cell>
          <cell r="AC45"/>
          <cell r="AD45">
            <v>0</v>
          </cell>
          <cell r="AE45">
            <v>0</v>
          </cell>
          <cell r="AF45">
            <v>0</v>
          </cell>
          <cell r="AG45">
            <v>0</v>
          </cell>
          <cell r="AH45">
            <v>0</v>
          </cell>
          <cell r="AI45">
            <v>0</v>
          </cell>
          <cell r="AJ45">
            <v>0</v>
          </cell>
          <cell r="AK45">
            <v>0</v>
          </cell>
          <cell r="AL45"/>
          <cell r="AM45">
            <v>0</v>
          </cell>
          <cell r="AN45">
            <v>0</v>
          </cell>
          <cell r="AO45">
            <v>0</v>
          </cell>
          <cell r="AP45">
            <v>0</v>
          </cell>
          <cell r="AQ45">
            <v>0</v>
          </cell>
          <cell r="AR45">
            <v>0</v>
          </cell>
          <cell r="AS45">
            <v>0</v>
          </cell>
          <cell r="AT45">
            <v>0</v>
          </cell>
          <cell r="AU45">
            <v>0</v>
          </cell>
          <cell r="AV45">
            <v>0</v>
          </cell>
          <cell r="AW45">
            <v>0</v>
          </cell>
          <cell r="AX45">
            <v>0</v>
          </cell>
          <cell r="AY45"/>
          <cell r="AZ45"/>
          <cell r="BA45">
            <v>0</v>
          </cell>
          <cell r="BB45"/>
          <cell r="BC45">
            <v>0</v>
          </cell>
          <cell r="BD45">
            <v>8876</v>
          </cell>
          <cell r="BE45"/>
          <cell r="BF45">
            <v>0</v>
          </cell>
          <cell r="BG45">
            <v>0</v>
          </cell>
          <cell r="BH45">
            <v>0</v>
          </cell>
          <cell r="BI45">
            <v>31523</v>
          </cell>
          <cell r="BJ45">
            <v>25948</v>
          </cell>
          <cell r="BK45">
            <v>25948</v>
          </cell>
          <cell r="BL45">
            <v>0</v>
          </cell>
          <cell r="BM45">
            <v>0</v>
          </cell>
          <cell r="BN45">
            <v>0</v>
          </cell>
          <cell r="BO45">
            <v>57398</v>
          </cell>
          <cell r="BP45">
            <v>4744.2</v>
          </cell>
          <cell r="BQ45">
            <v>8546.5116279069807</v>
          </cell>
          <cell r="BR45">
            <v>0</v>
          </cell>
          <cell r="BS45">
            <v>0</v>
          </cell>
          <cell r="BT45">
            <v>64826</v>
          </cell>
          <cell r="BU45"/>
          <cell r="BV45"/>
          <cell r="BW45"/>
          <cell r="BX45"/>
          <cell r="BY45">
            <v>0</v>
          </cell>
          <cell r="BZ45">
            <v>0</v>
          </cell>
          <cell r="CA45">
            <v>0</v>
          </cell>
          <cell r="CB45">
            <v>0</v>
          </cell>
          <cell r="CC45">
            <v>2107819</v>
          </cell>
          <cell r="CD45">
            <v>9452633</v>
          </cell>
          <cell r="CE45">
            <v>2336901</v>
          </cell>
          <cell r="CF45">
            <v>0</v>
          </cell>
          <cell r="CG45">
            <v>2336901</v>
          </cell>
          <cell r="CH45">
            <v>2336901</v>
          </cell>
          <cell r="CI45">
            <v>2336901</v>
          </cell>
          <cell r="CJ45">
            <v>2336901</v>
          </cell>
          <cell r="CK45">
            <v>0</v>
          </cell>
          <cell r="CL45">
            <v>0</v>
          </cell>
          <cell r="CM45">
            <v>0</v>
          </cell>
          <cell r="CN45">
            <v>0</v>
          </cell>
          <cell r="CO45">
            <v>0</v>
          </cell>
          <cell r="CP45">
            <v>-562</v>
          </cell>
          <cell r="CQ45">
            <v>101149</v>
          </cell>
          <cell r="CR45">
            <v>113634</v>
          </cell>
          <cell r="CS45">
            <v>117125</v>
          </cell>
          <cell r="CT45">
            <v>128402</v>
          </cell>
          <cell r="CU45">
            <v>139647</v>
          </cell>
          <cell r="CV45">
            <v>81949</v>
          </cell>
          <cell r="CW45">
            <v>0</v>
          </cell>
          <cell r="CX45">
            <v>0</v>
          </cell>
          <cell r="CY45">
            <v>0</v>
          </cell>
          <cell r="CZ45">
            <v>0</v>
          </cell>
          <cell r="DA45">
            <v>0</v>
          </cell>
          <cell r="DB45"/>
          <cell r="DC45">
            <v>0</v>
          </cell>
          <cell r="DD45">
            <v>0</v>
          </cell>
          <cell r="DE45">
            <v>0</v>
          </cell>
          <cell r="DF45">
            <v>0</v>
          </cell>
          <cell r="DG45">
            <v>0</v>
          </cell>
          <cell r="DH45">
            <v>0</v>
          </cell>
          <cell r="DI45">
            <v>0</v>
          </cell>
          <cell r="DJ45">
            <v>0</v>
          </cell>
          <cell r="DK45">
            <v>0</v>
          </cell>
          <cell r="DL45">
            <v>0</v>
          </cell>
          <cell r="DM45"/>
          <cell r="DN45"/>
          <cell r="DO45"/>
          <cell r="DP45"/>
        </row>
        <row r="46">
          <cell r="A46">
            <v>106</v>
          </cell>
          <cell r="B46" t="str">
            <v>Assen</v>
          </cell>
          <cell r="C46">
            <v>3</v>
          </cell>
          <cell r="D46">
            <v>58488</v>
          </cell>
          <cell r="E46">
            <v>29244</v>
          </cell>
          <cell r="F46">
            <v>0</v>
          </cell>
          <cell r="G46">
            <v>137488</v>
          </cell>
          <cell r="H46">
            <v>1686784</v>
          </cell>
          <cell r="I46">
            <v>679309</v>
          </cell>
          <cell r="J46"/>
          <cell r="K46">
            <v>0</v>
          </cell>
          <cell r="L46">
            <v>387059</v>
          </cell>
          <cell r="M46">
            <v>371870</v>
          </cell>
          <cell r="N46">
            <v>0</v>
          </cell>
          <cell r="O46">
            <v>0</v>
          </cell>
          <cell r="P46">
            <v>150000</v>
          </cell>
          <cell r="Q46">
            <v>0</v>
          </cell>
          <cell r="R46">
            <v>0</v>
          </cell>
          <cell r="S46">
            <v>0</v>
          </cell>
          <cell r="T46">
            <v>0</v>
          </cell>
          <cell r="U46">
            <v>0</v>
          </cell>
          <cell r="V46">
            <v>49500</v>
          </cell>
          <cell r="W46">
            <v>273490</v>
          </cell>
          <cell r="X46">
            <v>0</v>
          </cell>
          <cell r="Y46"/>
          <cell r="Z46">
            <v>0</v>
          </cell>
          <cell r="AA46">
            <v>0</v>
          </cell>
          <cell r="AB46">
            <v>0</v>
          </cell>
          <cell r="AC46"/>
          <cell r="AD46">
            <v>118313</v>
          </cell>
          <cell r="AE46">
            <v>0</v>
          </cell>
          <cell r="AF46">
            <v>0</v>
          </cell>
          <cell r="AG46">
            <v>0</v>
          </cell>
          <cell r="AH46">
            <v>0</v>
          </cell>
          <cell r="AI46">
            <v>148777</v>
          </cell>
          <cell r="AJ46">
            <v>0</v>
          </cell>
          <cell r="AK46">
            <v>0</v>
          </cell>
          <cell r="AL46"/>
          <cell r="AM46">
            <v>0</v>
          </cell>
          <cell r="AN46">
            <v>0</v>
          </cell>
          <cell r="AO46">
            <v>0</v>
          </cell>
          <cell r="AP46">
            <v>0</v>
          </cell>
          <cell r="AQ46">
            <v>0</v>
          </cell>
          <cell r="AR46">
            <v>0</v>
          </cell>
          <cell r="AS46">
            <v>0</v>
          </cell>
          <cell r="AT46">
            <v>20000</v>
          </cell>
          <cell r="AU46">
            <v>4740</v>
          </cell>
          <cell r="AV46">
            <v>4684217.1786038904</v>
          </cell>
          <cell r="AW46">
            <v>0</v>
          </cell>
          <cell r="AX46">
            <v>0</v>
          </cell>
          <cell r="AY46"/>
          <cell r="AZ46"/>
          <cell r="BA46">
            <v>0</v>
          </cell>
          <cell r="BB46"/>
          <cell r="BC46">
            <v>0</v>
          </cell>
          <cell r="BD46">
            <v>23713</v>
          </cell>
          <cell r="BE46"/>
          <cell r="BF46">
            <v>0</v>
          </cell>
          <cell r="BG46">
            <v>0</v>
          </cell>
          <cell r="BH46">
            <v>0</v>
          </cell>
          <cell r="BI46">
            <v>122981</v>
          </cell>
          <cell r="BJ46">
            <v>101232</v>
          </cell>
          <cell r="BK46">
            <v>101232</v>
          </cell>
          <cell r="BL46">
            <v>0</v>
          </cell>
          <cell r="BM46">
            <v>0</v>
          </cell>
          <cell r="BN46">
            <v>197890</v>
          </cell>
          <cell r="BO46">
            <v>217433</v>
          </cell>
          <cell r="BP46">
            <v>23721</v>
          </cell>
          <cell r="BQ46">
            <v>42732.5581395349</v>
          </cell>
          <cell r="BR46">
            <v>0</v>
          </cell>
          <cell r="BS46">
            <v>0</v>
          </cell>
          <cell r="BT46">
            <v>123179</v>
          </cell>
          <cell r="BU46"/>
          <cell r="BV46"/>
          <cell r="BW46"/>
          <cell r="BX46"/>
          <cell r="BY46">
            <v>0</v>
          </cell>
          <cell r="BZ46">
            <v>0</v>
          </cell>
          <cell r="CA46">
            <v>0</v>
          </cell>
          <cell r="CB46">
            <v>0</v>
          </cell>
          <cell r="CC46">
            <v>5913676</v>
          </cell>
          <cell r="CD46">
            <v>73726450</v>
          </cell>
          <cell r="CE46">
            <v>4703499</v>
          </cell>
          <cell r="CF46">
            <v>0</v>
          </cell>
          <cell r="CG46">
            <v>4703499</v>
          </cell>
          <cell r="CH46">
            <v>4703499</v>
          </cell>
          <cell r="CI46">
            <v>4703499</v>
          </cell>
          <cell r="CJ46">
            <v>4703499</v>
          </cell>
          <cell r="CK46">
            <v>40999033</v>
          </cell>
          <cell r="CL46">
            <v>40978516</v>
          </cell>
          <cell r="CM46">
            <v>40978184</v>
          </cell>
          <cell r="CN46">
            <v>40977454</v>
          </cell>
          <cell r="CO46">
            <v>40978466</v>
          </cell>
          <cell r="CP46">
            <v>0</v>
          </cell>
          <cell r="CQ46">
            <v>738799</v>
          </cell>
          <cell r="CR46">
            <v>826120</v>
          </cell>
          <cell r="CS46">
            <v>852464</v>
          </cell>
          <cell r="CT46">
            <v>931601</v>
          </cell>
          <cell r="CU46">
            <v>1010466</v>
          </cell>
          <cell r="CV46">
            <v>73863</v>
          </cell>
          <cell r="CW46">
            <v>0</v>
          </cell>
          <cell r="CX46">
            <v>0</v>
          </cell>
          <cell r="CY46">
            <v>0</v>
          </cell>
          <cell r="CZ46">
            <v>0</v>
          </cell>
          <cell r="DA46">
            <v>0</v>
          </cell>
          <cell r="DB46"/>
          <cell r="DC46">
            <v>0</v>
          </cell>
          <cell r="DD46">
            <v>0</v>
          </cell>
          <cell r="DE46">
            <v>0</v>
          </cell>
          <cell r="DF46">
            <v>0</v>
          </cell>
          <cell r="DG46">
            <v>0</v>
          </cell>
          <cell r="DH46">
            <v>0</v>
          </cell>
          <cell r="DI46">
            <v>0</v>
          </cell>
          <cell r="DJ46">
            <v>0</v>
          </cell>
          <cell r="DK46">
            <v>0</v>
          </cell>
          <cell r="DL46">
            <v>0</v>
          </cell>
          <cell r="DM46"/>
          <cell r="DN46"/>
          <cell r="DO46"/>
          <cell r="DP46"/>
        </row>
        <row r="47">
          <cell r="A47">
            <v>1681</v>
          </cell>
          <cell r="B47" t="str">
            <v>Borger-Odoorn</v>
          </cell>
          <cell r="C47">
            <v>3</v>
          </cell>
          <cell r="D47">
            <v>65108</v>
          </cell>
          <cell r="E47">
            <v>32554</v>
          </cell>
          <cell r="F47">
            <v>0</v>
          </cell>
          <cell r="G47">
            <v>0</v>
          </cell>
          <cell r="H47">
            <v>-43029</v>
          </cell>
          <cell r="I47">
            <v>-16678</v>
          </cell>
          <cell r="J47"/>
          <cell r="K47">
            <v>0</v>
          </cell>
          <cell r="L47">
            <v>100993</v>
          </cell>
          <cell r="M47">
            <v>92872</v>
          </cell>
          <cell r="N47">
            <v>0</v>
          </cell>
          <cell r="O47">
            <v>0</v>
          </cell>
          <cell r="P47">
            <v>0</v>
          </cell>
          <cell r="Q47">
            <v>0</v>
          </cell>
          <cell r="R47">
            <v>0</v>
          </cell>
          <cell r="S47">
            <v>0</v>
          </cell>
          <cell r="T47">
            <v>0</v>
          </cell>
          <cell r="U47">
            <v>0</v>
          </cell>
          <cell r="V47">
            <v>6000</v>
          </cell>
          <cell r="W47">
            <v>102048</v>
          </cell>
          <cell r="X47">
            <v>0</v>
          </cell>
          <cell r="Y47"/>
          <cell r="Z47">
            <v>0</v>
          </cell>
          <cell r="AA47">
            <v>0</v>
          </cell>
          <cell r="AB47">
            <v>0</v>
          </cell>
          <cell r="AC47"/>
          <cell r="AD47">
            <v>85068</v>
          </cell>
          <cell r="AE47">
            <v>0</v>
          </cell>
          <cell r="AF47">
            <v>0</v>
          </cell>
          <cell r="AG47">
            <v>0</v>
          </cell>
          <cell r="AH47">
            <v>0</v>
          </cell>
          <cell r="AI47">
            <v>0</v>
          </cell>
          <cell r="AJ47">
            <v>0</v>
          </cell>
          <cell r="AK47">
            <v>0</v>
          </cell>
          <cell r="AL47"/>
          <cell r="AM47">
            <v>0</v>
          </cell>
          <cell r="AN47">
            <v>0</v>
          </cell>
          <cell r="AO47">
            <v>0</v>
          </cell>
          <cell r="AP47">
            <v>0</v>
          </cell>
          <cell r="AQ47">
            <v>0</v>
          </cell>
          <cell r="AR47">
            <v>0</v>
          </cell>
          <cell r="AS47">
            <v>0</v>
          </cell>
          <cell r="AT47">
            <v>0</v>
          </cell>
          <cell r="AU47">
            <v>2370</v>
          </cell>
          <cell r="AV47">
            <v>0</v>
          </cell>
          <cell r="AW47">
            <v>0</v>
          </cell>
          <cell r="AX47">
            <v>0</v>
          </cell>
          <cell r="AY47"/>
          <cell r="AZ47"/>
          <cell r="BA47">
            <v>0</v>
          </cell>
          <cell r="BB47"/>
          <cell r="BC47">
            <v>0</v>
          </cell>
          <cell r="BD47">
            <v>8901</v>
          </cell>
          <cell r="BE47"/>
          <cell r="BF47">
            <v>0</v>
          </cell>
          <cell r="BG47">
            <v>0</v>
          </cell>
          <cell r="BH47">
            <v>0</v>
          </cell>
          <cell r="BI47">
            <v>38139</v>
          </cell>
          <cell r="BJ47">
            <v>31394</v>
          </cell>
          <cell r="BK47">
            <v>31394</v>
          </cell>
          <cell r="BL47">
            <v>0</v>
          </cell>
          <cell r="BM47">
            <v>0</v>
          </cell>
          <cell r="BN47">
            <v>0</v>
          </cell>
          <cell r="BO47">
            <v>74423</v>
          </cell>
          <cell r="BP47">
            <v>4744.2</v>
          </cell>
          <cell r="BQ47">
            <v>8546.5116279069807</v>
          </cell>
          <cell r="BR47">
            <v>0</v>
          </cell>
          <cell r="BS47">
            <v>0</v>
          </cell>
          <cell r="BT47">
            <v>68946</v>
          </cell>
          <cell r="BU47"/>
          <cell r="BV47"/>
          <cell r="BW47"/>
          <cell r="BX47"/>
          <cell r="BY47">
            <v>0</v>
          </cell>
          <cell r="BZ47">
            <v>0</v>
          </cell>
          <cell r="CA47">
            <v>0</v>
          </cell>
          <cell r="CB47">
            <v>0</v>
          </cell>
          <cell r="CC47">
            <v>2241392</v>
          </cell>
          <cell r="CD47">
            <v>15158707</v>
          </cell>
          <cell r="CE47">
            <v>1516965</v>
          </cell>
          <cell r="CF47">
            <v>0</v>
          </cell>
          <cell r="CG47">
            <v>1516965</v>
          </cell>
          <cell r="CH47">
            <v>1516965</v>
          </cell>
          <cell r="CI47">
            <v>1516965</v>
          </cell>
          <cell r="CJ47">
            <v>1516965</v>
          </cell>
          <cell r="CK47">
            <v>0</v>
          </cell>
          <cell r="CL47">
            <v>0</v>
          </cell>
          <cell r="CM47">
            <v>0</v>
          </cell>
          <cell r="CN47">
            <v>0</v>
          </cell>
          <cell r="CO47">
            <v>0</v>
          </cell>
          <cell r="CP47">
            <v>-6054</v>
          </cell>
          <cell r="CQ47">
            <v>4638091</v>
          </cell>
          <cell r="CR47">
            <v>4379441</v>
          </cell>
          <cell r="CS47">
            <v>4312300</v>
          </cell>
          <cell r="CT47">
            <v>4229353</v>
          </cell>
          <cell r="CU47">
            <v>4112668</v>
          </cell>
          <cell r="CV47">
            <v>46439</v>
          </cell>
          <cell r="CW47">
            <v>0</v>
          </cell>
          <cell r="CX47">
            <v>0</v>
          </cell>
          <cell r="CY47">
            <v>0</v>
          </cell>
          <cell r="CZ47">
            <v>0</v>
          </cell>
          <cell r="DA47">
            <v>0</v>
          </cell>
          <cell r="DB47"/>
          <cell r="DC47">
            <v>0</v>
          </cell>
          <cell r="DD47">
            <v>0</v>
          </cell>
          <cell r="DE47">
            <v>0</v>
          </cell>
          <cell r="DF47">
            <v>0</v>
          </cell>
          <cell r="DG47">
            <v>0</v>
          </cell>
          <cell r="DH47">
            <v>0</v>
          </cell>
          <cell r="DI47">
            <v>0</v>
          </cell>
          <cell r="DJ47">
            <v>0</v>
          </cell>
          <cell r="DK47">
            <v>0</v>
          </cell>
          <cell r="DL47">
            <v>0</v>
          </cell>
          <cell r="DM47"/>
          <cell r="DN47"/>
          <cell r="DO47"/>
          <cell r="DP47"/>
        </row>
        <row r="48">
          <cell r="A48">
            <v>109</v>
          </cell>
          <cell r="B48" t="str">
            <v>Coevorden</v>
          </cell>
          <cell r="C48">
            <v>3</v>
          </cell>
          <cell r="D48">
            <v>74921</v>
          </cell>
          <cell r="E48">
            <v>37461</v>
          </cell>
          <cell r="F48">
            <v>0</v>
          </cell>
          <cell r="G48">
            <v>0</v>
          </cell>
          <cell r="H48">
            <v>-44248</v>
          </cell>
          <cell r="I48">
            <v>0</v>
          </cell>
          <cell r="J48"/>
          <cell r="K48">
            <v>0</v>
          </cell>
          <cell r="L48">
            <v>178588</v>
          </cell>
          <cell r="M48">
            <v>176460</v>
          </cell>
          <cell r="N48">
            <v>0</v>
          </cell>
          <cell r="O48">
            <v>0</v>
          </cell>
          <cell r="P48">
            <v>0</v>
          </cell>
          <cell r="Q48">
            <v>0</v>
          </cell>
          <cell r="R48">
            <v>0</v>
          </cell>
          <cell r="S48">
            <v>0</v>
          </cell>
          <cell r="T48">
            <v>0</v>
          </cell>
          <cell r="U48">
            <v>0</v>
          </cell>
          <cell r="V48">
            <v>0</v>
          </cell>
          <cell r="W48">
            <v>62227</v>
          </cell>
          <cell r="X48">
            <v>0</v>
          </cell>
          <cell r="Y48"/>
          <cell r="Z48">
            <v>0</v>
          </cell>
          <cell r="AA48">
            <v>0</v>
          </cell>
          <cell r="AB48">
            <v>0</v>
          </cell>
          <cell r="AC48"/>
          <cell r="AD48">
            <v>96802</v>
          </cell>
          <cell r="AE48">
            <v>0</v>
          </cell>
          <cell r="AF48">
            <v>0</v>
          </cell>
          <cell r="AG48">
            <v>0</v>
          </cell>
          <cell r="AH48">
            <v>0</v>
          </cell>
          <cell r="AI48">
            <v>0</v>
          </cell>
          <cell r="AJ48">
            <v>0</v>
          </cell>
          <cell r="AK48">
            <v>0</v>
          </cell>
          <cell r="AL48"/>
          <cell r="AM48">
            <v>0</v>
          </cell>
          <cell r="AN48">
            <v>0</v>
          </cell>
          <cell r="AO48">
            <v>0</v>
          </cell>
          <cell r="AP48">
            <v>0</v>
          </cell>
          <cell r="AQ48">
            <v>0</v>
          </cell>
          <cell r="AR48">
            <v>0</v>
          </cell>
          <cell r="AS48">
            <v>0</v>
          </cell>
          <cell r="AT48">
            <v>0</v>
          </cell>
          <cell r="AU48">
            <v>11850</v>
          </cell>
          <cell r="AV48">
            <v>0</v>
          </cell>
          <cell r="AW48">
            <v>0</v>
          </cell>
          <cell r="AX48">
            <v>0</v>
          </cell>
          <cell r="AY48"/>
          <cell r="AZ48"/>
          <cell r="BA48">
            <v>0</v>
          </cell>
          <cell r="BB48"/>
          <cell r="BC48">
            <v>0</v>
          </cell>
          <cell r="BD48">
            <v>12387</v>
          </cell>
          <cell r="BE48"/>
          <cell r="BF48">
            <v>0</v>
          </cell>
          <cell r="BG48">
            <v>0</v>
          </cell>
          <cell r="BH48">
            <v>0</v>
          </cell>
          <cell r="BI48">
            <v>57620</v>
          </cell>
          <cell r="BJ48">
            <v>47430</v>
          </cell>
          <cell r="BK48">
            <v>47430</v>
          </cell>
          <cell r="BL48">
            <v>0</v>
          </cell>
          <cell r="BM48">
            <v>0</v>
          </cell>
          <cell r="BN48">
            <v>0</v>
          </cell>
          <cell r="BO48">
            <v>189220</v>
          </cell>
          <cell r="BP48">
            <v>22139.599999999999</v>
          </cell>
          <cell r="BQ48">
            <v>39883.720930232601</v>
          </cell>
          <cell r="BR48">
            <v>0</v>
          </cell>
          <cell r="BS48">
            <v>0</v>
          </cell>
          <cell r="BT48">
            <v>80388</v>
          </cell>
          <cell r="BU48"/>
          <cell r="BV48"/>
          <cell r="BW48"/>
          <cell r="BX48"/>
          <cell r="BY48">
            <v>0</v>
          </cell>
          <cell r="BZ48">
            <v>0</v>
          </cell>
          <cell r="CA48">
            <v>0</v>
          </cell>
          <cell r="CB48">
            <v>0</v>
          </cell>
          <cell r="CC48">
            <v>3248208</v>
          </cell>
          <cell r="CD48">
            <v>18575151</v>
          </cell>
          <cell r="CE48">
            <v>926968</v>
          </cell>
          <cell r="CF48">
            <v>0</v>
          </cell>
          <cell r="CG48">
            <v>926968</v>
          </cell>
          <cell r="CH48">
            <v>926968</v>
          </cell>
          <cell r="CI48">
            <v>926968</v>
          </cell>
          <cell r="CJ48">
            <v>926968</v>
          </cell>
          <cell r="CK48">
            <v>0</v>
          </cell>
          <cell r="CL48">
            <v>0</v>
          </cell>
          <cell r="CM48">
            <v>0</v>
          </cell>
          <cell r="CN48">
            <v>0</v>
          </cell>
          <cell r="CO48">
            <v>0</v>
          </cell>
          <cell r="CP48">
            <v>0</v>
          </cell>
          <cell r="CQ48">
            <v>4078561</v>
          </cell>
          <cell r="CR48">
            <v>3848121</v>
          </cell>
          <cell r="CS48">
            <v>3766728</v>
          </cell>
          <cell r="CT48">
            <v>3654643</v>
          </cell>
          <cell r="CU48">
            <v>3615290</v>
          </cell>
          <cell r="CV48">
            <v>-9775</v>
          </cell>
          <cell r="CW48">
            <v>0</v>
          </cell>
          <cell r="CX48">
            <v>0</v>
          </cell>
          <cell r="CY48">
            <v>0</v>
          </cell>
          <cell r="CZ48">
            <v>0</v>
          </cell>
          <cell r="DA48">
            <v>0</v>
          </cell>
          <cell r="DB48"/>
          <cell r="DC48">
            <v>0</v>
          </cell>
          <cell r="DD48">
            <v>0</v>
          </cell>
          <cell r="DE48">
            <v>0</v>
          </cell>
          <cell r="DF48">
            <v>0</v>
          </cell>
          <cell r="DG48">
            <v>0</v>
          </cell>
          <cell r="DH48">
            <v>0</v>
          </cell>
          <cell r="DI48">
            <v>0</v>
          </cell>
          <cell r="DJ48">
            <v>0</v>
          </cell>
          <cell r="DK48">
            <v>0</v>
          </cell>
          <cell r="DL48">
            <v>0</v>
          </cell>
          <cell r="DM48"/>
          <cell r="DN48"/>
          <cell r="DO48"/>
          <cell r="DP48"/>
        </row>
        <row r="49">
          <cell r="A49">
            <v>1690</v>
          </cell>
          <cell r="B49" t="str">
            <v>De Wolden</v>
          </cell>
          <cell r="C49">
            <v>3</v>
          </cell>
          <cell r="D49">
            <v>19716</v>
          </cell>
          <cell r="E49">
            <v>9858</v>
          </cell>
          <cell r="F49">
            <v>0</v>
          </cell>
          <cell r="G49">
            <v>0</v>
          </cell>
          <cell r="H49">
            <v>-23149</v>
          </cell>
          <cell r="I49">
            <v>-7353</v>
          </cell>
          <cell r="J49"/>
          <cell r="K49">
            <v>0</v>
          </cell>
          <cell r="L49">
            <v>72004</v>
          </cell>
          <cell r="M49">
            <v>74969</v>
          </cell>
          <cell r="N49">
            <v>0</v>
          </cell>
          <cell r="O49">
            <v>0</v>
          </cell>
          <cell r="P49">
            <v>0</v>
          </cell>
          <cell r="Q49">
            <v>0</v>
          </cell>
          <cell r="R49">
            <v>0</v>
          </cell>
          <cell r="S49">
            <v>0</v>
          </cell>
          <cell r="T49">
            <v>0</v>
          </cell>
          <cell r="U49">
            <v>0</v>
          </cell>
          <cell r="V49">
            <v>6000</v>
          </cell>
          <cell r="W49">
            <v>98161</v>
          </cell>
          <cell r="X49">
            <v>0</v>
          </cell>
          <cell r="Y49"/>
          <cell r="Z49">
            <v>0</v>
          </cell>
          <cell r="AA49">
            <v>0</v>
          </cell>
          <cell r="AB49">
            <v>0</v>
          </cell>
          <cell r="AC49"/>
          <cell r="AD49">
            <v>20000</v>
          </cell>
          <cell r="AE49">
            <v>0</v>
          </cell>
          <cell r="AF49">
            <v>0</v>
          </cell>
          <cell r="AG49">
            <v>0</v>
          </cell>
          <cell r="AH49">
            <v>0</v>
          </cell>
          <cell r="AI49">
            <v>0</v>
          </cell>
          <cell r="AJ49">
            <v>0</v>
          </cell>
          <cell r="AK49">
            <v>0</v>
          </cell>
          <cell r="AL49"/>
          <cell r="AM49">
            <v>0</v>
          </cell>
          <cell r="AN49">
            <v>0</v>
          </cell>
          <cell r="AO49">
            <v>0</v>
          </cell>
          <cell r="AP49">
            <v>0</v>
          </cell>
          <cell r="AQ49">
            <v>0</v>
          </cell>
          <cell r="AR49">
            <v>0</v>
          </cell>
          <cell r="AS49">
            <v>0</v>
          </cell>
          <cell r="AT49">
            <v>0</v>
          </cell>
          <cell r="AU49">
            <v>0</v>
          </cell>
          <cell r="AV49">
            <v>0</v>
          </cell>
          <cell r="AW49">
            <v>0</v>
          </cell>
          <cell r="AX49">
            <v>0</v>
          </cell>
          <cell r="AY49"/>
          <cell r="AZ49"/>
          <cell r="BA49">
            <v>0</v>
          </cell>
          <cell r="BB49"/>
          <cell r="BC49">
            <v>0</v>
          </cell>
          <cell r="BD49">
            <v>8335</v>
          </cell>
          <cell r="BE49"/>
          <cell r="BF49">
            <v>0</v>
          </cell>
          <cell r="BG49">
            <v>0</v>
          </cell>
          <cell r="BH49">
            <v>0</v>
          </cell>
          <cell r="BI49">
            <v>28463</v>
          </cell>
          <cell r="BJ49">
            <v>23429</v>
          </cell>
          <cell r="BK49">
            <v>23429</v>
          </cell>
          <cell r="BL49">
            <v>0</v>
          </cell>
          <cell r="BM49">
            <v>0</v>
          </cell>
          <cell r="BN49">
            <v>0</v>
          </cell>
          <cell r="BO49">
            <v>128903</v>
          </cell>
          <cell r="BP49">
            <v>0</v>
          </cell>
          <cell r="BQ49">
            <v>0</v>
          </cell>
          <cell r="BR49">
            <v>0</v>
          </cell>
          <cell r="BS49">
            <v>0</v>
          </cell>
          <cell r="BT49">
            <v>51128</v>
          </cell>
          <cell r="BU49"/>
          <cell r="BV49"/>
          <cell r="BW49"/>
          <cell r="BX49"/>
          <cell r="BY49">
            <v>0</v>
          </cell>
          <cell r="BZ49">
            <v>0</v>
          </cell>
          <cell r="CA49">
            <v>0</v>
          </cell>
          <cell r="CB49">
            <v>0</v>
          </cell>
          <cell r="CC49">
            <v>1900624</v>
          </cell>
          <cell r="CD49">
            <v>8128449</v>
          </cell>
          <cell r="CE49">
            <v>510448</v>
          </cell>
          <cell r="CF49">
            <v>-17720</v>
          </cell>
          <cell r="CG49">
            <v>510448</v>
          </cell>
          <cell r="CH49">
            <v>510448</v>
          </cell>
          <cell r="CI49">
            <v>510448</v>
          </cell>
          <cell r="CJ49">
            <v>510448</v>
          </cell>
          <cell r="CK49">
            <v>0</v>
          </cell>
          <cell r="CL49">
            <v>0</v>
          </cell>
          <cell r="CM49">
            <v>0</v>
          </cell>
          <cell r="CN49">
            <v>0</v>
          </cell>
          <cell r="CO49">
            <v>0</v>
          </cell>
          <cell r="CP49">
            <v>0</v>
          </cell>
          <cell r="CQ49">
            <v>1145072</v>
          </cell>
          <cell r="CR49">
            <v>1094280</v>
          </cell>
          <cell r="CS49">
            <v>1023288</v>
          </cell>
          <cell r="CT49">
            <v>966172</v>
          </cell>
          <cell r="CU49">
            <v>922333</v>
          </cell>
          <cell r="CV49">
            <v>24002</v>
          </cell>
          <cell r="CW49">
            <v>0</v>
          </cell>
          <cell r="CX49">
            <v>0</v>
          </cell>
          <cell r="CY49">
            <v>0</v>
          </cell>
          <cell r="CZ49">
            <v>0</v>
          </cell>
          <cell r="DA49">
            <v>0</v>
          </cell>
          <cell r="DB49"/>
          <cell r="DC49">
            <v>0</v>
          </cell>
          <cell r="DD49">
            <v>0</v>
          </cell>
          <cell r="DE49">
            <v>0</v>
          </cell>
          <cell r="DF49">
            <v>0</v>
          </cell>
          <cell r="DG49">
            <v>0</v>
          </cell>
          <cell r="DH49">
            <v>0</v>
          </cell>
          <cell r="DI49">
            <v>0</v>
          </cell>
          <cell r="DJ49">
            <v>0</v>
          </cell>
          <cell r="DK49">
            <v>0</v>
          </cell>
          <cell r="DL49">
            <v>0</v>
          </cell>
          <cell r="DM49"/>
          <cell r="DN49"/>
          <cell r="DO49"/>
          <cell r="DP49"/>
        </row>
        <row r="50">
          <cell r="A50">
            <v>114</v>
          </cell>
          <cell r="B50" t="str">
            <v>Emmen</v>
          </cell>
          <cell r="C50">
            <v>3</v>
          </cell>
          <cell r="D50">
            <v>417459</v>
          </cell>
          <cell r="E50">
            <v>208730</v>
          </cell>
          <cell r="F50">
            <v>0</v>
          </cell>
          <cell r="G50">
            <v>0</v>
          </cell>
          <cell r="H50">
            <v>-152203</v>
          </cell>
          <cell r="I50">
            <v>-2576</v>
          </cell>
          <cell r="J50"/>
          <cell r="K50">
            <v>7500</v>
          </cell>
          <cell r="L50">
            <v>663138</v>
          </cell>
          <cell r="M50">
            <v>637941</v>
          </cell>
          <cell r="N50">
            <v>0</v>
          </cell>
          <cell r="O50">
            <v>0</v>
          </cell>
          <cell r="P50">
            <v>150000</v>
          </cell>
          <cell r="Q50">
            <v>0</v>
          </cell>
          <cell r="R50">
            <v>0</v>
          </cell>
          <cell r="S50">
            <v>1805019</v>
          </cell>
          <cell r="T50">
            <v>1805019</v>
          </cell>
          <cell r="U50">
            <v>1805019</v>
          </cell>
          <cell r="V50">
            <v>72000</v>
          </cell>
          <cell r="W50">
            <v>415580</v>
          </cell>
          <cell r="X50">
            <v>0</v>
          </cell>
          <cell r="Y50"/>
          <cell r="Z50">
            <v>0</v>
          </cell>
          <cell r="AA50">
            <v>40000</v>
          </cell>
          <cell r="AB50">
            <v>0</v>
          </cell>
          <cell r="AC50"/>
          <cell r="AD50">
            <v>402853</v>
          </cell>
          <cell r="AE50">
            <v>0</v>
          </cell>
          <cell r="AF50">
            <v>0</v>
          </cell>
          <cell r="AG50">
            <v>0</v>
          </cell>
          <cell r="AH50">
            <v>0</v>
          </cell>
          <cell r="AI50">
            <v>0</v>
          </cell>
          <cell r="AJ50">
            <v>0</v>
          </cell>
          <cell r="AK50">
            <v>82888</v>
          </cell>
          <cell r="AL50"/>
          <cell r="AM50">
            <v>0</v>
          </cell>
          <cell r="AN50">
            <v>0</v>
          </cell>
          <cell r="AO50">
            <v>0</v>
          </cell>
          <cell r="AP50">
            <v>0</v>
          </cell>
          <cell r="AQ50">
            <v>0</v>
          </cell>
          <cell r="AR50">
            <v>0</v>
          </cell>
          <cell r="AS50">
            <v>0</v>
          </cell>
          <cell r="AT50">
            <v>0</v>
          </cell>
          <cell r="AU50">
            <v>11850</v>
          </cell>
          <cell r="AV50">
            <v>3228341.69270535</v>
          </cell>
          <cell r="AW50">
            <v>80000</v>
          </cell>
          <cell r="AX50">
            <v>0</v>
          </cell>
          <cell r="AY50"/>
          <cell r="AZ50"/>
          <cell r="BA50">
            <v>0</v>
          </cell>
          <cell r="BB50"/>
          <cell r="BC50">
            <v>0</v>
          </cell>
          <cell r="BD50">
            <v>37733</v>
          </cell>
          <cell r="BE50"/>
          <cell r="BF50">
            <v>0</v>
          </cell>
          <cell r="BG50">
            <v>0</v>
          </cell>
          <cell r="BH50">
            <v>0</v>
          </cell>
          <cell r="BI50">
            <v>217747</v>
          </cell>
          <cell r="BJ50">
            <v>179238</v>
          </cell>
          <cell r="BK50">
            <v>179238</v>
          </cell>
          <cell r="BL50">
            <v>0</v>
          </cell>
          <cell r="BM50">
            <v>0</v>
          </cell>
          <cell r="BN50">
            <v>0</v>
          </cell>
          <cell r="BO50">
            <v>810875</v>
          </cell>
          <cell r="BP50">
            <v>39535</v>
          </cell>
          <cell r="BQ50">
            <v>71220.930232558094</v>
          </cell>
          <cell r="BR50">
            <v>0</v>
          </cell>
          <cell r="BS50">
            <v>0</v>
          </cell>
          <cell r="BT50">
            <v>215514</v>
          </cell>
          <cell r="BU50"/>
          <cell r="BV50"/>
          <cell r="BW50"/>
          <cell r="BX50"/>
          <cell r="BY50">
            <v>2831539.0244533899</v>
          </cell>
          <cell r="BZ50">
            <v>3261677.1421955898</v>
          </cell>
          <cell r="CA50">
            <v>3298422.6095404001</v>
          </cell>
          <cell r="CB50">
            <v>3402174.5173375099</v>
          </cell>
          <cell r="CC50">
            <v>11104184</v>
          </cell>
          <cell r="CD50">
            <v>101149084</v>
          </cell>
          <cell r="CE50">
            <v>5970966</v>
          </cell>
          <cell r="CF50">
            <v>-6245</v>
          </cell>
          <cell r="CG50">
            <v>5970966</v>
          </cell>
          <cell r="CH50">
            <v>5970966</v>
          </cell>
          <cell r="CI50">
            <v>5970966</v>
          </cell>
          <cell r="CJ50">
            <v>5970966</v>
          </cell>
          <cell r="CK50">
            <v>21889294</v>
          </cell>
          <cell r="CL50">
            <v>21878308</v>
          </cell>
          <cell r="CM50">
            <v>21878130</v>
          </cell>
          <cell r="CN50">
            <v>21877739</v>
          </cell>
          <cell r="CO50">
            <v>21878281</v>
          </cell>
          <cell r="CP50">
            <v>0</v>
          </cell>
          <cell r="CQ50">
            <v>24753727</v>
          </cell>
          <cell r="CR50">
            <v>23291987</v>
          </cell>
          <cell r="CS50">
            <v>22436038</v>
          </cell>
          <cell r="CT50">
            <v>21604410</v>
          </cell>
          <cell r="CU50">
            <v>20900312</v>
          </cell>
          <cell r="CV50">
            <v>-105933</v>
          </cell>
          <cell r="CW50">
            <v>0</v>
          </cell>
          <cell r="CX50">
            <v>0</v>
          </cell>
          <cell r="CY50">
            <v>0</v>
          </cell>
          <cell r="CZ50">
            <v>0</v>
          </cell>
          <cell r="DA50">
            <v>0</v>
          </cell>
          <cell r="DB50"/>
          <cell r="DC50">
            <v>0</v>
          </cell>
          <cell r="DD50">
            <v>0</v>
          </cell>
          <cell r="DE50">
            <v>0</v>
          </cell>
          <cell r="DF50">
            <v>0</v>
          </cell>
          <cell r="DG50">
            <v>0</v>
          </cell>
          <cell r="DH50">
            <v>0</v>
          </cell>
          <cell r="DI50">
            <v>0</v>
          </cell>
          <cell r="DJ50">
            <v>0</v>
          </cell>
          <cell r="DK50">
            <v>0</v>
          </cell>
          <cell r="DL50">
            <v>0</v>
          </cell>
          <cell r="DM50"/>
          <cell r="DN50"/>
          <cell r="DO50"/>
          <cell r="DP50"/>
        </row>
        <row r="51">
          <cell r="A51">
            <v>118</v>
          </cell>
          <cell r="B51" t="str">
            <v>Hoogeveen</v>
          </cell>
          <cell r="C51">
            <v>3</v>
          </cell>
          <cell r="D51">
            <v>86899</v>
          </cell>
          <cell r="E51">
            <v>43450</v>
          </cell>
          <cell r="F51">
            <v>0</v>
          </cell>
          <cell r="G51">
            <v>0</v>
          </cell>
          <cell r="H51">
            <v>461540</v>
          </cell>
          <cell r="I51">
            <v>0</v>
          </cell>
          <cell r="J51"/>
          <cell r="K51">
            <v>0</v>
          </cell>
          <cell r="L51">
            <v>297129</v>
          </cell>
          <cell r="M51">
            <v>290402</v>
          </cell>
          <cell r="N51">
            <v>0</v>
          </cell>
          <cell r="O51">
            <v>0</v>
          </cell>
          <cell r="P51">
            <v>0</v>
          </cell>
          <cell r="Q51">
            <v>0</v>
          </cell>
          <cell r="R51">
            <v>0</v>
          </cell>
          <cell r="S51">
            <v>0</v>
          </cell>
          <cell r="T51">
            <v>0</v>
          </cell>
          <cell r="U51">
            <v>0</v>
          </cell>
          <cell r="V51">
            <v>9000</v>
          </cell>
          <cell r="W51">
            <v>216926</v>
          </cell>
          <cell r="X51">
            <v>0</v>
          </cell>
          <cell r="Y51"/>
          <cell r="Z51">
            <v>0</v>
          </cell>
          <cell r="AA51">
            <v>0</v>
          </cell>
          <cell r="AB51">
            <v>0</v>
          </cell>
          <cell r="AC51"/>
          <cell r="AD51">
            <v>173070</v>
          </cell>
          <cell r="AE51">
            <v>0</v>
          </cell>
          <cell r="AF51">
            <v>0</v>
          </cell>
          <cell r="AG51">
            <v>0</v>
          </cell>
          <cell r="AH51">
            <v>0</v>
          </cell>
          <cell r="AI51">
            <v>0</v>
          </cell>
          <cell r="AJ51">
            <v>0</v>
          </cell>
          <cell r="AK51">
            <v>0</v>
          </cell>
          <cell r="AL51"/>
          <cell r="AM51">
            <v>0</v>
          </cell>
          <cell r="AN51">
            <v>0</v>
          </cell>
          <cell r="AO51">
            <v>0</v>
          </cell>
          <cell r="AP51">
            <v>0</v>
          </cell>
          <cell r="AQ51">
            <v>0</v>
          </cell>
          <cell r="AR51">
            <v>0</v>
          </cell>
          <cell r="AS51">
            <v>0</v>
          </cell>
          <cell r="AT51">
            <v>0</v>
          </cell>
          <cell r="AU51">
            <v>0</v>
          </cell>
          <cell r="AV51">
            <v>0</v>
          </cell>
          <cell r="AW51">
            <v>0</v>
          </cell>
          <cell r="AX51">
            <v>0</v>
          </cell>
          <cell r="AY51"/>
          <cell r="AZ51"/>
          <cell r="BA51">
            <v>0</v>
          </cell>
          <cell r="BB51"/>
          <cell r="BC51">
            <v>0</v>
          </cell>
          <cell r="BD51">
            <v>19416</v>
          </cell>
          <cell r="BE51"/>
          <cell r="BF51">
            <v>0</v>
          </cell>
          <cell r="BG51">
            <v>0</v>
          </cell>
          <cell r="BH51">
            <v>0</v>
          </cell>
          <cell r="BI51">
            <v>105121</v>
          </cell>
          <cell r="BJ51">
            <v>86530</v>
          </cell>
          <cell r="BK51">
            <v>86530</v>
          </cell>
          <cell r="BL51">
            <v>0</v>
          </cell>
          <cell r="BM51">
            <v>0</v>
          </cell>
          <cell r="BN51">
            <v>0</v>
          </cell>
          <cell r="BO51">
            <v>177060</v>
          </cell>
          <cell r="BP51">
            <v>34790.800000000003</v>
          </cell>
          <cell r="BQ51">
            <v>62674.418604651197</v>
          </cell>
          <cell r="BR51">
            <v>0</v>
          </cell>
          <cell r="BS51">
            <v>0</v>
          </cell>
          <cell r="BT51">
            <v>104642</v>
          </cell>
          <cell r="BU51"/>
          <cell r="BV51"/>
          <cell r="BW51"/>
          <cell r="BX51"/>
          <cell r="BY51">
            <v>0</v>
          </cell>
          <cell r="BZ51">
            <v>0</v>
          </cell>
          <cell r="CA51">
            <v>0</v>
          </cell>
          <cell r="CB51">
            <v>0</v>
          </cell>
          <cell r="CC51">
            <v>5528813</v>
          </cell>
          <cell r="CD51">
            <v>65735511</v>
          </cell>
          <cell r="CE51">
            <v>3554295</v>
          </cell>
          <cell r="CF51">
            <v>0</v>
          </cell>
          <cell r="CG51">
            <v>3554295</v>
          </cell>
          <cell r="CH51">
            <v>3554295</v>
          </cell>
          <cell r="CI51">
            <v>3554295</v>
          </cell>
          <cell r="CJ51">
            <v>3554295</v>
          </cell>
          <cell r="CK51">
            <v>0</v>
          </cell>
          <cell r="CL51">
            <v>0</v>
          </cell>
          <cell r="CM51">
            <v>0</v>
          </cell>
          <cell r="CN51">
            <v>0</v>
          </cell>
          <cell r="CO51">
            <v>0</v>
          </cell>
          <cell r="CP51">
            <v>0</v>
          </cell>
          <cell r="CQ51">
            <v>36519300</v>
          </cell>
          <cell r="CR51">
            <v>34443132</v>
          </cell>
          <cell r="CS51">
            <v>33387371</v>
          </cell>
          <cell r="CT51">
            <v>32397822</v>
          </cell>
          <cell r="CU51">
            <v>31367071</v>
          </cell>
          <cell r="CV51">
            <v>-175320</v>
          </cell>
          <cell r="CW51">
            <v>0</v>
          </cell>
          <cell r="CX51">
            <v>0</v>
          </cell>
          <cell r="CY51">
            <v>0</v>
          </cell>
          <cell r="CZ51">
            <v>0</v>
          </cell>
          <cell r="DA51">
            <v>0</v>
          </cell>
          <cell r="DB51"/>
          <cell r="DC51">
            <v>0</v>
          </cell>
          <cell r="DD51">
            <v>0</v>
          </cell>
          <cell r="DE51">
            <v>0</v>
          </cell>
          <cell r="DF51">
            <v>0</v>
          </cell>
          <cell r="DG51">
            <v>0</v>
          </cell>
          <cell r="DH51">
            <v>0</v>
          </cell>
          <cell r="DI51">
            <v>0</v>
          </cell>
          <cell r="DJ51">
            <v>0</v>
          </cell>
          <cell r="DK51">
            <v>0</v>
          </cell>
          <cell r="DL51">
            <v>0</v>
          </cell>
          <cell r="DM51"/>
          <cell r="DN51"/>
          <cell r="DO51"/>
          <cell r="DP51"/>
        </row>
        <row r="52">
          <cell r="A52">
            <v>119</v>
          </cell>
          <cell r="B52" t="str">
            <v>Meppel</v>
          </cell>
          <cell r="C52">
            <v>3</v>
          </cell>
          <cell r="D52">
            <v>-6158</v>
          </cell>
          <cell r="E52">
            <v>-3079</v>
          </cell>
          <cell r="F52">
            <v>0</v>
          </cell>
          <cell r="G52">
            <v>0</v>
          </cell>
          <cell r="H52">
            <v>-40227</v>
          </cell>
          <cell r="I52">
            <v>-21953</v>
          </cell>
          <cell r="J52"/>
          <cell r="K52">
            <v>0</v>
          </cell>
          <cell r="L52">
            <v>151808</v>
          </cell>
          <cell r="M52">
            <v>138321</v>
          </cell>
          <cell r="N52">
            <v>0</v>
          </cell>
          <cell r="O52">
            <v>0</v>
          </cell>
          <cell r="P52">
            <v>0</v>
          </cell>
          <cell r="Q52">
            <v>0</v>
          </cell>
          <cell r="R52">
            <v>0</v>
          </cell>
          <cell r="S52">
            <v>0</v>
          </cell>
          <cell r="T52">
            <v>0</v>
          </cell>
          <cell r="U52">
            <v>0</v>
          </cell>
          <cell r="V52">
            <v>0</v>
          </cell>
          <cell r="W52">
            <v>124985</v>
          </cell>
          <cell r="X52">
            <v>0</v>
          </cell>
          <cell r="Y52"/>
          <cell r="Z52">
            <v>0</v>
          </cell>
          <cell r="AA52">
            <v>0</v>
          </cell>
          <cell r="AB52">
            <v>0</v>
          </cell>
          <cell r="AC52"/>
          <cell r="AD52">
            <v>22489</v>
          </cell>
          <cell r="AE52">
            <v>0</v>
          </cell>
          <cell r="AF52">
            <v>0</v>
          </cell>
          <cell r="AG52">
            <v>0</v>
          </cell>
          <cell r="AH52">
            <v>0</v>
          </cell>
          <cell r="AI52">
            <v>0</v>
          </cell>
          <cell r="AJ52">
            <v>0</v>
          </cell>
          <cell r="AK52">
            <v>0</v>
          </cell>
          <cell r="AL52"/>
          <cell r="AM52">
            <v>0</v>
          </cell>
          <cell r="AN52">
            <v>0</v>
          </cell>
          <cell r="AO52">
            <v>0</v>
          </cell>
          <cell r="AP52">
            <v>0</v>
          </cell>
          <cell r="AQ52">
            <v>0</v>
          </cell>
          <cell r="AR52">
            <v>0</v>
          </cell>
          <cell r="AS52">
            <v>0</v>
          </cell>
          <cell r="AT52">
            <v>0</v>
          </cell>
          <cell r="AU52">
            <v>0</v>
          </cell>
          <cell r="AV52">
            <v>0</v>
          </cell>
          <cell r="AW52">
            <v>0</v>
          </cell>
          <cell r="AX52">
            <v>0</v>
          </cell>
          <cell r="AY52"/>
          <cell r="AZ52"/>
          <cell r="BA52">
            <v>0</v>
          </cell>
          <cell r="BB52"/>
          <cell r="BC52">
            <v>0</v>
          </cell>
          <cell r="BD52">
            <v>11593</v>
          </cell>
          <cell r="BE52"/>
          <cell r="BF52">
            <v>0</v>
          </cell>
          <cell r="BG52">
            <v>0</v>
          </cell>
          <cell r="BH52">
            <v>0</v>
          </cell>
          <cell r="BI52">
            <v>53522</v>
          </cell>
          <cell r="BJ52">
            <v>44056</v>
          </cell>
          <cell r="BK52">
            <v>44056</v>
          </cell>
          <cell r="BL52">
            <v>0</v>
          </cell>
          <cell r="BM52">
            <v>0</v>
          </cell>
          <cell r="BN52">
            <v>0</v>
          </cell>
          <cell r="BO52">
            <v>218893</v>
          </cell>
          <cell r="BP52">
            <v>3162.8</v>
          </cell>
          <cell r="BQ52">
            <v>5697.6744186046499</v>
          </cell>
          <cell r="BR52">
            <v>0</v>
          </cell>
          <cell r="BS52">
            <v>0</v>
          </cell>
          <cell r="BT52">
            <v>57727</v>
          </cell>
          <cell r="BU52"/>
          <cell r="BV52"/>
          <cell r="BW52"/>
          <cell r="BX52"/>
          <cell r="BY52">
            <v>0</v>
          </cell>
          <cell r="BZ52">
            <v>0</v>
          </cell>
          <cell r="CA52">
            <v>0</v>
          </cell>
          <cell r="CB52">
            <v>0</v>
          </cell>
          <cell r="CC52">
            <v>2778375</v>
          </cell>
          <cell r="CD52">
            <v>21327724</v>
          </cell>
          <cell r="CE52">
            <v>1422303</v>
          </cell>
          <cell r="CF52">
            <v>-53192</v>
          </cell>
          <cell r="CG52">
            <v>1422303</v>
          </cell>
          <cell r="CH52">
            <v>1422303</v>
          </cell>
          <cell r="CI52">
            <v>1422303</v>
          </cell>
          <cell r="CJ52">
            <v>1422303</v>
          </cell>
          <cell r="CK52">
            <v>0</v>
          </cell>
          <cell r="CL52">
            <v>0</v>
          </cell>
          <cell r="CM52">
            <v>0</v>
          </cell>
          <cell r="CN52">
            <v>0</v>
          </cell>
          <cell r="CO52">
            <v>0</v>
          </cell>
          <cell r="CP52">
            <v>0</v>
          </cell>
          <cell r="CQ52">
            <v>6851403</v>
          </cell>
          <cell r="CR52">
            <v>6543505</v>
          </cell>
          <cell r="CS52">
            <v>6362656</v>
          </cell>
          <cell r="CT52">
            <v>6178804</v>
          </cell>
          <cell r="CU52">
            <v>6010292</v>
          </cell>
          <cell r="CV52">
            <v>46597</v>
          </cell>
          <cell r="CW52">
            <v>0</v>
          </cell>
          <cell r="CX52">
            <v>0</v>
          </cell>
          <cell r="CY52">
            <v>0</v>
          </cell>
          <cell r="CZ52">
            <v>0</v>
          </cell>
          <cell r="DA52">
            <v>0</v>
          </cell>
          <cell r="DB52"/>
          <cell r="DC52">
            <v>250000</v>
          </cell>
          <cell r="DD52">
            <v>0</v>
          </cell>
          <cell r="DE52">
            <v>0</v>
          </cell>
          <cell r="DF52">
            <v>0</v>
          </cell>
          <cell r="DG52">
            <v>0</v>
          </cell>
          <cell r="DH52">
            <v>0</v>
          </cell>
          <cell r="DI52">
            <v>0</v>
          </cell>
          <cell r="DJ52">
            <v>0</v>
          </cell>
          <cell r="DK52">
            <v>0</v>
          </cell>
          <cell r="DL52">
            <v>0</v>
          </cell>
          <cell r="DM52"/>
          <cell r="DN52"/>
          <cell r="DO52"/>
          <cell r="DP52"/>
        </row>
        <row r="53">
          <cell r="A53">
            <v>1731</v>
          </cell>
          <cell r="B53" t="str">
            <v>Midden Drenthe</v>
          </cell>
          <cell r="C53">
            <v>3</v>
          </cell>
          <cell r="D53">
            <v>6088</v>
          </cell>
          <cell r="E53">
            <v>3044</v>
          </cell>
          <cell r="F53">
            <v>0</v>
          </cell>
          <cell r="G53">
            <v>0</v>
          </cell>
          <cell r="H53">
            <v>-14382</v>
          </cell>
          <cell r="I53">
            <v>-3978</v>
          </cell>
          <cell r="J53"/>
          <cell r="K53">
            <v>0</v>
          </cell>
          <cell r="L53">
            <v>120272</v>
          </cell>
          <cell r="M53">
            <v>112966</v>
          </cell>
          <cell r="N53">
            <v>0</v>
          </cell>
          <cell r="O53">
            <v>0</v>
          </cell>
          <cell r="P53">
            <v>0</v>
          </cell>
          <cell r="Q53">
            <v>0</v>
          </cell>
          <cell r="R53">
            <v>0</v>
          </cell>
          <cell r="S53">
            <v>0</v>
          </cell>
          <cell r="T53">
            <v>0</v>
          </cell>
          <cell r="U53">
            <v>0</v>
          </cell>
          <cell r="V53">
            <v>6000</v>
          </cell>
          <cell r="W53">
            <v>134121</v>
          </cell>
          <cell r="X53">
            <v>0</v>
          </cell>
          <cell r="Y53"/>
          <cell r="Z53">
            <v>0</v>
          </cell>
          <cell r="AA53">
            <v>0</v>
          </cell>
          <cell r="AB53">
            <v>0</v>
          </cell>
          <cell r="AC53"/>
          <cell r="AD53">
            <v>44001</v>
          </cell>
          <cell r="AE53">
            <v>0</v>
          </cell>
          <cell r="AF53">
            <v>0</v>
          </cell>
          <cell r="AG53">
            <v>0</v>
          </cell>
          <cell r="AH53">
            <v>0</v>
          </cell>
          <cell r="AI53">
            <v>0</v>
          </cell>
          <cell r="AJ53">
            <v>0</v>
          </cell>
          <cell r="AK53">
            <v>0</v>
          </cell>
          <cell r="AL53"/>
          <cell r="AM53">
            <v>0</v>
          </cell>
          <cell r="AN53">
            <v>0</v>
          </cell>
          <cell r="AO53">
            <v>0</v>
          </cell>
          <cell r="AP53">
            <v>0</v>
          </cell>
          <cell r="AQ53">
            <v>0</v>
          </cell>
          <cell r="AR53">
            <v>0</v>
          </cell>
          <cell r="AS53">
            <v>0</v>
          </cell>
          <cell r="AT53">
            <v>0</v>
          </cell>
          <cell r="AU53">
            <v>0</v>
          </cell>
          <cell r="AV53">
            <v>0</v>
          </cell>
          <cell r="AW53">
            <v>0</v>
          </cell>
          <cell r="AX53">
            <v>0</v>
          </cell>
          <cell r="AY53"/>
          <cell r="AZ53"/>
          <cell r="BA53">
            <v>0</v>
          </cell>
          <cell r="BB53"/>
          <cell r="BC53">
            <v>0</v>
          </cell>
          <cell r="BD53">
            <v>11724</v>
          </cell>
          <cell r="BE53"/>
          <cell r="BF53">
            <v>0</v>
          </cell>
          <cell r="BG53">
            <v>0</v>
          </cell>
          <cell r="BH53">
            <v>0</v>
          </cell>
          <cell r="BI53">
            <v>43191</v>
          </cell>
          <cell r="BJ53">
            <v>35553</v>
          </cell>
          <cell r="BK53">
            <v>35553</v>
          </cell>
          <cell r="BL53">
            <v>0</v>
          </cell>
          <cell r="BM53">
            <v>0</v>
          </cell>
          <cell r="BN53">
            <v>0</v>
          </cell>
          <cell r="BO53">
            <v>122093</v>
          </cell>
          <cell r="BP53">
            <v>3162.8</v>
          </cell>
          <cell r="BQ53">
            <v>5697.6744186046499</v>
          </cell>
          <cell r="BR53">
            <v>0</v>
          </cell>
          <cell r="BS53">
            <v>0</v>
          </cell>
          <cell r="BT53">
            <v>73455</v>
          </cell>
          <cell r="BU53"/>
          <cell r="BV53"/>
          <cell r="BW53"/>
          <cell r="BX53"/>
          <cell r="BY53">
            <v>0</v>
          </cell>
          <cell r="BZ53">
            <v>0</v>
          </cell>
          <cell r="CA53">
            <v>0</v>
          </cell>
          <cell r="CB53">
            <v>0</v>
          </cell>
          <cell r="CC53">
            <v>2638693</v>
          </cell>
          <cell r="CD53">
            <v>12202899</v>
          </cell>
          <cell r="CE53">
            <v>2236989</v>
          </cell>
          <cell r="CF53">
            <v>-9643</v>
          </cell>
          <cell r="CG53">
            <v>2236989</v>
          </cell>
          <cell r="CH53">
            <v>2236989</v>
          </cell>
          <cell r="CI53">
            <v>2236989</v>
          </cell>
          <cell r="CJ53">
            <v>2236989</v>
          </cell>
          <cell r="CK53">
            <v>0</v>
          </cell>
          <cell r="CL53">
            <v>0</v>
          </cell>
          <cell r="CM53">
            <v>0</v>
          </cell>
          <cell r="CN53">
            <v>0</v>
          </cell>
          <cell r="CO53">
            <v>0</v>
          </cell>
          <cell r="CP53">
            <v>0</v>
          </cell>
          <cell r="CQ53">
            <v>182180</v>
          </cell>
          <cell r="CR53">
            <v>204461</v>
          </cell>
          <cell r="CS53">
            <v>210793</v>
          </cell>
          <cell r="CT53">
            <v>230931</v>
          </cell>
          <cell r="CU53">
            <v>251011</v>
          </cell>
          <cell r="CV53">
            <v>-109404</v>
          </cell>
          <cell r="CW53">
            <v>0</v>
          </cell>
          <cell r="CX53">
            <v>0</v>
          </cell>
          <cell r="CY53">
            <v>0</v>
          </cell>
          <cell r="CZ53">
            <v>0</v>
          </cell>
          <cell r="DA53">
            <v>0</v>
          </cell>
          <cell r="DB53"/>
          <cell r="DC53">
            <v>0</v>
          </cell>
          <cell r="DD53">
            <v>0</v>
          </cell>
          <cell r="DE53">
            <v>0</v>
          </cell>
          <cell r="DF53">
            <v>0</v>
          </cell>
          <cell r="DG53">
            <v>0</v>
          </cell>
          <cell r="DH53">
            <v>0</v>
          </cell>
          <cell r="DI53">
            <v>0</v>
          </cell>
          <cell r="DJ53">
            <v>0</v>
          </cell>
          <cell r="DK53">
            <v>0</v>
          </cell>
          <cell r="DL53">
            <v>0</v>
          </cell>
          <cell r="DM53"/>
          <cell r="DN53"/>
          <cell r="DO53"/>
          <cell r="DP53"/>
        </row>
        <row r="54">
          <cell r="A54">
            <v>1699</v>
          </cell>
          <cell r="B54" t="str">
            <v>Noordenveld</v>
          </cell>
          <cell r="C54">
            <v>3</v>
          </cell>
          <cell r="D54">
            <v>-3778</v>
          </cell>
          <cell r="E54">
            <v>-1889</v>
          </cell>
          <cell r="F54">
            <v>0</v>
          </cell>
          <cell r="G54">
            <v>0</v>
          </cell>
          <cell r="H54">
            <v>-20303</v>
          </cell>
          <cell r="I54">
            <v>-1489</v>
          </cell>
          <cell r="J54"/>
          <cell r="K54">
            <v>0</v>
          </cell>
          <cell r="L54">
            <v>129126</v>
          </cell>
          <cell r="M54">
            <v>115180</v>
          </cell>
          <cell r="N54">
            <v>0</v>
          </cell>
          <cell r="O54">
            <v>0</v>
          </cell>
          <cell r="P54">
            <v>0</v>
          </cell>
          <cell r="Q54">
            <v>0</v>
          </cell>
          <cell r="R54">
            <v>0</v>
          </cell>
          <cell r="S54">
            <v>0</v>
          </cell>
          <cell r="T54">
            <v>0</v>
          </cell>
          <cell r="U54">
            <v>0</v>
          </cell>
          <cell r="V54">
            <v>9000</v>
          </cell>
          <cell r="W54">
            <v>91522</v>
          </cell>
          <cell r="X54">
            <v>348128</v>
          </cell>
          <cell r="Y54"/>
          <cell r="Z54">
            <v>0</v>
          </cell>
          <cell r="AA54">
            <v>0</v>
          </cell>
          <cell r="AB54">
            <v>0</v>
          </cell>
          <cell r="AC54"/>
          <cell r="AD54">
            <v>0</v>
          </cell>
          <cell r="AE54">
            <v>0</v>
          </cell>
          <cell r="AF54">
            <v>0</v>
          </cell>
          <cell r="AG54">
            <v>0</v>
          </cell>
          <cell r="AH54">
            <v>0</v>
          </cell>
          <cell r="AI54">
            <v>0</v>
          </cell>
          <cell r="AJ54">
            <v>0</v>
          </cell>
          <cell r="AK54">
            <v>0</v>
          </cell>
          <cell r="AL54"/>
          <cell r="AM54">
            <v>0</v>
          </cell>
          <cell r="AN54">
            <v>0</v>
          </cell>
          <cell r="AO54">
            <v>0</v>
          </cell>
          <cell r="AP54">
            <v>0</v>
          </cell>
          <cell r="AQ54">
            <v>0</v>
          </cell>
          <cell r="AR54">
            <v>0</v>
          </cell>
          <cell r="AS54">
            <v>0</v>
          </cell>
          <cell r="AT54">
            <v>0</v>
          </cell>
          <cell r="AU54">
            <v>4740</v>
          </cell>
          <cell r="AV54">
            <v>0</v>
          </cell>
          <cell r="AW54">
            <v>0</v>
          </cell>
          <cell r="AX54">
            <v>0</v>
          </cell>
          <cell r="AY54"/>
          <cell r="AZ54"/>
          <cell r="BA54">
            <v>0</v>
          </cell>
          <cell r="BB54"/>
          <cell r="BC54">
            <v>0</v>
          </cell>
          <cell r="BD54">
            <v>11578</v>
          </cell>
          <cell r="BE54"/>
          <cell r="BF54">
            <v>0</v>
          </cell>
          <cell r="BG54">
            <v>0</v>
          </cell>
          <cell r="BH54">
            <v>0</v>
          </cell>
          <cell r="BI54">
            <v>52351</v>
          </cell>
          <cell r="BJ54">
            <v>43093</v>
          </cell>
          <cell r="BK54">
            <v>43093</v>
          </cell>
          <cell r="BL54">
            <v>0</v>
          </cell>
          <cell r="BM54">
            <v>0</v>
          </cell>
          <cell r="BN54">
            <v>0</v>
          </cell>
          <cell r="BO54">
            <v>125985</v>
          </cell>
          <cell r="BP54">
            <v>11069.8</v>
          </cell>
          <cell r="BQ54">
            <v>19941.8604651163</v>
          </cell>
          <cell r="BR54">
            <v>0</v>
          </cell>
          <cell r="BS54">
            <v>0</v>
          </cell>
          <cell r="BT54">
            <v>56890</v>
          </cell>
          <cell r="BU54"/>
          <cell r="BV54"/>
          <cell r="BW54"/>
          <cell r="BX54"/>
          <cell r="BY54">
            <v>0</v>
          </cell>
          <cell r="BZ54">
            <v>0</v>
          </cell>
          <cell r="CA54">
            <v>0</v>
          </cell>
          <cell r="CB54">
            <v>0</v>
          </cell>
          <cell r="CC54">
            <v>2918898</v>
          </cell>
          <cell r="CD54">
            <v>13886554</v>
          </cell>
          <cell r="CE54">
            <v>1142153</v>
          </cell>
          <cell r="CF54">
            <v>-3594</v>
          </cell>
          <cell r="CG54">
            <v>1142153</v>
          </cell>
          <cell r="CH54">
            <v>1142153</v>
          </cell>
          <cell r="CI54">
            <v>1142153</v>
          </cell>
          <cell r="CJ54">
            <v>1142153</v>
          </cell>
          <cell r="CK54">
            <v>0</v>
          </cell>
          <cell r="CL54">
            <v>0</v>
          </cell>
          <cell r="CM54">
            <v>0</v>
          </cell>
          <cell r="CN54">
            <v>0</v>
          </cell>
          <cell r="CO54">
            <v>0</v>
          </cell>
          <cell r="CP54">
            <v>0</v>
          </cell>
          <cell r="CQ54">
            <v>3113096</v>
          </cell>
          <cell r="CR54">
            <v>2986761</v>
          </cell>
          <cell r="CS54">
            <v>2933629</v>
          </cell>
          <cell r="CT54">
            <v>2876839</v>
          </cell>
          <cell r="CU54">
            <v>2814401</v>
          </cell>
          <cell r="CV54">
            <v>35312</v>
          </cell>
          <cell r="CW54">
            <v>0</v>
          </cell>
          <cell r="CX54">
            <v>0</v>
          </cell>
          <cell r="CY54">
            <v>0</v>
          </cell>
          <cell r="CZ54">
            <v>0</v>
          </cell>
          <cell r="DA54">
            <v>0</v>
          </cell>
          <cell r="DB54"/>
          <cell r="DC54">
            <v>0</v>
          </cell>
          <cell r="DD54">
            <v>0</v>
          </cell>
          <cell r="DE54">
            <v>0</v>
          </cell>
          <cell r="DF54">
            <v>0</v>
          </cell>
          <cell r="DG54">
            <v>0</v>
          </cell>
          <cell r="DH54">
            <v>0</v>
          </cell>
          <cell r="DI54">
            <v>0</v>
          </cell>
          <cell r="DJ54">
            <v>0</v>
          </cell>
          <cell r="DK54">
            <v>0</v>
          </cell>
          <cell r="DL54">
            <v>0</v>
          </cell>
          <cell r="DM54"/>
          <cell r="DN54"/>
          <cell r="DO54"/>
          <cell r="DP54"/>
        </row>
        <row r="55">
          <cell r="A55">
            <v>1730</v>
          </cell>
          <cell r="B55" t="str">
            <v>Tynaarlo</v>
          </cell>
          <cell r="C55">
            <v>3</v>
          </cell>
          <cell r="D55">
            <v>-22914</v>
          </cell>
          <cell r="E55">
            <v>-11457</v>
          </cell>
          <cell r="F55">
            <v>0</v>
          </cell>
          <cell r="G55">
            <v>0</v>
          </cell>
          <cell r="H55">
            <v>-36336</v>
          </cell>
          <cell r="I55">
            <v>-11981</v>
          </cell>
          <cell r="J55"/>
          <cell r="K55">
            <v>0</v>
          </cell>
          <cell r="L55">
            <v>95979</v>
          </cell>
          <cell r="M55">
            <v>90920</v>
          </cell>
          <cell r="N55">
            <v>0</v>
          </cell>
          <cell r="O55">
            <v>0</v>
          </cell>
          <cell r="P55">
            <v>0</v>
          </cell>
          <cell r="Q55">
            <v>0</v>
          </cell>
          <cell r="R55">
            <v>0</v>
          </cell>
          <cell r="S55">
            <v>0</v>
          </cell>
          <cell r="T55">
            <v>0</v>
          </cell>
          <cell r="U55">
            <v>0</v>
          </cell>
          <cell r="V55">
            <v>9000</v>
          </cell>
          <cell r="W55">
            <v>125957</v>
          </cell>
          <cell r="X55">
            <v>0</v>
          </cell>
          <cell r="Y55"/>
          <cell r="Z55">
            <v>0</v>
          </cell>
          <cell r="AA55">
            <v>0</v>
          </cell>
          <cell r="AB55">
            <v>0</v>
          </cell>
          <cell r="AC55"/>
          <cell r="AD55">
            <v>0</v>
          </cell>
          <cell r="AE55">
            <v>0</v>
          </cell>
          <cell r="AF55">
            <v>0</v>
          </cell>
          <cell r="AG55">
            <v>0</v>
          </cell>
          <cell r="AH55">
            <v>0</v>
          </cell>
          <cell r="AI55">
            <v>0</v>
          </cell>
          <cell r="AJ55">
            <v>0</v>
          </cell>
          <cell r="AK55">
            <v>0</v>
          </cell>
          <cell r="AL55"/>
          <cell r="AM55">
            <v>0</v>
          </cell>
          <cell r="AN55">
            <v>0</v>
          </cell>
          <cell r="AO55">
            <v>0</v>
          </cell>
          <cell r="AP55">
            <v>0</v>
          </cell>
          <cell r="AQ55">
            <v>0</v>
          </cell>
          <cell r="AR55">
            <v>0</v>
          </cell>
          <cell r="AS55">
            <v>0</v>
          </cell>
          <cell r="AT55">
            <v>0</v>
          </cell>
          <cell r="AU55">
            <v>0</v>
          </cell>
          <cell r="AV55">
            <v>0</v>
          </cell>
          <cell r="AW55">
            <v>0</v>
          </cell>
          <cell r="AX55">
            <v>0</v>
          </cell>
          <cell r="AY55"/>
          <cell r="AZ55"/>
          <cell r="BA55">
            <v>0</v>
          </cell>
          <cell r="BB55"/>
          <cell r="BC55">
            <v>0</v>
          </cell>
          <cell r="BD55">
            <v>11682</v>
          </cell>
          <cell r="BE55"/>
          <cell r="BF55">
            <v>0</v>
          </cell>
          <cell r="BG55">
            <v>0</v>
          </cell>
          <cell r="BH55">
            <v>0</v>
          </cell>
          <cell r="BI55">
            <v>36670</v>
          </cell>
          <cell r="BJ55">
            <v>30185</v>
          </cell>
          <cell r="BK55">
            <v>30185</v>
          </cell>
          <cell r="BL55">
            <v>0</v>
          </cell>
          <cell r="BM55">
            <v>0</v>
          </cell>
          <cell r="BN55">
            <v>0</v>
          </cell>
          <cell r="BO55">
            <v>50589</v>
          </cell>
          <cell r="BP55">
            <v>17395.400000000001</v>
          </cell>
          <cell r="BQ55">
            <v>31337.209302325598</v>
          </cell>
          <cell r="BR55">
            <v>0</v>
          </cell>
          <cell r="BS55">
            <v>0</v>
          </cell>
          <cell r="BT55">
            <v>61467</v>
          </cell>
          <cell r="BU55"/>
          <cell r="BV55"/>
          <cell r="BW55"/>
          <cell r="BX55"/>
          <cell r="BY55">
            <v>0</v>
          </cell>
          <cell r="BZ55">
            <v>0</v>
          </cell>
          <cell r="CA55">
            <v>0</v>
          </cell>
          <cell r="CB55">
            <v>0</v>
          </cell>
          <cell r="CC55">
            <v>2544414</v>
          </cell>
          <cell r="CD55">
            <v>10749906</v>
          </cell>
          <cell r="CE55">
            <v>1365729</v>
          </cell>
          <cell r="CF55">
            <v>0</v>
          </cell>
          <cell r="CG55">
            <v>1365729</v>
          </cell>
          <cell r="CH55">
            <v>1365729</v>
          </cell>
          <cell r="CI55">
            <v>1365729</v>
          </cell>
          <cell r="CJ55">
            <v>1365729</v>
          </cell>
          <cell r="CK55">
            <v>0</v>
          </cell>
          <cell r="CL55">
            <v>0</v>
          </cell>
          <cell r="CM55">
            <v>0</v>
          </cell>
          <cell r="CN55">
            <v>0</v>
          </cell>
          <cell r="CO55">
            <v>0</v>
          </cell>
          <cell r="CP55">
            <v>-4318</v>
          </cell>
          <cell r="CQ55">
            <v>205079</v>
          </cell>
          <cell r="CR55">
            <v>228370</v>
          </cell>
          <cell r="CS55">
            <v>235891</v>
          </cell>
          <cell r="CT55">
            <v>257067</v>
          </cell>
          <cell r="CU55">
            <v>278158</v>
          </cell>
          <cell r="CV55">
            <v>40181</v>
          </cell>
          <cell r="CW55">
            <v>0</v>
          </cell>
          <cell r="CX55">
            <v>0</v>
          </cell>
          <cell r="CY55">
            <v>0</v>
          </cell>
          <cell r="CZ55">
            <v>0</v>
          </cell>
          <cell r="DA55">
            <v>0</v>
          </cell>
          <cell r="DB55"/>
          <cell r="DC55">
            <v>0</v>
          </cell>
          <cell r="DD55">
            <v>0</v>
          </cell>
          <cell r="DE55">
            <v>0</v>
          </cell>
          <cell r="DF55">
            <v>0</v>
          </cell>
          <cell r="DG55">
            <v>525262</v>
          </cell>
          <cell r="DH55">
            <v>0</v>
          </cell>
          <cell r="DI55">
            <v>0</v>
          </cell>
          <cell r="DJ55">
            <v>0</v>
          </cell>
          <cell r="DK55">
            <v>0</v>
          </cell>
          <cell r="DL55">
            <v>0</v>
          </cell>
          <cell r="DM55"/>
          <cell r="DN55"/>
          <cell r="DO55"/>
          <cell r="DP55"/>
        </row>
        <row r="56">
          <cell r="A56">
            <v>1701</v>
          </cell>
          <cell r="B56" t="str">
            <v>Westerveld</v>
          </cell>
          <cell r="C56">
            <v>3</v>
          </cell>
          <cell r="D56">
            <v>-10259</v>
          </cell>
          <cell r="E56">
            <v>-5129</v>
          </cell>
          <cell r="F56">
            <v>0</v>
          </cell>
          <cell r="G56">
            <v>0</v>
          </cell>
          <cell r="H56">
            <v>-21652</v>
          </cell>
          <cell r="I56">
            <v>0</v>
          </cell>
          <cell r="J56"/>
          <cell r="K56">
            <v>0</v>
          </cell>
          <cell r="L56">
            <v>64265</v>
          </cell>
          <cell r="M56">
            <v>67184</v>
          </cell>
          <cell r="N56">
            <v>0</v>
          </cell>
          <cell r="O56">
            <v>0</v>
          </cell>
          <cell r="P56">
            <v>0</v>
          </cell>
          <cell r="Q56">
            <v>0</v>
          </cell>
          <cell r="R56">
            <v>0</v>
          </cell>
          <cell r="S56">
            <v>0</v>
          </cell>
          <cell r="T56">
            <v>0</v>
          </cell>
          <cell r="U56">
            <v>0</v>
          </cell>
          <cell r="V56">
            <v>0</v>
          </cell>
          <cell r="W56">
            <v>62833</v>
          </cell>
          <cell r="X56">
            <v>0</v>
          </cell>
          <cell r="Y56"/>
          <cell r="Z56">
            <v>0</v>
          </cell>
          <cell r="AA56">
            <v>0</v>
          </cell>
          <cell r="AB56">
            <v>0</v>
          </cell>
          <cell r="AC56"/>
          <cell r="AD56">
            <v>20000</v>
          </cell>
          <cell r="AE56">
            <v>0</v>
          </cell>
          <cell r="AF56">
            <v>0</v>
          </cell>
          <cell r="AG56">
            <v>0</v>
          </cell>
          <cell r="AH56">
            <v>0</v>
          </cell>
          <cell r="AI56">
            <v>0</v>
          </cell>
          <cell r="AJ56">
            <v>0</v>
          </cell>
          <cell r="AK56">
            <v>0</v>
          </cell>
          <cell r="AL56"/>
          <cell r="AM56">
            <v>0</v>
          </cell>
          <cell r="AN56">
            <v>0</v>
          </cell>
          <cell r="AO56">
            <v>0</v>
          </cell>
          <cell r="AP56">
            <v>0</v>
          </cell>
          <cell r="AQ56">
            <v>0</v>
          </cell>
          <cell r="AR56">
            <v>0</v>
          </cell>
          <cell r="AS56">
            <v>0</v>
          </cell>
          <cell r="AT56">
            <v>0</v>
          </cell>
          <cell r="AU56">
            <v>0</v>
          </cell>
          <cell r="AV56">
            <v>0</v>
          </cell>
          <cell r="AW56">
            <v>0</v>
          </cell>
          <cell r="AX56">
            <v>0</v>
          </cell>
          <cell r="AY56"/>
          <cell r="AZ56"/>
          <cell r="BA56">
            <v>0</v>
          </cell>
          <cell r="BB56"/>
          <cell r="BC56">
            <v>0</v>
          </cell>
          <cell r="BD56">
            <v>6699</v>
          </cell>
          <cell r="BE56"/>
          <cell r="BF56">
            <v>0</v>
          </cell>
          <cell r="BG56">
            <v>0</v>
          </cell>
          <cell r="BH56">
            <v>0</v>
          </cell>
          <cell r="BI56">
            <v>26420</v>
          </cell>
          <cell r="BJ56">
            <v>21747</v>
          </cell>
          <cell r="BK56">
            <v>21747</v>
          </cell>
          <cell r="BL56">
            <v>0</v>
          </cell>
          <cell r="BM56">
            <v>0</v>
          </cell>
          <cell r="BN56">
            <v>0</v>
          </cell>
          <cell r="BO56">
            <v>39887</v>
          </cell>
          <cell r="BP56">
            <v>15814</v>
          </cell>
          <cell r="BQ56">
            <v>28488.372093023299</v>
          </cell>
          <cell r="BR56">
            <v>0</v>
          </cell>
          <cell r="BS56">
            <v>0</v>
          </cell>
          <cell r="BT56">
            <v>51133</v>
          </cell>
          <cell r="BU56"/>
          <cell r="BV56"/>
          <cell r="BW56"/>
          <cell r="BX56"/>
          <cell r="BY56">
            <v>0</v>
          </cell>
          <cell r="BZ56">
            <v>0</v>
          </cell>
          <cell r="CA56">
            <v>0</v>
          </cell>
          <cell r="CB56">
            <v>0</v>
          </cell>
          <cell r="CC56">
            <v>1752594</v>
          </cell>
          <cell r="CD56">
            <v>9372883</v>
          </cell>
          <cell r="CE56">
            <v>484802</v>
          </cell>
          <cell r="CF56">
            <v>0</v>
          </cell>
          <cell r="CG56">
            <v>484802</v>
          </cell>
          <cell r="CH56">
            <v>484802</v>
          </cell>
          <cell r="CI56">
            <v>484802</v>
          </cell>
          <cell r="CJ56">
            <v>484802</v>
          </cell>
          <cell r="CK56">
            <v>0</v>
          </cell>
          <cell r="CL56">
            <v>0</v>
          </cell>
          <cell r="CM56">
            <v>0</v>
          </cell>
          <cell r="CN56">
            <v>0</v>
          </cell>
          <cell r="CO56">
            <v>0</v>
          </cell>
          <cell r="CP56">
            <v>0</v>
          </cell>
          <cell r="CQ56">
            <v>2790027</v>
          </cell>
          <cell r="CR56">
            <v>2608462</v>
          </cell>
          <cell r="CS56">
            <v>2549472</v>
          </cell>
          <cell r="CT56">
            <v>2470260</v>
          </cell>
          <cell r="CU56">
            <v>2368912</v>
          </cell>
          <cell r="CV56">
            <v>11492</v>
          </cell>
          <cell r="CW56">
            <v>0</v>
          </cell>
          <cell r="CX56">
            <v>0</v>
          </cell>
          <cell r="CY56">
            <v>0</v>
          </cell>
          <cell r="CZ56">
            <v>0</v>
          </cell>
          <cell r="DA56">
            <v>0</v>
          </cell>
          <cell r="DB56"/>
          <cell r="DC56">
            <v>0</v>
          </cell>
          <cell r="DD56">
            <v>0</v>
          </cell>
          <cell r="DE56">
            <v>0</v>
          </cell>
          <cell r="DF56">
            <v>0</v>
          </cell>
          <cell r="DG56">
            <v>0</v>
          </cell>
          <cell r="DH56">
            <v>0</v>
          </cell>
          <cell r="DI56">
            <v>0</v>
          </cell>
          <cell r="DJ56">
            <v>0</v>
          </cell>
          <cell r="DK56">
            <v>0</v>
          </cell>
          <cell r="DL56">
            <v>0</v>
          </cell>
          <cell r="DM56"/>
          <cell r="DN56"/>
          <cell r="DO56"/>
          <cell r="DP56"/>
        </row>
        <row r="57">
          <cell r="A57">
            <v>141</v>
          </cell>
          <cell r="B57" t="str">
            <v>Almelo</v>
          </cell>
          <cell r="C57">
            <v>4</v>
          </cell>
          <cell r="D57">
            <v>131058</v>
          </cell>
          <cell r="E57">
            <v>65529</v>
          </cell>
          <cell r="F57">
            <v>0</v>
          </cell>
          <cell r="G57">
            <v>0</v>
          </cell>
          <cell r="H57">
            <v>1401035</v>
          </cell>
          <cell r="I57">
            <v>533543</v>
          </cell>
          <cell r="J57"/>
          <cell r="K57">
            <v>0</v>
          </cell>
          <cell r="L57">
            <v>515310</v>
          </cell>
          <cell r="M57">
            <v>517952</v>
          </cell>
          <cell r="N57">
            <v>0</v>
          </cell>
          <cell r="O57">
            <v>0</v>
          </cell>
          <cell r="P57">
            <v>0</v>
          </cell>
          <cell r="Q57">
            <v>0</v>
          </cell>
          <cell r="R57">
            <v>0</v>
          </cell>
          <cell r="S57">
            <v>664785</v>
          </cell>
          <cell r="T57">
            <v>664785</v>
          </cell>
          <cell r="U57">
            <v>664785</v>
          </cell>
          <cell r="V57">
            <v>3000</v>
          </cell>
          <cell r="W57">
            <v>295260</v>
          </cell>
          <cell r="X57">
            <v>0</v>
          </cell>
          <cell r="Y57"/>
          <cell r="Z57">
            <v>0</v>
          </cell>
          <cell r="AA57">
            <v>0</v>
          </cell>
          <cell r="AB57">
            <v>0</v>
          </cell>
          <cell r="AC57"/>
          <cell r="AD57">
            <v>239561</v>
          </cell>
          <cell r="AE57">
            <v>0</v>
          </cell>
          <cell r="AF57">
            <v>0</v>
          </cell>
          <cell r="AG57">
            <v>0</v>
          </cell>
          <cell r="AH57">
            <v>0</v>
          </cell>
          <cell r="AI57">
            <v>0</v>
          </cell>
          <cell r="AJ57">
            <v>0</v>
          </cell>
          <cell r="AK57">
            <v>296468</v>
          </cell>
          <cell r="AL57"/>
          <cell r="AM57">
            <v>0</v>
          </cell>
          <cell r="AN57">
            <v>0</v>
          </cell>
          <cell r="AO57">
            <v>0</v>
          </cell>
          <cell r="AP57">
            <v>0</v>
          </cell>
          <cell r="AQ57">
            <v>0</v>
          </cell>
          <cell r="AR57">
            <v>0</v>
          </cell>
          <cell r="AS57">
            <v>0</v>
          </cell>
          <cell r="AT57">
            <v>0</v>
          </cell>
          <cell r="AU57">
            <v>7110</v>
          </cell>
          <cell r="AV57">
            <v>3090266.81796304</v>
          </cell>
          <cell r="AW57">
            <v>0</v>
          </cell>
          <cell r="AX57">
            <v>0</v>
          </cell>
          <cell r="AY57"/>
          <cell r="AZ57"/>
          <cell r="BA57">
            <v>0</v>
          </cell>
          <cell r="BB57"/>
          <cell r="BC57">
            <v>0</v>
          </cell>
          <cell r="BD57">
            <v>25443</v>
          </cell>
          <cell r="BE57"/>
          <cell r="BF57">
            <v>0</v>
          </cell>
          <cell r="BG57">
            <v>0</v>
          </cell>
          <cell r="BH57">
            <v>0</v>
          </cell>
          <cell r="BI57">
            <v>147744</v>
          </cell>
          <cell r="BJ57">
            <v>121616</v>
          </cell>
          <cell r="BK57">
            <v>121616</v>
          </cell>
          <cell r="BL57">
            <v>0</v>
          </cell>
          <cell r="BM57">
            <v>0</v>
          </cell>
          <cell r="BN57">
            <v>0</v>
          </cell>
          <cell r="BO57">
            <v>256348</v>
          </cell>
          <cell r="BP57">
            <v>20558.2</v>
          </cell>
          <cell r="BQ57">
            <v>37034.8837209302</v>
          </cell>
          <cell r="BR57">
            <v>0</v>
          </cell>
          <cell r="BS57">
            <v>0</v>
          </cell>
          <cell r="BT57">
            <v>136787</v>
          </cell>
          <cell r="BU57"/>
          <cell r="BV57"/>
          <cell r="BW57"/>
          <cell r="BX57"/>
          <cell r="BY57">
            <v>0</v>
          </cell>
          <cell r="BZ57">
            <v>0</v>
          </cell>
          <cell r="CA57">
            <v>0</v>
          </cell>
          <cell r="CB57">
            <v>0</v>
          </cell>
          <cell r="CC57">
            <v>6975292</v>
          </cell>
          <cell r="CD57">
            <v>67512519</v>
          </cell>
          <cell r="CE57">
            <v>3116570</v>
          </cell>
          <cell r="CF57">
            <v>0</v>
          </cell>
          <cell r="CG57">
            <v>3116570</v>
          </cell>
          <cell r="CH57">
            <v>3116570</v>
          </cell>
          <cell r="CI57">
            <v>3116570</v>
          </cell>
          <cell r="CJ57">
            <v>3116570</v>
          </cell>
          <cell r="CK57">
            <v>16664548</v>
          </cell>
          <cell r="CL57">
            <v>16656184</v>
          </cell>
          <cell r="CM57">
            <v>16656049</v>
          </cell>
          <cell r="CN57">
            <v>16655751</v>
          </cell>
          <cell r="CO57">
            <v>16656164</v>
          </cell>
          <cell r="CP57">
            <v>0</v>
          </cell>
          <cell r="CQ57">
            <v>12361944</v>
          </cell>
          <cell r="CR57">
            <v>11731371</v>
          </cell>
          <cell r="CS57">
            <v>11305697</v>
          </cell>
          <cell r="CT57">
            <v>10957137</v>
          </cell>
          <cell r="CU57">
            <v>10553548</v>
          </cell>
          <cell r="CV57">
            <v>-35358</v>
          </cell>
          <cell r="CW57">
            <v>0</v>
          </cell>
          <cell r="CX57">
            <v>0</v>
          </cell>
          <cell r="CY57">
            <v>0</v>
          </cell>
          <cell r="CZ57">
            <v>0</v>
          </cell>
          <cell r="DA57">
            <v>0</v>
          </cell>
          <cell r="DB57"/>
          <cell r="DC57">
            <v>0</v>
          </cell>
          <cell r="DD57">
            <v>0</v>
          </cell>
          <cell r="DE57">
            <v>0</v>
          </cell>
          <cell r="DF57">
            <v>0</v>
          </cell>
          <cell r="DG57">
            <v>0</v>
          </cell>
          <cell r="DH57">
            <v>0</v>
          </cell>
          <cell r="DI57">
            <v>0</v>
          </cell>
          <cell r="DJ57">
            <v>0</v>
          </cell>
          <cell r="DK57">
            <v>0</v>
          </cell>
          <cell r="DL57">
            <v>0</v>
          </cell>
          <cell r="DM57"/>
          <cell r="DN57"/>
          <cell r="DO57"/>
          <cell r="DP57"/>
        </row>
        <row r="58">
          <cell r="A58">
            <v>147</v>
          </cell>
          <cell r="B58" t="str">
            <v>Borne</v>
          </cell>
          <cell r="C58">
            <v>4</v>
          </cell>
          <cell r="D58">
            <v>15534</v>
          </cell>
          <cell r="E58">
            <v>7767</v>
          </cell>
          <cell r="F58">
            <v>0</v>
          </cell>
          <cell r="G58">
            <v>0</v>
          </cell>
          <cell r="H58">
            <v>0</v>
          </cell>
          <cell r="I58">
            <v>0</v>
          </cell>
          <cell r="J58"/>
          <cell r="K58">
            <v>0</v>
          </cell>
          <cell r="L58">
            <v>77794</v>
          </cell>
          <cell r="M58">
            <v>79945</v>
          </cell>
          <cell r="N58">
            <v>0</v>
          </cell>
          <cell r="O58">
            <v>0</v>
          </cell>
          <cell r="P58">
            <v>0</v>
          </cell>
          <cell r="Q58">
            <v>0</v>
          </cell>
          <cell r="R58">
            <v>0</v>
          </cell>
          <cell r="S58">
            <v>0</v>
          </cell>
          <cell r="T58">
            <v>0</v>
          </cell>
          <cell r="U58">
            <v>0</v>
          </cell>
          <cell r="V58">
            <v>0</v>
          </cell>
          <cell r="W58">
            <v>89220</v>
          </cell>
          <cell r="X58">
            <v>0</v>
          </cell>
          <cell r="Y58"/>
          <cell r="Z58">
            <v>0</v>
          </cell>
          <cell r="AA58">
            <v>0</v>
          </cell>
          <cell r="AB58">
            <v>0</v>
          </cell>
          <cell r="AC58"/>
          <cell r="AD58">
            <v>0</v>
          </cell>
          <cell r="AE58">
            <v>0</v>
          </cell>
          <cell r="AF58">
            <v>0</v>
          </cell>
          <cell r="AG58">
            <v>0</v>
          </cell>
          <cell r="AH58">
            <v>0</v>
          </cell>
          <cell r="AI58">
            <v>0</v>
          </cell>
          <cell r="AJ58">
            <v>0</v>
          </cell>
          <cell r="AK58">
            <v>0</v>
          </cell>
          <cell r="AL58"/>
          <cell r="AM58">
            <v>0</v>
          </cell>
          <cell r="AN58">
            <v>0</v>
          </cell>
          <cell r="AO58">
            <v>0</v>
          </cell>
          <cell r="AP58">
            <v>0</v>
          </cell>
          <cell r="AQ58">
            <v>0</v>
          </cell>
          <cell r="AR58">
            <v>0</v>
          </cell>
          <cell r="AS58">
            <v>0</v>
          </cell>
          <cell r="AT58">
            <v>0</v>
          </cell>
          <cell r="AU58">
            <v>0</v>
          </cell>
          <cell r="AV58">
            <v>0</v>
          </cell>
          <cell r="AW58">
            <v>0</v>
          </cell>
          <cell r="AX58">
            <v>0</v>
          </cell>
          <cell r="AY58"/>
          <cell r="AZ58"/>
          <cell r="BA58">
            <v>0</v>
          </cell>
          <cell r="BB58"/>
          <cell r="BC58">
            <v>0</v>
          </cell>
          <cell r="BD58">
            <v>8002</v>
          </cell>
          <cell r="BE58"/>
          <cell r="BF58">
            <v>0</v>
          </cell>
          <cell r="BG58">
            <v>0</v>
          </cell>
          <cell r="BH58">
            <v>0</v>
          </cell>
          <cell r="BI58">
            <v>28021</v>
          </cell>
          <cell r="BJ58">
            <v>23066</v>
          </cell>
          <cell r="BK58">
            <v>23066</v>
          </cell>
          <cell r="BL58">
            <v>0</v>
          </cell>
          <cell r="BM58">
            <v>0</v>
          </cell>
          <cell r="BN58">
            <v>0</v>
          </cell>
          <cell r="BO58">
            <v>0</v>
          </cell>
          <cell r="BP58">
            <v>0</v>
          </cell>
          <cell r="BQ58">
            <v>0</v>
          </cell>
          <cell r="BR58">
            <v>0</v>
          </cell>
          <cell r="BS58">
            <v>0</v>
          </cell>
          <cell r="BT58">
            <v>34964</v>
          </cell>
          <cell r="BU58"/>
          <cell r="BV58"/>
          <cell r="BW58"/>
          <cell r="BX58"/>
          <cell r="BY58">
            <v>0</v>
          </cell>
          <cell r="BZ58">
            <v>0</v>
          </cell>
          <cell r="CA58">
            <v>0</v>
          </cell>
          <cell r="CB58">
            <v>0</v>
          </cell>
          <cell r="CC58">
            <v>1776844</v>
          </cell>
          <cell r="CD58">
            <v>10516386</v>
          </cell>
          <cell r="CE58">
            <v>802124</v>
          </cell>
          <cell r="CF58">
            <v>-1265</v>
          </cell>
          <cell r="CG58">
            <v>802124</v>
          </cell>
          <cell r="CH58">
            <v>802124</v>
          </cell>
          <cell r="CI58">
            <v>802124</v>
          </cell>
          <cell r="CJ58">
            <v>802124</v>
          </cell>
          <cell r="CK58">
            <v>0</v>
          </cell>
          <cell r="CL58">
            <v>0</v>
          </cell>
          <cell r="CM58">
            <v>0</v>
          </cell>
          <cell r="CN58">
            <v>0</v>
          </cell>
          <cell r="CO58">
            <v>0</v>
          </cell>
          <cell r="CP58">
            <v>0</v>
          </cell>
          <cell r="CQ58">
            <v>2573874</v>
          </cell>
          <cell r="CR58">
            <v>2451084</v>
          </cell>
          <cell r="CS58">
            <v>2395726</v>
          </cell>
          <cell r="CT58">
            <v>2344834</v>
          </cell>
          <cell r="CU58">
            <v>2234051</v>
          </cell>
          <cell r="CV58">
            <v>-48344</v>
          </cell>
          <cell r="CW58">
            <v>0</v>
          </cell>
          <cell r="CX58">
            <v>0</v>
          </cell>
          <cell r="CY58">
            <v>0</v>
          </cell>
          <cell r="CZ58">
            <v>0</v>
          </cell>
          <cell r="DA58">
            <v>0</v>
          </cell>
          <cell r="DB58"/>
          <cell r="DC58">
            <v>0</v>
          </cell>
          <cell r="DD58">
            <v>0</v>
          </cell>
          <cell r="DE58">
            <v>0</v>
          </cell>
          <cell r="DF58">
            <v>0</v>
          </cell>
          <cell r="DG58">
            <v>0</v>
          </cell>
          <cell r="DH58">
            <v>0</v>
          </cell>
          <cell r="DI58">
            <v>0</v>
          </cell>
          <cell r="DJ58">
            <v>0</v>
          </cell>
          <cell r="DK58">
            <v>0</v>
          </cell>
          <cell r="DL58">
            <v>0</v>
          </cell>
          <cell r="DM58"/>
          <cell r="DN58"/>
          <cell r="DO58"/>
          <cell r="DP58"/>
        </row>
        <row r="59">
          <cell r="A59">
            <v>148</v>
          </cell>
          <cell r="B59" t="str">
            <v>Dalfsen</v>
          </cell>
          <cell r="C59">
            <v>4</v>
          </cell>
          <cell r="D59">
            <v>-51085</v>
          </cell>
          <cell r="E59">
            <v>-25543</v>
          </cell>
          <cell r="F59">
            <v>0</v>
          </cell>
          <cell r="G59">
            <v>0</v>
          </cell>
          <cell r="H59">
            <v>0</v>
          </cell>
          <cell r="I59">
            <v>-1697</v>
          </cell>
          <cell r="J59"/>
          <cell r="K59">
            <v>0</v>
          </cell>
          <cell r="L59">
            <v>71606</v>
          </cell>
          <cell r="M59">
            <v>76969</v>
          </cell>
          <cell r="N59">
            <v>0</v>
          </cell>
          <cell r="O59">
            <v>0</v>
          </cell>
          <cell r="P59">
            <v>0</v>
          </cell>
          <cell r="Q59">
            <v>0</v>
          </cell>
          <cell r="R59">
            <v>0</v>
          </cell>
          <cell r="S59">
            <v>0</v>
          </cell>
          <cell r="T59">
            <v>0</v>
          </cell>
          <cell r="U59">
            <v>0</v>
          </cell>
          <cell r="V59">
            <v>0</v>
          </cell>
          <cell r="W59">
            <v>53136</v>
          </cell>
          <cell r="X59">
            <v>0</v>
          </cell>
          <cell r="Y59"/>
          <cell r="Z59">
            <v>0</v>
          </cell>
          <cell r="AA59">
            <v>0</v>
          </cell>
          <cell r="AB59">
            <v>0</v>
          </cell>
          <cell r="AC59"/>
          <cell r="AD59">
            <v>0</v>
          </cell>
          <cell r="AE59">
            <v>0</v>
          </cell>
          <cell r="AF59">
            <v>0</v>
          </cell>
          <cell r="AG59">
            <v>0</v>
          </cell>
          <cell r="AH59">
            <v>0</v>
          </cell>
          <cell r="AI59">
            <v>148777</v>
          </cell>
          <cell r="AJ59">
            <v>0</v>
          </cell>
          <cell r="AK59">
            <v>0</v>
          </cell>
          <cell r="AL59"/>
          <cell r="AM59">
            <v>0</v>
          </cell>
          <cell r="AN59">
            <v>0</v>
          </cell>
          <cell r="AO59">
            <v>0</v>
          </cell>
          <cell r="AP59">
            <v>0</v>
          </cell>
          <cell r="AQ59">
            <v>0</v>
          </cell>
          <cell r="AR59">
            <v>0</v>
          </cell>
          <cell r="AS59">
            <v>0</v>
          </cell>
          <cell r="AT59">
            <v>0</v>
          </cell>
          <cell r="AU59">
            <v>4740</v>
          </cell>
          <cell r="AV59">
            <v>0</v>
          </cell>
          <cell r="AW59">
            <v>0</v>
          </cell>
          <cell r="AX59">
            <v>0</v>
          </cell>
          <cell r="AY59"/>
          <cell r="AZ59"/>
          <cell r="BA59">
            <v>0</v>
          </cell>
          <cell r="BB59"/>
          <cell r="BC59">
            <v>0</v>
          </cell>
          <cell r="BD59">
            <v>9854</v>
          </cell>
          <cell r="BE59"/>
          <cell r="BF59">
            <v>0</v>
          </cell>
          <cell r="BG59">
            <v>0</v>
          </cell>
          <cell r="BH59">
            <v>0</v>
          </cell>
          <cell r="BI59">
            <v>28673</v>
          </cell>
          <cell r="BJ59">
            <v>23602</v>
          </cell>
          <cell r="BK59">
            <v>23602</v>
          </cell>
          <cell r="BL59">
            <v>0</v>
          </cell>
          <cell r="BM59">
            <v>0</v>
          </cell>
          <cell r="BN59">
            <v>0</v>
          </cell>
          <cell r="BO59">
            <v>48643</v>
          </cell>
          <cell r="BP59">
            <v>9488.4</v>
          </cell>
          <cell r="BQ59">
            <v>17093.023255814001</v>
          </cell>
          <cell r="BR59">
            <v>0</v>
          </cell>
          <cell r="BS59">
            <v>0</v>
          </cell>
          <cell r="BT59">
            <v>46639</v>
          </cell>
          <cell r="BU59"/>
          <cell r="BV59"/>
          <cell r="BW59"/>
          <cell r="BX59"/>
          <cell r="BY59">
            <v>0</v>
          </cell>
          <cell r="BZ59">
            <v>0</v>
          </cell>
          <cell r="CA59">
            <v>0</v>
          </cell>
          <cell r="CB59">
            <v>0</v>
          </cell>
          <cell r="CC59">
            <v>1949735</v>
          </cell>
          <cell r="CD59">
            <v>11044900</v>
          </cell>
          <cell r="CE59">
            <v>823084</v>
          </cell>
          <cell r="CF59">
            <v>0</v>
          </cell>
          <cell r="CG59">
            <v>823084</v>
          </cell>
          <cell r="CH59">
            <v>823084</v>
          </cell>
          <cell r="CI59">
            <v>823084</v>
          </cell>
          <cell r="CJ59">
            <v>823084</v>
          </cell>
          <cell r="CK59">
            <v>0</v>
          </cell>
          <cell r="CL59">
            <v>0</v>
          </cell>
          <cell r="CM59">
            <v>0</v>
          </cell>
          <cell r="CN59">
            <v>0</v>
          </cell>
          <cell r="CO59">
            <v>0</v>
          </cell>
          <cell r="CP59">
            <v>-613</v>
          </cell>
          <cell r="CQ59">
            <v>2866430</v>
          </cell>
          <cell r="CR59">
            <v>2734701</v>
          </cell>
          <cell r="CS59">
            <v>2648632</v>
          </cell>
          <cell r="CT59">
            <v>2544615</v>
          </cell>
          <cell r="CU59">
            <v>2461337</v>
          </cell>
          <cell r="CV59">
            <v>1709</v>
          </cell>
          <cell r="CW59">
            <v>0</v>
          </cell>
          <cell r="CX59">
            <v>0</v>
          </cell>
          <cell r="CY59">
            <v>0</v>
          </cell>
          <cell r="CZ59">
            <v>0</v>
          </cell>
          <cell r="DA59">
            <v>0</v>
          </cell>
          <cell r="DB59"/>
          <cell r="DC59">
            <v>0</v>
          </cell>
          <cell r="DD59">
            <v>0</v>
          </cell>
          <cell r="DE59">
            <v>0</v>
          </cell>
          <cell r="DF59">
            <v>0</v>
          </cell>
          <cell r="DG59">
            <v>0</v>
          </cell>
          <cell r="DH59">
            <v>0</v>
          </cell>
          <cell r="DI59">
            <v>0</v>
          </cell>
          <cell r="DJ59">
            <v>0</v>
          </cell>
          <cell r="DK59">
            <v>0</v>
          </cell>
          <cell r="DL59">
            <v>0</v>
          </cell>
          <cell r="DM59"/>
          <cell r="DN59"/>
          <cell r="DO59"/>
          <cell r="DP59"/>
        </row>
        <row r="60">
          <cell r="A60">
            <v>150</v>
          </cell>
          <cell r="B60" t="str">
            <v>Deventer</v>
          </cell>
          <cell r="C60">
            <v>4</v>
          </cell>
          <cell r="D60">
            <v>144393</v>
          </cell>
          <cell r="E60">
            <v>72196</v>
          </cell>
          <cell r="F60">
            <v>0</v>
          </cell>
          <cell r="G60">
            <v>131566</v>
          </cell>
          <cell r="H60">
            <v>-155411</v>
          </cell>
          <cell r="I60">
            <v>-125347</v>
          </cell>
          <cell r="J60"/>
          <cell r="K60">
            <v>0</v>
          </cell>
          <cell r="L60">
            <v>535883</v>
          </cell>
          <cell r="M60">
            <v>543426</v>
          </cell>
          <cell r="N60">
            <v>0</v>
          </cell>
          <cell r="O60">
            <v>0</v>
          </cell>
          <cell r="P60">
            <v>150000</v>
          </cell>
          <cell r="Q60">
            <v>0</v>
          </cell>
          <cell r="R60">
            <v>0</v>
          </cell>
          <cell r="S60">
            <v>625149</v>
          </cell>
          <cell r="T60">
            <v>625149</v>
          </cell>
          <cell r="U60">
            <v>625149</v>
          </cell>
          <cell r="V60">
            <v>18000</v>
          </cell>
          <cell r="W60">
            <v>385063</v>
          </cell>
          <cell r="X60">
            <v>0</v>
          </cell>
          <cell r="Y60"/>
          <cell r="Z60">
            <v>0</v>
          </cell>
          <cell r="AA60">
            <v>0</v>
          </cell>
          <cell r="AB60">
            <v>0</v>
          </cell>
          <cell r="AC60"/>
          <cell r="AD60">
            <v>119291</v>
          </cell>
          <cell r="AE60">
            <v>0</v>
          </cell>
          <cell r="AF60">
            <v>0</v>
          </cell>
          <cell r="AG60">
            <v>0</v>
          </cell>
          <cell r="AH60">
            <v>0</v>
          </cell>
          <cell r="AI60">
            <v>0</v>
          </cell>
          <cell r="AJ60">
            <v>0</v>
          </cell>
          <cell r="AK60">
            <v>235941</v>
          </cell>
          <cell r="AL60"/>
          <cell r="AM60">
            <v>0</v>
          </cell>
          <cell r="AN60">
            <v>0</v>
          </cell>
          <cell r="AO60">
            <v>0</v>
          </cell>
          <cell r="AP60">
            <v>0</v>
          </cell>
          <cell r="AQ60">
            <v>0</v>
          </cell>
          <cell r="AR60">
            <v>0</v>
          </cell>
          <cell r="AS60">
            <v>0</v>
          </cell>
          <cell r="AT60">
            <v>20000</v>
          </cell>
          <cell r="AU60">
            <v>2370</v>
          </cell>
          <cell r="AV60">
            <v>3956545.8042349801</v>
          </cell>
          <cell r="AW60">
            <v>0</v>
          </cell>
          <cell r="AX60">
            <v>0</v>
          </cell>
          <cell r="AY60"/>
          <cell r="AZ60"/>
          <cell r="BA60">
            <v>0</v>
          </cell>
          <cell r="BB60"/>
          <cell r="BC60">
            <v>0</v>
          </cell>
          <cell r="BD60">
            <v>34856</v>
          </cell>
          <cell r="BE60"/>
          <cell r="BF60">
            <v>0</v>
          </cell>
          <cell r="BG60">
            <v>0</v>
          </cell>
          <cell r="BH60">
            <v>0</v>
          </cell>
          <cell r="BI60">
            <v>171532</v>
          </cell>
          <cell r="BJ60">
            <v>141196</v>
          </cell>
          <cell r="BK60">
            <v>141196</v>
          </cell>
          <cell r="BL60">
            <v>0</v>
          </cell>
          <cell r="BM60">
            <v>0</v>
          </cell>
          <cell r="BN60">
            <v>0</v>
          </cell>
          <cell r="BO60">
            <v>258780</v>
          </cell>
          <cell r="BP60">
            <v>18976.8</v>
          </cell>
          <cell r="BQ60">
            <v>34186.046511627901</v>
          </cell>
          <cell r="BR60">
            <v>0</v>
          </cell>
          <cell r="BS60">
            <v>0</v>
          </cell>
          <cell r="BT60">
            <v>174643</v>
          </cell>
          <cell r="BU60"/>
          <cell r="BV60"/>
          <cell r="BW60"/>
          <cell r="BX60"/>
          <cell r="BY60">
            <v>0</v>
          </cell>
          <cell r="BZ60">
            <v>0</v>
          </cell>
          <cell r="CA60">
            <v>0</v>
          </cell>
          <cell r="CB60">
            <v>0</v>
          </cell>
          <cell r="CC60">
            <v>7862284</v>
          </cell>
          <cell r="CD60">
            <v>81842649</v>
          </cell>
          <cell r="CE60">
            <v>3114255</v>
          </cell>
          <cell r="CF60">
            <v>-142075</v>
          </cell>
          <cell r="CG60">
            <v>3114255</v>
          </cell>
          <cell r="CH60">
            <v>3114255</v>
          </cell>
          <cell r="CI60">
            <v>3114255</v>
          </cell>
          <cell r="CJ60">
            <v>3114255</v>
          </cell>
          <cell r="CK60">
            <v>19900575</v>
          </cell>
          <cell r="CL60">
            <v>19890587</v>
          </cell>
          <cell r="CM60">
            <v>19890426</v>
          </cell>
          <cell r="CN60">
            <v>19890070</v>
          </cell>
          <cell r="CO60">
            <v>19890563</v>
          </cell>
          <cell r="CP60">
            <v>-23954</v>
          </cell>
          <cell r="CQ60">
            <v>18014832</v>
          </cell>
          <cell r="CR60">
            <v>17263247</v>
          </cell>
          <cell r="CS60">
            <v>16798512</v>
          </cell>
          <cell r="CT60">
            <v>16453936</v>
          </cell>
          <cell r="CU60">
            <v>16140314</v>
          </cell>
          <cell r="CV60">
            <v>-6903</v>
          </cell>
          <cell r="CW60">
            <v>0</v>
          </cell>
          <cell r="CX60">
            <v>0</v>
          </cell>
          <cell r="CY60">
            <v>0</v>
          </cell>
          <cell r="CZ60">
            <v>0</v>
          </cell>
          <cell r="DA60">
            <v>80000</v>
          </cell>
          <cell r="DB60"/>
          <cell r="DC60">
            <v>0</v>
          </cell>
          <cell r="DD60">
            <v>0</v>
          </cell>
          <cell r="DE60">
            <v>0</v>
          </cell>
          <cell r="DF60">
            <v>0</v>
          </cell>
          <cell r="DG60">
            <v>0</v>
          </cell>
          <cell r="DH60">
            <v>0</v>
          </cell>
          <cell r="DI60">
            <v>0</v>
          </cell>
          <cell r="DJ60">
            <v>0</v>
          </cell>
          <cell r="DK60">
            <v>0</v>
          </cell>
          <cell r="DL60">
            <v>0</v>
          </cell>
          <cell r="DM60"/>
          <cell r="DN60"/>
          <cell r="DO60"/>
          <cell r="DP60"/>
        </row>
        <row r="61">
          <cell r="A61">
            <v>1774</v>
          </cell>
          <cell r="B61" t="str">
            <v>Dinkelland</v>
          </cell>
          <cell r="C61">
            <v>4</v>
          </cell>
          <cell r="D61">
            <v>44802</v>
          </cell>
          <cell r="E61">
            <v>22401</v>
          </cell>
          <cell r="F61">
            <v>0</v>
          </cell>
          <cell r="G61">
            <v>0</v>
          </cell>
          <cell r="H61">
            <v>-15403</v>
          </cell>
          <cell r="I61">
            <v>-13016</v>
          </cell>
          <cell r="J61"/>
          <cell r="K61">
            <v>0</v>
          </cell>
          <cell r="L61">
            <v>64563</v>
          </cell>
          <cell r="M61">
            <v>56304</v>
          </cell>
          <cell r="N61">
            <v>0</v>
          </cell>
          <cell r="O61">
            <v>0</v>
          </cell>
          <cell r="P61">
            <v>0</v>
          </cell>
          <cell r="Q61">
            <v>0</v>
          </cell>
          <cell r="R61">
            <v>0</v>
          </cell>
          <cell r="S61">
            <v>0</v>
          </cell>
          <cell r="T61">
            <v>0</v>
          </cell>
          <cell r="U61">
            <v>0</v>
          </cell>
          <cell r="V61">
            <v>0</v>
          </cell>
          <cell r="W61">
            <v>120320</v>
          </cell>
          <cell r="X61">
            <v>0</v>
          </cell>
          <cell r="Y61"/>
          <cell r="Z61">
            <v>0</v>
          </cell>
          <cell r="AA61">
            <v>0</v>
          </cell>
          <cell r="AB61">
            <v>0</v>
          </cell>
          <cell r="AC61"/>
          <cell r="AD61">
            <v>20000</v>
          </cell>
          <cell r="AE61">
            <v>0</v>
          </cell>
          <cell r="AF61">
            <v>0</v>
          </cell>
          <cell r="AG61">
            <v>0</v>
          </cell>
          <cell r="AH61">
            <v>0</v>
          </cell>
          <cell r="AI61">
            <v>0</v>
          </cell>
          <cell r="AJ61">
            <v>0</v>
          </cell>
          <cell r="AK61">
            <v>0</v>
          </cell>
          <cell r="AL61"/>
          <cell r="AM61">
            <v>0</v>
          </cell>
          <cell r="AN61">
            <v>0</v>
          </cell>
          <cell r="AO61">
            <v>0</v>
          </cell>
          <cell r="AP61">
            <v>0</v>
          </cell>
          <cell r="AQ61">
            <v>0</v>
          </cell>
          <cell r="AR61">
            <v>0</v>
          </cell>
          <cell r="AS61">
            <v>0</v>
          </cell>
          <cell r="AT61">
            <v>0</v>
          </cell>
          <cell r="AU61">
            <v>2370</v>
          </cell>
          <cell r="AV61">
            <v>0</v>
          </cell>
          <cell r="AW61">
            <v>0</v>
          </cell>
          <cell r="AX61">
            <v>0</v>
          </cell>
          <cell r="AY61"/>
          <cell r="AZ61"/>
          <cell r="BA61">
            <v>0</v>
          </cell>
          <cell r="BB61"/>
          <cell r="BC61">
            <v>0</v>
          </cell>
          <cell r="BD61">
            <v>9213</v>
          </cell>
          <cell r="BE61"/>
          <cell r="BF61">
            <v>0</v>
          </cell>
          <cell r="BG61">
            <v>0</v>
          </cell>
          <cell r="BH61">
            <v>0</v>
          </cell>
          <cell r="BI61">
            <v>29002</v>
          </cell>
          <cell r="BJ61">
            <v>23873</v>
          </cell>
          <cell r="BK61">
            <v>23873</v>
          </cell>
          <cell r="BL61">
            <v>0</v>
          </cell>
          <cell r="BM61">
            <v>0</v>
          </cell>
          <cell r="BN61">
            <v>0</v>
          </cell>
          <cell r="BO61">
            <v>63236</v>
          </cell>
          <cell r="BP61">
            <v>0</v>
          </cell>
          <cell r="BQ61">
            <v>0</v>
          </cell>
          <cell r="BR61">
            <v>0</v>
          </cell>
          <cell r="BS61">
            <v>0</v>
          </cell>
          <cell r="BT61">
            <v>45652</v>
          </cell>
          <cell r="BU61"/>
          <cell r="BV61"/>
          <cell r="BW61"/>
          <cell r="BX61"/>
          <cell r="BY61">
            <v>0</v>
          </cell>
          <cell r="BZ61">
            <v>0</v>
          </cell>
          <cell r="CA61">
            <v>0</v>
          </cell>
          <cell r="CB61">
            <v>0</v>
          </cell>
          <cell r="CC61">
            <v>1789951</v>
          </cell>
          <cell r="CD61">
            <v>10482953</v>
          </cell>
          <cell r="CE61">
            <v>1514281</v>
          </cell>
          <cell r="CF61">
            <v>-31494</v>
          </cell>
          <cell r="CG61">
            <v>1514281</v>
          </cell>
          <cell r="CH61">
            <v>1514281</v>
          </cell>
          <cell r="CI61">
            <v>1514281</v>
          </cell>
          <cell r="CJ61">
            <v>1514281</v>
          </cell>
          <cell r="CK61">
            <v>0</v>
          </cell>
          <cell r="CL61">
            <v>0</v>
          </cell>
          <cell r="CM61">
            <v>0</v>
          </cell>
          <cell r="CN61">
            <v>0</v>
          </cell>
          <cell r="CO61">
            <v>0</v>
          </cell>
          <cell r="CP61">
            <v>0</v>
          </cell>
          <cell r="CQ61">
            <v>2297821</v>
          </cell>
          <cell r="CR61">
            <v>2147290</v>
          </cell>
          <cell r="CS61">
            <v>2029634</v>
          </cell>
          <cell r="CT61">
            <v>1919262</v>
          </cell>
          <cell r="CU61">
            <v>1807982</v>
          </cell>
          <cell r="CV61">
            <v>19387</v>
          </cell>
          <cell r="CW61">
            <v>0</v>
          </cell>
          <cell r="CX61">
            <v>0</v>
          </cell>
          <cell r="CY61">
            <v>0</v>
          </cell>
          <cell r="CZ61">
            <v>0</v>
          </cell>
          <cell r="DA61">
            <v>0</v>
          </cell>
          <cell r="DB61"/>
          <cell r="DC61">
            <v>0</v>
          </cell>
          <cell r="DD61">
            <v>0</v>
          </cell>
          <cell r="DE61">
            <v>0</v>
          </cell>
          <cell r="DF61">
            <v>0</v>
          </cell>
          <cell r="DG61">
            <v>0</v>
          </cell>
          <cell r="DH61">
            <v>0</v>
          </cell>
          <cell r="DI61">
            <v>0</v>
          </cell>
          <cell r="DJ61">
            <v>0</v>
          </cell>
          <cell r="DK61">
            <v>0</v>
          </cell>
          <cell r="DL61">
            <v>0</v>
          </cell>
          <cell r="DM61"/>
          <cell r="DN61"/>
          <cell r="DO61"/>
          <cell r="DP61"/>
        </row>
        <row r="62">
          <cell r="A62">
            <v>153</v>
          </cell>
          <cell r="B62" t="str">
            <v>Enschede</v>
          </cell>
          <cell r="C62">
            <v>4</v>
          </cell>
          <cell r="D62">
            <v>564371</v>
          </cell>
          <cell r="E62">
            <v>282185</v>
          </cell>
          <cell r="F62">
            <v>0</v>
          </cell>
          <cell r="G62">
            <v>0</v>
          </cell>
          <cell r="H62">
            <v>-168310</v>
          </cell>
          <cell r="I62">
            <v>0</v>
          </cell>
          <cell r="J62"/>
          <cell r="K62">
            <v>7500</v>
          </cell>
          <cell r="L62">
            <v>1172997</v>
          </cell>
          <cell r="M62">
            <v>1208221</v>
          </cell>
          <cell r="N62">
            <v>0</v>
          </cell>
          <cell r="O62">
            <v>0</v>
          </cell>
          <cell r="P62">
            <v>404571</v>
          </cell>
          <cell r="Q62">
            <v>0</v>
          </cell>
          <cell r="R62">
            <v>0</v>
          </cell>
          <cell r="S62">
            <v>1574112</v>
          </cell>
          <cell r="T62">
            <v>1574112</v>
          </cell>
          <cell r="U62">
            <v>1574112</v>
          </cell>
          <cell r="V62">
            <v>45000</v>
          </cell>
          <cell r="W62">
            <v>563502</v>
          </cell>
          <cell r="X62">
            <v>0</v>
          </cell>
          <cell r="Y62"/>
          <cell r="Z62">
            <v>0</v>
          </cell>
          <cell r="AA62">
            <v>40000</v>
          </cell>
          <cell r="AB62">
            <v>0</v>
          </cell>
          <cell r="AC62"/>
          <cell r="AD62">
            <v>580813</v>
          </cell>
          <cell r="AE62">
            <v>0</v>
          </cell>
          <cell r="AF62">
            <v>0</v>
          </cell>
          <cell r="AG62">
            <v>0</v>
          </cell>
          <cell r="AH62">
            <v>0</v>
          </cell>
          <cell r="AI62">
            <v>0</v>
          </cell>
          <cell r="AJ62">
            <v>0</v>
          </cell>
          <cell r="AK62">
            <v>793023</v>
          </cell>
          <cell r="AL62"/>
          <cell r="AM62">
            <v>0</v>
          </cell>
          <cell r="AN62">
            <v>0</v>
          </cell>
          <cell r="AO62">
            <v>0</v>
          </cell>
          <cell r="AP62">
            <v>0</v>
          </cell>
          <cell r="AQ62">
            <v>0</v>
          </cell>
          <cell r="AR62">
            <v>0</v>
          </cell>
          <cell r="AS62">
            <v>0</v>
          </cell>
          <cell r="AT62">
            <v>20000</v>
          </cell>
          <cell r="AU62">
            <v>4740</v>
          </cell>
          <cell r="AV62">
            <v>9174891.4508063495</v>
          </cell>
          <cell r="AW62">
            <v>96207</v>
          </cell>
          <cell r="AX62">
            <v>0</v>
          </cell>
          <cell r="AY62"/>
          <cell r="AZ62"/>
          <cell r="BA62">
            <v>0</v>
          </cell>
          <cell r="BB62"/>
          <cell r="BC62">
            <v>0</v>
          </cell>
          <cell r="BD62">
            <v>55513</v>
          </cell>
          <cell r="BE62"/>
          <cell r="BF62">
            <v>0</v>
          </cell>
          <cell r="BG62">
            <v>0</v>
          </cell>
          <cell r="BH62">
            <v>0</v>
          </cell>
          <cell r="BI62">
            <v>331753</v>
          </cell>
          <cell r="BJ62">
            <v>273082</v>
          </cell>
          <cell r="BK62">
            <v>273082</v>
          </cell>
          <cell r="BL62">
            <v>0</v>
          </cell>
          <cell r="BM62">
            <v>0</v>
          </cell>
          <cell r="BN62">
            <v>277200</v>
          </cell>
          <cell r="BO62">
            <v>330285</v>
          </cell>
          <cell r="BP62">
            <v>22139.599999999999</v>
          </cell>
          <cell r="BQ62">
            <v>39883.720930232601</v>
          </cell>
          <cell r="BR62">
            <v>0</v>
          </cell>
          <cell r="BS62">
            <v>0</v>
          </cell>
          <cell r="BT62">
            <v>313920</v>
          </cell>
          <cell r="BU62"/>
          <cell r="BV62"/>
          <cell r="BW62"/>
          <cell r="BX62"/>
          <cell r="BY62">
            <v>4095529.5975298402</v>
          </cell>
          <cell r="BZ62">
            <v>4734319.4288211698</v>
          </cell>
          <cell r="CA62">
            <v>4788889.4144088803</v>
          </cell>
          <cell r="CB62">
            <v>4942969.3737153299</v>
          </cell>
          <cell r="CC62">
            <v>13251717</v>
          </cell>
          <cell r="CD62">
            <v>153672761</v>
          </cell>
          <cell r="CE62">
            <v>6982981</v>
          </cell>
          <cell r="CF62">
            <v>0</v>
          </cell>
          <cell r="CG62">
            <v>6982981</v>
          </cell>
          <cell r="CH62">
            <v>6982981</v>
          </cell>
          <cell r="CI62">
            <v>6982981</v>
          </cell>
          <cell r="CJ62">
            <v>6982981</v>
          </cell>
          <cell r="CK62">
            <v>45759420</v>
          </cell>
          <cell r="CL62">
            <v>45736453</v>
          </cell>
          <cell r="CM62">
            <v>45736081</v>
          </cell>
          <cell r="CN62">
            <v>45735265</v>
          </cell>
          <cell r="CO62">
            <v>45736397</v>
          </cell>
          <cell r="CP62">
            <v>0</v>
          </cell>
          <cell r="CQ62">
            <v>28685818</v>
          </cell>
          <cell r="CR62">
            <v>27114776</v>
          </cell>
          <cell r="CS62">
            <v>26018217</v>
          </cell>
          <cell r="CT62">
            <v>24889772</v>
          </cell>
          <cell r="CU62">
            <v>23950850</v>
          </cell>
          <cell r="CV62">
            <v>547267</v>
          </cell>
          <cell r="CW62">
            <v>0</v>
          </cell>
          <cell r="CX62">
            <v>0</v>
          </cell>
          <cell r="CY62">
            <v>0</v>
          </cell>
          <cell r="CZ62">
            <v>0</v>
          </cell>
          <cell r="DA62">
            <v>0</v>
          </cell>
          <cell r="DB62"/>
          <cell r="DC62">
            <v>0</v>
          </cell>
          <cell r="DD62">
            <v>0</v>
          </cell>
          <cell r="DE62">
            <v>0</v>
          </cell>
          <cell r="DF62">
            <v>0</v>
          </cell>
          <cell r="DG62">
            <v>0</v>
          </cell>
          <cell r="DH62">
            <v>0</v>
          </cell>
          <cell r="DI62">
            <v>0</v>
          </cell>
          <cell r="DJ62">
            <v>0</v>
          </cell>
          <cell r="DK62">
            <v>0</v>
          </cell>
          <cell r="DL62">
            <v>0</v>
          </cell>
          <cell r="DM62"/>
          <cell r="DN62"/>
          <cell r="DO62"/>
          <cell r="DP62"/>
        </row>
        <row r="63">
          <cell r="A63">
            <v>158</v>
          </cell>
          <cell r="B63" t="str">
            <v>Haaksbergen</v>
          </cell>
          <cell r="C63">
            <v>4</v>
          </cell>
          <cell r="D63">
            <v>27943</v>
          </cell>
          <cell r="E63">
            <v>13972</v>
          </cell>
          <cell r="F63">
            <v>0</v>
          </cell>
          <cell r="G63">
            <v>0</v>
          </cell>
          <cell r="H63">
            <v>-27373</v>
          </cell>
          <cell r="I63">
            <v>-5961</v>
          </cell>
          <cell r="J63"/>
          <cell r="K63">
            <v>0</v>
          </cell>
          <cell r="L63">
            <v>87742</v>
          </cell>
          <cell r="M63">
            <v>78159</v>
          </cell>
          <cell r="N63">
            <v>0</v>
          </cell>
          <cell r="O63">
            <v>0</v>
          </cell>
          <cell r="P63">
            <v>0</v>
          </cell>
          <cell r="Q63">
            <v>0</v>
          </cell>
          <cell r="R63">
            <v>0</v>
          </cell>
          <cell r="S63">
            <v>0</v>
          </cell>
          <cell r="T63">
            <v>0</v>
          </cell>
          <cell r="U63">
            <v>0</v>
          </cell>
          <cell r="V63">
            <v>3000</v>
          </cell>
          <cell r="W63">
            <v>73339</v>
          </cell>
          <cell r="X63">
            <v>0</v>
          </cell>
          <cell r="Y63"/>
          <cell r="Z63">
            <v>0</v>
          </cell>
          <cell r="AA63">
            <v>0</v>
          </cell>
          <cell r="AB63">
            <v>0</v>
          </cell>
          <cell r="AC63"/>
          <cell r="AD63">
            <v>0</v>
          </cell>
          <cell r="AE63">
            <v>0</v>
          </cell>
          <cell r="AF63">
            <v>0</v>
          </cell>
          <cell r="AG63">
            <v>0</v>
          </cell>
          <cell r="AH63">
            <v>0</v>
          </cell>
          <cell r="AI63">
            <v>0</v>
          </cell>
          <cell r="AJ63">
            <v>0</v>
          </cell>
          <cell r="AK63">
            <v>0</v>
          </cell>
          <cell r="AL63"/>
          <cell r="AM63">
            <v>0</v>
          </cell>
          <cell r="AN63">
            <v>0</v>
          </cell>
          <cell r="AO63">
            <v>0</v>
          </cell>
          <cell r="AP63">
            <v>0</v>
          </cell>
          <cell r="AQ63">
            <v>0</v>
          </cell>
          <cell r="AR63">
            <v>0</v>
          </cell>
          <cell r="AS63">
            <v>0</v>
          </cell>
          <cell r="AT63">
            <v>0</v>
          </cell>
          <cell r="AU63">
            <v>0</v>
          </cell>
          <cell r="AV63">
            <v>0</v>
          </cell>
          <cell r="AW63">
            <v>0</v>
          </cell>
          <cell r="AX63">
            <v>0</v>
          </cell>
          <cell r="AY63"/>
          <cell r="AZ63"/>
          <cell r="BA63">
            <v>0</v>
          </cell>
          <cell r="BB63"/>
          <cell r="BC63">
            <v>0</v>
          </cell>
          <cell r="BD63">
            <v>8520</v>
          </cell>
          <cell r="BE63"/>
          <cell r="BF63">
            <v>0</v>
          </cell>
          <cell r="BG63">
            <v>0</v>
          </cell>
          <cell r="BH63">
            <v>0</v>
          </cell>
          <cell r="BI63">
            <v>32097</v>
          </cell>
          <cell r="BJ63">
            <v>26421</v>
          </cell>
          <cell r="BK63">
            <v>26421</v>
          </cell>
          <cell r="BL63">
            <v>0</v>
          </cell>
          <cell r="BM63">
            <v>0</v>
          </cell>
          <cell r="BN63">
            <v>0</v>
          </cell>
          <cell r="BO63">
            <v>40860</v>
          </cell>
          <cell r="BP63">
            <v>0</v>
          </cell>
          <cell r="BQ63">
            <v>0</v>
          </cell>
          <cell r="BR63">
            <v>0</v>
          </cell>
          <cell r="BS63">
            <v>0</v>
          </cell>
          <cell r="BT63">
            <v>40269</v>
          </cell>
          <cell r="BU63"/>
          <cell r="BV63"/>
          <cell r="BW63"/>
          <cell r="BX63"/>
          <cell r="BY63">
            <v>0</v>
          </cell>
          <cell r="BZ63">
            <v>0</v>
          </cell>
          <cell r="CA63">
            <v>0</v>
          </cell>
          <cell r="CB63">
            <v>0</v>
          </cell>
          <cell r="CC63">
            <v>1968839</v>
          </cell>
          <cell r="CD63">
            <v>10066570</v>
          </cell>
          <cell r="CE63">
            <v>260951</v>
          </cell>
          <cell r="CF63">
            <v>0</v>
          </cell>
          <cell r="CG63">
            <v>260951</v>
          </cell>
          <cell r="CH63">
            <v>260951</v>
          </cell>
          <cell r="CI63">
            <v>260951</v>
          </cell>
          <cell r="CJ63">
            <v>260951</v>
          </cell>
          <cell r="CK63">
            <v>0</v>
          </cell>
          <cell r="CL63">
            <v>0</v>
          </cell>
          <cell r="CM63">
            <v>0</v>
          </cell>
          <cell r="CN63">
            <v>0</v>
          </cell>
          <cell r="CO63">
            <v>0</v>
          </cell>
          <cell r="CP63">
            <v>-2157</v>
          </cell>
          <cell r="CQ63">
            <v>2326884</v>
          </cell>
          <cell r="CR63">
            <v>2164548</v>
          </cell>
          <cell r="CS63">
            <v>2117384</v>
          </cell>
          <cell r="CT63">
            <v>2075616</v>
          </cell>
          <cell r="CU63">
            <v>2049577</v>
          </cell>
          <cell r="CV63">
            <v>20196</v>
          </cell>
          <cell r="CW63">
            <v>0</v>
          </cell>
          <cell r="CX63">
            <v>0</v>
          </cell>
          <cell r="CY63">
            <v>0</v>
          </cell>
          <cell r="CZ63">
            <v>0</v>
          </cell>
          <cell r="DA63">
            <v>0</v>
          </cell>
          <cell r="DB63"/>
          <cell r="DC63">
            <v>0</v>
          </cell>
          <cell r="DD63">
            <v>0</v>
          </cell>
          <cell r="DE63">
            <v>0</v>
          </cell>
          <cell r="DF63">
            <v>0</v>
          </cell>
          <cell r="DG63">
            <v>0</v>
          </cell>
          <cell r="DH63">
            <v>0</v>
          </cell>
          <cell r="DI63">
            <v>0</v>
          </cell>
          <cell r="DJ63">
            <v>0</v>
          </cell>
          <cell r="DK63">
            <v>0</v>
          </cell>
          <cell r="DL63">
            <v>0</v>
          </cell>
          <cell r="DM63"/>
          <cell r="DN63"/>
          <cell r="DO63"/>
          <cell r="DP63"/>
        </row>
        <row r="64">
          <cell r="A64">
            <v>160</v>
          </cell>
          <cell r="B64" t="str">
            <v>Hardenberg</v>
          </cell>
          <cell r="C64">
            <v>4</v>
          </cell>
          <cell r="D64">
            <v>10215</v>
          </cell>
          <cell r="E64">
            <v>5108</v>
          </cell>
          <cell r="F64">
            <v>0</v>
          </cell>
          <cell r="G64">
            <v>0</v>
          </cell>
          <cell r="H64">
            <v>-50289</v>
          </cell>
          <cell r="I64">
            <v>-4273</v>
          </cell>
          <cell r="J64"/>
          <cell r="K64">
            <v>0</v>
          </cell>
          <cell r="L64">
            <v>218619</v>
          </cell>
          <cell r="M64">
            <v>212123</v>
          </cell>
          <cell r="N64">
            <v>0</v>
          </cell>
          <cell r="O64">
            <v>0</v>
          </cell>
          <cell r="P64">
            <v>0</v>
          </cell>
          <cell r="Q64">
            <v>0</v>
          </cell>
          <cell r="R64">
            <v>0</v>
          </cell>
          <cell r="S64">
            <v>0</v>
          </cell>
          <cell r="T64">
            <v>0</v>
          </cell>
          <cell r="U64">
            <v>0</v>
          </cell>
          <cell r="V64">
            <v>3000</v>
          </cell>
          <cell r="W64">
            <v>262410</v>
          </cell>
          <cell r="X64">
            <v>0</v>
          </cell>
          <cell r="Y64"/>
          <cell r="Z64">
            <v>0</v>
          </cell>
          <cell r="AA64">
            <v>0</v>
          </cell>
          <cell r="AB64">
            <v>0</v>
          </cell>
          <cell r="AC64"/>
          <cell r="AD64">
            <v>27378</v>
          </cell>
          <cell r="AE64">
            <v>0</v>
          </cell>
          <cell r="AF64">
            <v>0</v>
          </cell>
          <cell r="AG64">
            <v>0</v>
          </cell>
          <cell r="AH64">
            <v>0</v>
          </cell>
          <cell r="AI64">
            <v>0</v>
          </cell>
          <cell r="AJ64">
            <v>0</v>
          </cell>
          <cell r="AK64">
            <v>0</v>
          </cell>
          <cell r="AL64"/>
          <cell r="AM64">
            <v>0</v>
          </cell>
          <cell r="AN64">
            <v>0</v>
          </cell>
          <cell r="AO64">
            <v>0</v>
          </cell>
          <cell r="AP64">
            <v>0</v>
          </cell>
          <cell r="AQ64">
            <v>0</v>
          </cell>
          <cell r="AR64">
            <v>0</v>
          </cell>
          <cell r="AS64">
            <v>0</v>
          </cell>
          <cell r="AT64">
            <v>0</v>
          </cell>
          <cell r="AU64">
            <v>9480</v>
          </cell>
          <cell r="AV64">
            <v>0</v>
          </cell>
          <cell r="AW64">
            <v>0</v>
          </cell>
          <cell r="AX64">
            <v>0</v>
          </cell>
          <cell r="AY64"/>
          <cell r="AZ64"/>
          <cell r="BA64">
            <v>0</v>
          </cell>
          <cell r="BB64"/>
          <cell r="BC64">
            <v>0</v>
          </cell>
          <cell r="BD64">
            <v>21136</v>
          </cell>
          <cell r="BE64"/>
          <cell r="BF64">
            <v>0</v>
          </cell>
          <cell r="BG64">
            <v>0</v>
          </cell>
          <cell r="BH64">
            <v>0</v>
          </cell>
          <cell r="BI64">
            <v>75367</v>
          </cell>
          <cell r="BJ64">
            <v>62038</v>
          </cell>
          <cell r="BK64">
            <v>62038</v>
          </cell>
          <cell r="BL64">
            <v>0</v>
          </cell>
          <cell r="BM64">
            <v>0</v>
          </cell>
          <cell r="BN64">
            <v>0</v>
          </cell>
          <cell r="BO64">
            <v>261698</v>
          </cell>
          <cell r="BP64">
            <v>6325.6</v>
          </cell>
          <cell r="BQ64">
            <v>11395.3488372093</v>
          </cell>
          <cell r="BR64">
            <v>0</v>
          </cell>
          <cell r="BS64">
            <v>0</v>
          </cell>
          <cell r="BT64">
            <v>113678</v>
          </cell>
          <cell r="BU64"/>
          <cell r="BV64"/>
          <cell r="BW64"/>
          <cell r="BX64"/>
          <cell r="BY64">
            <v>0</v>
          </cell>
          <cell r="BZ64">
            <v>0</v>
          </cell>
          <cell r="CA64">
            <v>0</v>
          </cell>
          <cell r="CB64">
            <v>0</v>
          </cell>
          <cell r="CC64">
            <v>4414604</v>
          </cell>
          <cell r="CD64">
            <v>33808888</v>
          </cell>
          <cell r="CE64">
            <v>2868747</v>
          </cell>
          <cell r="CF64">
            <v>-10331</v>
          </cell>
          <cell r="CG64">
            <v>2868747</v>
          </cell>
          <cell r="CH64">
            <v>2868747</v>
          </cell>
          <cell r="CI64">
            <v>2868747</v>
          </cell>
          <cell r="CJ64">
            <v>2868747</v>
          </cell>
          <cell r="CK64">
            <v>0</v>
          </cell>
          <cell r="CL64">
            <v>0</v>
          </cell>
          <cell r="CM64">
            <v>0</v>
          </cell>
          <cell r="CN64">
            <v>0</v>
          </cell>
          <cell r="CO64">
            <v>0</v>
          </cell>
          <cell r="CP64">
            <v>0</v>
          </cell>
          <cell r="CQ64">
            <v>8963154</v>
          </cell>
          <cell r="CR64">
            <v>8555424</v>
          </cell>
          <cell r="CS64">
            <v>8302937</v>
          </cell>
          <cell r="CT64">
            <v>8084073</v>
          </cell>
          <cell r="CU64">
            <v>7844110</v>
          </cell>
          <cell r="CV64">
            <v>305742</v>
          </cell>
          <cell r="CW64">
            <v>0</v>
          </cell>
          <cell r="CX64">
            <v>0</v>
          </cell>
          <cell r="CY64">
            <v>0</v>
          </cell>
          <cell r="CZ64">
            <v>0</v>
          </cell>
          <cell r="DA64">
            <v>0</v>
          </cell>
          <cell r="DB64"/>
          <cell r="DC64">
            <v>3750</v>
          </cell>
          <cell r="DD64">
            <v>0</v>
          </cell>
          <cell r="DE64">
            <v>0</v>
          </cell>
          <cell r="DF64">
            <v>0</v>
          </cell>
          <cell r="DG64">
            <v>0</v>
          </cell>
          <cell r="DH64">
            <v>0</v>
          </cell>
          <cell r="DI64">
            <v>0</v>
          </cell>
          <cell r="DJ64">
            <v>0</v>
          </cell>
          <cell r="DK64">
            <v>0</v>
          </cell>
          <cell r="DL64">
            <v>0</v>
          </cell>
          <cell r="DM64"/>
          <cell r="DN64"/>
          <cell r="DO64"/>
          <cell r="DP64"/>
        </row>
        <row r="65">
          <cell r="A65">
            <v>163</v>
          </cell>
          <cell r="B65" t="str">
            <v>Hellendoorn</v>
          </cell>
          <cell r="C65">
            <v>4</v>
          </cell>
          <cell r="D65">
            <v>17682</v>
          </cell>
          <cell r="E65">
            <v>8841</v>
          </cell>
          <cell r="F65">
            <v>0</v>
          </cell>
          <cell r="G65">
            <v>0</v>
          </cell>
          <cell r="H65">
            <v>-28602</v>
          </cell>
          <cell r="I65">
            <v>-9367</v>
          </cell>
          <cell r="J65"/>
          <cell r="K65">
            <v>0</v>
          </cell>
          <cell r="L65">
            <v>123674</v>
          </cell>
          <cell r="M65">
            <v>116275</v>
          </cell>
          <cell r="N65">
            <v>0</v>
          </cell>
          <cell r="O65">
            <v>0</v>
          </cell>
          <cell r="P65">
            <v>0</v>
          </cell>
          <cell r="Q65">
            <v>0</v>
          </cell>
          <cell r="R65">
            <v>0</v>
          </cell>
          <cell r="S65">
            <v>0</v>
          </cell>
          <cell r="T65">
            <v>0</v>
          </cell>
          <cell r="U65">
            <v>0</v>
          </cell>
          <cell r="V65">
            <v>3000</v>
          </cell>
          <cell r="W65">
            <v>146950</v>
          </cell>
          <cell r="X65">
            <v>0</v>
          </cell>
          <cell r="Y65"/>
          <cell r="Z65">
            <v>0</v>
          </cell>
          <cell r="AA65">
            <v>0</v>
          </cell>
          <cell r="AB65">
            <v>0</v>
          </cell>
          <cell r="AC65"/>
          <cell r="AD65">
            <v>20000</v>
          </cell>
          <cell r="AE65">
            <v>0</v>
          </cell>
          <cell r="AF65">
            <v>0</v>
          </cell>
          <cell r="AG65">
            <v>0</v>
          </cell>
          <cell r="AH65">
            <v>0</v>
          </cell>
          <cell r="AI65">
            <v>0</v>
          </cell>
          <cell r="AJ65">
            <v>0</v>
          </cell>
          <cell r="AK65">
            <v>0</v>
          </cell>
          <cell r="AL65"/>
          <cell r="AM65">
            <v>0</v>
          </cell>
          <cell r="AN65">
            <v>0</v>
          </cell>
          <cell r="AO65">
            <v>0</v>
          </cell>
          <cell r="AP65">
            <v>0</v>
          </cell>
          <cell r="AQ65">
            <v>0</v>
          </cell>
          <cell r="AR65">
            <v>0</v>
          </cell>
          <cell r="AS65">
            <v>0</v>
          </cell>
          <cell r="AT65">
            <v>0</v>
          </cell>
          <cell r="AU65">
            <v>2370</v>
          </cell>
          <cell r="AV65">
            <v>0</v>
          </cell>
          <cell r="AW65">
            <v>0</v>
          </cell>
          <cell r="AX65">
            <v>0</v>
          </cell>
          <cell r="AY65"/>
          <cell r="AZ65"/>
          <cell r="BA65">
            <v>0</v>
          </cell>
          <cell r="BB65"/>
          <cell r="BC65">
            <v>0</v>
          </cell>
          <cell r="BD65">
            <v>12557</v>
          </cell>
          <cell r="BE65"/>
          <cell r="BF65">
            <v>0</v>
          </cell>
          <cell r="BG65">
            <v>0</v>
          </cell>
          <cell r="BH65">
            <v>0</v>
          </cell>
          <cell r="BI65">
            <v>48284</v>
          </cell>
          <cell r="BJ65">
            <v>39745</v>
          </cell>
          <cell r="BK65">
            <v>39745</v>
          </cell>
          <cell r="BL65">
            <v>0</v>
          </cell>
          <cell r="BM65">
            <v>0</v>
          </cell>
          <cell r="BN65">
            <v>0</v>
          </cell>
          <cell r="BO65">
            <v>148847</v>
          </cell>
          <cell r="BP65">
            <v>11069.8</v>
          </cell>
          <cell r="BQ65">
            <v>19941.8604651163</v>
          </cell>
          <cell r="BR65">
            <v>0</v>
          </cell>
          <cell r="BS65">
            <v>0</v>
          </cell>
          <cell r="BT65">
            <v>57593</v>
          </cell>
          <cell r="BU65"/>
          <cell r="BV65"/>
          <cell r="BW65"/>
          <cell r="BX65"/>
          <cell r="BY65">
            <v>0</v>
          </cell>
          <cell r="BZ65">
            <v>0</v>
          </cell>
          <cell r="CA65">
            <v>0</v>
          </cell>
          <cell r="CB65">
            <v>0</v>
          </cell>
          <cell r="CC65">
            <v>2924401</v>
          </cell>
          <cell r="CD65">
            <v>16793894</v>
          </cell>
          <cell r="CE65">
            <v>1295444</v>
          </cell>
          <cell r="CF65">
            <v>-22705</v>
          </cell>
          <cell r="CG65">
            <v>1295444</v>
          </cell>
          <cell r="CH65">
            <v>1295444</v>
          </cell>
          <cell r="CI65">
            <v>1295444</v>
          </cell>
          <cell r="CJ65">
            <v>1295444</v>
          </cell>
          <cell r="CK65">
            <v>0</v>
          </cell>
          <cell r="CL65">
            <v>0</v>
          </cell>
          <cell r="CM65">
            <v>0</v>
          </cell>
          <cell r="CN65">
            <v>0</v>
          </cell>
          <cell r="CO65">
            <v>0</v>
          </cell>
          <cell r="CP65">
            <v>0</v>
          </cell>
          <cell r="CQ65">
            <v>3576010</v>
          </cell>
          <cell r="CR65">
            <v>3364194</v>
          </cell>
          <cell r="CS65">
            <v>3258353</v>
          </cell>
          <cell r="CT65">
            <v>3165911</v>
          </cell>
          <cell r="CU65">
            <v>3060751</v>
          </cell>
          <cell r="CV65">
            <v>-6733</v>
          </cell>
          <cell r="CW65">
            <v>0</v>
          </cell>
          <cell r="CX65">
            <v>0</v>
          </cell>
          <cell r="CY65">
            <v>0</v>
          </cell>
          <cell r="CZ65">
            <v>0</v>
          </cell>
          <cell r="DA65">
            <v>0</v>
          </cell>
          <cell r="DB65"/>
          <cell r="DC65">
            <v>0</v>
          </cell>
          <cell r="DD65">
            <v>0</v>
          </cell>
          <cell r="DE65">
            <v>0</v>
          </cell>
          <cell r="DF65">
            <v>0</v>
          </cell>
          <cell r="DG65">
            <v>0</v>
          </cell>
          <cell r="DH65">
            <v>0</v>
          </cell>
          <cell r="DI65">
            <v>0</v>
          </cell>
          <cell r="DJ65">
            <v>0</v>
          </cell>
          <cell r="DK65">
            <v>0</v>
          </cell>
          <cell r="DL65">
            <v>0</v>
          </cell>
          <cell r="DM65"/>
          <cell r="DN65"/>
          <cell r="DO65"/>
          <cell r="DP65"/>
        </row>
        <row r="66">
          <cell r="A66">
            <v>164</v>
          </cell>
          <cell r="B66" t="str">
            <v>Hengelo O</v>
          </cell>
          <cell r="C66">
            <v>4</v>
          </cell>
          <cell r="D66">
            <v>136619</v>
          </cell>
          <cell r="E66">
            <v>68309</v>
          </cell>
          <cell r="F66">
            <v>0</v>
          </cell>
          <cell r="G66">
            <v>0</v>
          </cell>
          <cell r="H66">
            <v>0</v>
          </cell>
          <cell r="I66">
            <v>0</v>
          </cell>
          <cell r="J66"/>
          <cell r="K66">
            <v>0</v>
          </cell>
          <cell r="L66">
            <v>451244</v>
          </cell>
          <cell r="M66">
            <v>454029</v>
          </cell>
          <cell r="N66">
            <v>0</v>
          </cell>
          <cell r="O66">
            <v>0</v>
          </cell>
          <cell r="P66">
            <v>0</v>
          </cell>
          <cell r="Q66">
            <v>0</v>
          </cell>
          <cell r="R66">
            <v>0</v>
          </cell>
          <cell r="S66">
            <v>839389</v>
          </cell>
          <cell r="T66">
            <v>839389</v>
          </cell>
          <cell r="U66">
            <v>839389</v>
          </cell>
          <cell r="V66">
            <v>12000</v>
          </cell>
          <cell r="W66">
            <v>326361</v>
          </cell>
          <cell r="X66">
            <v>0</v>
          </cell>
          <cell r="Y66"/>
          <cell r="Z66">
            <v>0</v>
          </cell>
          <cell r="AA66">
            <v>0</v>
          </cell>
          <cell r="AB66">
            <v>0</v>
          </cell>
          <cell r="AC66"/>
          <cell r="AD66">
            <v>158403</v>
          </cell>
          <cell r="AE66">
            <v>0</v>
          </cell>
          <cell r="AF66">
            <v>0</v>
          </cell>
          <cell r="AG66">
            <v>0</v>
          </cell>
          <cell r="AH66">
            <v>0</v>
          </cell>
          <cell r="AI66">
            <v>0</v>
          </cell>
          <cell r="AJ66">
            <v>0</v>
          </cell>
          <cell r="AK66">
            <v>74792</v>
          </cell>
          <cell r="AL66"/>
          <cell r="AM66">
            <v>0</v>
          </cell>
          <cell r="AN66">
            <v>0</v>
          </cell>
          <cell r="AO66">
            <v>0</v>
          </cell>
          <cell r="AP66">
            <v>0</v>
          </cell>
          <cell r="AQ66">
            <v>0</v>
          </cell>
          <cell r="AR66">
            <v>0</v>
          </cell>
          <cell r="AS66">
            <v>0</v>
          </cell>
          <cell r="AT66">
            <v>20000</v>
          </cell>
          <cell r="AU66">
            <v>7110</v>
          </cell>
          <cell r="AV66">
            <v>0</v>
          </cell>
          <cell r="AW66">
            <v>0</v>
          </cell>
          <cell r="AX66">
            <v>0</v>
          </cell>
          <cell r="AY66"/>
          <cell r="AZ66"/>
          <cell r="BA66">
            <v>0</v>
          </cell>
          <cell r="BB66"/>
          <cell r="BC66">
            <v>0</v>
          </cell>
          <cell r="BD66">
            <v>28364</v>
          </cell>
          <cell r="BE66"/>
          <cell r="BF66">
            <v>0</v>
          </cell>
          <cell r="BG66">
            <v>0</v>
          </cell>
          <cell r="BH66">
            <v>0</v>
          </cell>
          <cell r="BI66">
            <v>150389</v>
          </cell>
          <cell r="BJ66">
            <v>123792</v>
          </cell>
          <cell r="BK66">
            <v>123792</v>
          </cell>
          <cell r="BL66">
            <v>0</v>
          </cell>
          <cell r="BM66">
            <v>0</v>
          </cell>
          <cell r="BN66">
            <v>0</v>
          </cell>
          <cell r="BO66">
            <v>231540</v>
          </cell>
          <cell r="BP66">
            <v>23721</v>
          </cell>
          <cell r="BQ66">
            <v>42732.5581395349</v>
          </cell>
          <cell r="BR66">
            <v>0</v>
          </cell>
          <cell r="BS66">
            <v>0</v>
          </cell>
          <cell r="BT66">
            <v>139324</v>
          </cell>
          <cell r="BU66"/>
          <cell r="BV66"/>
          <cell r="BW66"/>
          <cell r="BX66"/>
          <cell r="BY66">
            <v>0</v>
          </cell>
          <cell r="BZ66">
            <v>0</v>
          </cell>
          <cell r="CA66">
            <v>0</v>
          </cell>
          <cell r="CB66">
            <v>0</v>
          </cell>
          <cell r="CC66">
            <v>6860388</v>
          </cell>
          <cell r="CD66">
            <v>48845623</v>
          </cell>
          <cell r="CE66">
            <v>6316867</v>
          </cell>
          <cell r="CF66">
            <v>0</v>
          </cell>
          <cell r="CG66">
            <v>6316867</v>
          </cell>
          <cell r="CH66">
            <v>6316867</v>
          </cell>
          <cell r="CI66">
            <v>6316867</v>
          </cell>
          <cell r="CJ66">
            <v>6316867</v>
          </cell>
          <cell r="CK66">
            <v>0</v>
          </cell>
          <cell r="CL66">
            <v>0</v>
          </cell>
          <cell r="CM66">
            <v>0</v>
          </cell>
          <cell r="CN66">
            <v>0</v>
          </cell>
          <cell r="CO66">
            <v>0</v>
          </cell>
          <cell r="CP66">
            <v>0</v>
          </cell>
          <cell r="CQ66">
            <v>12485937</v>
          </cell>
          <cell r="CR66">
            <v>11965419</v>
          </cell>
          <cell r="CS66">
            <v>11688192</v>
          </cell>
          <cell r="CT66">
            <v>11437996</v>
          </cell>
          <cell r="CU66">
            <v>11141791</v>
          </cell>
          <cell r="CV66">
            <v>80224</v>
          </cell>
          <cell r="CW66">
            <v>0</v>
          </cell>
          <cell r="CX66">
            <v>0</v>
          </cell>
          <cell r="CY66">
            <v>0</v>
          </cell>
          <cell r="CZ66">
            <v>0</v>
          </cell>
          <cell r="DA66">
            <v>0</v>
          </cell>
          <cell r="DB66"/>
          <cell r="DC66">
            <v>0</v>
          </cell>
          <cell r="DD66">
            <v>0</v>
          </cell>
          <cell r="DE66">
            <v>0</v>
          </cell>
          <cell r="DF66">
            <v>0</v>
          </cell>
          <cell r="DG66">
            <v>0</v>
          </cell>
          <cell r="DH66">
            <v>0</v>
          </cell>
          <cell r="DI66">
            <v>0</v>
          </cell>
          <cell r="DJ66">
            <v>0</v>
          </cell>
          <cell r="DK66">
            <v>0</v>
          </cell>
          <cell r="DL66">
            <v>0</v>
          </cell>
          <cell r="DM66"/>
          <cell r="DN66"/>
          <cell r="DO66"/>
          <cell r="DP66"/>
        </row>
        <row r="67">
          <cell r="A67">
            <v>1735</v>
          </cell>
          <cell r="B67" t="str">
            <v>Hof van Twente</v>
          </cell>
          <cell r="C67">
            <v>4</v>
          </cell>
          <cell r="D67">
            <v>-8374</v>
          </cell>
          <cell r="E67">
            <v>-4187</v>
          </cell>
          <cell r="F67">
            <v>0</v>
          </cell>
          <cell r="G67">
            <v>0</v>
          </cell>
          <cell r="H67">
            <v>-24653</v>
          </cell>
          <cell r="I67">
            <v>0</v>
          </cell>
          <cell r="J67"/>
          <cell r="K67">
            <v>0</v>
          </cell>
          <cell r="L67">
            <v>96098</v>
          </cell>
          <cell r="M67">
            <v>105133</v>
          </cell>
          <cell r="N67">
            <v>0</v>
          </cell>
          <cell r="O67">
            <v>0</v>
          </cell>
          <cell r="P67">
            <v>0</v>
          </cell>
          <cell r="Q67">
            <v>0</v>
          </cell>
          <cell r="R67">
            <v>0</v>
          </cell>
          <cell r="S67">
            <v>0</v>
          </cell>
          <cell r="T67">
            <v>0</v>
          </cell>
          <cell r="U67">
            <v>0</v>
          </cell>
          <cell r="V67">
            <v>0</v>
          </cell>
          <cell r="W67">
            <v>141702</v>
          </cell>
          <cell r="X67">
            <v>0</v>
          </cell>
          <cell r="Y67"/>
          <cell r="Z67">
            <v>0</v>
          </cell>
          <cell r="AA67">
            <v>0</v>
          </cell>
          <cell r="AB67">
            <v>53960</v>
          </cell>
          <cell r="AC67"/>
          <cell r="AD67">
            <v>0</v>
          </cell>
          <cell r="AE67">
            <v>0</v>
          </cell>
          <cell r="AF67">
            <v>0</v>
          </cell>
          <cell r="AG67">
            <v>0</v>
          </cell>
          <cell r="AH67">
            <v>0</v>
          </cell>
          <cell r="AI67">
            <v>0</v>
          </cell>
          <cell r="AJ67">
            <v>0</v>
          </cell>
          <cell r="AK67">
            <v>0</v>
          </cell>
          <cell r="AL67"/>
          <cell r="AM67">
            <v>0</v>
          </cell>
          <cell r="AN67">
            <v>0</v>
          </cell>
          <cell r="AO67">
            <v>0</v>
          </cell>
          <cell r="AP67">
            <v>0</v>
          </cell>
          <cell r="AQ67">
            <v>0</v>
          </cell>
          <cell r="AR67">
            <v>0</v>
          </cell>
          <cell r="AS67">
            <v>0</v>
          </cell>
          <cell r="AT67">
            <v>0</v>
          </cell>
          <cell r="AU67">
            <v>0</v>
          </cell>
          <cell r="AV67">
            <v>0</v>
          </cell>
          <cell r="AW67">
            <v>0</v>
          </cell>
          <cell r="AX67">
            <v>0</v>
          </cell>
          <cell r="AY67"/>
          <cell r="AZ67"/>
          <cell r="BA67">
            <v>0</v>
          </cell>
          <cell r="BB67"/>
          <cell r="BC67">
            <v>0</v>
          </cell>
          <cell r="BD67">
            <v>12290</v>
          </cell>
          <cell r="BE67"/>
          <cell r="BF67">
            <v>0</v>
          </cell>
          <cell r="BG67">
            <v>0</v>
          </cell>
          <cell r="BH67">
            <v>0</v>
          </cell>
          <cell r="BI67">
            <v>43050</v>
          </cell>
          <cell r="BJ67">
            <v>35437</v>
          </cell>
          <cell r="BK67">
            <v>35437</v>
          </cell>
          <cell r="BL67">
            <v>0</v>
          </cell>
          <cell r="BM67">
            <v>0</v>
          </cell>
          <cell r="BN67">
            <v>0</v>
          </cell>
          <cell r="BO67">
            <v>133768</v>
          </cell>
          <cell r="BP67">
            <v>0</v>
          </cell>
          <cell r="BQ67">
            <v>0</v>
          </cell>
          <cell r="BR67">
            <v>0</v>
          </cell>
          <cell r="BS67">
            <v>0</v>
          </cell>
          <cell r="BT67">
            <v>54608</v>
          </cell>
          <cell r="BU67"/>
          <cell r="BV67"/>
          <cell r="BW67"/>
          <cell r="BX67"/>
          <cell r="BY67">
            <v>0</v>
          </cell>
          <cell r="BZ67">
            <v>0</v>
          </cell>
          <cell r="CA67">
            <v>0</v>
          </cell>
          <cell r="CB67">
            <v>0</v>
          </cell>
          <cell r="CC67">
            <v>3007914</v>
          </cell>
          <cell r="CD67">
            <v>13014585</v>
          </cell>
          <cell r="CE67">
            <v>947639</v>
          </cell>
          <cell r="CF67">
            <v>0</v>
          </cell>
          <cell r="CG67">
            <v>947639</v>
          </cell>
          <cell r="CH67">
            <v>947639</v>
          </cell>
          <cell r="CI67">
            <v>947639</v>
          </cell>
          <cell r="CJ67">
            <v>947639</v>
          </cell>
          <cell r="CK67">
            <v>0</v>
          </cell>
          <cell r="CL67">
            <v>0</v>
          </cell>
          <cell r="CM67">
            <v>0</v>
          </cell>
          <cell r="CN67">
            <v>0</v>
          </cell>
          <cell r="CO67">
            <v>0</v>
          </cell>
          <cell r="CP67">
            <v>0</v>
          </cell>
          <cell r="CQ67">
            <v>2512081</v>
          </cell>
          <cell r="CR67">
            <v>2373676</v>
          </cell>
          <cell r="CS67">
            <v>2355064</v>
          </cell>
          <cell r="CT67">
            <v>2280014</v>
          </cell>
          <cell r="CU67">
            <v>2219045</v>
          </cell>
          <cell r="CV67">
            <v>63487</v>
          </cell>
          <cell r="CW67">
            <v>0</v>
          </cell>
          <cell r="CX67">
            <v>0</v>
          </cell>
          <cell r="CY67">
            <v>0</v>
          </cell>
          <cell r="CZ67">
            <v>0</v>
          </cell>
          <cell r="DA67">
            <v>0</v>
          </cell>
          <cell r="DB67"/>
          <cell r="DC67">
            <v>0</v>
          </cell>
          <cell r="DD67">
            <v>0</v>
          </cell>
          <cell r="DE67">
            <v>0</v>
          </cell>
          <cell r="DF67">
            <v>0</v>
          </cell>
          <cell r="DG67">
            <v>0</v>
          </cell>
          <cell r="DH67">
            <v>0</v>
          </cell>
          <cell r="DI67">
            <v>0</v>
          </cell>
          <cell r="DJ67">
            <v>0</v>
          </cell>
          <cell r="DK67">
            <v>0</v>
          </cell>
          <cell r="DL67">
            <v>0</v>
          </cell>
          <cell r="DM67"/>
          <cell r="DN67"/>
          <cell r="DO67"/>
          <cell r="DP67"/>
        </row>
        <row r="68">
          <cell r="A68">
            <v>166</v>
          </cell>
          <cell r="B68" t="str">
            <v>Kampen</v>
          </cell>
          <cell r="C68">
            <v>4</v>
          </cell>
          <cell r="D68">
            <v>8507</v>
          </cell>
          <cell r="E68">
            <v>4254</v>
          </cell>
          <cell r="F68">
            <v>0</v>
          </cell>
          <cell r="G68">
            <v>0</v>
          </cell>
          <cell r="H68">
            <v>209887</v>
          </cell>
          <cell r="I68">
            <v>0</v>
          </cell>
          <cell r="J68"/>
          <cell r="K68">
            <v>0</v>
          </cell>
          <cell r="L68">
            <v>210461</v>
          </cell>
          <cell r="M68">
            <v>207909</v>
          </cell>
          <cell r="N68">
            <v>0</v>
          </cell>
          <cell r="O68">
            <v>0</v>
          </cell>
          <cell r="P68">
            <v>0</v>
          </cell>
          <cell r="Q68">
            <v>0</v>
          </cell>
          <cell r="R68">
            <v>0</v>
          </cell>
          <cell r="S68">
            <v>0</v>
          </cell>
          <cell r="T68">
            <v>0</v>
          </cell>
          <cell r="U68">
            <v>0</v>
          </cell>
          <cell r="V68">
            <v>0</v>
          </cell>
          <cell r="W68">
            <v>226645</v>
          </cell>
          <cell r="X68">
            <v>0</v>
          </cell>
          <cell r="Y68"/>
          <cell r="Z68">
            <v>0</v>
          </cell>
          <cell r="AA68">
            <v>0</v>
          </cell>
          <cell r="AB68">
            <v>0</v>
          </cell>
          <cell r="AC68"/>
          <cell r="AD68">
            <v>103646</v>
          </cell>
          <cell r="AE68">
            <v>0</v>
          </cell>
          <cell r="AF68">
            <v>0</v>
          </cell>
          <cell r="AG68">
            <v>0</v>
          </cell>
          <cell r="AH68">
            <v>0</v>
          </cell>
          <cell r="AI68">
            <v>0</v>
          </cell>
          <cell r="AJ68">
            <v>0</v>
          </cell>
          <cell r="AK68">
            <v>0</v>
          </cell>
          <cell r="AL68"/>
          <cell r="AM68">
            <v>0</v>
          </cell>
          <cell r="AN68">
            <v>0</v>
          </cell>
          <cell r="AO68">
            <v>0</v>
          </cell>
          <cell r="AP68">
            <v>0</v>
          </cell>
          <cell r="AQ68">
            <v>0</v>
          </cell>
          <cell r="AR68">
            <v>0</v>
          </cell>
          <cell r="AS68">
            <v>0</v>
          </cell>
          <cell r="AT68">
            <v>0</v>
          </cell>
          <cell r="AU68">
            <v>2370</v>
          </cell>
          <cell r="AV68">
            <v>0</v>
          </cell>
          <cell r="AW68">
            <v>0</v>
          </cell>
          <cell r="AX68">
            <v>0</v>
          </cell>
          <cell r="AY68"/>
          <cell r="AZ68"/>
          <cell r="BA68">
            <v>0</v>
          </cell>
          <cell r="BB68"/>
          <cell r="BC68">
            <v>0</v>
          </cell>
          <cell r="BD68">
            <v>18433</v>
          </cell>
          <cell r="BE68"/>
          <cell r="BF68">
            <v>0</v>
          </cell>
          <cell r="BG68">
            <v>0</v>
          </cell>
          <cell r="BH68">
            <v>0</v>
          </cell>
          <cell r="BI68">
            <v>75006</v>
          </cell>
          <cell r="BJ68">
            <v>61741</v>
          </cell>
          <cell r="BK68">
            <v>61741</v>
          </cell>
          <cell r="BL68">
            <v>0</v>
          </cell>
          <cell r="BM68">
            <v>0</v>
          </cell>
          <cell r="BN68">
            <v>0</v>
          </cell>
          <cell r="BO68">
            <v>251483</v>
          </cell>
          <cell r="BP68">
            <v>36372.199999999997</v>
          </cell>
          <cell r="BQ68">
            <v>65523.255813953503</v>
          </cell>
          <cell r="BR68">
            <v>0</v>
          </cell>
          <cell r="BS68">
            <v>0</v>
          </cell>
          <cell r="BT68">
            <v>91583</v>
          </cell>
          <cell r="BU68"/>
          <cell r="BV68"/>
          <cell r="BW68"/>
          <cell r="BX68"/>
          <cell r="BY68">
            <v>0</v>
          </cell>
          <cell r="BZ68">
            <v>0</v>
          </cell>
          <cell r="CA68">
            <v>0</v>
          </cell>
          <cell r="CB68">
            <v>0</v>
          </cell>
          <cell r="CC68">
            <v>3808484</v>
          </cell>
          <cell r="CD68">
            <v>26366112</v>
          </cell>
          <cell r="CE68">
            <v>1846704</v>
          </cell>
          <cell r="CF68">
            <v>0</v>
          </cell>
          <cell r="CG68">
            <v>1846704</v>
          </cell>
          <cell r="CH68">
            <v>1846704</v>
          </cell>
          <cell r="CI68">
            <v>1846704</v>
          </cell>
          <cell r="CJ68">
            <v>1846704</v>
          </cell>
          <cell r="CK68">
            <v>0</v>
          </cell>
          <cell r="CL68">
            <v>0</v>
          </cell>
          <cell r="CM68">
            <v>0</v>
          </cell>
          <cell r="CN68">
            <v>0</v>
          </cell>
          <cell r="CO68">
            <v>0</v>
          </cell>
          <cell r="CP68">
            <v>0</v>
          </cell>
          <cell r="CQ68">
            <v>5726923</v>
          </cell>
          <cell r="CR68">
            <v>5435829</v>
          </cell>
          <cell r="CS68">
            <v>5257552</v>
          </cell>
          <cell r="CT68">
            <v>5100450</v>
          </cell>
          <cell r="CU68">
            <v>4963493</v>
          </cell>
          <cell r="CV68">
            <v>-14290</v>
          </cell>
          <cell r="CW68">
            <v>0</v>
          </cell>
          <cell r="CX68">
            <v>0</v>
          </cell>
          <cell r="CY68">
            <v>0</v>
          </cell>
          <cell r="CZ68">
            <v>0</v>
          </cell>
          <cell r="DA68">
            <v>0</v>
          </cell>
          <cell r="DB68"/>
          <cell r="DC68">
            <v>0</v>
          </cell>
          <cell r="DD68">
            <v>0</v>
          </cell>
          <cell r="DE68">
            <v>0</v>
          </cell>
          <cell r="DF68">
            <v>0</v>
          </cell>
          <cell r="DG68">
            <v>0</v>
          </cell>
          <cell r="DH68">
            <v>0</v>
          </cell>
          <cell r="DI68">
            <v>0</v>
          </cell>
          <cell r="DJ68">
            <v>0</v>
          </cell>
          <cell r="DK68">
            <v>0</v>
          </cell>
          <cell r="DL68">
            <v>0</v>
          </cell>
          <cell r="DM68"/>
          <cell r="DN68"/>
          <cell r="DO68"/>
          <cell r="DP68"/>
        </row>
        <row r="69">
          <cell r="A69">
            <v>168</v>
          </cell>
          <cell r="B69" t="str">
            <v>Losser</v>
          </cell>
          <cell r="C69">
            <v>4</v>
          </cell>
          <cell r="D69">
            <v>8299</v>
          </cell>
          <cell r="E69">
            <v>4149</v>
          </cell>
          <cell r="F69">
            <v>0</v>
          </cell>
          <cell r="G69">
            <v>0</v>
          </cell>
          <cell r="H69">
            <v>-25016</v>
          </cell>
          <cell r="I69">
            <v>-2296</v>
          </cell>
          <cell r="J69"/>
          <cell r="K69">
            <v>0</v>
          </cell>
          <cell r="L69">
            <v>87264</v>
          </cell>
          <cell r="M69">
            <v>90087</v>
          </cell>
          <cell r="N69">
            <v>0</v>
          </cell>
          <cell r="O69">
            <v>0</v>
          </cell>
          <cell r="P69">
            <v>0</v>
          </cell>
          <cell r="Q69">
            <v>0</v>
          </cell>
          <cell r="R69">
            <v>0</v>
          </cell>
          <cell r="S69">
            <v>0</v>
          </cell>
          <cell r="T69">
            <v>0</v>
          </cell>
          <cell r="U69">
            <v>0</v>
          </cell>
          <cell r="V69">
            <v>6000</v>
          </cell>
          <cell r="W69">
            <v>87859</v>
          </cell>
          <cell r="X69">
            <v>0</v>
          </cell>
          <cell r="Y69"/>
          <cell r="Z69">
            <v>0</v>
          </cell>
          <cell r="AA69">
            <v>0</v>
          </cell>
          <cell r="AB69">
            <v>0</v>
          </cell>
          <cell r="AC69"/>
          <cell r="AD69">
            <v>61601</v>
          </cell>
          <cell r="AE69">
            <v>0</v>
          </cell>
          <cell r="AF69">
            <v>0</v>
          </cell>
          <cell r="AG69">
            <v>0</v>
          </cell>
          <cell r="AH69">
            <v>0</v>
          </cell>
          <cell r="AI69">
            <v>0</v>
          </cell>
          <cell r="AJ69">
            <v>0</v>
          </cell>
          <cell r="AK69">
            <v>0</v>
          </cell>
          <cell r="AL69"/>
          <cell r="AM69">
            <v>0</v>
          </cell>
          <cell r="AN69">
            <v>0</v>
          </cell>
          <cell r="AO69">
            <v>0</v>
          </cell>
          <cell r="AP69">
            <v>0</v>
          </cell>
          <cell r="AQ69">
            <v>0</v>
          </cell>
          <cell r="AR69">
            <v>0</v>
          </cell>
          <cell r="AS69">
            <v>0</v>
          </cell>
          <cell r="AT69">
            <v>0</v>
          </cell>
          <cell r="AU69">
            <v>0</v>
          </cell>
          <cell r="AV69">
            <v>0</v>
          </cell>
          <cell r="AW69">
            <v>0</v>
          </cell>
          <cell r="AX69">
            <v>0</v>
          </cell>
          <cell r="AY69"/>
          <cell r="AZ69"/>
          <cell r="BA69">
            <v>0</v>
          </cell>
          <cell r="BB69"/>
          <cell r="BC69">
            <v>0</v>
          </cell>
          <cell r="BD69">
            <v>7892</v>
          </cell>
          <cell r="BE69"/>
          <cell r="BF69">
            <v>0</v>
          </cell>
          <cell r="BG69">
            <v>0</v>
          </cell>
          <cell r="BH69">
            <v>0</v>
          </cell>
          <cell r="BI69">
            <v>31396</v>
          </cell>
          <cell r="BJ69">
            <v>25844</v>
          </cell>
          <cell r="BK69">
            <v>25844</v>
          </cell>
          <cell r="BL69">
            <v>0</v>
          </cell>
          <cell r="BM69">
            <v>0</v>
          </cell>
          <cell r="BN69">
            <v>0</v>
          </cell>
          <cell r="BO69">
            <v>84638</v>
          </cell>
          <cell r="BP69">
            <v>17395.400000000001</v>
          </cell>
          <cell r="BQ69">
            <v>31337.209302325598</v>
          </cell>
          <cell r="BR69">
            <v>0</v>
          </cell>
          <cell r="BS69">
            <v>0</v>
          </cell>
          <cell r="BT69">
            <v>38462</v>
          </cell>
          <cell r="BU69"/>
          <cell r="BV69"/>
          <cell r="BW69"/>
          <cell r="BX69"/>
          <cell r="BY69">
            <v>0</v>
          </cell>
          <cell r="BZ69">
            <v>0</v>
          </cell>
          <cell r="CA69">
            <v>0</v>
          </cell>
          <cell r="CB69">
            <v>0</v>
          </cell>
          <cell r="CC69">
            <v>2026436</v>
          </cell>
          <cell r="CD69">
            <v>12098680</v>
          </cell>
          <cell r="CE69">
            <v>535451</v>
          </cell>
          <cell r="CF69">
            <v>0</v>
          </cell>
          <cell r="CG69">
            <v>535451</v>
          </cell>
          <cell r="CH69">
            <v>535451</v>
          </cell>
          <cell r="CI69">
            <v>535451</v>
          </cell>
          <cell r="CJ69">
            <v>535451</v>
          </cell>
          <cell r="CK69">
            <v>0</v>
          </cell>
          <cell r="CL69">
            <v>0</v>
          </cell>
          <cell r="CM69">
            <v>0</v>
          </cell>
          <cell r="CN69">
            <v>0</v>
          </cell>
          <cell r="CO69">
            <v>0</v>
          </cell>
          <cell r="CP69">
            <v>-835</v>
          </cell>
          <cell r="CQ69">
            <v>3285649</v>
          </cell>
          <cell r="CR69">
            <v>3006844</v>
          </cell>
          <cell r="CS69">
            <v>2942386</v>
          </cell>
          <cell r="CT69">
            <v>2806017</v>
          </cell>
          <cell r="CU69">
            <v>2715416</v>
          </cell>
          <cell r="CV69">
            <v>40206</v>
          </cell>
          <cell r="CW69">
            <v>0</v>
          </cell>
          <cell r="CX69">
            <v>0</v>
          </cell>
          <cell r="CY69">
            <v>0</v>
          </cell>
          <cell r="CZ69">
            <v>0</v>
          </cell>
          <cell r="DA69">
            <v>0</v>
          </cell>
          <cell r="DB69"/>
          <cell r="DC69">
            <v>0</v>
          </cell>
          <cell r="DD69">
            <v>0</v>
          </cell>
          <cell r="DE69">
            <v>0</v>
          </cell>
          <cell r="DF69">
            <v>0</v>
          </cell>
          <cell r="DG69">
            <v>0</v>
          </cell>
          <cell r="DH69">
            <v>0</v>
          </cell>
          <cell r="DI69">
            <v>0</v>
          </cell>
          <cell r="DJ69">
            <v>0</v>
          </cell>
          <cell r="DK69">
            <v>0</v>
          </cell>
          <cell r="DL69">
            <v>0</v>
          </cell>
          <cell r="DM69"/>
          <cell r="DN69"/>
          <cell r="DO69"/>
          <cell r="DP69"/>
        </row>
        <row r="70">
          <cell r="A70">
            <v>173</v>
          </cell>
          <cell r="B70" t="str">
            <v>Oldenzaal</v>
          </cell>
          <cell r="C70">
            <v>4</v>
          </cell>
          <cell r="D70">
            <v>43738</v>
          </cell>
          <cell r="E70">
            <v>21869</v>
          </cell>
          <cell r="F70">
            <v>0</v>
          </cell>
          <cell r="G70">
            <v>0</v>
          </cell>
          <cell r="H70">
            <v>0</v>
          </cell>
          <cell r="I70">
            <v>-10749</v>
          </cell>
          <cell r="J70"/>
          <cell r="K70">
            <v>0</v>
          </cell>
          <cell r="L70">
            <v>139969</v>
          </cell>
          <cell r="M70">
            <v>140368</v>
          </cell>
          <cell r="N70">
            <v>0</v>
          </cell>
          <cell r="O70">
            <v>0</v>
          </cell>
          <cell r="P70">
            <v>0</v>
          </cell>
          <cell r="Q70">
            <v>0</v>
          </cell>
          <cell r="R70">
            <v>0</v>
          </cell>
          <cell r="S70">
            <v>0</v>
          </cell>
          <cell r="T70">
            <v>0</v>
          </cell>
          <cell r="U70">
            <v>0</v>
          </cell>
          <cell r="V70">
            <v>0</v>
          </cell>
          <cell r="W70">
            <v>129067</v>
          </cell>
          <cell r="X70">
            <v>0</v>
          </cell>
          <cell r="Y70"/>
          <cell r="Z70">
            <v>0</v>
          </cell>
          <cell r="AA70">
            <v>0</v>
          </cell>
          <cell r="AB70">
            <v>0</v>
          </cell>
          <cell r="AC70"/>
          <cell r="AD70">
            <v>55756</v>
          </cell>
          <cell r="AE70">
            <v>0</v>
          </cell>
          <cell r="AF70">
            <v>0</v>
          </cell>
          <cell r="AG70">
            <v>0</v>
          </cell>
          <cell r="AH70">
            <v>0</v>
          </cell>
          <cell r="AI70">
            <v>0</v>
          </cell>
          <cell r="AJ70">
            <v>0</v>
          </cell>
          <cell r="AK70">
            <v>0</v>
          </cell>
          <cell r="AL70"/>
          <cell r="AM70">
            <v>0</v>
          </cell>
          <cell r="AN70">
            <v>0</v>
          </cell>
          <cell r="AO70">
            <v>0</v>
          </cell>
          <cell r="AP70">
            <v>0</v>
          </cell>
          <cell r="AQ70">
            <v>0</v>
          </cell>
          <cell r="AR70">
            <v>0</v>
          </cell>
          <cell r="AS70">
            <v>0</v>
          </cell>
          <cell r="AT70">
            <v>0</v>
          </cell>
          <cell r="AU70">
            <v>4740</v>
          </cell>
          <cell r="AV70">
            <v>0</v>
          </cell>
          <cell r="AW70">
            <v>0</v>
          </cell>
          <cell r="AX70">
            <v>0</v>
          </cell>
          <cell r="AY70"/>
          <cell r="AZ70"/>
          <cell r="BA70">
            <v>0</v>
          </cell>
          <cell r="BB70"/>
          <cell r="BC70">
            <v>0</v>
          </cell>
          <cell r="BD70">
            <v>11235</v>
          </cell>
          <cell r="BE70"/>
          <cell r="BF70">
            <v>0</v>
          </cell>
          <cell r="BG70">
            <v>0</v>
          </cell>
          <cell r="BH70">
            <v>0</v>
          </cell>
          <cell r="BI70">
            <v>51302</v>
          </cell>
          <cell r="BJ70">
            <v>42229</v>
          </cell>
          <cell r="BK70">
            <v>42229</v>
          </cell>
          <cell r="BL70">
            <v>0</v>
          </cell>
          <cell r="BM70">
            <v>0</v>
          </cell>
          <cell r="BN70">
            <v>0</v>
          </cell>
          <cell r="BO70">
            <v>71505</v>
          </cell>
          <cell r="BP70">
            <v>6325.6</v>
          </cell>
          <cell r="BQ70">
            <v>11395.3488372093</v>
          </cell>
          <cell r="BR70">
            <v>0</v>
          </cell>
          <cell r="BS70">
            <v>0</v>
          </cell>
          <cell r="BT70">
            <v>50156</v>
          </cell>
          <cell r="BU70"/>
          <cell r="BV70"/>
          <cell r="BW70"/>
          <cell r="BX70"/>
          <cell r="BY70">
            <v>0</v>
          </cell>
          <cell r="BZ70">
            <v>0</v>
          </cell>
          <cell r="CA70">
            <v>0</v>
          </cell>
          <cell r="CB70">
            <v>0</v>
          </cell>
          <cell r="CC70">
            <v>2796349</v>
          </cell>
          <cell r="CD70">
            <v>18753394</v>
          </cell>
          <cell r="CE70">
            <v>936831</v>
          </cell>
          <cell r="CF70">
            <v>-26005</v>
          </cell>
          <cell r="CG70">
            <v>936831</v>
          </cell>
          <cell r="CH70">
            <v>936831</v>
          </cell>
          <cell r="CI70">
            <v>936831</v>
          </cell>
          <cell r="CJ70">
            <v>936831</v>
          </cell>
          <cell r="CK70">
            <v>0</v>
          </cell>
          <cell r="CL70">
            <v>0</v>
          </cell>
          <cell r="CM70">
            <v>0</v>
          </cell>
          <cell r="CN70">
            <v>0</v>
          </cell>
          <cell r="CO70">
            <v>0</v>
          </cell>
          <cell r="CP70">
            <v>0</v>
          </cell>
          <cell r="CQ70">
            <v>6623722</v>
          </cell>
          <cell r="CR70">
            <v>6200524</v>
          </cell>
          <cell r="CS70">
            <v>5994359</v>
          </cell>
          <cell r="CT70">
            <v>5729414</v>
          </cell>
          <cell r="CU70">
            <v>5563641</v>
          </cell>
          <cell r="CV70">
            <v>-14143</v>
          </cell>
          <cell r="CW70">
            <v>0</v>
          </cell>
          <cell r="CX70">
            <v>0</v>
          </cell>
          <cell r="CY70">
            <v>0</v>
          </cell>
          <cell r="CZ70">
            <v>0</v>
          </cell>
          <cell r="DA70">
            <v>0</v>
          </cell>
          <cell r="DB70"/>
          <cell r="DC70">
            <v>0</v>
          </cell>
          <cell r="DD70">
            <v>0</v>
          </cell>
          <cell r="DE70">
            <v>0</v>
          </cell>
          <cell r="DF70">
            <v>0</v>
          </cell>
          <cell r="DG70">
            <v>0</v>
          </cell>
          <cell r="DH70">
            <v>0</v>
          </cell>
          <cell r="DI70">
            <v>0</v>
          </cell>
          <cell r="DJ70">
            <v>0</v>
          </cell>
          <cell r="DK70">
            <v>0</v>
          </cell>
          <cell r="DL70">
            <v>0</v>
          </cell>
          <cell r="DM70"/>
          <cell r="DN70"/>
          <cell r="DO70"/>
          <cell r="DP70"/>
        </row>
        <row r="71">
          <cell r="A71">
            <v>1773</v>
          </cell>
          <cell r="B71" t="str">
            <v>Olst-Wijhe</v>
          </cell>
          <cell r="C71">
            <v>4</v>
          </cell>
          <cell r="D71">
            <v>38537</v>
          </cell>
          <cell r="E71">
            <v>19269</v>
          </cell>
          <cell r="F71">
            <v>0</v>
          </cell>
          <cell r="G71">
            <v>0</v>
          </cell>
          <cell r="H71">
            <v>-7814</v>
          </cell>
          <cell r="I71">
            <v>-8385</v>
          </cell>
          <cell r="J71"/>
          <cell r="K71">
            <v>0</v>
          </cell>
          <cell r="L71">
            <v>55152</v>
          </cell>
          <cell r="M71">
            <v>59899</v>
          </cell>
          <cell r="N71">
            <v>0</v>
          </cell>
          <cell r="O71">
            <v>0</v>
          </cell>
          <cell r="P71">
            <v>0</v>
          </cell>
          <cell r="Q71">
            <v>0</v>
          </cell>
          <cell r="R71">
            <v>0</v>
          </cell>
          <cell r="S71">
            <v>0</v>
          </cell>
          <cell r="T71">
            <v>0</v>
          </cell>
          <cell r="U71">
            <v>0</v>
          </cell>
          <cell r="V71">
            <v>0</v>
          </cell>
          <cell r="W71">
            <v>74641</v>
          </cell>
          <cell r="X71">
            <v>0</v>
          </cell>
          <cell r="Y71"/>
          <cell r="Z71">
            <v>0</v>
          </cell>
          <cell r="AA71">
            <v>0</v>
          </cell>
          <cell r="AB71">
            <v>0</v>
          </cell>
          <cell r="AC71"/>
          <cell r="AD71">
            <v>0</v>
          </cell>
          <cell r="AE71">
            <v>0</v>
          </cell>
          <cell r="AF71">
            <v>0</v>
          </cell>
          <cell r="AG71">
            <v>0</v>
          </cell>
          <cell r="AH71">
            <v>0</v>
          </cell>
          <cell r="AI71">
            <v>0</v>
          </cell>
          <cell r="AJ71">
            <v>0</v>
          </cell>
          <cell r="AK71">
            <v>0</v>
          </cell>
          <cell r="AL71"/>
          <cell r="AM71">
            <v>0</v>
          </cell>
          <cell r="AN71">
            <v>0</v>
          </cell>
          <cell r="AO71">
            <v>0</v>
          </cell>
          <cell r="AP71">
            <v>0</v>
          </cell>
          <cell r="AQ71">
            <v>0</v>
          </cell>
          <cell r="AR71">
            <v>0</v>
          </cell>
          <cell r="AS71">
            <v>0</v>
          </cell>
          <cell r="AT71">
            <v>0</v>
          </cell>
          <cell r="AU71">
            <v>0</v>
          </cell>
          <cell r="AV71">
            <v>0</v>
          </cell>
          <cell r="AW71">
            <v>0</v>
          </cell>
          <cell r="AX71">
            <v>0</v>
          </cell>
          <cell r="AY71"/>
          <cell r="AZ71"/>
          <cell r="BA71">
            <v>0</v>
          </cell>
          <cell r="BB71"/>
          <cell r="BC71">
            <v>0</v>
          </cell>
          <cell r="BD71">
            <v>6304</v>
          </cell>
          <cell r="BE71"/>
          <cell r="BF71">
            <v>0</v>
          </cell>
          <cell r="BG71">
            <v>0</v>
          </cell>
          <cell r="BH71">
            <v>0</v>
          </cell>
          <cell r="BI71">
            <v>21533</v>
          </cell>
          <cell r="BJ71">
            <v>17725</v>
          </cell>
          <cell r="BK71">
            <v>17725</v>
          </cell>
          <cell r="BL71">
            <v>0</v>
          </cell>
          <cell r="BM71">
            <v>0</v>
          </cell>
          <cell r="BN71">
            <v>0</v>
          </cell>
          <cell r="BO71">
            <v>25294</v>
          </cell>
          <cell r="BP71">
            <v>6325.6</v>
          </cell>
          <cell r="BQ71">
            <v>11395.3488372093</v>
          </cell>
          <cell r="BR71">
            <v>0</v>
          </cell>
          <cell r="BS71">
            <v>0</v>
          </cell>
          <cell r="BT71">
            <v>31367</v>
          </cell>
          <cell r="BU71"/>
          <cell r="BV71"/>
          <cell r="BW71"/>
          <cell r="BX71"/>
          <cell r="BY71">
            <v>0</v>
          </cell>
          <cell r="BZ71">
            <v>0</v>
          </cell>
          <cell r="CA71">
            <v>0</v>
          </cell>
          <cell r="CB71">
            <v>0</v>
          </cell>
          <cell r="CC71">
            <v>1426552</v>
          </cell>
          <cell r="CD71">
            <v>8314766</v>
          </cell>
          <cell r="CE71">
            <v>632587</v>
          </cell>
          <cell r="CF71">
            <v>0</v>
          </cell>
          <cell r="CG71">
            <v>632587</v>
          </cell>
          <cell r="CH71">
            <v>632587</v>
          </cell>
          <cell r="CI71">
            <v>632587</v>
          </cell>
          <cell r="CJ71">
            <v>632587</v>
          </cell>
          <cell r="CK71">
            <v>0</v>
          </cell>
          <cell r="CL71">
            <v>0</v>
          </cell>
          <cell r="CM71">
            <v>0</v>
          </cell>
          <cell r="CN71">
            <v>0</v>
          </cell>
          <cell r="CO71">
            <v>0</v>
          </cell>
          <cell r="CP71">
            <v>-3017</v>
          </cell>
          <cell r="CQ71">
            <v>1925449</v>
          </cell>
          <cell r="CR71">
            <v>1804405</v>
          </cell>
          <cell r="CS71">
            <v>1744520</v>
          </cell>
          <cell r="CT71">
            <v>1674451</v>
          </cell>
          <cell r="CU71">
            <v>1598709</v>
          </cell>
          <cell r="CV71">
            <v>12917</v>
          </cell>
          <cell r="CW71">
            <v>0</v>
          </cell>
          <cell r="CX71">
            <v>0</v>
          </cell>
          <cell r="CY71">
            <v>0</v>
          </cell>
          <cell r="CZ71">
            <v>0</v>
          </cell>
          <cell r="DA71">
            <v>0</v>
          </cell>
          <cell r="DB71"/>
          <cell r="DC71">
            <v>0</v>
          </cell>
          <cell r="DD71">
            <v>0</v>
          </cell>
          <cell r="DE71">
            <v>0</v>
          </cell>
          <cell r="DF71">
            <v>0</v>
          </cell>
          <cell r="DG71">
            <v>0</v>
          </cell>
          <cell r="DH71">
            <v>0</v>
          </cell>
          <cell r="DI71">
            <v>0</v>
          </cell>
          <cell r="DJ71">
            <v>0</v>
          </cell>
          <cell r="DK71">
            <v>0</v>
          </cell>
          <cell r="DL71">
            <v>0</v>
          </cell>
          <cell r="DM71"/>
          <cell r="DN71"/>
          <cell r="DO71"/>
          <cell r="DP71"/>
        </row>
        <row r="72">
          <cell r="A72">
            <v>175</v>
          </cell>
          <cell r="B72" t="str">
            <v>Ommen</v>
          </cell>
          <cell r="C72">
            <v>4</v>
          </cell>
          <cell r="D72">
            <v>20377</v>
          </cell>
          <cell r="E72">
            <v>10188</v>
          </cell>
          <cell r="F72">
            <v>0</v>
          </cell>
          <cell r="G72">
            <v>0</v>
          </cell>
          <cell r="H72">
            <v>0</v>
          </cell>
          <cell r="I72">
            <v>0</v>
          </cell>
          <cell r="J72"/>
          <cell r="K72">
            <v>0</v>
          </cell>
          <cell r="L72">
            <v>55709</v>
          </cell>
          <cell r="M72">
            <v>59994</v>
          </cell>
          <cell r="N72">
            <v>0</v>
          </cell>
          <cell r="O72">
            <v>0</v>
          </cell>
          <cell r="P72">
            <v>0</v>
          </cell>
          <cell r="Q72">
            <v>0</v>
          </cell>
          <cell r="R72">
            <v>0</v>
          </cell>
          <cell r="S72">
            <v>0</v>
          </cell>
          <cell r="T72">
            <v>0</v>
          </cell>
          <cell r="U72">
            <v>0</v>
          </cell>
          <cell r="V72">
            <v>3000</v>
          </cell>
          <cell r="W72">
            <v>69976</v>
          </cell>
          <cell r="X72">
            <v>0</v>
          </cell>
          <cell r="Y72"/>
          <cell r="Z72">
            <v>0</v>
          </cell>
          <cell r="AA72">
            <v>0</v>
          </cell>
          <cell r="AB72">
            <v>0</v>
          </cell>
          <cell r="AC72"/>
          <cell r="AD72">
            <v>0</v>
          </cell>
          <cell r="AE72">
            <v>0</v>
          </cell>
          <cell r="AF72">
            <v>0</v>
          </cell>
          <cell r="AG72">
            <v>0</v>
          </cell>
          <cell r="AH72">
            <v>0</v>
          </cell>
          <cell r="AI72">
            <v>0</v>
          </cell>
          <cell r="AJ72">
            <v>0</v>
          </cell>
          <cell r="AK72">
            <v>0</v>
          </cell>
          <cell r="AL72"/>
          <cell r="AM72">
            <v>0</v>
          </cell>
          <cell r="AN72">
            <v>0</v>
          </cell>
          <cell r="AO72">
            <v>0</v>
          </cell>
          <cell r="AP72">
            <v>0</v>
          </cell>
          <cell r="AQ72">
            <v>0</v>
          </cell>
          <cell r="AR72">
            <v>0</v>
          </cell>
          <cell r="AS72">
            <v>0</v>
          </cell>
          <cell r="AT72">
            <v>0</v>
          </cell>
          <cell r="AU72">
            <v>0</v>
          </cell>
          <cell r="AV72">
            <v>0</v>
          </cell>
          <cell r="AW72">
            <v>0</v>
          </cell>
          <cell r="AX72">
            <v>0</v>
          </cell>
          <cell r="AY72"/>
          <cell r="AZ72"/>
          <cell r="BA72">
            <v>0</v>
          </cell>
          <cell r="BB72"/>
          <cell r="BC72">
            <v>0</v>
          </cell>
          <cell r="BD72">
            <v>6154</v>
          </cell>
          <cell r="BE72"/>
          <cell r="BF72">
            <v>0</v>
          </cell>
          <cell r="BG72">
            <v>0</v>
          </cell>
          <cell r="BH72">
            <v>0</v>
          </cell>
          <cell r="BI72">
            <v>20622</v>
          </cell>
          <cell r="BJ72">
            <v>16975</v>
          </cell>
          <cell r="BK72">
            <v>16975</v>
          </cell>
          <cell r="BL72">
            <v>0</v>
          </cell>
          <cell r="BM72">
            <v>0</v>
          </cell>
          <cell r="BN72">
            <v>0</v>
          </cell>
          <cell r="BO72">
            <v>15566</v>
          </cell>
          <cell r="BP72">
            <v>4744.2</v>
          </cell>
          <cell r="BQ72">
            <v>8546.5116279069807</v>
          </cell>
          <cell r="BR72">
            <v>0</v>
          </cell>
          <cell r="BS72">
            <v>0</v>
          </cell>
          <cell r="BT72">
            <v>38500</v>
          </cell>
          <cell r="BU72"/>
          <cell r="BV72"/>
          <cell r="BW72"/>
          <cell r="BX72"/>
          <cell r="BY72">
            <v>0</v>
          </cell>
          <cell r="BZ72">
            <v>0</v>
          </cell>
          <cell r="CA72">
            <v>0</v>
          </cell>
          <cell r="CB72">
            <v>0</v>
          </cell>
          <cell r="CC72">
            <v>1261982</v>
          </cell>
          <cell r="CD72">
            <v>9124302</v>
          </cell>
          <cell r="CE72">
            <v>671262</v>
          </cell>
          <cell r="CF72">
            <v>0</v>
          </cell>
          <cell r="CG72">
            <v>671262</v>
          </cell>
          <cell r="CH72">
            <v>671262</v>
          </cell>
          <cell r="CI72">
            <v>671262</v>
          </cell>
          <cell r="CJ72">
            <v>671262</v>
          </cell>
          <cell r="CK72">
            <v>0</v>
          </cell>
          <cell r="CL72">
            <v>0</v>
          </cell>
          <cell r="CM72">
            <v>0</v>
          </cell>
          <cell r="CN72">
            <v>0</v>
          </cell>
          <cell r="CO72">
            <v>0</v>
          </cell>
          <cell r="CP72">
            <v>0</v>
          </cell>
          <cell r="CQ72">
            <v>2925830</v>
          </cell>
          <cell r="CR72">
            <v>2768884</v>
          </cell>
          <cell r="CS72">
            <v>2632778</v>
          </cell>
          <cell r="CT72">
            <v>2509384</v>
          </cell>
          <cell r="CU72">
            <v>2443581</v>
          </cell>
          <cell r="CV72">
            <v>-3847</v>
          </cell>
          <cell r="CW72">
            <v>0</v>
          </cell>
          <cell r="CX72">
            <v>0</v>
          </cell>
          <cell r="CY72">
            <v>0</v>
          </cell>
          <cell r="CZ72">
            <v>0</v>
          </cell>
          <cell r="DA72">
            <v>0</v>
          </cell>
          <cell r="DB72"/>
          <cell r="DC72">
            <v>1250</v>
          </cell>
          <cell r="DD72">
            <v>0</v>
          </cell>
          <cell r="DE72">
            <v>0</v>
          </cell>
          <cell r="DF72">
            <v>0</v>
          </cell>
          <cell r="DG72">
            <v>0</v>
          </cell>
          <cell r="DH72">
            <v>0</v>
          </cell>
          <cell r="DI72">
            <v>0</v>
          </cell>
          <cell r="DJ72">
            <v>0</v>
          </cell>
          <cell r="DK72">
            <v>0</v>
          </cell>
          <cell r="DL72">
            <v>0</v>
          </cell>
          <cell r="DM72"/>
          <cell r="DN72"/>
          <cell r="DO72"/>
          <cell r="DP72"/>
        </row>
        <row r="73">
          <cell r="A73">
            <v>177</v>
          </cell>
          <cell r="B73" t="str">
            <v>Raalte</v>
          </cell>
          <cell r="C73">
            <v>4</v>
          </cell>
          <cell r="D73">
            <v>1622</v>
          </cell>
          <cell r="E73">
            <v>811</v>
          </cell>
          <cell r="F73">
            <v>0</v>
          </cell>
          <cell r="G73">
            <v>0</v>
          </cell>
          <cell r="H73">
            <v>-11968</v>
          </cell>
          <cell r="I73">
            <v>-2625</v>
          </cell>
          <cell r="J73"/>
          <cell r="K73">
            <v>0</v>
          </cell>
          <cell r="L73">
            <v>114900</v>
          </cell>
          <cell r="M73">
            <v>121417</v>
          </cell>
          <cell r="N73">
            <v>0</v>
          </cell>
          <cell r="O73">
            <v>0</v>
          </cell>
          <cell r="P73">
            <v>0</v>
          </cell>
          <cell r="Q73">
            <v>0</v>
          </cell>
          <cell r="R73">
            <v>0</v>
          </cell>
          <cell r="S73">
            <v>0</v>
          </cell>
          <cell r="T73">
            <v>0</v>
          </cell>
          <cell r="U73">
            <v>0</v>
          </cell>
          <cell r="V73">
            <v>0</v>
          </cell>
          <cell r="W73">
            <v>160556</v>
          </cell>
          <cell r="X73">
            <v>0</v>
          </cell>
          <cell r="Y73"/>
          <cell r="Z73">
            <v>0</v>
          </cell>
          <cell r="AA73">
            <v>0</v>
          </cell>
          <cell r="AB73">
            <v>0</v>
          </cell>
          <cell r="AC73"/>
          <cell r="AD73">
            <v>28356</v>
          </cell>
          <cell r="AE73">
            <v>0</v>
          </cell>
          <cell r="AF73">
            <v>0</v>
          </cell>
          <cell r="AG73">
            <v>0</v>
          </cell>
          <cell r="AH73">
            <v>0</v>
          </cell>
          <cell r="AI73">
            <v>0</v>
          </cell>
          <cell r="AJ73">
            <v>0</v>
          </cell>
          <cell r="AK73">
            <v>0</v>
          </cell>
          <cell r="AL73"/>
          <cell r="AM73">
            <v>0</v>
          </cell>
          <cell r="AN73">
            <v>0</v>
          </cell>
          <cell r="AO73">
            <v>0</v>
          </cell>
          <cell r="AP73">
            <v>0</v>
          </cell>
          <cell r="AQ73">
            <v>0</v>
          </cell>
          <cell r="AR73">
            <v>0</v>
          </cell>
          <cell r="AS73">
            <v>0</v>
          </cell>
          <cell r="AT73">
            <v>0</v>
          </cell>
          <cell r="AU73">
            <v>0</v>
          </cell>
          <cell r="AV73">
            <v>0</v>
          </cell>
          <cell r="AW73">
            <v>0</v>
          </cell>
          <cell r="AX73">
            <v>0</v>
          </cell>
          <cell r="AY73"/>
          <cell r="AZ73"/>
          <cell r="BA73">
            <v>0</v>
          </cell>
          <cell r="BB73"/>
          <cell r="BC73">
            <v>0</v>
          </cell>
          <cell r="BD73">
            <v>12956</v>
          </cell>
          <cell r="BE73"/>
          <cell r="BF73">
            <v>0</v>
          </cell>
          <cell r="BG73">
            <v>0</v>
          </cell>
          <cell r="BH73">
            <v>0</v>
          </cell>
          <cell r="BI73">
            <v>46863</v>
          </cell>
          <cell r="BJ73">
            <v>38575</v>
          </cell>
          <cell r="BK73">
            <v>38575</v>
          </cell>
          <cell r="BL73">
            <v>0</v>
          </cell>
          <cell r="BM73">
            <v>0</v>
          </cell>
          <cell r="BN73">
            <v>0</v>
          </cell>
          <cell r="BO73">
            <v>125985</v>
          </cell>
          <cell r="BP73">
            <v>45860.6</v>
          </cell>
          <cell r="BQ73">
            <v>82616.279069767406</v>
          </cell>
          <cell r="BR73">
            <v>0</v>
          </cell>
          <cell r="BS73">
            <v>0</v>
          </cell>
          <cell r="BT73">
            <v>62132</v>
          </cell>
          <cell r="BU73"/>
          <cell r="BV73"/>
          <cell r="BW73"/>
          <cell r="BX73"/>
          <cell r="BY73">
            <v>0</v>
          </cell>
          <cell r="BZ73">
            <v>0</v>
          </cell>
          <cell r="CA73">
            <v>0</v>
          </cell>
          <cell r="CB73">
            <v>0</v>
          </cell>
          <cell r="CC73">
            <v>2856296</v>
          </cell>
          <cell r="CD73">
            <v>16484365</v>
          </cell>
          <cell r="CE73">
            <v>692099</v>
          </cell>
          <cell r="CF73">
            <v>-6332</v>
          </cell>
          <cell r="CG73">
            <v>692099</v>
          </cell>
          <cell r="CH73">
            <v>692099</v>
          </cell>
          <cell r="CI73">
            <v>692099</v>
          </cell>
          <cell r="CJ73">
            <v>692099</v>
          </cell>
          <cell r="CK73">
            <v>0</v>
          </cell>
          <cell r="CL73">
            <v>0</v>
          </cell>
          <cell r="CM73">
            <v>0</v>
          </cell>
          <cell r="CN73">
            <v>0</v>
          </cell>
          <cell r="CO73">
            <v>0</v>
          </cell>
          <cell r="CP73">
            <v>0</v>
          </cell>
          <cell r="CQ73">
            <v>4384860</v>
          </cell>
          <cell r="CR73">
            <v>4120696</v>
          </cell>
          <cell r="CS73">
            <v>4011358</v>
          </cell>
          <cell r="CT73">
            <v>3843150</v>
          </cell>
          <cell r="CU73">
            <v>3641700</v>
          </cell>
          <cell r="CV73">
            <v>46504</v>
          </cell>
          <cell r="CW73">
            <v>0</v>
          </cell>
          <cell r="CX73">
            <v>0</v>
          </cell>
          <cell r="CY73">
            <v>0</v>
          </cell>
          <cell r="CZ73">
            <v>0</v>
          </cell>
          <cell r="DA73">
            <v>0</v>
          </cell>
          <cell r="DB73"/>
          <cell r="DC73">
            <v>0</v>
          </cell>
          <cell r="DD73">
            <v>0</v>
          </cell>
          <cell r="DE73">
            <v>0</v>
          </cell>
          <cell r="DF73">
            <v>0</v>
          </cell>
          <cell r="DG73">
            <v>0</v>
          </cell>
          <cell r="DH73">
            <v>0</v>
          </cell>
          <cell r="DI73">
            <v>0</v>
          </cell>
          <cell r="DJ73">
            <v>0</v>
          </cell>
          <cell r="DK73">
            <v>0</v>
          </cell>
          <cell r="DL73">
            <v>0</v>
          </cell>
          <cell r="DM73"/>
          <cell r="DN73"/>
          <cell r="DO73"/>
          <cell r="DP73"/>
        </row>
        <row r="74">
          <cell r="A74">
            <v>1742</v>
          </cell>
          <cell r="B74" t="str">
            <v>Rijssen-Holten</v>
          </cell>
          <cell r="C74">
            <v>4</v>
          </cell>
          <cell r="D74">
            <v>-10186</v>
          </cell>
          <cell r="E74">
            <v>-5093</v>
          </cell>
          <cell r="F74">
            <v>0</v>
          </cell>
          <cell r="G74">
            <v>0</v>
          </cell>
          <cell r="H74">
            <v>-11579</v>
          </cell>
          <cell r="I74">
            <v>0</v>
          </cell>
          <cell r="J74"/>
          <cell r="K74">
            <v>0</v>
          </cell>
          <cell r="L74">
            <v>112214</v>
          </cell>
          <cell r="M74">
            <v>109656</v>
          </cell>
          <cell r="N74">
            <v>0</v>
          </cell>
          <cell r="O74">
            <v>0</v>
          </cell>
          <cell r="P74">
            <v>0</v>
          </cell>
          <cell r="Q74">
            <v>0</v>
          </cell>
          <cell r="R74">
            <v>0</v>
          </cell>
          <cell r="S74">
            <v>0</v>
          </cell>
          <cell r="T74">
            <v>0</v>
          </cell>
          <cell r="U74">
            <v>0</v>
          </cell>
          <cell r="V74">
            <v>6000</v>
          </cell>
          <cell r="W74">
            <v>157184</v>
          </cell>
          <cell r="X74">
            <v>0</v>
          </cell>
          <cell r="Y74"/>
          <cell r="Z74">
            <v>0</v>
          </cell>
          <cell r="AA74">
            <v>0</v>
          </cell>
          <cell r="AB74">
            <v>0</v>
          </cell>
          <cell r="AC74"/>
          <cell r="AD74">
            <v>0</v>
          </cell>
          <cell r="AE74">
            <v>0</v>
          </cell>
          <cell r="AF74">
            <v>0</v>
          </cell>
          <cell r="AG74">
            <v>0</v>
          </cell>
          <cell r="AH74">
            <v>0</v>
          </cell>
          <cell r="AI74">
            <v>0</v>
          </cell>
          <cell r="AJ74">
            <v>0</v>
          </cell>
          <cell r="AK74">
            <v>0</v>
          </cell>
          <cell r="AL74"/>
          <cell r="AM74">
            <v>0</v>
          </cell>
          <cell r="AN74">
            <v>0</v>
          </cell>
          <cell r="AO74">
            <v>0</v>
          </cell>
          <cell r="AP74">
            <v>0</v>
          </cell>
          <cell r="AQ74">
            <v>0</v>
          </cell>
          <cell r="AR74">
            <v>0</v>
          </cell>
          <cell r="AS74">
            <v>0</v>
          </cell>
          <cell r="AT74">
            <v>0</v>
          </cell>
          <cell r="AU74">
            <v>0</v>
          </cell>
          <cell r="AV74">
            <v>0</v>
          </cell>
          <cell r="AW74">
            <v>0</v>
          </cell>
          <cell r="AX74">
            <v>0</v>
          </cell>
          <cell r="AY74"/>
          <cell r="AZ74"/>
          <cell r="BA74">
            <v>0</v>
          </cell>
          <cell r="BB74"/>
          <cell r="BC74">
            <v>0</v>
          </cell>
          <cell r="BD74">
            <v>13333</v>
          </cell>
          <cell r="BE74"/>
          <cell r="BF74">
            <v>0</v>
          </cell>
          <cell r="BG74">
            <v>0</v>
          </cell>
          <cell r="BH74">
            <v>0</v>
          </cell>
          <cell r="BI74">
            <v>38098</v>
          </cell>
          <cell r="BJ74">
            <v>31360</v>
          </cell>
          <cell r="BK74">
            <v>31360</v>
          </cell>
          <cell r="BL74">
            <v>0</v>
          </cell>
          <cell r="BM74">
            <v>0</v>
          </cell>
          <cell r="BN74">
            <v>0</v>
          </cell>
          <cell r="BO74">
            <v>50102</v>
          </cell>
          <cell r="BP74">
            <v>12651.2</v>
          </cell>
          <cell r="BQ74">
            <v>22790.697674418599</v>
          </cell>
          <cell r="BR74">
            <v>0</v>
          </cell>
          <cell r="BS74">
            <v>0</v>
          </cell>
          <cell r="BT74">
            <v>66417</v>
          </cell>
          <cell r="BU74"/>
          <cell r="BV74"/>
          <cell r="BW74"/>
          <cell r="BX74"/>
          <cell r="BY74">
            <v>0</v>
          </cell>
          <cell r="BZ74">
            <v>0</v>
          </cell>
          <cell r="CA74">
            <v>0</v>
          </cell>
          <cell r="CB74">
            <v>0</v>
          </cell>
          <cell r="CC74">
            <v>2680906</v>
          </cell>
          <cell r="CD74">
            <v>16611426</v>
          </cell>
          <cell r="CE74">
            <v>1377636</v>
          </cell>
          <cell r="CF74">
            <v>0</v>
          </cell>
          <cell r="CG74">
            <v>1377636</v>
          </cell>
          <cell r="CH74">
            <v>1377636</v>
          </cell>
          <cell r="CI74">
            <v>1377636</v>
          </cell>
          <cell r="CJ74">
            <v>1377636</v>
          </cell>
          <cell r="CK74">
            <v>0</v>
          </cell>
          <cell r="CL74">
            <v>0</v>
          </cell>
          <cell r="CM74">
            <v>0</v>
          </cell>
          <cell r="CN74">
            <v>0</v>
          </cell>
          <cell r="CO74">
            <v>0</v>
          </cell>
          <cell r="CP74">
            <v>0</v>
          </cell>
          <cell r="CQ74">
            <v>3459631</v>
          </cell>
          <cell r="CR74">
            <v>3200772</v>
          </cell>
          <cell r="CS74">
            <v>3063237</v>
          </cell>
          <cell r="CT74">
            <v>2949252</v>
          </cell>
          <cell r="CU74">
            <v>2775997</v>
          </cell>
          <cell r="CV74">
            <v>-139173</v>
          </cell>
          <cell r="CW74">
            <v>0</v>
          </cell>
          <cell r="CX74">
            <v>0</v>
          </cell>
          <cell r="CY74">
            <v>0</v>
          </cell>
          <cell r="CZ74">
            <v>0</v>
          </cell>
          <cell r="DA74">
            <v>0</v>
          </cell>
          <cell r="DB74"/>
          <cell r="DC74">
            <v>0</v>
          </cell>
          <cell r="DD74">
            <v>0</v>
          </cell>
          <cell r="DE74">
            <v>0</v>
          </cell>
          <cell r="DF74">
            <v>0</v>
          </cell>
          <cell r="DG74">
            <v>0</v>
          </cell>
          <cell r="DH74">
            <v>0</v>
          </cell>
          <cell r="DI74">
            <v>0</v>
          </cell>
          <cell r="DJ74">
            <v>0</v>
          </cell>
          <cell r="DK74">
            <v>0</v>
          </cell>
          <cell r="DL74">
            <v>0</v>
          </cell>
          <cell r="DM74"/>
          <cell r="DN74"/>
          <cell r="DO74"/>
          <cell r="DP74"/>
        </row>
        <row r="75">
          <cell r="A75">
            <v>180</v>
          </cell>
          <cell r="B75" t="str">
            <v>Staphorst</v>
          </cell>
          <cell r="C75">
            <v>4</v>
          </cell>
          <cell r="D75">
            <v>-33234</v>
          </cell>
          <cell r="E75">
            <v>-16617</v>
          </cell>
          <cell r="F75">
            <v>0</v>
          </cell>
          <cell r="G75">
            <v>0</v>
          </cell>
          <cell r="H75">
            <v>0</v>
          </cell>
          <cell r="I75">
            <v>0</v>
          </cell>
          <cell r="J75"/>
          <cell r="K75">
            <v>0</v>
          </cell>
          <cell r="L75">
            <v>61718</v>
          </cell>
          <cell r="M75">
            <v>48115</v>
          </cell>
          <cell r="N75">
            <v>0</v>
          </cell>
          <cell r="O75">
            <v>0</v>
          </cell>
          <cell r="P75">
            <v>0</v>
          </cell>
          <cell r="Q75">
            <v>0</v>
          </cell>
          <cell r="R75">
            <v>0</v>
          </cell>
          <cell r="S75">
            <v>0</v>
          </cell>
          <cell r="T75">
            <v>0</v>
          </cell>
          <cell r="U75">
            <v>0</v>
          </cell>
          <cell r="V75">
            <v>0</v>
          </cell>
          <cell r="W75">
            <v>66066</v>
          </cell>
          <cell r="X75">
            <v>0</v>
          </cell>
          <cell r="Y75"/>
          <cell r="Z75">
            <v>0</v>
          </cell>
          <cell r="AA75">
            <v>0</v>
          </cell>
          <cell r="AB75">
            <v>0</v>
          </cell>
          <cell r="AC75"/>
          <cell r="AD75">
            <v>0</v>
          </cell>
          <cell r="AE75">
            <v>0</v>
          </cell>
          <cell r="AF75">
            <v>0</v>
          </cell>
          <cell r="AG75">
            <v>0</v>
          </cell>
          <cell r="AH75">
            <v>0</v>
          </cell>
          <cell r="AI75">
            <v>0</v>
          </cell>
          <cell r="AJ75">
            <v>0</v>
          </cell>
          <cell r="AK75">
            <v>0</v>
          </cell>
          <cell r="AL75"/>
          <cell r="AM75">
            <v>0</v>
          </cell>
          <cell r="AN75">
            <v>0</v>
          </cell>
          <cell r="AO75">
            <v>0</v>
          </cell>
          <cell r="AP75">
            <v>0</v>
          </cell>
          <cell r="AQ75">
            <v>0</v>
          </cell>
          <cell r="AR75">
            <v>0</v>
          </cell>
          <cell r="AS75">
            <v>0</v>
          </cell>
          <cell r="AT75">
            <v>0</v>
          </cell>
          <cell r="AU75">
            <v>2370</v>
          </cell>
          <cell r="AV75">
            <v>0</v>
          </cell>
          <cell r="AW75">
            <v>0</v>
          </cell>
          <cell r="AX75">
            <v>0</v>
          </cell>
          <cell r="AY75"/>
          <cell r="AZ75"/>
          <cell r="BA75">
            <v>0</v>
          </cell>
          <cell r="BB75"/>
          <cell r="BC75">
            <v>0</v>
          </cell>
          <cell r="BD75">
            <v>5859</v>
          </cell>
          <cell r="BE75"/>
          <cell r="BF75">
            <v>0</v>
          </cell>
          <cell r="BG75">
            <v>0</v>
          </cell>
          <cell r="BH75">
            <v>0</v>
          </cell>
          <cell r="BI75">
            <v>12370</v>
          </cell>
          <cell r="BJ75">
            <v>10183</v>
          </cell>
          <cell r="BK75">
            <v>10183</v>
          </cell>
          <cell r="BL75">
            <v>0</v>
          </cell>
          <cell r="BM75">
            <v>0</v>
          </cell>
          <cell r="BN75">
            <v>0</v>
          </cell>
          <cell r="BO75">
            <v>90962</v>
          </cell>
          <cell r="BP75">
            <v>6325.6</v>
          </cell>
          <cell r="BQ75">
            <v>11395.3488372093</v>
          </cell>
          <cell r="BR75">
            <v>0</v>
          </cell>
          <cell r="BS75">
            <v>0</v>
          </cell>
          <cell r="BT75">
            <v>33686</v>
          </cell>
          <cell r="BU75"/>
          <cell r="BV75"/>
          <cell r="BW75"/>
          <cell r="BX75"/>
          <cell r="BY75">
            <v>0</v>
          </cell>
          <cell r="BZ75">
            <v>0</v>
          </cell>
          <cell r="CA75">
            <v>0</v>
          </cell>
          <cell r="CB75">
            <v>0</v>
          </cell>
          <cell r="CC75">
            <v>839165</v>
          </cell>
          <cell r="CD75">
            <v>5807423</v>
          </cell>
          <cell r="CE75">
            <v>296988</v>
          </cell>
          <cell r="CF75">
            <v>-2838</v>
          </cell>
          <cell r="CG75">
            <v>296988</v>
          </cell>
          <cell r="CH75">
            <v>296988</v>
          </cell>
          <cell r="CI75">
            <v>296988</v>
          </cell>
          <cell r="CJ75">
            <v>296988</v>
          </cell>
          <cell r="CK75">
            <v>0</v>
          </cell>
          <cell r="CL75">
            <v>0</v>
          </cell>
          <cell r="CM75">
            <v>0</v>
          </cell>
          <cell r="CN75">
            <v>0</v>
          </cell>
          <cell r="CO75">
            <v>0</v>
          </cell>
          <cell r="CP75">
            <v>32734</v>
          </cell>
          <cell r="CQ75">
            <v>1202885</v>
          </cell>
          <cell r="CR75">
            <v>1158568</v>
          </cell>
          <cell r="CS75">
            <v>1135538</v>
          </cell>
          <cell r="CT75">
            <v>1129208</v>
          </cell>
          <cell r="CU75">
            <v>1129662</v>
          </cell>
          <cell r="CV75">
            <v>-55546</v>
          </cell>
          <cell r="CW75">
            <v>0</v>
          </cell>
          <cell r="CX75">
            <v>0</v>
          </cell>
          <cell r="CY75">
            <v>0</v>
          </cell>
          <cell r="CZ75">
            <v>0</v>
          </cell>
          <cell r="DA75">
            <v>0</v>
          </cell>
          <cell r="DB75"/>
          <cell r="DC75">
            <v>0</v>
          </cell>
          <cell r="DD75">
            <v>0</v>
          </cell>
          <cell r="DE75">
            <v>0</v>
          </cell>
          <cell r="DF75">
            <v>0</v>
          </cell>
          <cell r="DG75">
            <v>0</v>
          </cell>
          <cell r="DH75">
            <v>0</v>
          </cell>
          <cell r="DI75">
            <v>0</v>
          </cell>
          <cell r="DJ75">
            <v>0</v>
          </cell>
          <cell r="DK75">
            <v>0</v>
          </cell>
          <cell r="DL75">
            <v>0</v>
          </cell>
          <cell r="DM75"/>
          <cell r="DN75"/>
          <cell r="DO75"/>
          <cell r="DP75"/>
        </row>
        <row r="76">
          <cell r="A76">
            <v>1708</v>
          </cell>
          <cell r="B76" t="str">
            <v>Steenwijkerland</v>
          </cell>
          <cell r="C76">
            <v>4</v>
          </cell>
          <cell r="D76">
            <v>23498</v>
          </cell>
          <cell r="E76">
            <v>11749</v>
          </cell>
          <cell r="F76">
            <v>0</v>
          </cell>
          <cell r="G76">
            <v>41361</v>
          </cell>
          <cell r="H76">
            <v>0</v>
          </cell>
          <cell r="I76">
            <v>-7232</v>
          </cell>
          <cell r="J76"/>
          <cell r="K76">
            <v>0</v>
          </cell>
          <cell r="L76">
            <v>199598</v>
          </cell>
          <cell r="M76">
            <v>199029</v>
          </cell>
          <cell r="N76">
            <v>0</v>
          </cell>
          <cell r="O76">
            <v>0</v>
          </cell>
          <cell r="P76">
            <v>0</v>
          </cell>
          <cell r="Q76">
            <v>0</v>
          </cell>
          <cell r="R76">
            <v>0</v>
          </cell>
          <cell r="S76">
            <v>0</v>
          </cell>
          <cell r="T76">
            <v>0</v>
          </cell>
          <cell r="U76">
            <v>0</v>
          </cell>
          <cell r="V76">
            <v>3000</v>
          </cell>
          <cell r="W76">
            <v>79602</v>
          </cell>
          <cell r="X76">
            <v>0</v>
          </cell>
          <cell r="Y76"/>
          <cell r="Z76">
            <v>0</v>
          </cell>
          <cell r="AA76">
            <v>0</v>
          </cell>
          <cell r="AB76">
            <v>0</v>
          </cell>
          <cell r="AC76"/>
          <cell r="AD76">
            <v>63557</v>
          </cell>
          <cell r="AE76">
            <v>0</v>
          </cell>
          <cell r="AF76">
            <v>0</v>
          </cell>
          <cell r="AG76">
            <v>0</v>
          </cell>
          <cell r="AH76">
            <v>0</v>
          </cell>
          <cell r="AI76">
            <v>0</v>
          </cell>
          <cell r="AJ76">
            <v>0</v>
          </cell>
          <cell r="AK76">
            <v>0</v>
          </cell>
          <cell r="AL76"/>
          <cell r="AM76">
            <v>0</v>
          </cell>
          <cell r="AN76">
            <v>0</v>
          </cell>
          <cell r="AO76">
            <v>0</v>
          </cell>
          <cell r="AP76">
            <v>0</v>
          </cell>
          <cell r="AQ76">
            <v>0</v>
          </cell>
          <cell r="AR76">
            <v>0</v>
          </cell>
          <cell r="AS76">
            <v>0</v>
          </cell>
          <cell r="AT76">
            <v>0</v>
          </cell>
          <cell r="AU76">
            <v>4740</v>
          </cell>
          <cell r="AV76">
            <v>0</v>
          </cell>
          <cell r="AW76">
            <v>0</v>
          </cell>
          <cell r="AX76">
            <v>0</v>
          </cell>
          <cell r="AY76"/>
          <cell r="AZ76"/>
          <cell r="BA76">
            <v>0</v>
          </cell>
          <cell r="BB76"/>
          <cell r="BC76">
            <v>0</v>
          </cell>
          <cell r="BD76">
            <v>15252</v>
          </cell>
          <cell r="BE76"/>
          <cell r="BF76">
            <v>0</v>
          </cell>
          <cell r="BG76">
            <v>0</v>
          </cell>
          <cell r="BH76">
            <v>0</v>
          </cell>
          <cell r="BI76">
            <v>70475</v>
          </cell>
          <cell r="BJ76">
            <v>58011</v>
          </cell>
          <cell r="BK76">
            <v>58011</v>
          </cell>
          <cell r="BL76">
            <v>0</v>
          </cell>
          <cell r="BM76">
            <v>0</v>
          </cell>
          <cell r="BN76">
            <v>0</v>
          </cell>
          <cell r="BO76">
            <v>157603</v>
          </cell>
          <cell r="BP76">
            <v>4744.2</v>
          </cell>
          <cell r="BQ76">
            <v>8546.5116279069807</v>
          </cell>
          <cell r="BR76">
            <v>0</v>
          </cell>
          <cell r="BS76">
            <v>0</v>
          </cell>
          <cell r="BT76">
            <v>98045</v>
          </cell>
          <cell r="BU76"/>
          <cell r="BV76"/>
          <cell r="BW76"/>
          <cell r="BX76"/>
          <cell r="BY76">
            <v>0</v>
          </cell>
          <cell r="BZ76">
            <v>0</v>
          </cell>
          <cell r="CA76">
            <v>0</v>
          </cell>
          <cell r="CB76">
            <v>0</v>
          </cell>
          <cell r="CC76">
            <v>3834069</v>
          </cell>
          <cell r="CD76">
            <v>24899994</v>
          </cell>
          <cell r="CE76">
            <v>1717096</v>
          </cell>
          <cell r="CF76">
            <v>-17539</v>
          </cell>
          <cell r="CG76">
            <v>1717096</v>
          </cell>
          <cell r="CH76">
            <v>1717096</v>
          </cell>
          <cell r="CI76">
            <v>1717096</v>
          </cell>
          <cell r="CJ76">
            <v>1717096</v>
          </cell>
          <cell r="CK76">
            <v>0</v>
          </cell>
          <cell r="CL76">
            <v>0</v>
          </cell>
          <cell r="CM76">
            <v>0</v>
          </cell>
          <cell r="CN76">
            <v>0</v>
          </cell>
          <cell r="CO76">
            <v>0</v>
          </cell>
          <cell r="CP76">
            <v>0</v>
          </cell>
          <cell r="CQ76">
            <v>7006168</v>
          </cell>
          <cell r="CR76">
            <v>6613193</v>
          </cell>
          <cell r="CS76">
            <v>6445561</v>
          </cell>
          <cell r="CT76">
            <v>6210642</v>
          </cell>
          <cell r="CU76">
            <v>6018882</v>
          </cell>
          <cell r="CV76">
            <v>-48174</v>
          </cell>
          <cell r="CW76">
            <v>0</v>
          </cell>
          <cell r="CX76">
            <v>0</v>
          </cell>
          <cell r="CY76">
            <v>0</v>
          </cell>
          <cell r="CZ76">
            <v>0</v>
          </cell>
          <cell r="DA76">
            <v>0</v>
          </cell>
          <cell r="DB76"/>
          <cell r="DC76">
            <v>0</v>
          </cell>
          <cell r="DD76">
            <v>0</v>
          </cell>
          <cell r="DE76">
            <v>0</v>
          </cell>
          <cell r="DF76">
            <v>0</v>
          </cell>
          <cell r="DG76">
            <v>0</v>
          </cell>
          <cell r="DH76">
            <v>0</v>
          </cell>
          <cell r="DI76">
            <v>0</v>
          </cell>
          <cell r="DJ76">
            <v>0</v>
          </cell>
          <cell r="DK76">
            <v>0</v>
          </cell>
          <cell r="DL76">
            <v>0</v>
          </cell>
          <cell r="DM76"/>
          <cell r="DN76"/>
          <cell r="DO76"/>
          <cell r="DP76"/>
        </row>
        <row r="77">
          <cell r="A77">
            <v>183</v>
          </cell>
          <cell r="B77" t="str">
            <v>Tubbergen</v>
          </cell>
          <cell r="C77">
            <v>4</v>
          </cell>
          <cell r="D77">
            <v>15041</v>
          </cell>
          <cell r="E77">
            <v>7521</v>
          </cell>
          <cell r="F77">
            <v>0</v>
          </cell>
          <cell r="G77">
            <v>0</v>
          </cell>
          <cell r="H77">
            <v>-17953</v>
          </cell>
          <cell r="I77">
            <v>-42959</v>
          </cell>
          <cell r="J77"/>
          <cell r="K77">
            <v>0</v>
          </cell>
          <cell r="L77">
            <v>52645</v>
          </cell>
          <cell r="M77">
            <v>46662</v>
          </cell>
          <cell r="N77">
            <v>0</v>
          </cell>
          <cell r="O77">
            <v>0</v>
          </cell>
          <cell r="P77">
            <v>0</v>
          </cell>
          <cell r="Q77">
            <v>0</v>
          </cell>
          <cell r="R77">
            <v>0</v>
          </cell>
          <cell r="S77">
            <v>0</v>
          </cell>
          <cell r="T77">
            <v>0</v>
          </cell>
          <cell r="U77">
            <v>0</v>
          </cell>
          <cell r="V77">
            <v>9000</v>
          </cell>
          <cell r="W77">
            <v>101854</v>
          </cell>
          <cell r="X77">
            <v>0</v>
          </cell>
          <cell r="Y77"/>
          <cell r="Z77">
            <v>0</v>
          </cell>
          <cell r="AA77">
            <v>0</v>
          </cell>
          <cell r="AB77">
            <v>0</v>
          </cell>
          <cell r="AC77"/>
          <cell r="AD77">
            <v>0</v>
          </cell>
          <cell r="AE77">
            <v>0</v>
          </cell>
          <cell r="AF77">
            <v>0</v>
          </cell>
          <cell r="AG77">
            <v>0</v>
          </cell>
          <cell r="AH77">
            <v>0</v>
          </cell>
          <cell r="AI77">
            <v>0</v>
          </cell>
          <cell r="AJ77">
            <v>0</v>
          </cell>
          <cell r="AK77">
            <v>0</v>
          </cell>
          <cell r="AL77"/>
          <cell r="AM77">
            <v>0</v>
          </cell>
          <cell r="AN77">
            <v>0</v>
          </cell>
          <cell r="AO77">
            <v>0</v>
          </cell>
          <cell r="AP77">
            <v>0</v>
          </cell>
          <cell r="AQ77">
            <v>0</v>
          </cell>
          <cell r="AR77">
            <v>0</v>
          </cell>
          <cell r="AS77">
            <v>0</v>
          </cell>
          <cell r="AT77">
            <v>0</v>
          </cell>
          <cell r="AU77">
            <v>0</v>
          </cell>
          <cell r="AV77">
            <v>0</v>
          </cell>
          <cell r="AW77">
            <v>0</v>
          </cell>
          <cell r="AX77">
            <v>0</v>
          </cell>
          <cell r="AY77"/>
          <cell r="AZ77"/>
          <cell r="BA77">
            <v>0</v>
          </cell>
          <cell r="BB77"/>
          <cell r="BC77">
            <v>0</v>
          </cell>
          <cell r="BD77">
            <v>7425</v>
          </cell>
          <cell r="BE77"/>
          <cell r="BF77">
            <v>0</v>
          </cell>
          <cell r="BG77">
            <v>0</v>
          </cell>
          <cell r="BH77">
            <v>0</v>
          </cell>
          <cell r="BI77">
            <v>20055</v>
          </cell>
          <cell r="BJ77">
            <v>16508</v>
          </cell>
          <cell r="BK77">
            <v>16508</v>
          </cell>
          <cell r="BL77">
            <v>0</v>
          </cell>
          <cell r="BM77">
            <v>0</v>
          </cell>
          <cell r="BN77">
            <v>0</v>
          </cell>
          <cell r="BO77">
            <v>58371</v>
          </cell>
          <cell r="BP77">
            <v>7907</v>
          </cell>
          <cell r="BQ77">
            <v>14244.186046511601</v>
          </cell>
          <cell r="BR77">
            <v>0</v>
          </cell>
          <cell r="BS77">
            <v>0</v>
          </cell>
          <cell r="BT77">
            <v>40479</v>
          </cell>
          <cell r="BU77"/>
          <cell r="BV77"/>
          <cell r="BW77"/>
          <cell r="BX77"/>
          <cell r="BY77">
            <v>0</v>
          </cell>
          <cell r="BZ77">
            <v>0</v>
          </cell>
          <cell r="CA77">
            <v>0</v>
          </cell>
          <cell r="CB77">
            <v>0</v>
          </cell>
          <cell r="CC77">
            <v>1408795</v>
          </cell>
          <cell r="CD77">
            <v>8008094</v>
          </cell>
          <cell r="CE77">
            <v>481577</v>
          </cell>
          <cell r="CF77">
            <v>-104185</v>
          </cell>
          <cell r="CG77">
            <v>481577</v>
          </cell>
          <cell r="CH77">
            <v>481577</v>
          </cell>
          <cell r="CI77">
            <v>481577</v>
          </cell>
          <cell r="CJ77">
            <v>481577</v>
          </cell>
          <cell r="CK77">
            <v>0</v>
          </cell>
          <cell r="CL77">
            <v>0</v>
          </cell>
          <cell r="CM77">
            <v>0</v>
          </cell>
          <cell r="CN77">
            <v>0</v>
          </cell>
          <cell r="CO77">
            <v>0</v>
          </cell>
          <cell r="CP77">
            <v>0</v>
          </cell>
          <cell r="CQ77">
            <v>2084466</v>
          </cell>
          <cell r="CR77">
            <v>1966282</v>
          </cell>
          <cell r="CS77">
            <v>1888959</v>
          </cell>
          <cell r="CT77">
            <v>1813953</v>
          </cell>
          <cell r="CU77">
            <v>1767244</v>
          </cell>
          <cell r="CV77">
            <v>7526</v>
          </cell>
          <cell r="CW77">
            <v>0</v>
          </cell>
          <cell r="CX77">
            <v>0</v>
          </cell>
          <cell r="CY77">
            <v>0</v>
          </cell>
          <cell r="CZ77">
            <v>0</v>
          </cell>
          <cell r="DA77">
            <v>0</v>
          </cell>
          <cell r="DB77"/>
          <cell r="DC77">
            <v>0</v>
          </cell>
          <cell r="DD77">
            <v>0</v>
          </cell>
          <cell r="DE77">
            <v>0</v>
          </cell>
          <cell r="DF77">
            <v>0</v>
          </cell>
          <cell r="DG77">
            <v>0</v>
          </cell>
          <cell r="DH77">
            <v>0</v>
          </cell>
          <cell r="DI77">
            <v>0</v>
          </cell>
          <cell r="DJ77">
            <v>0</v>
          </cell>
          <cell r="DK77">
            <v>0</v>
          </cell>
          <cell r="DL77">
            <v>0</v>
          </cell>
          <cell r="DM77"/>
          <cell r="DN77"/>
          <cell r="DO77"/>
          <cell r="DP77"/>
        </row>
        <row r="78">
          <cell r="A78">
            <v>1700</v>
          </cell>
          <cell r="B78" t="str">
            <v>Twenterand</v>
          </cell>
          <cell r="C78">
            <v>4</v>
          </cell>
          <cell r="D78">
            <v>17114</v>
          </cell>
          <cell r="E78">
            <v>8557</v>
          </cell>
          <cell r="F78">
            <v>0</v>
          </cell>
          <cell r="G78">
            <v>0</v>
          </cell>
          <cell r="H78">
            <v>0</v>
          </cell>
          <cell r="I78">
            <v>0</v>
          </cell>
          <cell r="J78"/>
          <cell r="K78">
            <v>0</v>
          </cell>
          <cell r="L78">
            <v>145878</v>
          </cell>
          <cell r="M78">
            <v>148558</v>
          </cell>
          <cell r="N78">
            <v>0</v>
          </cell>
          <cell r="O78">
            <v>0</v>
          </cell>
          <cell r="P78">
            <v>0</v>
          </cell>
          <cell r="Q78">
            <v>0</v>
          </cell>
          <cell r="R78">
            <v>0</v>
          </cell>
          <cell r="S78">
            <v>0</v>
          </cell>
          <cell r="T78">
            <v>0</v>
          </cell>
          <cell r="U78">
            <v>0</v>
          </cell>
          <cell r="V78">
            <v>9000</v>
          </cell>
          <cell r="W78">
            <v>88896</v>
          </cell>
          <cell r="X78">
            <v>0</v>
          </cell>
          <cell r="Y78"/>
          <cell r="Z78">
            <v>0</v>
          </cell>
          <cell r="AA78">
            <v>0</v>
          </cell>
          <cell r="AB78">
            <v>0</v>
          </cell>
          <cell r="AC78"/>
          <cell r="AD78">
            <v>22489</v>
          </cell>
          <cell r="AE78">
            <v>0</v>
          </cell>
          <cell r="AF78">
            <v>0</v>
          </cell>
          <cell r="AG78">
            <v>0</v>
          </cell>
          <cell r="AH78">
            <v>0</v>
          </cell>
          <cell r="AI78">
            <v>0</v>
          </cell>
          <cell r="AJ78">
            <v>0</v>
          </cell>
          <cell r="AK78">
            <v>0</v>
          </cell>
          <cell r="AL78"/>
          <cell r="AM78">
            <v>0</v>
          </cell>
          <cell r="AN78">
            <v>0</v>
          </cell>
          <cell r="AO78">
            <v>0</v>
          </cell>
          <cell r="AP78">
            <v>0</v>
          </cell>
          <cell r="AQ78">
            <v>0</v>
          </cell>
          <cell r="AR78">
            <v>0</v>
          </cell>
          <cell r="AS78">
            <v>0</v>
          </cell>
          <cell r="AT78">
            <v>0</v>
          </cell>
          <cell r="AU78">
            <v>7110</v>
          </cell>
          <cell r="AV78">
            <v>0</v>
          </cell>
          <cell r="AW78">
            <v>0</v>
          </cell>
          <cell r="AX78">
            <v>0</v>
          </cell>
          <cell r="AY78"/>
          <cell r="AZ78"/>
          <cell r="BA78">
            <v>0</v>
          </cell>
          <cell r="BB78"/>
          <cell r="BC78">
            <v>0</v>
          </cell>
          <cell r="BD78">
            <v>11881</v>
          </cell>
          <cell r="BE78"/>
          <cell r="BF78">
            <v>0</v>
          </cell>
          <cell r="BG78">
            <v>0</v>
          </cell>
          <cell r="BH78">
            <v>0</v>
          </cell>
          <cell r="BI78">
            <v>45317</v>
          </cell>
          <cell r="BJ78">
            <v>37302</v>
          </cell>
          <cell r="BK78">
            <v>37302</v>
          </cell>
          <cell r="BL78">
            <v>0</v>
          </cell>
          <cell r="BM78">
            <v>0</v>
          </cell>
          <cell r="BN78">
            <v>0</v>
          </cell>
          <cell r="BO78">
            <v>93394</v>
          </cell>
          <cell r="BP78">
            <v>11069.8</v>
          </cell>
          <cell r="BQ78">
            <v>19941.8604651163</v>
          </cell>
          <cell r="BR78">
            <v>0</v>
          </cell>
          <cell r="BS78">
            <v>0</v>
          </cell>
          <cell r="BT78">
            <v>61488</v>
          </cell>
          <cell r="BU78"/>
          <cell r="BV78"/>
          <cell r="BW78"/>
          <cell r="BX78"/>
          <cell r="BY78">
            <v>0</v>
          </cell>
          <cell r="BZ78">
            <v>0</v>
          </cell>
          <cell r="CA78">
            <v>0</v>
          </cell>
          <cell r="CB78">
            <v>0</v>
          </cell>
          <cell r="CC78">
            <v>2666711</v>
          </cell>
          <cell r="CD78">
            <v>22125616</v>
          </cell>
          <cell r="CE78">
            <v>2250160</v>
          </cell>
          <cell r="CF78">
            <v>-47066</v>
          </cell>
          <cell r="CG78">
            <v>2250160</v>
          </cell>
          <cell r="CH78">
            <v>2250160</v>
          </cell>
          <cell r="CI78">
            <v>2250160</v>
          </cell>
          <cell r="CJ78">
            <v>2250160</v>
          </cell>
          <cell r="CK78">
            <v>0</v>
          </cell>
          <cell r="CL78">
            <v>0</v>
          </cell>
          <cell r="CM78">
            <v>0</v>
          </cell>
          <cell r="CN78">
            <v>0</v>
          </cell>
          <cell r="CO78">
            <v>0</v>
          </cell>
          <cell r="CP78">
            <v>0</v>
          </cell>
          <cell r="CQ78">
            <v>6769259</v>
          </cell>
          <cell r="CR78">
            <v>6275049</v>
          </cell>
          <cell r="CS78">
            <v>6051275</v>
          </cell>
          <cell r="CT78">
            <v>5837107</v>
          </cell>
          <cell r="CU78">
            <v>5580754</v>
          </cell>
          <cell r="CV78">
            <v>-13975</v>
          </cell>
          <cell r="CW78">
            <v>0</v>
          </cell>
          <cell r="CX78">
            <v>0</v>
          </cell>
          <cell r="CY78">
            <v>0</v>
          </cell>
          <cell r="CZ78">
            <v>0</v>
          </cell>
          <cell r="DA78">
            <v>0</v>
          </cell>
          <cell r="DB78"/>
          <cell r="DC78">
            <v>0</v>
          </cell>
          <cell r="DD78">
            <v>0</v>
          </cell>
          <cell r="DE78">
            <v>0</v>
          </cell>
          <cell r="DF78">
            <v>0</v>
          </cell>
          <cell r="DG78">
            <v>0</v>
          </cell>
          <cell r="DH78">
            <v>0</v>
          </cell>
          <cell r="DI78">
            <v>0</v>
          </cell>
          <cell r="DJ78">
            <v>0</v>
          </cell>
          <cell r="DK78">
            <v>0</v>
          </cell>
          <cell r="DL78">
            <v>0</v>
          </cell>
          <cell r="DM78"/>
          <cell r="DN78"/>
          <cell r="DO78"/>
          <cell r="DP78"/>
        </row>
        <row r="79">
          <cell r="A79">
            <v>189</v>
          </cell>
          <cell r="B79" t="str">
            <v>Wierden</v>
          </cell>
          <cell r="C79">
            <v>4</v>
          </cell>
          <cell r="D79">
            <v>-13637</v>
          </cell>
          <cell r="E79">
            <v>-6819</v>
          </cell>
          <cell r="F79">
            <v>0</v>
          </cell>
          <cell r="G79">
            <v>0</v>
          </cell>
          <cell r="H79">
            <v>-41690</v>
          </cell>
          <cell r="I79">
            <v>-27964</v>
          </cell>
          <cell r="J79"/>
          <cell r="K79">
            <v>0</v>
          </cell>
          <cell r="L79">
            <v>71387</v>
          </cell>
          <cell r="M79">
            <v>65613</v>
          </cell>
          <cell r="N79">
            <v>0</v>
          </cell>
          <cell r="O79">
            <v>0</v>
          </cell>
          <cell r="P79">
            <v>0</v>
          </cell>
          <cell r="Q79">
            <v>0</v>
          </cell>
          <cell r="R79">
            <v>0</v>
          </cell>
          <cell r="S79">
            <v>0</v>
          </cell>
          <cell r="T79">
            <v>0</v>
          </cell>
          <cell r="U79">
            <v>0</v>
          </cell>
          <cell r="V79">
            <v>3000</v>
          </cell>
          <cell r="W79">
            <v>90916</v>
          </cell>
          <cell r="X79">
            <v>0</v>
          </cell>
          <cell r="Y79"/>
          <cell r="Z79">
            <v>0</v>
          </cell>
          <cell r="AA79">
            <v>0</v>
          </cell>
          <cell r="AB79">
            <v>0</v>
          </cell>
          <cell r="AC79"/>
          <cell r="AD79">
            <v>0</v>
          </cell>
          <cell r="AE79">
            <v>0</v>
          </cell>
          <cell r="AF79">
            <v>0</v>
          </cell>
          <cell r="AG79">
            <v>0</v>
          </cell>
          <cell r="AH79">
            <v>0</v>
          </cell>
          <cell r="AI79">
            <v>0</v>
          </cell>
          <cell r="AJ79">
            <v>0</v>
          </cell>
          <cell r="AK79">
            <v>0</v>
          </cell>
          <cell r="AL79"/>
          <cell r="AM79">
            <v>0</v>
          </cell>
          <cell r="AN79">
            <v>0</v>
          </cell>
          <cell r="AO79">
            <v>0</v>
          </cell>
          <cell r="AP79">
            <v>0</v>
          </cell>
          <cell r="AQ79">
            <v>0</v>
          </cell>
          <cell r="AR79">
            <v>0</v>
          </cell>
          <cell r="AS79">
            <v>0</v>
          </cell>
          <cell r="AT79">
            <v>0</v>
          </cell>
          <cell r="AU79">
            <v>0</v>
          </cell>
          <cell r="AV79">
            <v>0</v>
          </cell>
          <cell r="AW79">
            <v>0</v>
          </cell>
          <cell r="AX79">
            <v>0</v>
          </cell>
          <cell r="AY79"/>
          <cell r="AZ79"/>
          <cell r="BA79">
            <v>0</v>
          </cell>
          <cell r="BB79"/>
          <cell r="BC79">
            <v>0</v>
          </cell>
          <cell r="BD79">
            <v>8504</v>
          </cell>
          <cell r="BE79"/>
          <cell r="BF79">
            <v>0</v>
          </cell>
          <cell r="BG79">
            <v>0</v>
          </cell>
          <cell r="BH79">
            <v>0</v>
          </cell>
          <cell r="BI79">
            <v>23016</v>
          </cell>
          <cell r="BJ79">
            <v>18945</v>
          </cell>
          <cell r="BK79">
            <v>18945</v>
          </cell>
          <cell r="BL79">
            <v>0</v>
          </cell>
          <cell r="BM79">
            <v>0</v>
          </cell>
          <cell r="BN79">
            <v>0</v>
          </cell>
          <cell r="BO79">
            <v>57398</v>
          </cell>
          <cell r="BP79">
            <v>14232.6</v>
          </cell>
          <cell r="BQ79">
            <v>25639.534883720899</v>
          </cell>
          <cell r="BR79">
            <v>0</v>
          </cell>
          <cell r="BS79">
            <v>0</v>
          </cell>
          <cell r="BT79">
            <v>41699</v>
          </cell>
          <cell r="BU79"/>
          <cell r="BV79"/>
          <cell r="BW79"/>
          <cell r="BX79"/>
          <cell r="BY79">
            <v>0</v>
          </cell>
          <cell r="BZ79">
            <v>0</v>
          </cell>
          <cell r="CA79">
            <v>0</v>
          </cell>
          <cell r="CB79">
            <v>0</v>
          </cell>
          <cell r="CC79">
            <v>1600991</v>
          </cell>
          <cell r="CD79">
            <v>9183643</v>
          </cell>
          <cell r="CE79">
            <v>758676</v>
          </cell>
          <cell r="CF79">
            <v>-67715</v>
          </cell>
          <cell r="CG79">
            <v>758676</v>
          </cell>
          <cell r="CH79">
            <v>758676</v>
          </cell>
          <cell r="CI79">
            <v>758676</v>
          </cell>
          <cell r="CJ79">
            <v>758676</v>
          </cell>
          <cell r="CK79">
            <v>0</v>
          </cell>
          <cell r="CL79">
            <v>0</v>
          </cell>
          <cell r="CM79">
            <v>0</v>
          </cell>
          <cell r="CN79">
            <v>0</v>
          </cell>
          <cell r="CO79">
            <v>0</v>
          </cell>
          <cell r="CP79">
            <v>0</v>
          </cell>
          <cell r="CQ79">
            <v>2175679</v>
          </cell>
          <cell r="CR79">
            <v>1966145</v>
          </cell>
          <cell r="CS79">
            <v>1877185</v>
          </cell>
          <cell r="CT79">
            <v>1782638</v>
          </cell>
          <cell r="CU79">
            <v>1723259</v>
          </cell>
          <cell r="CV79">
            <v>-43357</v>
          </cell>
          <cell r="CW79">
            <v>0</v>
          </cell>
          <cell r="CX79">
            <v>0</v>
          </cell>
          <cell r="CY79">
            <v>0</v>
          </cell>
          <cell r="CZ79">
            <v>0</v>
          </cell>
          <cell r="DA79">
            <v>0</v>
          </cell>
          <cell r="DB79"/>
          <cell r="DC79">
            <v>0</v>
          </cell>
          <cell r="DD79">
            <v>0</v>
          </cell>
          <cell r="DE79">
            <v>0</v>
          </cell>
          <cell r="DF79">
            <v>0</v>
          </cell>
          <cell r="DG79">
            <v>0</v>
          </cell>
          <cell r="DH79">
            <v>0</v>
          </cell>
          <cell r="DI79">
            <v>0</v>
          </cell>
          <cell r="DJ79">
            <v>0</v>
          </cell>
          <cell r="DK79">
            <v>0</v>
          </cell>
          <cell r="DL79">
            <v>0</v>
          </cell>
          <cell r="DM79"/>
          <cell r="DN79"/>
          <cell r="DO79"/>
          <cell r="DP79"/>
        </row>
        <row r="80">
          <cell r="A80">
            <v>1896</v>
          </cell>
          <cell r="B80" t="str">
            <v>Zwartewaterland</v>
          </cell>
          <cell r="C80">
            <v>4</v>
          </cell>
          <cell r="D80">
            <v>10900</v>
          </cell>
          <cell r="E80">
            <v>5450</v>
          </cell>
          <cell r="F80">
            <v>0</v>
          </cell>
          <cell r="G80">
            <v>0</v>
          </cell>
          <cell r="H80">
            <v>0</v>
          </cell>
          <cell r="I80">
            <v>0</v>
          </cell>
          <cell r="J80"/>
          <cell r="K80">
            <v>0</v>
          </cell>
          <cell r="L80">
            <v>63469</v>
          </cell>
          <cell r="M80">
            <v>62137</v>
          </cell>
          <cell r="N80">
            <v>0</v>
          </cell>
          <cell r="O80">
            <v>0</v>
          </cell>
          <cell r="P80">
            <v>0</v>
          </cell>
          <cell r="Q80">
            <v>0</v>
          </cell>
          <cell r="R80">
            <v>0</v>
          </cell>
          <cell r="S80">
            <v>0</v>
          </cell>
          <cell r="T80">
            <v>0</v>
          </cell>
          <cell r="U80">
            <v>0</v>
          </cell>
          <cell r="V80">
            <v>0</v>
          </cell>
          <cell r="W80">
            <v>68288</v>
          </cell>
          <cell r="X80">
            <v>0</v>
          </cell>
          <cell r="Y80"/>
          <cell r="Z80">
            <v>0</v>
          </cell>
          <cell r="AA80">
            <v>0</v>
          </cell>
          <cell r="AB80">
            <v>0</v>
          </cell>
          <cell r="AC80"/>
          <cell r="AD80">
            <v>0</v>
          </cell>
          <cell r="AE80">
            <v>0</v>
          </cell>
          <cell r="AF80">
            <v>0</v>
          </cell>
          <cell r="AG80">
            <v>0</v>
          </cell>
          <cell r="AH80">
            <v>0</v>
          </cell>
          <cell r="AI80">
            <v>0</v>
          </cell>
          <cell r="AJ80">
            <v>0</v>
          </cell>
          <cell r="AK80">
            <v>0</v>
          </cell>
          <cell r="AL80"/>
          <cell r="AM80">
            <v>0</v>
          </cell>
          <cell r="AN80">
            <v>0</v>
          </cell>
          <cell r="AO80">
            <v>0</v>
          </cell>
          <cell r="AP80">
            <v>0</v>
          </cell>
          <cell r="AQ80">
            <v>0</v>
          </cell>
          <cell r="AR80">
            <v>0</v>
          </cell>
          <cell r="AS80">
            <v>0</v>
          </cell>
          <cell r="AT80">
            <v>0</v>
          </cell>
          <cell r="AU80">
            <v>4740</v>
          </cell>
          <cell r="AV80">
            <v>0</v>
          </cell>
          <cell r="AW80">
            <v>0</v>
          </cell>
          <cell r="AX80">
            <v>0</v>
          </cell>
          <cell r="AY80"/>
          <cell r="AZ80"/>
          <cell r="BA80">
            <v>0</v>
          </cell>
          <cell r="BB80"/>
          <cell r="BC80">
            <v>0</v>
          </cell>
          <cell r="BD80">
            <v>7831</v>
          </cell>
          <cell r="BE80"/>
          <cell r="BF80">
            <v>0</v>
          </cell>
          <cell r="BG80">
            <v>0</v>
          </cell>
          <cell r="BH80">
            <v>0</v>
          </cell>
          <cell r="BI80">
            <v>23230</v>
          </cell>
          <cell r="BJ80">
            <v>19122</v>
          </cell>
          <cell r="BK80">
            <v>19122</v>
          </cell>
          <cell r="BL80">
            <v>0</v>
          </cell>
          <cell r="BM80">
            <v>0</v>
          </cell>
          <cell r="BN80">
            <v>0</v>
          </cell>
          <cell r="BO80">
            <v>333690</v>
          </cell>
          <cell r="BP80">
            <v>7907</v>
          </cell>
          <cell r="BQ80">
            <v>14244.186046511601</v>
          </cell>
          <cell r="BR80">
            <v>0</v>
          </cell>
          <cell r="BS80">
            <v>0</v>
          </cell>
          <cell r="BT80">
            <v>40429</v>
          </cell>
          <cell r="BU80"/>
          <cell r="BV80"/>
          <cell r="BW80"/>
          <cell r="BX80"/>
          <cell r="BY80">
            <v>0</v>
          </cell>
          <cell r="BZ80">
            <v>0</v>
          </cell>
          <cell r="CA80">
            <v>0</v>
          </cell>
          <cell r="CB80">
            <v>0</v>
          </cell>
          <cell r="CC80">
            <v>1306744</v>
          </cell>
          <cell r="CD80">
            <v>8751088</v>
          </cell>
          <cell r="CE80">
            <v>645072</v>
          </cell>
          <cell r="CF80">
            <v>0</v>
          </cell>
          <cell r="CG80">
            <v>645072</v>
          </cell>
          <cell r="CH80">
            <v>645072</v>
          </cell>
          <cell r="CI80">
            <v>645072</v>
          </cell>
          <cell r="CJ80">
            <v>645072</v>
          </cell>
          <cell r="CK80">
            <v>0</v>
          </cell>
          <cell r="CL80">
            <v>0</v>
          </cell>
          <cell r="CM80">
            <v>0</v>
          </cell>
          <cell r="CN80">
            <v>0</v>
          </cell>
          <cell r="CO80">
            <v>0</v>
          </cell>
          <cell r="CP80">
            <v>0</v>
          </cell>
          <cell r="CQ80">
            <v>1034727</v>
          </cell>
          <cell r="CR80">
            <v>1011151</v>
          </cell>
          <cell r="CS80">
            <v>1006190</v>
          </cell>
          <cell r="CT80">
            <v>1016948</v>
          </cell>
          <cell r="CU80">
            <v>1002292</v>
          </cell>
          <cell r="CV80">
            <v>-75187</v>
          </cell>
          <cell r="CW80">
            <v>0</v>
          </cell>
          <cell r="CX80">
            <v>0</v>
          </cell>
          <cell r="CY80">
            <v>0</v>
          </cell>
          <cell r="CZ80">
            <v>0</v>
          </cell>
          <cell r="DA80">
            <v>0</v>
          </cell>
          <cell r="DB80"/>
          <cell r="DC80">
            <v>0</v>
          </cell>
          <cell r="DD80">
            <v>0</v>
          </cell>
          <cell r="DE80">
            <v>0</v>
          </cell>
          <cell r="DF80">
            <v>0</v>
          </cell>
          <cell r="DG80">
            <v>0</v>
          </cell>
          <cell r="DH80">
            <v>0</v>
          </cell>
          <cell r="DI80">
            <v>0</v>
          </cell>
          <cell r="DJ80">
            <v>0</v>
          </cell>
          <cell r="DK80">
            <v>0</v>
          </cell>
          <cell r="DL80">
            <v>0</v>
          </cell>
          <cell r="DM80"/>
          <cell r="DN80"/>
          <cell r="DO80"/>
          <cell r="DP80"/>
        </row>
        <row r="81">
          <cell r="A81">
            <v>193</v>
          </cell>
          <cell r="B81" t="str">
            <v>Zwolle</v>
          </cell>
          <cell r="C81">
            <v>4</v>
          </cell>
          <cell r="D81">
            <v>225081</v>
          </cell>
          <cell r="E81">
            <v>112541</v>
          </cell>
          <cell r="F81">
            <v>0</v>
          </cell>
          <cell r="G81">
            <v>90237</v>
          </cell>
          <cell r="H81">
            <v>0</v>
          </cell>
          <cell r="I81">
            <v>0</v>
          </cell>
          <cell r="J81"/>
          <cell r="K81">
            <v>0</v>
          </cell>
          <cell r="L81">
            <v>604047</v>
          </cell>
          <cell r="M81">
            <v>603373</v>
          </cell>
          <cell r="N81">
            <v>0</v>
          </cell>
          <cell r="O81">
            <v>0</v>
          </cell>
          <cell r="P81">
            <v>150000</v>
          </cell>
          <cell r="Q81">
            <v>50000</v>
          </cell>
          <cell r="R81">
            <v>0</v>
          </cell>
          <cell r="S81">
            <v>805430</v>
          </cell>
          <cell r="T81">
            <v>805430</v>
          </cell>
          <cell r="U81">
            <v>805430</v>
          </cell>
          <cell r="V81">
            <v>12000</v>
          </cell>
          <cell r="W81">
            <v>456594</v>
          </cell>
          <cell r="X81">
            <v>0</v>
          </cell>
          <cell r="Y81"/>
          <cell r="Z81">
            <v>0</v>
          </cell>
          <cell r="AA81">
            <v>33000</v>
          </cell>
          <cell r="AB81">
            <v>0</v>
          </cell>
          <cell r="AC81"/>
          <cell r="AD81">
            <v>68446</v>
          </cell>
          <cell r="AE81">
            <v>0</v>
          </cell>
          <cell r="AF81">
            <v>0</v>
          </cell>
          <cell r="AG81">
            <v>0</v>
          </cell>
          <cell r="AH81">
            <v>0</v>
          </cell>
          <cell r="AI81">
            <v>0</v>
          </cell>
          <cell r="AJ81">
            <v>0</v>
          </cell>
          <cell r="AK81">
            <v>207412</v>
          </cell>
          <cell r="AL81"/>
          <cell r="AM81">
            <v>0</v>
          </cell>
          <cell r="AN81">
            <v>0</v>
          </cell>
          <cell r="AO81">
            <v>0</v>
          </cell>
          <cell r="AP81">
            <v>0</v>
          </cell>
          <cell r="AQ81">
            <v>0</v>
          </cell>
          <cell r="AR81">
            <v>0</v>
          </cell>
          <cell r="AS81">
            <v>0</v>
          </cell>
          <cell r="AT81">
            <v>20000</v>
          </cell>
          <cell r="AU81">
            <v>2370</v>
          </cell>
          <cell r="AV81">
            <v>9956629.2501135804</v>
          </cell>
          <cell r="AW81">
            <v>237716</v>
          </cell>
          <cell r="AX81">
            <v>0</v>
          </cell>
          <cell r="AY81"/>
          <cell r="AZ81"/>
          <cell r="BA81">
            <v>0</v>
          </cell>
          <cell r="BB81"/>
          <cell r="BC81">
            <v>0</v>
          </cell>
          <cell r="BD81">
            <v>44072</v>
          </cell>
          <cell r="BE81"/>
          <cell r="BF81">
            <v>0</v>
          </cell>
          <cell r="BG81">
            <v>0</v>
          </cell>
          <cell r="BH81">
            <v>0</v>
          </cell>
          <cell r="BI81">
            <v>203280</v>
          </cell>
          <cell r="BJ81">
            <v>167330</v>
          </cell>
          <cell r="BK81">
            <v>167330</v>
          </cell>
          <cell r="BL81">
            <v>0</v>
          </cell>
          <cell r="BM81">
            <v>0</v>
          </cell>
          <cell r="BN81">
            <v>215600</v>
          </cell>
          <cell r="BO81">
            <v>400817</v>
          </cell>
          <cell r="BP81">
            <v>42697.8</v>
          </cell>
          <cell r="BQ81">
            <v>76918.604651162794</v>
          </cell>
          <cell r="BR81">
            <v>0</v>
          </cell>
          <cell r="BS81">
            <v>0</v>
          </cell>
          <cell r="BT81">
            <v>217022</v>
          </cell>
          <cell r="BU81"/>
          <cell r="BV81"/>
          <cell r="BW81"/>
          <cell r="BX81"/>
          <cell r="BY81">
            <v>3482465.9086209401</v>
          </cell>
          <cell r="BZ81">
            <v>3975534.0444269502</v>
          </cell>
          <cell r="CA81">
            <v>4017655.4429631499</v>
          </cell>
          <cell r="CB81">
            <v>4136586.4505947498</v>
          </cell>
          <cell r="CC81">
            <v>8263126</v>
          </cell>
          <cell r="CD81">
            <v>134463450</v>
          </cell>
          <cell r="CE81">
            <v>6012208</v>
          </cell>
          <cell r="CF81">
            <v>0</v>
          </cell>
          <cell r="CG81">
            <v>6012208</v>
          </cell>
          <cell r="CH81">
            <v>6012208</v>
          </cell>
          <cell r="CI81">
            <v>6012208</v>
          </cell>
          <cell r="CJ81">
            <v>6012208</v>
          </cell>
          <cell r="CK81">
            <v>70709668</v>
          </cell>
          <cell r="CL81">
            <v>70674781</v>
          </cell>
          <cell r="CM81">
            <v>70674216</v>
          </cell>
          <cell r="CN81">
            <v>70672975</v>
          </cell>
          <cell r="CO81">
            <v>70674695</v>
          </cell>
          <cell r="CP81">
            <v>0</v>
          </cell>
          <cell r="CQ81">
            <v>13808334</v>
          </cell>
          <cell r="CR81">
            <v>13246512</v>
          </cell>
          <cell r="CS81">
            <v>13015535</v>
          </cell>
          <cell r="CT81">
            <v>12829738</v>
          </cell>
          <cell r="CU81">
            <v>12542103</v>
          </cell>
          <cell r="CV81">
            <v>-30630</v>
          </cell>
          <cell r="CW81">
            <v>0</v>
          </cell>
          <cell r="CX81">
            <v>0</v>
          </cell>
          <cell r="CY81">
            <v>0</v>
          </cell>
          <cell r="CZ81">
            <v>0</v>
          </cell>
          <cell r="DA81">
            <v>80000</v>
          </cell>
          <cell r="DB81"/>
          <cell r="DC81">
            <v>0</v>
          </cell>
          <cell r="DD81">
            <v>0</v>
          </cell>
          <cell r="DE81">
            <v>0</v>
          </cell>
          <cell r="DF81">
            <v>0</v>
          </cell>
          <cell r="DG81">
            <v>0</v>
          </cell>
          <cell r="DH81">
            <v>0</v>
          </cell>
          <cell r="DI81">
            <v>0</v>
          </cell>
          <cell r="DJ81">
            <v>0</v>
          </cell>
          <cell r="DK81">
            <v>0</v>
          </cell>
          <cell r="DL81">
            <v>0</v>
          </cell>
          <cell r="DM81"/>
          <cell r="DN81"/>
          <cell r="DO81"/>
          <cell r="DP81"/>
        </row>
        <row r="82">
          <cell r="A82">
            <v>197</v>
          </cell>
          <cell r="B82" t="str">
            <v>Aalten</v>
          </cell>
          <cell r="C82">
            <v>5</v>
          </cell>
          <cell r="D82">
            <v>-45788</v>
          </cell>
          <cell r="E82">
            <v>-22894</v>
          </cell>
          <cell r="F82">
            <v>0</v>
          </cell>
          <cell r="G82">
            <v>0</v>
          </cell>
          <cell r="H82">
            <v>-65818</v>
          </cell>
          <cell r="I82">
            <v>-40424</v>
          </cell>
          <cell r="J82"/>
          <cell r="K82">
            <v>0</v>
          </cell>
          <cell r="L82">
            <v>82072</v>
          </cell>
          <cell r="M82">
            <v>77255</v>
          </cell>
          <cell r="N82">
            <v>0</v>
          </cell>
          <cell r="O82">
            <v>0</v>
          </cell>
          <cell r="P82">
            <v>0</v>
          </cell>
          <cell r="Q82">
            <v>0</v>
          </cell>
          <cell r="R82">
            <v>0</v>
          </cell>
          <cell r="S82">
            <v>0</v>
          </cell>
          <cell r="T82">
            <v>0</v>
          </cell>
          <cell r="U82">
            <v>0</v>
          </cell>
          <cell r="V82">
            <v>0</v>
          </cell>
          <cell r="W82">
            <v>50509</v>
          </cell>
          <cell r="X82">
            <v>0</v>
          </cell>
          <cell r="Y82"/>
          <cell r="Z82">
            <v>0</v>
          </cell>
          <cell r="AA82">
            <v>0</v>
          </cell>
          <cell r="AB82">
            <v>0</v>
          </cell>
          <cell r="AC82"/>
          <cell r="AD82">
            <v>0</v>
          </cell>
          <cell r="AE82">
            <v>0</v>
          </cell>
          <cell r="AF82">
            <v>0</v>
          </cell>
          <cell r="AG82">
            <v>0</v>
          </cell>
          <cell r="AH82">
            <v>0</v>
          </cell>
          <cell r="AI82">
            <v>0</v>
          </cell>
          <cell r="AJ82">
            <v>0</v>
          </cell>
          <cell r="AK82">
            <v>0</v>
          </cell>
          <cell r="AL82"/>
          <cell r="AM82">
            <v>0</v>
          </cell>
          <cell r="AN82">
            <v>0</v>
          </cell>
          <cell r="AO82">
            <v>0</v>
          </cell>
          <cell r="AP82">
            <v>0</v>
          </cell>
          <cell r="AQ82">
            <v>0</v>
          </cell>
          <cell r="AR82">
            <v>0</v>
          </cell>
          <cell r="AS82">
            <v>0</v>
          </cell>
          <cell r="AT82">
            <v>0</v>
          </cell>
          <cell r="AU82">
            <v>4740</v>
          </cell>
          <cell r="AV82">
            <v>0</v>
          </cell>
          <cell r="AW82">
            <v>0</v>
          </cell>
          <cell r="AX82">
            <v>0</v>
          </cell>
          <cell r="AY82"/>
          <cell r="AZ82"/>
          <cell r="BA82">
            <v>0</v>
          </cell>
          <cell r="BB82"/>
          <cell r="BC82">
            <v>0</v>
          </cell>
          <cell r="BD82">
            <v>9494</v>
          </cell>
          <cell r="BE82"/>
          <cell r="BF82">
            <v>0</v>
          </cell>
          <cell r="BG82">
            <v>0</v>
          </cell>
          <cell r="BH82">
            <v>0</v>
          </cell>
          <cell r="BI82">
            <v>42340</v>
          </cell>
          <cell r="BJ82">
            <v>34852</v>
          </cell>
          <cell r="BK82">
            <v>34852</v>
          </cell>
          <cell r="BL82">
            <v>0</v>
          </cell>
          <cell r="BM82">
            <v>0</v>
          </cell>
          <cell r="BN82">
            <v>0</v>
          </cell>
          <cell r="BO82">
            <v>37455</v>
          </cell>
          <cell r="BP82">
            <v>7907</v>
          </cell>
          <cell r="BQ82">
            <v>14244.186046511601</v>
          </cell>
          <cell r="BR82">
            <v>0</v>
          </cell>
          <cell r="BS82">
            <v>0</v>
          </cell>
          <cell r="BT82">
            <v>46683</v>
          </cell>
          <cell r="BU82"/>
          <cell r="BV82"/>
          <cell r="BW82"/>
          <cell r="BX82"/>
          <cell r="BY82">
            <v>0</v>
          </cell>
          <cell r="BZ82">
            <v>0</v>
          </cell>
          <cell r="CA82">
            <v>0</v>
          </cell>
          <cell r="CB82">
            <v>0</v>
          </cell>
          <cell r="CC82">
            <v>2397980</v>
          </cell>
          <cell r="CD82">
            <v>15958179</v>
          </cell>
          <cell r="CE82">
            <v>612983</v>
          </cell>
          <cell r="CF82">
            <v>-96803</v>
          </cell>
          <cell r="CG82">
            <v>612983</v>
          </cell>
          <cell r="CH82">
            <v>612983</v>
          </cell>
          <cell r="CI82">
            <v>612983</v>
          </cell>
          <cell r="CJ82">
            <v>612983</v>
          </cell>
          <cell r="CK82">
            <v>0</v>
          </cell>
          <cell r="CL82">
            <v>0</v>
          </cell>
          <cell r="CM82">
            <v>0</v>
          </cell>
          <cell r="CN82">
            <v>0</v>
          </cell>
          <cell r="CO82">
            <v>0</v>
          </cell>
          <cell r="CP82">
            <v>-199</v>
          </cell>
          <cell r="CQ82">
            <v>6066545</v>
          </cell>
          <cell r="CR82">
            <v>5819958</v>
          </cell>
          <cell r="CS82">
            <v>5664157</v>
          </cell>
          <cell r="CT82">
            <v>5480063</v>
          </cell>
          <cell r="CU82">
            <v>5283943</v>
          </cell>
          <cell r="CV82">
            <v>-53821</v>
          </cell>
          <cell r="CW82">
            <v>0</v>
          </cell>
          <cell r="CX82">
            <v>0</v>
          </cell>
          <cell r="CY82">
            <v>0</v>
          </cell>
          <cell r="CZ82">
            <v>0</v>
          </cell>
          <cell r="DA82">
            <v>0</v>
          </cell>
          <cell r="DB82"/>
          <cell r="DC82">
            <v>0</v>
          </cell>
          <cell r="DD82">
            <v>0</v>
          </cell>
          <cell r="DE82">
            <v>0</v>
          </cell>
          <cell r="DF82">
            <v>0</v>
          </cell>
          <cell r="DG82">
            <v>0</v>
          </cell>
          <cell r="DH82">
            <v>0</v>
          </cell>
          <cell r="DI82">
            <v>0</v>
          </cell>
          <cell r="DJ82">
            <v>0</v>
          </cell>
          <cell r="DK82">
            <v>0</v>
          </cell>
          <cell r="DL82">
            <v>0</v>
          </cell>
          <cell r="DM82"/>
          <cell r="DN82"/>
          <cell r="DO82"/>
          <cell r="DP82"/>
        </row>
        <row r="83">
          <cell r="A83">
            <v>200</v>
          </cell>
          <cell r="B83" t="str">
            <v>Apeldoorn</v>
          </cell>
          <cell r="C83">
            <v>5</v>
          </cell>
          <cell r="D83">
            <v>285368</v>
          </cell>
          <cell r="E83">
            <v>142684</v>
          </cell>
          <cell r="F83">
            <v>0</v>
          </cell>
          <cell r="G83">
            <v>2315676</v>
          </cell>
          <cell r="H83">
            <v>-11069</v>
          </cell>
          <cell r="I83">
            <v>0</v>
          </cell>
          <cell r="J83"/>
          <cell r="K83">
            <v>7500</v>
          </cell>
          <cell r="L83">
            <v>690217</v>
          </cell>
          <cell r="M83">
            <v>708958</v>
          </cell>
          <cell r="N83">
            <v>0</v>
          </cell>
          <cell r="O83">
            <v>0</v>
          </cell>
          <cell r="P83">
            <v>150000</v>
          </cell>
          <cell r="Q83">
            <v>0</v>
          </cell>
          <cell r="R83">
            <v>0</v>
          </cell>
          <cell r="S83">
            <v>0</v>
          </cell>
          <cell r="T83">
            <v>0</v>
          </cell>
          <cell r="U83">
            <v>0</v>
          </cell>
          <cell r="V83">
            <v>39250</v>
          </cell>
          <cell r="W83">
            <v>608403</v>
          </cell>
          <cell r="X83">
            <v>0</v>
          </cell>
          <cell r="Y83"/>
          <cell r="Z83">
            <v>0</v>
          </cell>
          <cell r="AA83">
            <v>32000</v>
          </cell>
          <cell r="AB83">
            <v>0</v>
          </cell>
          <cell r="AC83"/>
          <cell r="AD83">
            <v>98757</v>
          </cell>
          <cell r="AE83">
            <v>0</v>
          </cell>
          <cell r="AF83">
            <v>0</v>
          </cell>
          <cell r="AG83">
            <v>0</v>
          </cell>
          <cell r="AH83">
            <v>0</v>
          </cell>
          <cell r="AI83">
            <v>0</v>
          </cell>
          <cell r="AJ83">
            <v>0</v>
          </cell>
          <cell r="AK83">
            <v>75177</v>
          </cell>
          <cell r="AL83"/>
          <cell r="AM83">
            <v>0</v>
          </cell>
          <cell r="AN83">
            <v>0</v>
          </cell>
          <cell r="AO83">
            <v>0</v>
          </cell>
          <cell r="AP83">
            <v>0</v>
          </cell>
          <cell r="AQ83">
            <v>0</v>
          </cell>
          <cell r="AR83">
            <v>0</v>
          </cell>
          <cell r="AS83">
            <v>0</v>
          </cell>
          <cell r="AT83">
            <v>0</v>
          </cell>
          <cell r="AU83">
            <v>2370</v>
          </cell>
          <cell r="AV83">
            <v>4214599.7848845199</v>
          </cell>
          <cell r="AW83">
            <v>115328</v>
          </cell>
          <cell r="AX83">
            <v>0</v>
          </cell>
          <cell r="AY83"/>
          <cell r="AZ83"/>
          <cell r="BA83">
            <v>0</v>
          </cell>
          <cell r="BB83"/>
          <cell r="BC83">
            <v>0</v>
          </cell>
          <cell r="BD83">
            <v>56182</v>
          </cell>
          <cell r="BE83"/>
          <cell r="BF83">
            <v>0</v>
          </cell>
          <cell r="BG83">
            <v>0</v>
          </cell>
          <cell r="BH83">
            <v>0</v>
          </cell>
          <cell r="BI83">
            <v>254690</v>
          </cell>
          <cell r="BJ83">
            <v>209647</v>
          </cell>
          <cell r="BK83">
            <v>209647</v>
          </cell>
          <cell r="BL83">
            <v>0</v>
          </cell>
          <cell r="BM83">
            <v>0</v>
          </cell>
          <cell r="BN83">
            <v>318010</v>
          </cell>
          <cell r="BO83">
            <v>179492</v>
          </cell>
          <cell r="BP83">
            <v>30046.6</v>
          </cell>
          <cell r="BQ83">
            <v>54127.906976744198</v>
          </cell>
          <cell r="BR83">
            <v>0</v>
          </cell>
          <cell r="BS83">
            <v>0</v>
          </cell>
          <cell r="BT83">
            <v>263422</v>
          </cell>
          <cell r="BU83"/>
          <cell r="BV83"/>
          <cell r="BW83"/>
          <cell r="BX83"/>
          <cell r="BY83">
            <v>3082575.28418059</v>
          </cell>
          <cell r="BZ83">
            <v>3572152.3143090298</v>
          </cell>
          <cell r="CA83">
            <v>3613975.4776868299</v>
          </cell>
          <cell r="CB83">
            <v>3732064.4095771099</v>
          </cell>
          <cell r="CC83">
            <v>13774521</v>
          </cell>
          <cell r="CD83">
            <v>133964678</v>
          </cell>
          <cell r="CE83">
            <v>10647278</v>
          </cell>
          <cell r="CF83">
            <v>0</v>
          </cell>
          <cell r="CG83">
            <v>10647278</v>
          </cell>
          <cell r="CH83">
            <v>10647278</v>
          </cell>
          <cell r="CI83">
            <v>10647278</v>
          </cell>
          <cell r="CJ83">
            <v>10647278</v>
          </cell>
          <cell r="CK83">
            <v>46747941</v>
          </cell>
          <cell r="CL83">
            <v>46724689</v>
          </cell>
          <cell r="CM83">
            <v>46724312</v>
          </cell>
          <cell r="CN83">
            <v>46723485</v>
          </cell>
          <cell r="CO83">
            <v>46724632</v>
          </cell>
          <cell r="CP83">
            <v>0</v>
          </cell>
          <cell r="CQ83">
            <v>21441492</v>
          </cell>
          <cell r="CR83">
            <v>20327426</v>
          </cell>
          <cell r="CS83">
            <v>19656054</v>
          </cell>
          <cell r="CT83">
            <v>19107452</v>
          </cell>
          <cell r="CU83">
            <v>18519197</v>
          </cell>
          <cell r="CV83">
            <v>-41270</v>
          </cell>
          <cell r="CW83">
            <v>0</v>
          </cell>
          <cell r="CX83">
            <v>0</v>
          </cell>
          <cell r="CY83">
            <v>0</v>
          </cell>
          <cell r="CZ83">
            <v>0</v>
          </cell>
          <cell r="DA83">
            <v>0</v>
          </cell>
          <cell r="DB83"/>
          <cell r="DC83">
            <v>0</v>
          </cell>
          <cell r="DD83">
            <v>0</v>
          </cell>
          <cell r="DE83">
            <v>0</v>
          </cell>
          <cell r="DF83">
            <v>0</v>
          </cell>
          <cell r="DG83">
            <v>0</v>
          </cell>
          <cell r="DH83">
            <v>0</v>
          </cell>
          <cell r="DI83">
            <v>0</v>
          </cell>
          <cell r="DJ83">
            <v>0</v>
          </cell>
          <cell r="DK83">
            <v>0</v>
          </cell>
          <cell r="DL83">
            <v>0</v>
          </cell>
          <cell r="DM83"/>
          <cell r="DN83"/>
          <cell r="DO83"/>
          <cell r="DP83"/>
        </row>
        <row r="84">
          <cell r="A84">
            <v>202</v>
          </cell>
          <cell r="B84" t="str">
            <v>Arnhem</v>
          </cell>
          <cell r="C84">
            <v>5</v>
          </cell>
          <cell r="D84">
            <v>784835</v>
          </cell>
          <cell r="E84">
            <v>392417</v>
          </cell>
          <cell r="F84">
            <v>0</v>
          </cell>
          <cell r="G84">
            <v>159048</v>
          </cell>
          <cell r="H84">
            <v>-329178</v>
          </cell>
          <cell r="I84">
            <v>-174161</v>
          </cell>
          <cell r="J84"/>
          <cell r="K84">
            <v>0</v>
          </cell>
          <cell r="L84">
            <v>1090547</v>
          </cell>
          <cell r="M84">
            <v>1160250</v>
          </cell>
          <cell r="N84">
            <v>0</v>
          </cell>
          <cell r="O84">
            <v>0</v>
          </cell>
          <cell r="P84">
            <v>374923</v>
          </cell>
          <cell r="Q84">
            <v>0</v>
          </cell>
          <cell r="R84">
            <v>0</v>
          </cell>
          <cell r="S84">
            <v>1002304</v>
          </cell>
          <cell r="T84">
            <v>833430</v>
          </cell>
          <cell r="U84">
            <v>954281</v>
          </cell>
          <cell r="V84">
            <v>12000</v>
          </cell>
          <cell r="W84">
            <v>501884</v>
          </cell>
          <cell r="X84">
            <v>685985</v>
          </cell>
          <cell r="Y84"/>
          <cell r="Z84">
            <v>0</v>
          </cell>
          <cell r="AA84">
            <v>0</v>
          </cell>
          <cell r="AB84">
            <v>0</v>
          </cell>
          <cell r="AC84"/>
          <cell r="AD84">
            <v>293340</v>
          </cell>
          <cell r="AE84">
            <v>0</v>
          </cell>
          <cell r="AF84">
            <v>0</v>
          </cell>
          <cell r="AG84">
            <v>0</v>
          </cell>
          <cell r="AH84">
            <v>0</v>
          </cell>
          <cell r="AI84">
            <v>0</v>
          </cell>
          <cell r="AJ84">
            <v>266850</v>
          </cell>
          <cell r="AK84">
            <v>565178</v>
          </cell>
          <cell r="AL84"/>
          <cell r="AM84">
            <v>0</v>
          </cell>
          <cell r="AN84">
            <v>0</v>
          </cell>
          <cell r="AO84">
            <v>0</v>
          </cell>
          <cell r="AP84">
            <v>0</v>
          </cell>
          <cell r="AQ84">
            <v>0</v>
          </cell>
          <cell r="AR84">
            <v>0</v>
          </cell>
          <cell r="AS84">
            <v>0</v>
          </cell>
          <cell r="AT84">
            <v>20000</v>
          </cell>
          <cell r="AU84">
            <v>7110</v>
          </cell>
          <cell r="AV84">
            <v>8526213.9108896591</v>
          </cell>
          <cell r="AW84">
            <v>110401</v>
          </cell>
          <cell r="AX84">
            <v>0</v>
          </cell>
          <cell r="AY84"/>
          <cell r="AZ84"/>
          <cell r="BA84">
            <v>0</v>
          </cell>
          <cell r="BB84"/>
          <cell r="BC84">
            <v>0</v>
          </cell>
          <cell r="BD84">
            <v>54656</v>
          </cell>
          <cell r="BE84"/>
          <cell r="BF84">
            <v>0</v>
          </cell>
          <cell r="BG84">
            <v>0</v>
          </cell>
          <cell r="BH84">
            <v>0</v>
          </cell>
          <cell r="BI84">
            <v>351923</v>
          </cell>
          <cell r="BJ84">
            <v>289685</v>
          </cell>
          <cell r="BK84">
            <v>289685</v>
          </cell>
          <cell r="BL84">
            <v>0</v>
          </cell>
          <cell r="BM84">
            <v>0</v>
          </cell>
          <cell r="BN84">
            <v>278740</v>
          </cell>
          <cell r="BO84">
            <v>226675</v>
          </cell>
          <cell r="BP84">
            <v>47442</v>
          </cell>
          <cell r="BQ84">
            <v>85465.1162790698</v>
          </cell>
          <cell r="BR84">
            <v>394500</v>
          </cell>
          <cell r="BS84">
            <v>0</v>
          </cell>
          <cell r="BT84">
            <v>303260</v>
          </cell>
          <cell r="BU84"/>
          <cell r="BV84"/>
          <cell r="BW84"/>
          <cell r="BX84"/>
          <cell r="BY84">
            <v>4417406.7447492098</v>
          </cell>
          <cell r="BZ84">
            <v>5119076.0780028403</v>
          </cell>
          <cell r="CA84">
            <v>5179017.6793360701</v>
          </cell>
          <cell r="CB84">
            <v>5348264.5536887003</v>
          </cell>
          <cell r="CC84">
            <v>11711732</v>
          </cell>
          <cell r="CD84">
            <v>177610861</v>
          </cell>
          <cell r="CE84">
            <v>6345203</v>
          </cell>
          <cell r="CF84">
            <v>-357419</v>
          </cell>
          <cell r="CG84">
            <v>6255203</v>
          </cell>
          <cell r="CH84">
            <v>6255203</v>
          </cell>
          <cell r="CI84">
            <v>6255203</v>
          </cell>
          <cell r="CJ84">
            <v>6255203</v>
          </cell>
          <cell r="CK84">
            <v>71047164</v>
          </cell>
          <cell r="CL84">
            <v>71012319</v>
          </cell>
          <cell r="CM84">
            <v>71011755</v>
          </cell>
          <cell r="CN84">
            <v>71010515</v>
          </cell>
          <cell r="CO84">
            <v>71012233</v>
          </cell>
          <cell r="CP84">
            <v>-8908</v>
          </cell>
          <cell r="CQ84">
            <v>30387268</v>
          </cell>
          <cell r="CR84">
            <v>29052129</v>
          </cell>
          <cell r="CS84">
            <v>28328290</v>
          </cell>
          <cell r="CT84">
            <v>27691609</v>
          </cell>
          <cell r="CU84">
            <v>27005210</v>
          </cell>
          <cell r="CV84">
            <v>377450</v>
          </cell>
          <cell r="CW84">
            <v>0</v>
          </cell>
          <cell r="CX84">
            <v>0</v>
          </cell>
          <cell r="CY84">
            <v>0</v>
          </cell>
          <cell r="CZ84">
            <v>0</v>
          </cell>
          <cell r="DA84">
            <v>0</v>
          </cell>
          <cell r="DB84"/>
          <cell r="DC84">
            <v>0</v>
          </cell>
          <cell r="DD84">
            <v>0</v>
          </cell>
          <cell r="DE84">
            <v>0</v>
          </cell>
          <cell r="DF84">
            <v>0</v>
          </cell>
          <cell r="DG84">
            <v>0</v>
          </cell>
          <cell r="DH84">
            <v>0</v>
          </cell>
          <cell r="DI84">
            <v>0</v>
          </cell>
          <cell r="DJ84">
            <v>0</v>
          </cell>
          <cell r="DK84">
            <v>0</v>
          </cell>
          <cell r="DL84">
            <v>0</v>
          </cell>
          <cell r="DM84"/>
          <cell r="DN84"/>
          <cell r="DO84"/>
          <cell r="DP84"/>
        </row>
        <row r="85">
          <cell r="A85">
            <v>203</v>
          </cell>
          <cell r="B85" t="str">
            <v>Barneveld</v>
          </cell>
          <cell r="C85">
            <v>5</v>
          </cell>
          <cell r="D85">
            <v>-62466</v>
          </cell>
          <cell r="E85">
            <v>-31233</v>
          </cell>
          <cell r="F85">
            <v>0</v>
          </cell>
          <cell r="G85">
            <v>0</v>
          </cell>
          <cell r="H85">
            <v>0</v>
          </cell>
          <cell r="I85">
            <v>0</v>
          </cell>
          <cell r="J85"/>
          <cell r="K85">
            <v>0</v>
          </cell>
          <cell r="L85">
            <v>174230</v>
          </cell>
          <cell r="M85">
            <v>163318</v>
          </cell>
          <cell r="N85">
            <v>0</v>
          </cell>
          <cell r="O85">
            <v>0</v>
          </cell>
          <cell r="P85">
            <v>0</v>
          </cell>
          <cell r="Q85">
            <v>0</v>
          </cell>
          <cell r="R85">
            <v>0</v>
          </cell>
          <cell r="S85">
            <v>0</v>
          </cell>
          <cell r="T85">
            <v>0</v>
          </cell>
          <cell r="U85">
            <v>0</v>
          </cell>
          <cell r="V85">
            <v>6000</v>
          </cell>
          <cell r="W85">
            <v>259106</v>
          </cell>
          <cell r="X85">
            <v>0</v>
          </cell>
          <cell r="Y85"/>
          <cell r="Z85">
            <v>0</v>
          </cell>
          <cell r="AA85">
            <v>0</v>
          </cell>
          <cell r="AB85">
            <v>0</v>
          </cell>
          <cell r="AC85"/>
          <cell r="AD85">
            <v>0</v>
          </cell>
          <cell r="AE85">
            <v>0</v>
          </cell>
          <cell r="AF85">
            <v>0</v>
          </cell>
          <cell r="AG85">
            <v>0</v>
          </cell>
          <cell r="AH85">
            <v>0</v>
          </cell>
          <cell r="AI85">
            <v>0</v>
          </cell>
          <cell r="AJ85">
            <v>0</v>
          </cell>
          <cell r="AK85">
            <v>0</v>
          </cell>
          <cell r="AL85"/>
          <cell r="AM85">
            <v>0</v>
          </cell>
          <cell r="AN85">
            <v>0</v>
          </cell>
          <cell r="AO85">
            <v>0</v>
          </cell>
          <cell r="AP85">
            <v>0</v>
          </cell>
          <cell r="AQ85">
            <v>0</v>
          </cell>
          <cell r="AR85">
            <v>0</v>
          </cell>
          <cell r="AS85">
            <v>0</v>
          </cell>
          <cell r="AT85">
            <v>0</v>
          </cell>
          <cell r="AU85">
            <v>2370</v>
          </cell>
          <cell r="AV85">
            <v>0</v>
          </cell>
          <cell r="AW85">
            <v>0</v>
          </cell>
          <cell r="AX85">
            <v>0</v>
          </cell>
          <cell r="AY85"/>
          <cell r="AZ85"/>
          <cell r="BA85">
            <v>0</v>
          </cell>
          <cell r="BB85"/>
          <cell r="BC85">
            <v>0</v>
          </cell>
          <cell r="BD85">
            <v>19790</v>
          </cell>
          <cell r="BE85"/>
          <cell r="BF85">
            <v>0</v>
          </cell>
          <cell r="BG85">
            <v>0</v>
          </cell>
          <cell r="BH85">
            <v>0</v>
          </cell>
          <cell r="BI85">
            <v>47145</v>
          </cell>
          <cell r="BJ85">
            <v>38807</v>
          </cell>
          <cell r="BK85">
            <v>38807</v>
          </cell>
          <cell r="BL85">
            <v>0</v>
          </cell>
          <cell r="BM85">
            <v>0</v>
          </cell>
          <cell r="BN85">
            <v>0</v>
          </cell>
          <cell r="BO85">
            <v>81720</v>
          </cell>
          <cell r="BP85">
            <v>7907</v>
          </cell>
          <cell r="BQ85">
            <v>14244.186046511601</v>
          </cell>
          <cell r="BR85">
            <v>0</v>
          </cell>
          <cell r="BS85">
            <v>0</v>
          </cell>
          <cell r="BT85">
            <v>107089</v>
          </cell>
          <cell r="BU85"/>
          <cell r="BV85"/>
          <cell r="BW85"/>
          <cell r="BX85"/>
          <cell r="BY85">
            <v>0</v>
          </cell>
          <cell r="BZ85">
            <v>0</v>
          </cell>
          <cell r="CA85">
            <v>0</v>
          </cell>
          <cell r="CB85">
            <v>0</v>
          </cell>
          <cell r="CC85">
            <v>3210223</v>
          </cell>
          <cell r="CD85">
            <v>24865353</v>
          </cell>
          <cell r="CE85">
            <v>4389899</v>
          </cell>
          <cell r="CF85">
            <v>0</v>
          </cell>
          <cell r="CG85">
            <v>4389899</v>
          </cell>
          <cell r="CH85">
            <v>4389899</v>
          </cell>
          <cell r="CI85">
            <v>4389899</v>
          </cell>
          <cell r="CJ85">
            <v>4389899</v>
          </cell>
          <cell r="CK85">
            <v>0</v>
          </cell>
          <cell r="CL85">
            <v>0</v>
          </cell>
          <cell r="CM85">
            <v>0</v>
          </cell>
          <cell r="CN85">
            <v>0</v>
          </cell>
          <cell r="CO85">
            <v>0</v>
          </cell>
          <cell r="CP85">
            <v>0</v>
          </cell>
          <cell r="CQ85">
            <v>2642194</v>
          </cell>
          <cell r="CR85">
            <v>2501792</v>
          </cell>
          <cell r="CS85">
            <v>2431931</v>
          </cell>
          <cell r="CT85">
            <v>2346414</v>
          </cell>
          <cell r="CU85">
            <v>2271010</v>
          </cell>
          <cell r="CV85">
            <v>-167542</v>
          </cell>
          <cell r="CW85">
            <v>0</v>
          </cell>
          <cell r="CX85">
            <v>0</v>
          </cell>
          <cell r="CY85">
            <v>0</v>
          </cell>
          <cell r="CZ85">
            <v>0</v>
          </cell>
          <cell r="DA85">
            <v>0</v>
          </cell>
          <cell r="DB85"/>
          <cell r="DC85">
            <v>0</v>
          </cell>
          <cell r="DD85">
            <v>0</v>
          </cell>
          <cell r="DE85">
            <v>0</v>
          </cell>
          <cell r="DF85">
            <v>0</v>
          </cell>
          <cell r="DG85">
            <v>0</v>
          </cell>
          <cell r="DH85">
            <v>0</v>
          </cell>
          <cell r="DI85">
            <v>0</v>
          </cell>
          <cell r="DJ85">
            <v>0</v>
          </cell>
          <cell r="DK85">
            <v>0</v>
          </cell>
          <cell r="DL85">
            <v>0</v>
          </cell>
          <cell r="DM85"/>
          <cell r="DN85"/>
          <cell r="DO85"/>
          <cell r="DP85"/>
        </row>
        <row r="86">
          <cell r="A86">
            <v>1945</v>
          </cell>
          <cell r="B86" t="str">
            <v>Berg en Dal</v>
          </cell>
          <cell r="C86">
            <v>5</v>
          </cell>
          <cell r="D86">
            <v>-40199</v>
          </cell>
          <cell r="E86">
            <v>-20099</v>
          </cell>
          <cell r="F86">
            <v>0</v>
          </cell>
          <cell r="G86">
            <v>0</v>
          </cell>
          <cell r="H86">
            <v>-40478</v>
          </cell>
          <cell r="I86">
            <v>-21254</v>
          </cell>
          <cell r="J86"/>
          <cell r="K86">
            <v>0</v>
          </cell>
          <cell r="L86">
            <v>108016</v>
          </cell>
          <cell r="M86">
            <v>107466</v>
          </cell>
          <cell r="N86">
            <v>0</v>
          </cell>
          <cell r="O86">
            <v>0</v>
          </cell>
          <cell r="P86">
            <v>0</v>
          </cell>
          <cell r="Q86">
            <v>0</v>
          </cell>
          <cell r="R86">
            <v>0</v>
          </cell>
          <cell r="S86">
            <v>0</v>
          </cell>
          <cell r="T86">
            <v>0</v>
          </cell>
          <cell r="U86">
            <v>0</v>
          </cell>
          <cell r="V86">
            <v>0</v>
          </cell>
          <cell r="W86">
            <v>130233</v>
          </cell>
          <cell r="X86">
            <v>0</v>
          </cell>
          <cell r="Y86"/>
          <cell r="Z86">
            <v>0</v>
          </cell>
          <cell r="AA86">
            <v>0</v>
          </cell>
          <cell r="AB86">
            <v>0</v>
          </cell>
          <cell r="AC86"/>
          <cell r="AD86">
            <v>26400</v>
          </cell>
          <cell r="AE86">
            <v>0</v>
          </cell>
          <cell r="AF86">
            <v>0</v>
          </cell>
          <cell r="AG86">
            <v>0</v>
          </cell>
          <cell r="AH86">
            <v>0</v>
          </cell>
          <cell r="AI86">
            <v>0</v>
          </cell>
          <cell r="AJ86">
            <v>0</v>
          </cell>
          <cell r="AK86">
            <v>0</v>
          </cell>
          <cell r="AL86"/>
          <cell r="AM86">
            <v>0</v>
          </cell>
          <cell r="AN86">
            <v>0</v>
          </cell>
          <cell r="AO86">
            <v>0</v>
          </cell>
          <cell r="AP86">
            <v>0</v>
          </cell>
          <cell r="AQ86">
            <v>0</v>
          </cell>
          <cell r="AR86">
            <v>0</v>
          </cell>
          <cell r="AS86">
            <v>0</v>
          </cell>
          <cell r="AT86">
            <v>0</v>
          </cell>
          <cell r="AU86">
            <v>2370</v>
          </cell>
          <cell r="AV86">
            <v>0</v>
          </cell>
          <cell r="AW86">
            <v>0</v>
          </cell>
          <cell r="AX86">
            <v>0</v>
          </cell>
          <cell r="AY86"/>
          <cell r="AZ86"/>
          <cell r="BA86">
            <v>0</v>
          </cell>
          <cell r="BB86"/>
          <cell r="BC86">
            <v>0</v>
          </cell>
          <cell r="BD86">
            <v>12203</v>
          </cell>
          <cell r="BE86"/>
          <cell r="BF86">
            <v>0</v>
          </cell>
          <cell r="BG86">
            <v>0</v>
          </cell>
          <cell r="BH86">
            <v>0</v>
          </cell>
          <cell r="BI86">
            <v>58582</v>
          </cell>
          <cell r="BJ86">
            <v>48222</v>
          </cell>
          <cell r="BK86">
            <v>48222</v>
          </cell>
          <cell r="BL86">
            <v>0</v>
          </cell>
          <cell r="BM86">
            <v>0</v>
          </cell>
          <cell r="BN86">
            <v>0</v>
          </cell>
          <cell r="BO86">
            <v>148847</v>
          </cell>
          <cell r="BP86">
            <v>1581.4</v>
          </cell>
          <cell r="BQ86">
            <v>2848.8372093023299</v>
          </cell>
          <cell r="BR86">
            <v>0</v>
          </cell>
          <cell r="BS86">
            <v>0</v>
          </cell>
          <cell r="BT86">
            <v>59050</v>
          </cell>
          <cell r="BU86"/>
          <cell r="BV86"/>
          <cell r="BW86"/>
          <cell r="BX86"/>
          <cell r="BY86">
            <v>0</v>
          </cell>
          <cell r="BZ86">
            <v>0</v>
          </cell>
          <cell r="CA86">
            <v>0</v>
          </cell>
          <cell r="CB86">
            <v>0</v>
          </cell>
          <cell r="CC86">
            <v>3371100</v>
          </cell>
          <cell r="CD86">
            <v>17838019</v>
          </cell>
          <cell r="CE86">
            <v>1247836</v>
          </cell>
          <cell r="CF86">
            <v>-15862</v>
          </cell>
          <cell r="CG86">
            <v>1247836</v>
          </cell>
          <cell r="CH86">
            <v>1247836</v>
          </cell>
          <cell r="CI86">
            <v>1247836</v>
          </cell>
          <cell r="CJ86">
            <v>1247836</v>
          </cell>
          <cell r="CK86">
            <v>0</v>
          </cell>
          <cell r="CL86">
            <v>0</v>
          </cell>
          <cell r="CM86">
            <v>0</v>
          </cell>
          <cell r="CN86">
            <v>0</v>
          </cell>
          <cell r="CO86">
            <v>0</v>
          </cell>
          <cell r="CP86">
            <v>-5318</v>
          </cell>
          <cell r="CQ86">
            <v>4312628</v>
          </cell>
          <cell r="CR86">
            <v>4049642</v>
          </cell>
          <cell r="CS86">
            <v>3906055</v>
          </cell>
          <cell r="CT86">
            <v>3786136</v>
          </cell>
          <cell r="CU86">
            <v>3690519</v>
          </cell>
          <cell r="CV86">
            <v>64130</v>
          </cell>
          <cell r="CW86">
            <v>0</v>
          </cell>
          <cell r="CX86">
            <v>0</v>
          </cell>
          <cell r="CY86">
            <v>0</v>
          </cell>
          <cell r="CZ86">
            <v>0</v>
          </cell>
          <cell r="DA86">
            <v>0</v>
          </cell>
          <cell r="DB86"/>
          <cell r="DC86">
            <v>0</v>
          </cell>
          <cell r="DD86">
            <v>0</v>
          </cell>
          <cell r="DE86">
            <v>0</v>
          </cell>
          <cell r="DF86">
            <v>0</v>
          </cell>
          <cell r="DG86">
            <v>0</v>
          </cell>
          <cell r="DH86">
            <v>0</v>
          </cell>
          <cell r="DI86">
            <v>0</v>
          </cell>
          <cell r="DJ86">
            <v>0</v>
          </cell>
          <cell r="DK86">
            <v>0</v>
          </cell>
          <cell r="DL86">
            <v>0</v>
          </cell>
          <cell r="DM86"/>
          <cell r="DN86"/>
          <cell r="DO86"/>
          <cell r="DP86"/>
        </row>
        <row r="87">
          <cell r="A87">
            <v>1859</v>
          </cell>
          <cell r="B87" t="str">
            <v>Berkelland</v>
          </cell>
          <cell r="C87">
            <v>5</v>
          </cell>
          <cell r="D87">
            <v>8596</v>
          </cell>
          <cell r="E87">
            <v>4298</v>
          </cell>
          <cell r="F87">
            <v>0</v>
          </cell>
          <cell r="G87">
            <v>0</v>
          </cell>
          <cell r="H87">
            <v>-24950</v>
          </cell>
          <cell r="I87">
            <v>0</v>
          </cell>
          <cell r="J87"/>
          <cell r="K87">
            <v>0</v>
          </cell>
          <cell r="L87">
            <v>131752</v>
          </cell>
          <cell r="M87">
            <v>131035</v>
          </cell>
          <cell r="N87">
            <v>0</v>
          </cell>
          <cell r="O87">
            <v>0</v>
          </cell>
          <cell r="P87">
            <v>0</v>
          </cell>
          <cell r="Q87">
            <v>0</v>
          </cell>
          <cell r="R87">
            <v>0</v>
          </cell>
          <cell r="S87">
            <v>0</v>
          </cell>
          <cell r="T87">
            <v>0</v>
          </cell>
          <cell r="U87">
            <v>0</v>
          </cell>
          <cell r="V87">
            <v>0</v>
          </cell>
          <cell r="W87">
            <v>184270</v>
          </cell>
          <cell r="X87">
            <v>0</v>
          </cell>
          <cell r="Y87"/>
          <cell r="Z87">
            <v>0</v>
          </cell>
          <cell r="AA87">
            <v>0</v>
          </cell>
          <cell r="AB87">
            <v>0</v>
          </cell>
          <cell r="AC87"/>
          <cell r="AD87">
            <v>64534</v>
          </cell>
          <cell r="AE87">
            <v>0</v>
          </cell>
          <cell r="AF87">
            <v>0</v>
          </cell>
          <cell r="AG87">
            <v>0</v>
          </cell>
          <cell r="AH87">
            <v>0</v>
          </cell>
          <cell r="AI87">
            <v>0</v>
          </cell>
          <cell r="AJ87">
            <v>0</v>
          </cell>
          <cell r="AK87">
            <v>0</v>
          </cell>
          <cell r="AL87"/>
          <cell r="AM87">
            <v>0</v>
          </cell>
          <cell r="AN87">
            <v>0</v>
          </cell>
          <cell r="AO87">
            <v>0</v>
          </cell>
          <cell r="AP87">
            <v>0</v>
          </cell>
          <cell r="AQ87">
            <v>0</v>
          </cell>
          <cell r="AR87">
            <v>0</v>
          </cell>
          <cell r="AS87">
            <v>0</v>
          </cell>
          <cell r="AT87">
            <v>0</v>
          </cell>
          <cell r="AU87">
            <v>0</v>
          </cell>
          <cell r="AV87">
            <v>0</v>
          </cell>
          <cell r="AW87">
            <v>0</v>
          </cell>
          <cell r="AX87">
            <v>0</v>
          </cell>
          <cell r="AY87"/>
          <cell r="AZ87"/>
          <cell r="BA87">
            <v>0</v>
          </cell>
          <cell r="BB87"/>
          <cell r="BC87">
            <v>0</v>
          </cell>
          <cell r="BD87">
            <v>15529</v>
          </cell>
          <cell r="BE87"/>
          <cell r="BF87">
            <v>0</v>
          </cell>
          <cell r="BG87">
            <v>0</v>
          </cell>
          <cell r="BH87">
            <v>0</v>
          </cell>
          <cell r="BI87">
            <v>62125</v>
          </cell>
          <cell r="BJ87">
            <v>51138</v>
          </cell>
          <cell r="BK87">
            <v>51138</v>
          </cell>
          <cell r="BL87">
            <v>0</v>
          </cell>
          <cell r="BM87">
            <v>11060</v>
          </cell>
          <cell r="BN87">
            <v>0</v>
          </cell>
          <cell r="BO87">
            <v>173168</v>
          </cell>
          <cell r="BP87">
            <v>4744.2</v>
          </cell>
          <cell r="BQ87">
            <v>8546.5116279069807</v>
          </cell>
          <cell r="BR87">
            <v>0</v>
          </cell>
          <cell r="BS87">
            <v>0</v>
          </cell>
          <cell r="BT87">
            <v>81055</v>
          </cell>
          <cell r="BU87"/>
          <cell r="BV87"/>
          <cell r="BW87"/>
          <cell r="BX87"/>
          <cell r="BY87">
            <v>0</v>
          </cell>
          <cell r="BZ87">
            <v>0</v>
          </cell>
          <cell r="CA87">
            <v>0</v>
          </cell>
          <cell r="CB87">
            <v>0</v>
          </cell>
          <cell r="CC87">
            <v>3928845</v>
          </cell>
          <cell r="CD87">
            <v>21907616</v>
          </cell>
          <cell r="CE87">
            <v>1303564</v>
          </cell>
          <cell r="CF87">
            <v>0</v>
          </cell>
          <cell r="CG87">
            <v>1303564</v>
          </cell>
          <cell r="CH87">
            <v>1303564</v>
          </cell>
          <cell r="CI87">
            <v>1303564</v>
          </cell>
          <cell r="CJ87">
            <v>1303564</v>
          </cell>
          <cell r="CK87">
            <v>0</v>
          </cell>
          <cell r="CL87">
            <v>0</v>
          </cell>
          <cell r="CM87">
            <v>0</v>
          </cell>
          <cell r="CN87">
            <v>0</v>
          </cell>
          <cell r="CO87">
            <v>0</v>
          </cell>
          <cell r="CP87">
            <v>0</v>
          </cell>
          <cell r="CQ87">
            <v>6440778</v>
          </cell>
          <cell r="CR87">
            <v>6079098</v>
          </cell>
          <cell r="CS87">
            <v>5854952</v>
          </cell>
          <cell r="CT87">
            <v>5692840</v>
          </cell>
          <cell r="CU87">
            <v>5491420</v>
          </cell>
          <cell r="CV87">
            <v>18692</v>
          </cell>
          <cell r="CW87">
            <v>0</v>
          </cell>
          <cell r="CX87">
            <v>0</v>
          </cell>
          <cell r="CY87">
            <v>0</v>
          </cell>
          <cell r="CZ87">
            <v>0</v>
          </cell>
          <cell r="DA87">
            <v>0</v>
          </cell>
          <cell r="DB87"/>
          <cell r="DC87">
            <v>0</v>
          </cell>
          <cell r="DD87">
            <v>0</v>
          </cell>
          <cell r="DE87">
            <v>0</v>
          </cell>
          <cell r="DF87">
            <v>0</v>
          </cell>
          <cell r="DG87">
            <v>0</v>
          </cell>
          <cell r="DH87">
            <v>0</v>
          </cell>
          <cell r="DI87">
            <v>0</v>
          </cell>
          <cell r="DJ87">
            <v>0</v>
          </cell>
          <cell r="DK87">
            <v>0</v>
          </cell>
          <cell r="DL87">
            <v>0</v>
          </cell>
          <cell r="DM87"/>
          <cell r="DN87"/>
          <cell r="DO87"/>
          <cell r="DP87"/>
        </row>
        <row r="88">
          <cell r="A88">
            <v>209</v>
          </cell>
          <cell r="B88" t="str">
            <v>Beuningen</v>
          </cell>
          <cell r="C88">
            <v>5</v>
          </cell>
          <cell r="D88">
            <v>5090</v>
          </cell>
          <cell r="E88">
            <v>2545</v>
          </cell>
          <cell r="F88">
            <v>0</v>
          </cell>
          <cell r="G88">
            <v>0</v>
          </cell>
          <cell r="H88">
            <v>0</v>
          </cell>
          <cell r="I88">
            <v>-3617</v>
          </cell>
          <cell r="J88"/>
          <cell r="K88">
            <v>0</v>
          </cell>
          <cell r="L88">
            <v>91522</v>
          </cell>
          <cell r="M88">
            <v>84516</v>
          </cell>
          <cell r="N88">
            <v>0</v>
          </cell>
          <cell r="O88">
            <v>0</v>
          </cell>
          <cell r="P88">
            <v>0</v>
          </cell>
          <cell r="Q88">
            <v>0</v>
          </cell>
          <cell r="R88">
            <v>0</v>
          </cell>
          <cell r="S88">
            <v>0</v>
          </cell>
          <cell r="T88">
            <v>0</v>
          </cell>
          <cell r="U88">
            <v>0</v>
          </cell>
          <cell r="V88">
            <v>0</v>
          </cell>
          <cell r="W88">
            <v>110795</v>
          </cell>
          <cell r="X88">
            <v>0</v>
          </cell>
          <cell r="Y88"/>
          <cell r="Z88">
            <v>0</v>
          </cell>
          <cell r="AA88">
            <v>0</v>
          </cell>
          <cell r="AB88">
            <v>0</v>
          </cell>
          <cell r="AC88"/>
          <cell r="AD88">
            <v>20000</v>
          </cell>
          <cell r="AE88">
            <v>0</v>
          </cell>
          <cell r="AF88">
            <v>0</v>
          </cell>
          <cell r="AG88">
            <v>0</v>
          </cell>
          <cell r="AH88">
            <v>0</v>
          </cell>
          <cell r="AI88">
            <v>0</v>
          </cell>
          <cell r="AJ88">
            <v>0</v>
          </cell>
          <cell r="AK88">
            <v>0</v>
          </cell>
          <cell r="AL88"/>
          <cell r="AM88">
            <v>0</v>
          </cell>
          <cell r="AN88">
            <v>0</v>
          </cell>
          <cell r="AO88">
            <v>0</v>
          </cell>
          <cell r="AP88">
            <v>0</v>
          </cell>
          <cell r="AQ88">
            <v>0</v>
          </cell>
          <cell r="AR88">
            <v>0</v>
          </cell>
          <cell r="AS88">
            <v>0</v>
          </cell>
          <cell r="AT88">
            <v>0</v>
          </cell>
          <cell r="AU88">
            <v>2370</v>
          </cell>
          <cell r="AV88">
            <v>0</v>
          </cell>
          <cell r="AW88">
            <v>0</v>
          </cell>
          <cell r="AX88">
            <v>0</v>
          </cell>
          <cell r="AY88"/>
          <cell r="AZ88"/>
          <cell r="BA88">
            <v>0</v>
          </cell>
          <cell r="BB88"/>
          <cell r="BC88">
            <v>0</v>
          </cell>
          <cell r="BD88">
            <v>8925</v>
          </cell>
          <cell r="BE88"/>
          <cell r="BF88">
            <v>0</v>
          </cell>
          <cell r="BG88">
            <v>0</v>
          </cell>
          <cell r="BH88">
            <v>0</v>
          </cell>
          <cell r="BI88">
            <v>29649</v>
          </cell>
          <cell r="BJ88">
            <v>24405</v>
          </cell>
          <cell r="BK88">
            <v>24405</v>
          </cell>
          <cell r="BL88">
            <v>0</v>
          </cell>
          <cell r="BM88">
            <v>0</v>
          </cell>
          <cell r="BN88">
            <v>0</v>
          </cell>
          <cell r="BO88">
            <v>129876</v>
          </cell>
          <cell r="BP88">
            <v>15814</v>
          </cell>
          <cell r="BQ88">
            <v>28488.372093023299</v>
          </cell>
          <cell r="BR88">
            <v>0</v>
          </cell>
          <cell r="BS88">
            <v>0</v>
          </cell>
          <cell r="BT88">
            <v>42717</v>
          </cell>
          <cell r="BU88"/>
          <cell r="BV88"/>
          <cell r="BW88"/>
          <cell r="BX88"/>
          <cell r="BY88">
            <v>0</v>
          </cell>
          <cell r="BZ88">
            <v>0</v>
          </cell>
          <cell r="CA88">
            <v>0</v>
          </cell>
          <cell r="CB88">
            <v>0</v>
          </cell>
          <cell r="CC88">
            <v>1695502</v>
          </cell>
          <cell r="CD88">
            <v>10966917</v>
          </cell>
          <cell r="CE88">
            <v>423290</v>
          </cell>
          <cell r="CF88">
            <v>0</v>
          </cell>
          <cell r="CG88">
            <v>423290</v>
          </cell>
          <cell r="CH88">
            <v>423290</v>
          </cell>
          <cell r="CI88">
            <v>423290</v>
          </cell>
          <cell r="CJ88">
            <v>423290</v>
          </cell>
          <cell r="CK88">
            <v>0</v>
          </cell>
          <cell r="CL88">
            <v>0</v>
          </cell>
          <cell r="CM88">
            <v>0</v>
          </cell>
          <cell r="CN88">
            <v>0</v>
          </cell>
          <cell r="CO88">
            <v>0</v>
          </cell>
          <cell r="CP88">
            <v>-1307</v>
          </cell>
          <cell r="CQ88">
            <v>2921972</v>
          </cell>
          <cell r="CR88">
            <v>2759705</v>
          </cell>
          <cell r="CS88">
            <v>2691796</v>
          </cell>
          <cell r="CT88">
            <v>2639177</v>
          </cell>
          <cell r="CU88">
            <v>2608898</v>
          </cell>
          <cell r="CV88">
            <v>31554</v>
          </cell>
          <cell r="CW88">
            <v>0</v>
          </cell>
          <cell r="CX88">
            <v>0</v>
          </cell>
          <cell r="CY88">
            <v>0</v>
          </cell>
          <cell r="CZ88">
            <v>0</v>
          </cell>
          <cell r="DA88">
            <v>0</v>
          </cell>
          <cell r="DB88"/>
          <cell r="DC88">
            <v>0</v>
          </cell>
          <cell r="DD88">
            <v>0</v>
          </cell>
          <cell r="DE88">
            <v>0</v>
          </cell>
          <cell r="DF88">
            <v>0</v>
          </cell>
          <cell r="DG88">
            <v>0</v>
          </cell>
          <cell r="DH88">
            <v>0</v>
          </cell>
          <cell r="DI88">
            <v>0</v>
          </cell>
          <cell r="DJ88">
            <v>0</v>
          </cell>
          <cell r="DK88">
            <v>0</v>
          </cell>
          <cell r="DL88">
            <v>0</v>
          </cell>
          <cell r="DM88"/>
          <cell r="DN88"/>
          <cell r="DO88"/>
          <cell r="DP88"/>
        </row>
        <row r="89">
          <cell r="A89">
            <v>1876</v>
          </cell>
          <cell r="B89" t="str">
            <v>Bronckhorst</v>
          </cell>
          <cell r="C89">
            <v>5</v>
          </cell>
          <cell r="D89">
            <v>-75761</v>
          </cell>
          <cell r="E89">
            <v>-37880</v>
          </cell>
          <cell r="F89">
            <v>0</v>
          </cell>
          <cell r="G89">
            <v>0</v>
          </cell>
          <cell r="H89">
            <v>-8056</v>
          </cell>
          <cell r="I89">
            <v>0</v>
          </cell>
          <cell r="J89"/>
          <cell r="K89">
            <v>0</v>
          </cell>
          <cell r="L89">
            <v>108633</v>
          </cell>
          <cell r="M89">
            <v>104990</v>
          </cell>
          <cell r="N89">
            <v>0</v>
          </cell>
          <cell r="O89">
            <v>0</v>
          </cell>
          <cell r="P89">
            <v>0</v>
          </cell>
          <cell r="Q89">
            <v>0</v>
          </cell>
          <cell r="R89">
            <v>0</v>
          </cell>
          <cell r="S89">
            <v>0</v>
          </cell>
          <cell r="T89">
            <v>0</v>
          </cell>
          <cell r="U89">
            <v>0</v>
          </cell>
          <cell r="V89">
            <v>3000</v>
          </cell>
          <cell r="W89">
            <v>135768</v>
          </cell>
          <cell r="X89">
            <v>0</v>
          </cell>
          <cell r="Y89"/>
          <cell r="Z89">
            <v>0</v>
          </cell>
          <cell r="AA89">
            <v>0</v>
          </cell>
          <cell r="AB89">
            <v>0</v>
          </cell>
          <cell r="AC89"/>
          <cell r="AD89">
            <v>0</v>
          </cell>
          <cell r="AE89">
            <v>0</v>
          </cell>
          <cell r="AF89">
            <v>0</v>
          </cell>
          <cell r="AG89">
            <v>0</v>
          </cell>
          <cell r="AH89">
            <v>0</v>
          </cell>
          <cell r="AI89">
            <v>0</v>
          </cell>
          <cell r="AJ89">
            <v>0</v>
          </cell>
          <cell r="AK89">
            <v>0</v>
          </cell>
          <cell r="AL89"/>
          <cell r="AM89">
            <v>0</v>
          </cell>
          <cell r="AN89">
            <v>0</v>
          </cell>
          <cell r="AO89">
            <v>0</v>
          </cell>
          <cell r="AP89">
            <v>0</v>
          </cell>
          <cell r="AQ89">
            <v>0</v>
          </cell>
          <cell r="AR89">
            <v>0</v>
          </cell>
          <cell r="AS89">
            <v>0</v>
          </cell>
          <cell r="AT89">
            <v>0</v>
          </cell>
          <cell r="AU89">
            <v>2370</v>
          </cell>
          <cell r="AV89">
            <v>0</v>
          </cell>
          <cell r="AW89">
            <v>0</v>
          </cell>
          <cell r="AX89">
            <v>0</v>
          </cell>
          <cell r="AY89"/>
          <cell r="AZ89"/>
          <cell r="BA89">
            <v>0</v>
          </cell>
          <cell r="BB89"/>
          <cell r="BC89">
            <v>0</v>
          </cell>
          <cell r="BD89">
            <v>12781</v>
          </cell>
          <cell r="BE89"/>
          <cell r="BF89">
            <v>0</v>
          </cell>
          <cell r="BG89">
            <v>0</v>
          </cell>
          <cell r="BH89">
            <v>0</v>
          </cell>
          <cell r="BI89">
            <v>45755</v>
          </cell>
          <cell r="BJ89">
            <v>37663</v>
          </cell>
          <cell r="BK89">
            <v>37663</v>
          </cell>
          <cell r="BL89">
            <v>0</v>
          </cell>
          <cell r="BM89">
            <v>0</v>
          </cell>
          <cell r="BN89">
            <v>0</v>
          </cell>
          <cell r="BO89">
            <v>128903</v>
          </cell>
          <cell r="BP89">
            <v>6325.6</v>
          </cell>
          <cell r="BQ89">
            <v>11395.3488372093</v>
          </cell>
          <cell r="BR89">
            <v>0</v>
          </cell>
          <cell r="BS89">
            <v>0</v>
          </cell>
          <cell r="BT89">
            <v>67913</v>
          </cell>
          <cell r="BU89"/>
          <cell r="BV89"/>
          <cell r="BW89"/>
          <cell r="BX89"/>
          <cell r="BY89">
            <v>0</v>
          </cell>
          <cell r="BZ89">
            <v>0</v>
          </cell>
          <cell r="CA89">
            <v>0</v>
          </cell>
          <cell r="CB89">
            <v>0</v>
          </cell>
          <cell r="CC89">
            <v>3162804</v>
          </cell>
          <cell r="CD89">
            <v>15439958</v>
          </cell>
          <cell r="CE89">
            <v>1441603</v>
          </cell>
          <cell r="CF89">
            <v>0</v>
          </cell>
          <cell r="CG89">
            <v>1441603</v>
          </cell>
          <cell r="CH89">
            <v>1441603</v>
          </cell>
          <cell r="CI89">
            <v>1441603</v>
          </cell>
          <cell r="CJ89">
            <v>1441603</v>
          </cell>
          <cell r="CK89">
            <v>0</v>
          </cell>
          <cell r="CL89">
            <v>0</v>
          </cell>
          <cell r="CM89">
            <v>0</v>
          </cell>
          <cell r="CN89">
            <v>0</v>
          </cell>
          <cell r="CO89">
            <v>0</v>
          </cell>
          <cell r="CP89">
            <v>0</v>
          </cell>
          <cell r="CQ89">
            <v>4001663</v>
          </cell>
          <cell r="CR89">
            <v>3817044</v>
          </cell>
          <cell r="CS89">
            <v>3738460</v>
          </cell>
          <cell r="CT89">
            <v>3631182</v>
          </cell>
          <cell r="CU89">
            <v>3561503</v>
          </cell>
          <cell r="CV89">
            <v>1146</v>
          </cell>
          <cell r="CW89">
            <v>0</v>
          </cell>
          <cell r="CX89">
            <v>0</v>
          </cell>
          <cell r="CY89">
            <v>0</v>
          </cell>
          <cell r="CZ89">
            <v>0</v>
          </cell>
          <cell r="DA89">
            <v>0</v>
          </cell>
          <cell r="DB89"/>
          <cell r="DC89">
            <v>0</v>
          </cell>
          <cell r="DD89">
            <v>0</v>
          </cell>
          <cell r="DE89">
            <v>0</v>
          </cell>
          <cell r="DF89">
            <v>0</v>
          </cell>
          <cell r="DG89">
            <v>0</v>
          </cell>
          <cell r="DH89">
            <v>0</v>
          </cell>
          <cell r="DI89">
            <v>0</v>
          </cell>
          <cell r="DJ89">
            <v>0</v>
          </cell>
          <cell r="DK89">
            <v>0</v>
          </cell>
          <cell r="DL89">
            <v>0</v>
          </cell>
          <cell r="DM89"/>
          <cell r="DN89"/>
          <cell r="DO89"/>
          <cell r="DP89"/>
        </row>
        <row r="90">
          <cell r="A90">
            <v>213</v>
          </cell>
          <cell r="B90" t="str">
            <v>Brummen</v>
          </cell>
          <cell r="C90">
            <v>5</v>
          </cell>
          <cell r="D90">
            <v>-15147</v>
          </cell>
          <cell r="E90">
            <v>-7573</v>
          </cell>
          <cell r="F90">
            <v>0</v>
          </cell>
          <cell r="G90">
            <v>0</v>
          </cell>
          <cell r="H90">
            <v>0</v>
          </cell>
          <cell r="I90">
            <v>0</v>
          </cell>
          <cell r="J90"/>
          <cell r="K90">
            <v>0</v>
          </cell>
          <cell r="L90">
            <v>69835</v>
          </cell>
          <cell r="M90">
            <v>71493</v>
          </cell>
          <cell r="N90">
            <v>0</v>
          </cell>
          <cell r="O90">
            <v>0</v>
          </cell>
          <cell r="P90">
            <v>0</v>
          </cell>
          <cell r="Q90">
            <v>0</v>
          </cell>
          <cell r="R90">
            <v>0</v>
          </cell>
          <cell r="S90">
            <v>0</v>
          </cell>
          <cell r="T90">
            <v>0</v>
          </cell>
          <cell r="U90">
            <v>0</v>
          </cell>
          <cell r="V90">
            <v>3000</v>
          </cell>
          <cell r="W90">
            <v>75966</v>
          </cell>
          <cell r="X90">
            <v>0</v>
          </cell>
          <cell r="Y90"/>
          <cell r="Z90">
            <v>0</v>
          </cell>
          <cell r="AA90">
            <v>0</v>
          </cell>
          <cell r="AB90">
            <v>0</v>
          </cell>
          <cell r="AC90"/>
          <cell r="AD90">
            <v>0</v>
          </cell>
          <cell r="AE90">
            <v>0</v>
          </cell>
          <cell r="AF90">
            <v>0</v>
          </cell>
          <cell r="AG90">
            <v>0</v>
          </cell>
          <cell r="AH90">
            <v>0</v>
          </cell>
          <cell r="AI90">
            <v>0</v>
          </cell>
          <cell r="AJ90">
            <v>0</v>
          </cell>
          <cell r="AK90">
            <v>0</v>
          </cell>
          <cell r="AL90"/>
          <cell r="AM90">
            <v>0</v>
          </cell>
          <cell r="AN90">
            <v>0</v>
          </cell>
          <cell r="AO90">
            <v>0</v>
          </cell>
          <cell r="AP90">
            <v>0</v>
          </cell>
          <cell r="AQ90">
            <v>0</v>
          </cell>
          <cell r="AR90">
            <v>0</v>
          </cell>
          <cell r="AS90">
            <v>0</v>
          </cell>
          <cell r="AT90">
            <v>0</v>
          </cell>
          <cell r="AU90">
            <v>2370</v>
          </cell>
          <cell r="AV90">
            <v>0</v>
          </cell>
          <cell r="AW90">
            <v>0</v>
          </cell>
          <cell r="AX90">
            <v>0</v>
          </cell>
          <cell r="AY90"/>
          <cell r="AZ90"/>
          <cell r="BA90">
            <v>0</v>
          </cell>
          <cell r="BB90"/>
          <cell r="BC90">
            <v>0</v>
          </cell>
          <cell r="BD90">
            <v>7317</v>
          </cell>
          <cell r="BE90"/>
          <cell r="BF90">
            <v>0</v>
          </cell>
          <cell r="BG90">
            <v>0</v>
          </cell>
          <cell r="BH90">
            <v>0</v>
          </cell>
          <cell r="BI90">
            <v>26126</v>
          </cell>
          <cell r="BJ90">
            <v>21505</v>
          </cell>
          <cell r="BK90">
            <v>21505</v>
          </cell>
          <cell r="BL90">
            <v>0</v>
          </cell>
          <cell r="BM90">
            <v>0</v>
          </cell>
          <cell r="BN90">
            <v>0</v>
          </cell>
          <cell r="BO90">
            <v>37941</v>
          </cell>
          <cell r="BP90">
            <v>12651.2</v>
          </cell>
          <cell r="BQ90">
            <v>22790.697674418599</v>
          </cell>
          <cell r="BR90">
            <v>0</v>
          </cell>
          <cell r="BS90">
            <v>0</v>
          </cell>
          <cell r="BT90">
            <v>34405</v>
          </cell>
          <cell r="BU90"/>
          <cell r="BV90"/>
          <cell r="BW90"/>
          <cell r="BX90"/>
          <cell r="BY90">
            <v>0</v>
          </cell>
          <cell r="BZ90">
            <v>0</v>
          </cell>
          <cell r="CA90">
            <v>0</v>
          </cell>
          <cell r="CB90">
            <v>0</v>
          </cell>
          <cell r="CC90">
            <v>1906973</v>
          </cell>
          <cell r="CD90">
            <v>9520917</v>
          </cell>
          <cell r="CE90">
            <v>548490</v>
          </cell>
          <cell r="CF90">
            <v>0</v>
          </cell>
          <cell r="CG90">
            <v>548490</v>
          </cell>
          <cell r="CH90">
            <v>548490</v>
          </cell>
          <cell r="CI90">
            <v>548490</v>
          </cell>
          <cell r="CJ90">
            <v>548490</v>
          </cell>
          <cell r="CK90">
            <v>0</v>
          </cell>
          <cell r="CL90">
            <v>0</v>
          </cell>
          <cell r="CM90">
            <v>0</v>
          </cell>
          <cell r="CN90">
            <v>0</v>
          </cell>
          <cell r="CO90">
            <v>0</v>
          </cell>
          <cell r="CP90">
            <v>0</v>
          </cell>
          <cell r="CQ90">
            <v>1972821</v>
          </cell>
          <cell r="CR90">
            <v>1890572</v>
          </cell>
          <cell r="CS90">
            <v>1870435</v>
          </cell>
          <cell r="CT90">
            <v>1830004</v>
          </cell>
          <cell r="CU90">
            <v>1803533</v>
          </cell>
          <cell r="CV90">
            <v>43401</v>
          </cell>
          <cell r="CW90">
            <v>0</v>
          </cell>
          <cell r="CX90">
            <v>0</v>
          </cell>
          <cell r="CY90">
            <v>0</v>
          </cell>
          <cell r="CZ90">
            <v>0</v>
          </cell>
          <cell r="DA90">
            <v>0</v>
          </cell>
          <cell r="DB90"/>
          <cell r="DC90">
            <v>0</v>
          </cell>
          <cell r="DD90">
            <v>0</v>
          </cell>
          <cell r="DE90">
            <v>0</v>
          </cell>
          <cell r="DF90">
            <v>0</v>
          </cell>
          <cell r="DG90">
            <v>0</v>
          </cell>
          <cell r="DH90">
            <v>0</v>
          </cell>
          <cell r="DI90">
            <v>0</v>
          </cell>
          <cell r="DJ90">
            <v>0</v>
          </cell>
          <cell r="DK90">
            <v>0</v>
          </cell>
          <cell r="DL90">
            <v>0</v>
          </cell>
          <cell r="DM90"/>
          <cell r="DN90"/>
          <cell r="DO90"/>
          <cell r="DP90"/>
        </row>
        <row r="91">
          <cell r="A91">
            <v>214</v>
          </cell>
          <cell r="B91" t="str">
            <v>Buren</v>
          </cell>
          <cell r="C91">
            <v>5</v>
          </cell>
          <cell r="D91">
            <v>-22404</v>
          </cell>
          <cell r="E91">
            <v>-11202</v>
          </cell>
          <cell r="F91">
            <v>0</v>
          </cell>
          <cell r="G91">
            <v>0</v>
          </cell>
          <cell r="H91">
            <v>-16341</v>
          </cell>
          <cell r="I91">
            <v>-6405</v>
          </cell>
          <cell r="J91"/>
          <cell r="K91">
            <v>0</v>
          </cell>
          <cell r="L91">
            <v>88100</v>
          </cell>
          <cell r="M91">
            <v>91277</v>
          </cell>
          <cell r="N91">
            <v>0</v>
          </cell>
          <cell r="O91">
            <v>0</v>
          </cell>
          <cell r="P91">
            <v>0</v>
          </cell>
          <cell r="Q91">
            <v>0</v>
          </cell>
          <cell r="R91">
            <v>0</v>
          </cell>
          <cell r="S91">
            <v>0</v>
          </cell>
          <cell r="T91">
            <v>0</v>
          </cell>
          <cell r="U91">
            <v>0</v>
          </cell>
          <cell r="V91">
            <v>4500</v>
          </cell>
          <cell r="W91">
            <v>80208</v>
          </cell>
          <cell r="X91">
            <v>0</v>
          </cell>
          <cell r="Y91"/>
          <cell r="Z91">
            <v>0</v>
          </cell>
          <cell r="AA91">
            <v>0</v>
          </cell>
          <cell r="AB91">
            <v>0</v>
          </cell>
          <cell r="AC91"/>
          <cell r="AD91">
            <v>0</v>
          </cell>
          <cell r="AE91">
            <v>0</v>
          </cell>
          <cell r="AF91">
            <v>0</v>
          </cell>
          <cell r="AG91">
            <v>0</v>
          </cell>
          <cell r="AH91">
            <v>0</v>
          </cell>
          <cell r="AI91">
            <v>0</v>
          </cell>
          <cell r="AJ91">
            <v>0</v>
          </cell>
          <cell r="AK91">
            <v>0</v>
          </cell>
          <cell r="AL91"/>
          <cell r="AM91">
            <v>0</v>
          </cell>
          <cell r="AN91">
            <v>0</v>
          </cell>
          <cell r="AO91">
            <v>0</v>
          </cell>
          <cell r="AP91">
            <v>0</v>
          </cell>
          <cell r="AQ91">
            <v>0</v>
          </cell>
          <cell r="AR91">
            <v>0</v>
          </cell>
          <cell r="AS91">
            <v>0</v>
          </cell>
          <cell r="AT91">
            <v>0</v>
          </cell>
          <cell r="AU91">
            <v>2370</v>
          </cell>
          <cell r="AV91">
            <v>0</v>
          </cell>
          <cell r="AW91">
            <v>0</v>
          </cell>
          <cell r="AX91">
            <v>0</v>
          </cell>
          <cell r="AY91"/>
          <cell r="AZ91"/>
          <cell r="BA91">
            <v>0</v>
          </cell>
          <cell r="BB91"/>
          <cell r="BC91">
            <v>0</v>
          </cell>
          <cell r="BD91">
            <v>9249</v>
          </cell>
          <cell r="BE91"/>
          <cell r="BF91">
            <v>0</v>
          </cell>
          <cell r="BG91">
            <v>0</v>
          </cell>
          <cell r="BH91">
            <v>0</v>
          </cell>
          <cell r="BI91">
            <v>26758</v>
          </cell>
          <cell r="BJ91">
            <v>22026</v>
          </cell>
          <cell r="BK91">
            <v>22026</v>
          </cell>
          <cell r="BL91">
            <v>0</v>
          </cell>
          <cell r="BM91">
            <v>0</v>
          </cell>
          <cell r="BN91">
            <v>0</v>
          </cell>
          <cell r="BO91">
            <v>158576</v>
          </cell>
          <cell r="BP91">
            <v>11069.8</v>
          </cell>
          <cell r="BQ91">
            <v>19941.8604651163</v>
          </cell>
          <cell r="BR91">
            <v>0</v>
          </cell>
          <cell r="BS91">
            <v>0</v>
          </cell>
          <cell r="BT91">
            <v>54791</v>
          </cell>
          <cell r="BU91"/>
          <cell r="BV91"/>
          <cell r="BW91"/>
          <cell r="BX91"/>
          <cell r="BY91">
            <v>0</v>
          </cell>
          <cell r="BZ91">
            <v>0</v>
          </cell>
          <cell r="CA91">
            <v>0</v>
          </cell>
          <cell r="CB91">
            <v>0</v>
          </cell>
          <cell r="CC91">
            <v>1578005</v>
          </cell>
          <cell r="CD91">
            <v>9412003</v>
          </cell>
          <cell r="CE91">
            <v>725954</v>
          </cell>
          <cell r="CF91">
            <v>0</v>
          </cell>
          <cell r="CG91">
            <v>725954</v>
          </cell>
          <cell r="CH91">
            <v>725954</v>
          </cell>
          <cell r="CI91">
            <v>725954</v>
          </cell>
          <cell r="CJ91">
            <v>725954</v>
          </cell>
          <cell r="CK91">
            <v>0</v>
          </cell>
          <cell r="CL91">
            <v>0</v>
          </cell>
          <cell r="CM91">
            <v>0</v>
          </cell>
          <cell r="CN91">
            <v>0</v>
          </cell>
          <cell r="CO91">
            <v>0</v>
          </cell>
          <cell r="CP91">
            <v>-2305</v>
          </cell>
          <cell r="CQ91">
            <v>2135917</v>
          </cell>
          <cell r="CR91">
            <v>2005229</v>
          </cell>
          <cell r="CS91">
            <v>1930770</v>
          </cell>
          <cell r="CT91">
            <v>1885238</v>
          </cell>
          <cell r="CU91">
            <v>1869674</v>
          </cell>
          <cell r="CV91">
            <v>-14478</v>
          </cell>
          <cell r="CW91">
            <v>0</v>
          </cell>
          <cell r="CX91">
            <v>0</v>
          </cell>
          <cell r="CY91">
            <v>0</v>
          </cell>
          <cell r="CZ91">
            <v>0</v>
          </cell>
          <cell r="DA91">
            <v>0</v>
          </cell>
          <cell r="DB91"/>
          <cell r="DC91">
            <v>0</v>
          </cell>
          <cell r="DD91">
            <v>0</v>
          </cell>
          <cell r="DE91">
            <v>0</v>
          </cell>
          <cell r="DF91">
            <v>0</v>
          </cell>
          <cell r="DG91">
            <v>0</v>
          </cell>
          <cell r="DH91">
            <v>0</v>
          </cell>
          <cell r="DI91">
            <v>0</v>
          </cell>
          <cell r="DJ91">
            <v>0</v>
          </cell>
          <cell r="DK91">
            <v>0</v>
          </cell>
          <cell r="DL91">
            <v>0</v>
          </cell>
          <cell r="DM91"/>
          <cell r="DN91"/>
          <cell r="DO91"/>
          <cell r="DP91"/>
        </row>
        <row r="92">
          <cell r="A92">
            <v>216</v>
          </cell>
          <cell r="B92" t="str">
            <v>Culemborg</v>
          </cell>
          <cell r="C92">
            <v>5</v>
          </cell>
          <cell r="D92">
            <v>75983</v>
          </cell>
          <cell r="E92">
            <v>37992</v>
          </cell>
          <cell r="F92">
            <v>0</v>
          </cell>
          <cell r="G92">
            <v>0</v>
          </cell>
          <cell r="H92">
            <v>-22499</v>
          </cell>
          <cell r="I92">
            <v>-3294</v>
          </cell>
          <cell r="J92"/>
          <cell r="K92">
            <v>0</v>
          </cell>
          <cell r="L92">
            <v>126539</v>
          </cell>
          <cell r="M92">
            <v>124274</v>
          </cell>
          <cell r="N92">
            <v>0</v>
          </cell>
          <cell r="O92">
            <v>0</v>
          </cell>
          <cell r="P92">
            <v>0</v>
          </cell>
          <cell r="Q92">
            <v>0</v>
          </cell>
          <cell r="R92">
            <v>0</v>
          </cell>
          <cell r="S92">
            <v>0</v>
          </cell>
          <cell r="T92">
            <v>0</v>
          </cell>
          <cell r="U92">
            <v>0</v>
          </cell>
          <cell r="V92">
            <v>24000</v>
          </cell>
          <cell r="W92">
            <v>92735</v>
          </cell>
          <cell r="X92">
            <v>0</v>
          </cell>
          <cell r="Y92"/>
          <cell r="Z92">
            <v>0</v>
          </cell>
          <cell r="AA92">
            <v>0</v>
          </cell>
          <cell r="AB92">
            <v>0</v>
          </cell>
          <cell r="AC92"/>
          <cell r="AD92">
            <v>39112</v>
          </cell>
          <cell r="AE92">
            <v>0</v>
          </cell>
          <cell r="AF92">
            <v>0</v>
          </cell>
          <cell r="AG92">
            <v>0</v>
          </cell>
          <cell r="AH92">
            <v>0</v>
          </cell>
          <cell r="AI92">
            <v>0</v>
          </cell>
          <cell r="AJ92">
            <v>0</v>
          </cell>
          <cell r="AK92">
            <v>0</v>
          </cell>
          <cell r="AL92"/>
          <cell r="AM92">
            <v>0</v>
          </cell>
          <cell r="AN92">
            <v>0</v>
          </cell>
          <cell r="AO92">
            <v>0</v>
          </cell>
          <cell r="AP92">
            <v>0</v>
          </cell>
          <cell r="AQ92">
            <v>0</v>
          </cell>
          <cell r="AR92">
            <v>0</v>
          </cell>
          <cell r="AS92">
            <v>0</v>
          </cell>
          <cell r="AT92">
            <v>0</v>
          </cell>
          <cell r="AU92">
            <v>0</v>
          </cell>
          <cell r="AV92">
            <v>0</v>
          </cell>
          <cell r="AW92">
            <v>0</v>
          </cell>
          <cell r="AX92">
            <v>0</v>
          </cell>
          <cell r="AY92"/>
          <cell r="AZ92"/>
          <cell r="BA92">
            <v>0</v>
          </cell>
          <cell r="BB92"/>
          <cell r="BC92">
            <v>39440</v>
          </cell>
          <cell r="BD92">
            <v>9781</v>
          </cell>
          <cell r="BE92"/>
          <cell r="BF92">
            <v>0</v>
          </cell>
          <cell r="BG92">
            <v>0</v>
          </cell>
          <cell r="BH92">
            <v>0</v>
          </cell>
          <cell r="BI92">
            <v>34903</v>
          </cell>
          <cell r="BJ92">
            <v>28731</v>
          </cell>
          <cell r="BK92">
            <v>28731</v>
          </cell>
          <cell r="BL92">
            <v>0</v>
          </cell>
          <cell r="BM92">
            <v>0</v>
          </cell>
          <cell r="BN92">
            <v>0</v>
          </cell>
          <cell r="BO92">
            <v>68586</v>
          </cell>
          <cell r="BP92">
            <v>4744.2</v>
          </cell>
          <cell r="BQ92">
            <v>8546.5116279069807</v>
          </cell>
          <cell r="BR92">
            <v>63000</v>
          </cell>
          <cell r="BS92">
            <v>0</v>
          </cell>
          <cell r="BT92">
            <v>46343</v>
          </cell>
          <cell r="BU92"/>
          <cell r="BV92"/>
          <cell r="BW92"/>
          <cell r="BX92"/>
          <cell r="BY92">
            <v>0</v>
          </cell>
          <cell r="BZ92">
            <v>0</v>
          </cell>
          <cell r="CA92">
            <v>0</v>
          </cell>
          <cell r="CB92">
            <v>0</v>
          </cell>
          <cell r="CC92">
            <v>1895784</v>
          </cell>
          <cell r="CD92">
            <v>12958017</v>
          </cell>
          <cell r="CE92">
            <v>393973</v>
          </cell>
          <cell r="CF92">
            <v>-7973</v>
          </cell>
          <cell r="CG92">
            <v>393973</v>
          </cell>
          <cell r="CH92">
            <v>393973</v>
          </cell>
          <cell r="CI92">
            <v>393973</v>
          </cell>
          <cell r="CJ92">
            <v>393973</v>
          </cell>
          <cell r="CK92">
            <v>0</v>
          </cell>
          <cell r="CL92">
            <v>0</v>
          </cell>
          <cell r="CM92">
            <v>0</v>
          </cell>
          <cell r="CN92">
            <v>0</v>
          </cell>
          <cell r="CO92">
            <v>0</v>
          </cell>
          <cell r="CP92">
            <v>0</v>
          </cell>
          <cell r="CQ92">
            <v>3491516</v>
          </cell>
          <cell r="CR92">
            <v>3342912</v>
          </cell>
          <cell r="CS92">
            <v>3282140</v>
          </cell>
          <cell r="CT92">
            <v>3252051</v>
          </cell>
          <cell r="CU92">
            <v>3199471</v>
          </cell>
          <cell r="CV92">
            <v>29122</v>
          </cell>
          <cell r="CW92">
            <v>0</v>
          </cell>
          <cell r="CX92">
            <v>0</v>
          </cell>
          <cell r="CY92">
            <v>0</v>
          </cell>
          <cell r="CZ92">
            <v>0</v>
          </cell>
          <cell r="DA92">
            <v>80000</v>
          </cell>
          <cell r="DB92"/>
          <cell r="DC92">
            <v>0</v>
          </cell>
          <cell r="DD92">
            <v>0</v>
          </cell>
          <cell r="DE92">
            <v>0</v>
          </cell>
          <cell r="DF92">
            <v>0</v>
          </cell>
          <cell r="DG92">
            <v>0</v>
          </cell>
          <cell r="DH92">
            <v>0</v>
          </cell>
          <cell r="DI92">
            <v>0</v>
          </cell>
          <cell r="DJ92">
            <v>0</v>
          </cell>
          <cell r="DK92">
            <v>0</v>
          </cell>
          <cell r="DL92">
            <v>0</v>
          </cell>
          <cell r="DM92"/>
          <cell r="DN92"/>
          <cell r="DO92"/>
          <cell r="DP92"/>
        </row>
        <row r="93">
          <cell r="A93">
            <v>221</v>
          </cell>
          <cell r="B93" t="str">
            <v>Doesburg</v>
          </cell>
          <cell r="C93">
            <v>5</v>
          </cell>
          <cell r="D93">
            <v>12666</v>
          </cell>
          <cell r="E93">
            <v>6333</v>
          </cell>
          <cell r="F93">
            <v>0</v>
          </cell>
          <cell r="G93">
            <v>0</v>
          </cell>
          <cell r="H93">
            <v>-2967</v>
          </cell>
          <cell r="I93">
            <v>0</v>
          </cell>
          <cell r="J93"/>
          <cell r="K93">
            <v>0</v>
          </cell>
          <cell r="L93">
            <v>73954</v>
          </cell>
          <cell r="M93">
            <v>77993</v>
          </cell>
          <cell r="N93">
            <v>0</v>
          </cell>
          <cell r="O93">
            <v>0</v>
          </cell>
          <cell r="P93">
            <v>0</v>
          </cell>
          <cell r="Q93">
            <v>0</v>
          </cell>
          <cell r="R93">
            <v>0</v>
          </cell>
          <cell r="S93">
            <v>0</v>
          </cell>
          <cell r="T93">
            <v>0</v>
          </cell>
          <cell r="U93">
            <v>0</v>
          </cell>
          <cell r="V93">
            <v>0</v>
          </cell>
          <cell r="W93">
            <v>35558</v>
          </cell>
          <cell r="X93">
            <v>0</v>
          </cell>
          <cell r="Y93"/>
          <cell r="Z93">
            <v>0</v>
          </cell>
          <cell r="AA93">
            <v>0</v>
          </cell>
          <cell r="AB93">
            <v>0</v>
          </cell>
          <cell r="AC93"/>
          <cell r="AD93">
            <v>34223</v>
          </cell>
          <cell r="AE93">
            <v>0</v>
          </cell>
          <cell r="AF93">
            <v>0</v>
          </cell>
          <cell r="AG93">
            <v>0</v>
          </cell>
          <cell r="AH93">
            <v>0</v>
          </cell>
          <cell r="AI93">
            <v>0</v>
          </cell>
          <cell r="AJ93">
            <v>0</v>
          </cell>
          <cell r="AK93">
            <v>0</v>
          </cell>
          <cell r="AL93"/>
          <cell r="AM93">
            <v>0</v>
          </cell>
          <cell r="AN93">
            <v>0</v>
          </cell>
          <cell r="AO93">
            <v>0</v>
          </cell>
          <cell r="AP93">
            <v>0</v>
          </cell>
          <cell r="AQ93">
            <v>0</v>
          </cell>
          <cell r="AR93">
            <v>0</v>
          </cell>
          <cell r="AS93">
            <v>0</v>
          </cell>
          <cell r="AT93">
            <v>0</v>
          </cell>
          <cell r="AU93">
            <v>0</v>
          </cell>
          <cell r="AV93">
            <v>0</v>
          </cell>
          <cell r="AW93">
            <v>0</v>
          </cell>
          <cell r="AX93">
            <v>0</v>
          </cell>
          <cell r="AY93"/>
          <cell r="AZ93"/>
          <cell r="BA93">
            <v>0</v>
          </cell>
          <cell r="BB93"/>
          <cell r="BC93">
            <v>0</v>
          </cell>
          <cell r="BD93">
            <v>3981</v>
          </cell>
          <cell r="BE93"/>
          <cell r="BF93">
            <v>0</v>
          </cell>
          <cell r="BG93">
            <v>0</v>
          </cell>
          <cell r="BH93">
            <v>0</v>
          </cell>
          <cell r="BI93">
            <v>23887</v>
          </cell>
          <cell r="BJ93">
            <v>19662</v>
          </cell>
          <cell r="BK93">
            <v>19662</v>
          </cell>
          <cell r="BL93">
            <v>0</v>
          </cell>
          <cell r="BM93">
            <v>0</v>
          </cell>
          <cell r="BN93">
            <v>0</v>
          </cell>
          <cell r="BO93">
            <v>20430</v>
          </cell>
          <cell r="BP93">
            <v>0</v>
          </cell>
          <cell r="BQ93">
            <v>0</v>
          </cell>
          <cell r="BR93">
            <v>0</v>
          </cell>
          <cell r="BS93">
            <v>0</v>
          </cell>
          <cell r="BT93">
            <v>19770</v>
          </cell>
          <cell r="BU93"/>
          <cell r="BV93"/>
          <cell r="BW93"/>
          <cell r="BX93"/>
          <cell r="BY93">
            <v>0</v>
          </cell>
          <cell r="BZ93">
            <v>0</v>
          </cell>
          <cell r="CA93">
            <v>0</v>
          </cell>
          <cell r="CB93">
            <v>0</v>
          </cell>
          <cell r="CC93">
            <v>1158498</v>
          </cell>
          <cell r="CD93">
            <v>7442844</v>
          </cell>
          <cell r="CE93">
            <v>200292</v>
          </cell>
          <cell r="CF93">
            <v>0</v>
          </cell>
          <cell r="CG93">
            <v>200292</v>
          </cell>
          <cell r="CH93">
            <v>200292</v>
          </cell>
          <cell r="CI93">
            <v>200292</v>
          </cell>
          <cell r="CJ93">
            <v>200292</v>
          </cell>
          <cell r="CK93">
            <v>0</v>
          </cell>
          <cell r="CL93">
            <v>0</v>
          </cell>
          <cell r="CM93">
            <v>0</v>
          </cell>
          <cell r="CN93">
            <v>0</v>
          </cell>
          <cell r="CO93">
            <v>0</v>
          </cell>
          <cell r="CP93">
            <v>0</v>
          </cell>
          <cell r="CQ93">
            <v>1660401</v>
          </cell>
          <cell r="CR93">
            <v>1506439</v>
          </cell>
          <cell r="CS93">
            <v>1441086</v>
          </cell>
          <cell r="CT93">
            <v>1396568</v>
          </cell>
          <cell r="CU93">
            <v>1354164</v>
          </cell>
          <cell r="CV93">
            <v>40206</v>
          </cell>
          <cell r="CW93">
            <v>0</v>
          </cell>
          <cell r="CX93">
            <v>0</v>
          </cell>
          <cell r="CY93">
            <v>0</v>
          </cell>
          <cell r="CZ93">
            <v>0</v>
          </cell>
          <cell r="DA93">
            <v>0</v>
          </cell>
          <cell r="DB93"/>
          <cell r="DC93">
            <v>0</v>
          </cell>
          <cell r="DD93">
            <v>0</v>
          </cell>
          <cell r="DE93">
            <v>0</v>
          </cell>
          <cell r="DF93">
            <v>0</v>
          </cell>
          <cell r="DG93">
            <v>0</v>
          </cell>
          <cell r="DH93">
            <v>0</v>
          </cell>
          <cell r="DI93">
            <v>0</v>
          </cell>
          <cell r="DJ93">
            <v>0</v>
          </cell>
          <cell r="DK93">
            <v>0</v>
          </cell>
          <cell r="DL93">
            <v>0</v>
          </cell>
          <cell r="DM93"/>
          <cell r="DN93"/>
          <cell r="DO93"/>
          <cell r="DP93"/>
        </row>
        <row r="94">
          <cell r="A94">
            <v>222</v>
          </cell>
          <cell r="B94" t="str">
            <v>Doetinchem</v>
          </cell>
          <cell r="C94">
            <v>5</v>
          </cell>
          <cell r="D94">
            <v>-19349</v>
          </cell>
          <cell r="E94">
            <v>-9674</v>
          </cell>
          <cell r="F94">
            <v>0</v>
          </cell>
          <cell r="G94">
            <v>0</v>
          </cell>
          <cell r="H94">
            <v>-15440</v>
          </cell>
          <cell r="I94">
            <v>0</v>
          </cell>
          <cell r="J94"/>
          <cell r="K94">
            <v>7500</v>
          </cell>
          <cell r="L94">
            <v>247309</v>
          </cell>
          <cell r="M94">
            <v>248406</v>
          </cell>
          <cell r="N94">
            <v>0</v>
          </cell>
          <cell r="O94">
            <v>0</v>
          </cell>
          <cell r="P94">
            <v>0</v>
          </cell>
          <cell r="Q94">
            <v>0</v>
          </cell>
          <cell r="R94">
            <v>1012240</v>
          </cell>
          <cell r="S94">
            <v>0</v>
          </cell>
          <cell r="T94">
            <v>0</v>
          </cell>
          <cell r="U94">
            <v>0</v>
          </cell>
          <cell r="V94">
            <v>3000</v>
          </cell>
          <cell r="W94">
            <v>226062</v>
          </cell>
          <cell r="X94">
            <v>0</v>
          </cell>
          <cell r="Y94"/>
          <cell r="Z94">
            <v>0</v>
          </cell>
          <cell r="AA94">
            <v>0</v>
          </cell>
          <cell r="AB94">
            <v>0</v>
          </cell>
          <cell r="AC94"/>
          <cell r="AD94">
            <v>68446</v>
          </cell>
          <cell r="AE94">
            <v>0</v>
          </cell>
          <cell r="AF94">
            <v>0</v>
          </cell>
          <cell r="AG94">
            <v>0</v>
          </cell>
          <cell r="AH94">
            <v>0</v>
          </cell>
          <cell r="AI94">
            <v>0</v>
          </cell>
          <cell r="AJ94">
            <v>0</v>
          </cell>
          <cell r="AK94">
            <v>0</v>
          </cell>
          <cell r="AL94"/>
          <cell r="AM94">
            <v>0</v>
          </cell>
          <cell r="AN94">
            <v>0</v>
          </cell>
          <cell r="AO94">
            <v>0</v>
          </cell>
          <cell r="AP94">
            <v>0</v>
          </cell>
          <cell r="AQ94">
            <v>0</v>
          </cell>
          <cell r="AR94">
            <v>0</v>
          </cell>
          <cell r="AS94">
            <v>0</v>
          </cell>
          <cell r="AT94">
            <v>0</v>
          </cell>
          <cell r="AU94">
            <v>4740</v>
          </cell>
          <cell r="AV94">
            <v>3846776.7189462199</v>
          </cell>
          <cell r="AW94">
            <v>63000</v>
          </cell>
          <cell r="AX94">
            <v>0</v>
          </cell>
          <cell r="AY94"/>
          <cell r="AZ94"/>
          <cell r="BA94">
            <v>0</v>
          </cell>
          <cell r="BB94"/>
          <cell r="BC94">
            <v>0</v>
          </cell>
          <cell r="BD94">
            <v>20033</v>
          </cell>
          <cell r="BE94"/>
          <cell r="BF94">
            <v>0</v>
          </cell>
          <cell r="BG94">
            <v>0</v>
          </cell>
          <cell r="BH94">
            <v>0</v>
          </cell>
          <cell r="BI94">
            <v>96881</v>
          </cell>
          <cell r="BJ94">
            <v>79747</v>
          </cell>
          <cell r="BK94">
            <v>79747</v>
          </cell>
          <cell r="BL94">
            <v>0</v>
          </cell>
          <cell r="BM94">
            <v>0</v>
          </cell>
          <cell r="BN94">
            <v>0</v>
          </cell>
          <cell r="BO94">
            <v>143983</v>
          </cell>
          <cell r="BP94">
            <v>17395.400000000001</v>
          </cell>
          <cell r="BQ94">
            <v>31337.209302325598</v>
          </cell>
          <cell r="BR94">
            <v>0</v>
          </cell>
          <cell r="BS94">
            <v>0</v>
          </cell>
          <cell r="BT94">
            <v>92387</v>
          </cell>
          <cell r="BU94"/>
          <cell r="BV94"/>
          <cell r="BW94"/>
          <cell r="BX94"/>
          <cell r="BY94">
            <v>0</v>
          </cell>
          <cell r="BZ94">
            <v>0</v>
          </cell>
          <cell r="CA94">
            <v>0</v>
          </cell>
          <cell r="CB94">
            <v>0</v>
          </cell>
          <cell r="CC94">
            <v>5176566</v>
          </cell>
          <cell r="CD94">
            <v>64928718</v>
          </cell>
          <cell r="CE94">
            <v>2369307</v>
          </cell>
          <cell r="CF94">
            <v>0</v>
          </cell>
          <cell r="CG94">
            <v>2369307</v>
          </cell>
          <cell r="CH94">
            <v>2369307</v>
          </cell>
          <cell r="CI94">
            <v>2369307</v>
          </cell>
          <cell r="CJ94">
            <v>2369307</v>
          </cell>
          <cell r="CK94">
            <v>32177189</v>
          </cell>
          <cell r="CL94">
            <v>32161039</v>
          </cell>
          <cell r="CM94">
            <v>32160778</v>
          </cell>
          <cell r="CN94">
            <v>32160203</v>
          </cell>
          <cell r="CO94">
            <v>32160999</v>
          </cell>
          <cell r="CP94">
            <v>0</v>
          </cell>
          <cell r="CQ94">
            <v>8740910</v>
          </cell>
          <cell r="CR94">
            <v>8350539</v>
          </cell>
          <cell r="CS94">
            <v>8112137</v>
          </cell>
          <cell r="CT94">
            <v>7915026</v>
          </cell>
          <cell r="CU94">
            <v>7694094</v>
          </cell>
          <cell r="CV94">
            <v>-28105</v>
          </cell>
          <cell r="CW94">
            <v>0</v>
          </cell>
          <cell r="CX94">
            <v>0</v>
          </cell>
          <cell r="CY94">
            <v>0</v>
          </cell>
          <cell r="CZ94">
            <v>0</v>
          </cell>
          <cell r="DA94">
            <v>0</v>
          </cell>
          <cell r="DB94"/>
          <cell r="DC94">
            <v>0</v>
          </cell>
          <cell r="DD94">
            <v>0</v>
          </cell>
          <cell r="DE94">
            <v>0</v>
          </cell>
          <cell r="DF94">
            <v>0</v>
          </cell>
          <cell r="DG94">
            <v>0</v>
          </cell>
          <cell r="DH94">
            <v>0</v>
          </cell>
          <cell r="DI94">
            <v>0</v>
          </cell>
          <cell r="DJ94">
            <v>0</v>
          </cell>
          <cell r="DK94">
            <v>0</v>
          </cell>
          <cell r="DL94">
            <v>0</v>
          </cell>
          <cell r="DM94"/>
          <cell r="DN94"/>
          <cell r="DO94"/>
          <cell r="DP94"/>
        </row>
        <row r="95">
          <cell r="A95">
            <v>225</v>
          </cell>
          <cell r="B95" t="str">
            <v>Druten</v>
          </cell>
          <cell r="C95">
            <v>5</v>
          </cell>
          <cell r="D95">
            <v>24245</v>
          </cell>
          <cell r="E95">
            <v>12123</v>
          </cell>
          <cell r="F95">
            <v>0</v>
          </cell>
          <cell r="G95">
            <v>0</v>
          </cell>
          <cell r="H95">
            <v>-26365</v>
          </cell>
          <cell r="I95">
            <v>-19031</v>
          </cell>
          <cell r="J95"/>
          <cell r="K95">
            <v>0</v>
          </cell>
          <cell r="L95">
            <v>73337</v>
          </cell>
          <cell r="M95">
            <v>67851</v>
          </cell>
          <cell r="N95">
            <v>0</v>
          </cell>
          <cell r="O95">
            <v>0</v>
          </cell>
          <cell r="P95">
            <v>0</v>
          </cell>
          <cell r="Q95">
            <v>0</v>
          </cell>
          <cell r="R95">
            <v>0</v>
          </cell>
          <cell r="S95">
            <v>0</v>
          </cell>
          <cell r="T95">
            <v>0</v>
          </cell>
          <cell r="U95">
            <v>0</v>
          </cell>
          <cell r="V95">
            <v>3000</v>
          </cell>
          <cell r="W95">
            <v>78723</v>
          </cell>
          <cell r="X95">
            <v>0</v>
          </cell>
          <cell r="Y95"/>
          <cell r="Z95">
            <v>0</v>
          </cell>
          <cell r="AA95">
            <v>0</v>
          </cell>
          <cell r="AB95">
            <v>0</v>
          </cell>
          <cell r="AC95"/>
          <cell r="AD95">
            <v>0</v>
          </cell>
          <cell r="AE95">
            <v>0</v>
          </cell>
          <cell r="AF95">
            <v>0</v>
          </cell>
          <cell r="AG95">
            <v>0</v>
          </cell>
          <cell r="AH95">
            <v>0</v>
          </cell>
          <cell r="AI95">
            <v>0</v>
          </cell>
          <cell r="AJ95">
            <v>0</v>
          </cell>
          <cell r="AK95">
            <v>0</v>
          </cell>
          <cell r="AL95"/>
          <cell r="AM95">
            <v>0</v>
          </cell>
          <cell r="AN95">
            <v>0</v>
          </cell>
          <cell r="AO95">
            <v>0</v>
          </cell>
          <cell r="AP95">
            <v>0</v>
          </cell>
          <cell r="AQ95">
            <v>0</v>
          </cell>
          <cell r="AR95">
            <v>0</v>
          </cell>
          <cell r="AS95">
            <v>0</v>
          </cell>
          <cell r="AT95">
            <v>0</v>
          </cell>
          <cell r="AU95">
            <v>0</v>
          </cell>
          <cell r="AV95">
            <v>0</v>
          </cell>
          <cell r="AW95">
            <v>0</v>
          </cell>
          <cell r="AX95">
            <v>0</v>
          </cell>
          <cell r="AY95"/>
          <cell r="AZ95"/>
          <cell r="BA95">
            <v>0</v>
          </cell>
          <cell r="BB95"/>
          <cell r="BC95">
            <v>0</v>
          </cell>
          <cell r="BD95">
            <v>6516</v>
          </cell>
          <cell r="BE95"/>
          <cell r="BF95">
            <v>0</v>
          </cell>
          <cell r="BG95">
            <v>0</v>
          </cell>
          <cell r="BH95">
            <v>0</v>
          </cell>
          <cell r="BI95">
            <v>24633</v>
          </cell>
          <cell r="BJ95">
            <v>20276</v>
          </cell>
          <cell r="BK95">
            <v>20276</v>
          </cell>
          <cell r="BL95">
            <v>0</v>
          </cell>
          <cell r="BM95">
            <v>0</v>
          </cell>
          <cell r="BN95">
            <v>0</v>
          </cell>
          <cell r="BO95">
            <v>152738</v>
          </cell>
          <cell r="BP95">
            <v>11069.8</v>
          </cell>
          <cell r="BQ95">
            <v>19941.8604651163</v>
          </cell>
          <cell r="BR95">
            <v>0</v>
          </cell>
          <cell r="BS95">
            <v>0</v>
          </cell>
          <cell r="BT95">
            <v>31459</v>
          </cell>
          <cell r="BU95"/>
          <cell r="BV95"/>
          <cell r="BW95"/>
          <cell r="BX95"/>
          <cell r="BY95">
            <v>0</v>
          </cell>
          <cell r="BZ95">
            <v>0</v>
          </cell>
          <cell r="CA95">
            <v>0</v>
          </cell>
          <cell r="CB95">
            <v>0</v>
          </cell>
          <cell r="CC95">
            <v>1472507</v>
          </cell>
          <cell r="CD95">
            <v>9311036</v>
          </cell>
          <cell r="CE95">
            <v>354866</v>
          </cell>
          <cell r="CF95">
            <v>-24208</v>
          </cell>
          <cell r="CG95">
            <v>354866</v>
          </cell>
          <cell r="CH95">
            <v>354866</v>
          </cell>
          <cell r="CI95">
            <v>354866</v>
          </cell>
          <cell r="CJ95">
            <v>354866</v>
          </cell>
          <cell r="CK95">
            <v>0</v>
          </cell>
          <cell r="CL95">
            <v>0</v>
          </cell>
          <cell r="CM95">
            <v>0</v>
          </cell>
          <cell r="CN95">
            <v>0</v>
          </cell>
          <cell r="CO95">
            <v>0</v>
          </cell>
          <cell r="CP95">
            <v>-3227</v>
          </cell>
          <cell r="CQ95">
            <v>2257909</v>
          </cell>
          <cell r="CR95">
            <v>2114704</v>
          </cell>
          <cell r="CS95">
            <v>2065738</v>
          </cell>
          <cell r="CT95">
            <v>2021576</v>
          </cell>
          <cell r="CU95">
            <v>1973231</v>
          </cell>
          <cell r="CV95">
            <v>-7285</v>
          </cell>
          <cell r="CW95">
            <v>0</v>
          </cell>
          <cell r="CX95">
            <v>0</v>
          </cell>
          <cell r="CY95">
            <v>0</v>
          </cell>
          <cell r="CZ95">
            <v>0</v>
          </cell>
          <cell r="DA95">
            <v>0</v>
          </cell>
          <cell r="DB95"/>
          <cell r="DC95">
            <v>0</v>
          </cell>
          <cell r="DD95">
            <v>0</v>
          </cell>
          <cell r="DE95">
            <v>0</v>
          </cell>
          <cell r="DF95">
            <v>0</v>
          </cell>
          <cell r="DG95">
            <v>0</v>
          </cell>
          <cell r="DH95">
            <v>0</v>
          </cell>
          <cell r="DI95">
            <v>0</v>
          </cell>
          <cell r="DJ95">
            <v>0</v>
          </cell>
          <cell r="DK95">
            <v>0</v>
          </cell>
          <cell r="DL95">
            <v>0</v>
          </cell>
          <cell r="DM95"/>
          <cell r="DN95"/>
          <cell r="DO95"/>
          <cell r="DP95"/>
        </row>
        <row r="96">
          <cell r="A96">
            <v>226</v>
          </cell>
          <cell r="B96" t="str">
            <v>Duiven</v>
          </cell>
          <cell r="C96">
            <v>5</v>
          </cell>
          <cell r="D96">
            <v>-10226</v>
          </cell>
          <cell r="E96">
            <v>-5113</v>
          </cell>
          <cell r="F96">
            <v>0</v>
          </cell>
          <cell r="G96">
            <v>0</v>
          </cell>
          <cell r="H96">
            <v>0</v>
          </cell>
          <cell r="I96">
            <v>-6788</v>
          </cell>
          <cell r="J96"/>
          <cell r="K96">
            <v>0</v>
          </cell>
          <cell r="L96">
            <v>98486</v>
          </cell>
          <cell r="M96">
            <v>95586</v>
          </cell>
          <cell r="N96">
            <v>0</v>
          </cell>
          <cell r="O96">
            <v>0</v>
          </cell>
          <cell r="P96">
            <v>0</v>
          </cell>
          <cell r="Q96">
            <v>0</v>
          </cell>
          <cell r="R96">
            <v>0</v>
          </cell>
          <cell r="S96">
            <v>0</v>
          </cell>
          <cell r="T96">
            <v>0</v>
          </cell>
          <cell r="U96">
            <v>0</v>
          </cell>
          <cell r="V96">
            <v>0</v>
          </cell>
          <cell r="W96">
            <v>72531</v>
          </cell>
          <cell r="X96">
            <v>0</v>
          </cell>
          <cell r="Y96"/>
          <cell r="Z96">
            <v>0</v>
          </cell>
          <cell r="AA96">
            <v>0</v>
          </cell>
          <cell r="AB96">
            <v>0</v>
          </cell>
          <cell r="AC96"/>
          <cell r="AD96">
            <v>0</v>
          </cell>
          <cell r="AE96">
            <v>0</v>
          </cell>
          <cell r="AF96">
            <v>0</v>
          </cell>
          <cell r="AG96">
            <v>0</v>
          </cell>
          <cell r="AH96">
            <v>0</v>
          </cell>
          <cell r="AI96">
            <v>0</v>
          </cell>
          <cell r="AJ96">
            <v>0</v>
          </cell>
          <cell r="AK96">
            <v>0</v>
          </cell>
          <cell r="AL96"/>
          <cell r="AM96">
            <v>0</v>
          </cell>
          <cell r="AN96">
            <v>0</v>
          </cell>
          <cell r="AO96">
            <v>0</v>
          </cell>
          <cell r="AP96">
            <v>0</v>
          </cell>
          <cell r="AQ96">
            <v>0</v>
          </cell>
          <cell r="AR96">
            <v>0</v>
          </cell>
          <cell r="AS96">
            <v>0</v>
          </cell>
          <cell r="AT96">
            <v>0</v>
          </cell>
          <cell r="AU96">
            <v>2370</v>
          </cell>
          <cell r="AV96">
            <v>0</v>
          </cell>
          <cell r="AW96">
            <v>0</v>
          </cell>
          <cell r="AX96">
            <v>0</v>
          </cell>
          <cell r="AY96"/>
          <cell r="AZ96"/>
          <cell r="BA96">
            <v>0</v>
          </cell>
          <cell r="BB96"/>
          <cell r="BC96">
            <v>0</v>
          </cell>
          <cell r="BD96">
            <v>8916</v>
          </cell>
          <cell r="BE96"/>
          <cell r="BF96">
            <v>0</v>
          </cell>
          <cell r="BG96">
            <v>0</v>
          </cell>
          <cell r="BH96">
            <v>0</v>
          </cell>
          <cell r="BI96">
            <v>30083</v>
          </cell>
          <cell r="BJ96">
            <v>24763</v>
          </cell>
          <cell r="BK96">
            <v>24763</v>
          </cell>
          <cell r="BL96">
            <v>0</v>
          </cell>
          <cell r="BM96">
            <v>0</v>
          </cell>
          <cell r="BN96">
            <v>0</v>
          </cell>
          <cell r="BO96">
            <v>63236</v>
          </cell>
          <cell r="BP96">
            <v>6325.6</v>
          </cell>
          <cell r="BQ96">
            <v>11395.3488372093</v>
          </cell>
          <cell r="BR96">
            <v>0</v>
          </cell>
          <cell r="BS96">
            <v>0</v>
          </cell>
          <cell r="BT96">
            <v>44503</v>
          </cell>
          <cell r="BU96"/>
          <cell r="BV96"/>
          <cell r="BW96"/>
          <cell r="BX96"/>
          <cell r="BY96">
            <v>0</v>
          </cell>
          <cell r="BZ96">
            <v>0</v>
          </cell>
          <cell r="CA96">
            <v>0</v>
          </cell>
          <cell r="CB96">
            <v>0</v>
          </cell>
          <cell r="CC96">
            <v>1782455</v>
          </cell>
          <cell r="CD96">
            <v>10826403</v>
          </cell>
          <cell r="CE96">
            <v>429827</v>
          </cell>
          <cell r="CF96">
            <v>0</v>
          </cell>
          <cell r="CG96">
            <v>429827</v>
          </cell>
          <cell r="CH96">
            <v>429827</v>
          </cell>
          <cell r="CI96">
            <v>429827</v>
          </cell>
          <cell r="CJ96">
            <v>429827</v>
          </cell>
          <cell r="CK96">
            <v>0</v>
          </cell>
          <cell r="CL96">
            <v>0</v>
          </cell>
          <cell r="CM96">
            <v>0</v>
          </cell>
          <cell r="CN96">
            <v>0</v>
          </cell>
          <cell r="CO96">
            <v>0</v>
          </cell>
          <cell r="CP96">
            <v>-2458</v>
          </cell>
          <cell r="CQ96">
            <v>1913392</v>
          </cell>
          <cell r="CR96">
            <v>1855875</v>
          </cell>
          <cell r="CS96">
            <v>1794151</v>
          </cell>
          <cell r="CT96">
            <v>1738140</v>
          </cell>
          <cell r="CU96">
            <v>1669932</v>
          </cell>
          <cell r="CV96">
            <v>69381</v>
          </cell>
          <cell r="CW96">
            <v>0</v>
          </cell>
          <cell r="CX96">
            <v>0</v>
          </cell>
          <cell r="CY96">
            <v>0</v>
          </cell>
          <cell r="CZ96">
            <v>0</v>
          </cell>
          <cell r="DA96">
            <v>0</v>
          </cell>
          <cell r="DB96"/>
          <cell r="DC96">
            <v>0</v>
          </cell>
          <cell r="DD96">
            <v>0</v>
          </cell>
          <cell r="DE96">
            <v>0</v>
          </cell>
          <cell r="DF96">
            <v>0</v>
          </cell>
          <cell r="DG96">
            <v>0</v>
          </cell>
          <cell r="DH96">
            <v>0</v>
          </cell>
          <cell r="DI96">
            <v>0</v>
          </cell>
          <cell r="DJ96">
            <v>0</v>
          </cell>
          <cell r="DK96">
            <v>0</v>
          </cell>
          <cell r="DL96">
            <v>0</v>
          </cell>
          <cell r="DM96"/>
          <cell r="DN96"/>
          <cell r="DO96"/>
          <cell r="DP96"/>
        </row>
        <row r="97">
          <cell r="A97">
            <v>228</v>
          </cell>
          <cell r="B97" t="str">
            <v>Ede</v>
          </cell>
          <cell r="C97">
            <v>5</v>
          </cell>
          <cell r="D97">
            <v>195036</v>
          </cell>
          <cell r="E97">
            <v>97518</v>
          </cell>
          <cell r="F97">
            <v>0</v>
          </cell>
          <cell r="G97">
            <v>999978</v>
          </cell>
          <cell r="H97">
            <v>-10723</v>
          </cell>
          <cell r="I97">
            <v>0</v>
          </cell>
          <cell r="J97"/>
          <cell r="K97">
            <v>0</v>
          </cell>
          <cell r="L97">
            <v>478641</v>
          </cell>
          <cell r="M97">
            <v>439674</v>
          </cell>
          <cell r="N97">
            <v>0</v>
          </cell>
          <cell r="O97">
            <v>0</v>
          </cell>
          <cell r="P97">
            <v>150000</v>
          </cell>
          <cell r="Q97">
            <v>0</v>
          </cell>
          <cell r="R97">
            <v>0</v>
          </cell>
          <cell r="S97">
            <v>0</v>
          </cell>
          <cell r="T97">
            <v>0</v>
          </cell>
          <cell r="U97">
            <v>0</v>
          </cell>
          <cell r="V97">
            <v>18000</v>
          </cell>
          <cell r="W97">
            <v>474088</v>
          </cell>
          <cell r="X97">
            <v>0</v>
          </cell>
          <cell r="Y97"/>
          <cell r="Z97">
            <v>0</v>
          </cell>
          <cell r="AA97">
            <v>0</v>
          </cell>
          <cell r="AB97">
            <v>0</v>
          </cell>
          <cell r="AC97"/>
          <cell r="AD97">
            <v>116358</v>
          </cell>
          <cell r="AE97">
            <v>0</v>
          </cell>
          <cell r="AF97">
            <v>0</v>
          </cell>
          <cell r="AG97">
            <v>0</v>
          </cell>
          <cell r="AH97">
            <v>0</v>
          </cell>
          <cell r="AI97">
            <v>0</v>
          </cell>
          <cell r="AJ97">
            <v>0</v>
          </cell>
          <cell r="AK97">
            <v>58600</v>
          </cell>
          <cell r="AL97"/>
          <cell r="AM97">
            <v>0</v>
          </cell>
          <cell r="AN97">
            <v>0</v>
          </cell>
          <cell r="AO97">
            <v>0</v>
          </cell>
          <cell r="AP97">
            <v>0</v>
          </cell>
          <cell r="AQ97">
            <v>0</v>
          </cell>
          <cell r="AR97">
            <v>0</v>
          </cell>
          <cell r="AS97">
            <v>0</v>
          </cell>
          <cell r="AT97">
            <v>0</v>
          </cell>
          <cell r="AU97">
            <v>18960</v>
          </cell>
          <cell r="AV97">
            <v>2282247.0085415202</v>
          </cell>
          <cell r="AW97">
            <v>117852</v>
          </cell>
          <cell r="AX97">
            <v>0</v>
          </cell>
          <cell r="AY97"/>
          <cell r="AZ97"/>
          <cell r="BA97">
            <v>0</v>
          </cell>
          <cell r="BB97"/>
          <cell r="BC97">
            <v>0</v>
          </cell>
          <cell r="BD97">
            <v>39815</v>
          </cell>
          <cell r="BE97"/>
          <cell r="BF97">
            <v>0</v>
          </cell>
          <cell r="BG97">
            <v>0</v>
          </cell>
          <cell r="BH97">
            <v>0</v>
          </cell>
          <cell r="BI97">
            <v>135324</v>
          </cell>
          <cell r="BJ97">
            <v>111392</v>
          </cell>
          <cell r="BK97">
            <v>111392</v>
          </cell>
          <cell r="BL97">
            <v>0</v>
          </cell>
          <cell r="BM97">
            <v>0</v>
          </cell>
          <cell r="BN97">
            <v>0</v>
          </cell>
          <cell r="BO97">
            <v>314719</v>
          </cell>
          <cell r="BP97">
            <v>45860.6</v>
          </cell>
          <cell r="BQ97">
            <v>82616.279069767406</v>
          </cell>
          <cell r="BR97">
            <v>0</v>
          </cell>
          <cell r="BS97">
            <v>0</v>
          </cell>
          <cell r="BT97">
            <v>200532</v>
          </cell>
          <cell r="BU97"/>
          <cell r="BV97"/>
          <cell r="BW97"/>
          <cell r="BX97"/>
          <cell r="BY97">
            <v>1375795.6280091901</v>
          </cell>
          <cell r="BZ97">
            <v>1594824.7405703799</v>
          </cell>
          <cell r="CA97">
            <v>1613535.7702866599</v>
          </cell>
          <cell r="CB97">
            <v>1666366.91301498</v>
          </cell>
          <cell r="CC97">
            <v>7827019</v>
          </cell>
          <cell r="CD97">
            <v>71427110</v>
          </cell>
          <cell r="CE97">
            <v>7002124</v>
          </cell>
          <cell r="CF97">
            <v>0</v>
          </cell>
          <cell r="CG97">
            <v>7002124</v>
          </cell>
          <cell r="CH97">
            <v>7002124</v>
          </cell>
          <cell r="CI97">
            <v>7002124</v>
          </cell>
          <cell r="CJ97">
            <v>7002124</v>
          </cell>
          <cell r="CK97">
            <v>21264386</v>
          </cell>
          <cell r="CL97">
            <v>21253924</v>
          </cell>
          <cell r="CM97">
            <v>21253754</v>
          </cell>
          <cell r="CN97">
            <v>21253382</v>
          </cell>
          <cell r="CO97">
            <v>21253898</v>
          </cell>
          <cell r="CP97">
            <v>0</v>
          </cell>
          <cell r="CQ97">
            <v>9317607</v>
          </cell>
          <cell r="CR97">
            <v>8875663</v>
          </cell>
          <cell r="CS97">
            <v>8633055</v>
          </cell>
          <cell r="CT97">
            <v>8480691</v>
          </cell>
          <cell r="CU97">
            <v>8214019</v>
          </cell>
          <cell r="CV97">
            <v>72812</v>
          </cell>
          <cell r="CW97">
            <v>0</v>
          </cell>
          <cell r="CX97">
            <v>0</v>
          </cell>
          <cell r="CY97">
            <v>0</v>
          </cell>
          <cell r="CZ97">
            <v>0</v>
          </cell>
          <cell r="DA97">
            <v>0</v>
          </cell>
          <cell r="DB97"/>
          <cell r="DC97">
            <v>0</v>
          </cell>
          <cell r="DD97">
            <v>0</v>
          </cell>
          <cell r="DE97">
            <v>0</v>
          </cell>
          <cell r="DF97">
            <v>0</v>
          </cell>
          <cell r="DG97">
            <v>0</v>
          </cell>
          <cell r="DH97">
            <v>0</v>
          </cell>
          <cell r="DI97">
            <v>0</v>
          </cell>
          <cell r="DJ97">
            <v>0</v>
          </cell>
          <cell r="DK97">
            <v>0</v>
          </cell>
          <cell r="DL97">
            <v>0</v>
          </cell>
          <cell r="DM97"/>
          <cell r="DN97"/>
          <cell r="DO97"/>
          <cell r="DP97"/>
        </row>
        <row r="98">
          <cell r="A98">
            <v>230</v>
          </cell>
          <cell r="B98" t="str">
            <v>Elburg</v>
          </cell>
          <cell r="C98">
            <v>5</v>
          </cell>
          <cell r="D98">
            <v>-30844</v>
          </cell>
          <cell r="E98">
            <v>-15422</v>
          </cell>
          <cell r="F98">
            <v>0</v>
          </cell>
          <cell r="G98">
            <v>0</v>
          </cell>
          <cell r="H98">
            <v>-7115</v>
          </cell>
          <cell r="I98">
            <v>-2730</v>
          </cell>
          <cell r="J98"/>
          <cell r="K98">
            <v>0</v>
          </cell>
          <cell r="L98">
            <v>80142</v>
          </cell>
          <cell r="M98">
            <v>68137</v>
          </cell>
          <cell r="N98">
            <v>0</v>
          </cell>
          <cell r="O98">
            <v>0</v>
          </cell>
          <cell r="P98">
            <v>0</v>
          </cell>
          <cell r="Q98">
            <v>0</v>
          </cell>
          <cell r="R98">
            <v>0</v>
          </cell>
          <cell r="S98">
            <v>0</v>
          </cell>
          <cell r="T98">
            <v>0</v>
          </cell>
          <cell r="U98">
            <v>0</v>
          </cell>
          <cell r="V98">
            <v>0</v>
          </cell>
          <cell r="W98">
            <v>99910</v>
          </cell>
          <cell r="X98">
            <v>0</v>
          </cell>
          <cell r="Y98"/>
          <cell r="Z98">
            <v>0</v>
          </cell>
          <cell r="AA98">
            <v>0</v>
          </cell>
          <cell r="AB98">
            <v>0</v>
          </cell>
          <cell r="AC98"/>
          <cell r="AD98">
            <v>0</v>
          </cell>
          <cell r="AE98">
            <v>0</v>
          </cell>
          <cell r="AF98">
            <v>0</v>
          </cell>
          <cell r="AG98">
            <v>0</v>
          </cell>
          <cell r="AH98">
            <v>0</v>
          </cell>
          <cell r="AI98">
            <v>0</v>
          </cell>
          <cell r="AJ98">
            <v>0</v>
          </cell>
          <cell r="AK98">
            <v>0</v>
          </cell>
          <cell r="AL98"/>
          <cell r="AM98">
            <v>0</v>
          </cell>
          <cell r="AN98">
            <v>0</v>
          </cell>
          <cell r="AO98">
            <v>0</v>
          </cell>
          <cell r="AP98">
            <v>0</v>
          </cell>
          <cell r="AQ98">
            <v>0</v>
          </cell>
          <cell r="AR98">
            <v>0</v>
          </cell>
          <cell r="AS98">
            <v>0</v>
          </cell>
          <cell r="AT98">
            <v>0</v>
          </cell>
          <cell r="AU98">
            <v>2370</v>
          </cell>
          <cell r="AV98">
            <v>0</v>
          </cell>
          <cell r="AW98">
            <v>0</v>
          </cell>
          <cell r="AX98">
            <v>0</v>
          </cell>
          <cell r="AY98"/>
          <cell r="AZ98"/>
          <cell r="BA98">
            <v>0</v>
          </cell>
          <cell r="BB98"/>
          <cell r="BC98">
            <v>0</v>
          </cell>
          <cell r="BD98">
            <v>8083</v>
          </cell>
          <cell r="BE98"/>
          <cell r="BF98">
            <v>0</v>
          </cell>
          <cell r="BG98">
            <v>0</v>
          </cell>
          <cell r="BH98">
            <v>0</v>
          </cell>
          <cell r="BI98">
            <v>24964</v>
          </cell>
          <cell r="BJ98">
            <v>20549</v>
          </cell>
          <cell r="BK98">
            <v>20549</v>
          </cell>
          <cell r="BL98">
            <v>0</v>
          </cell>
          <cell r="BM98">
            <v>0</v>
          </cell>
          <cell r="BN98">
            <v>0</v>
          </cell>
          <cell r="BO98">
            <v>27240</v>
          </cell>
          <cell r="BP98">
            <v>9488.4</v>
          </cell>
          <cell r="BQ98">
            <v>17093.023255814001</v>
          </cell>
          <cell r="BR98">
            <v>0</v>
          </cell>
          <cell r="BS98">
            <v>0</v>
          </cell>
          <cell r="BT98">
            <v>40500</v>
          </cell>
          <cell r="BU98"/>
          <cell r="BV98"/>
          <cell r="BW98"/>
          <cell r="BX98"/>
          <cell r="BY98">
            <v>0</v>
          </cell>
          <cell r="BZ98">
            <v>0</v>
          </cell>
          <cell r="CA98">
            <v>0</v>
          </cell>
          <cell r="CB98">
            <v>0</v>
          </cell>
          <cell r="CC98">
            <v>1647279</v>
          </cell>
          <cell r="CD98">
            <v>11711379</v>
          </cell>
          <cell r="CE98">
            <v>626235</v>
          </cell>
          <cell r="CF98">
            <v>-6544</v>
          </cell>
          <cell r="CG98">
            <v>626235</v>
          </cell>
          <cell r="CH98">
            <v>626235</v>
          </cell>
          <cell r="CI98">
            <v>626235</v>
          </cell>
          <cell r="CJ98">
            <v>626235</v>
          </cell>
          <cell r="CK98">
            <v>0</v>
          </cell>
          <cell r="CL98">
            <v>0</v>
          </cell>
          <cell r="CM98">
            <v>0</v>
          </cell>
          <cell r="CN98">
            <v>0</v>
          </cell>
          <cell r="CO98">
            <v>0</v>
          </cell>
          <cell r="CP98">
            <v>0</v>
          </cell>
          <cell r="CQ98">
            <v>3241037</v>
          </cell>
          <cell r="CR98">
            <v>3079177</v>
          </cell>
          <cell r="CS98">
            <v>3000269</v>
          </cell>
          <cell r="CT98">
            <v>2953251</v>
          </cell>
          <cell r="CU98">
            <v>2886321</v>
          </cell>
          <cell r="CV98">
            <v>-33907</v>
          </cell>
          <cell r="CW98">
            <v>0</v>
          </cell>
          <cell r="CX98">
            <v>0</v>
          </cell>
          <cell r="CY98">
            <v>0</v>
          </cell>
          <cell r="CZ98">
            <v>0</v>
          </cell>
          <cell r="DA98">
            <v>0</v>
          </cell>
          <cell r="DB98"/>
          <cell r="DC98">
            <v>0</v>
          </cell>
          <cell r="DD98">
            <v>0</v>
          </cell>
          <cell r="DE98">
            <v>0</v>
          </cell>
          <cell r="DF98">
            <v>0</v>
          </cell>
          <cell r="DG98">
            <v>0</v>
          </cell>
          <cell r="DH98">
            <v>0</v>
          </cell>
          <cell r="DI98">
            <v>0</v>
          </cell>
          <cell r="DJ98">
            <v>0</v>
          </cell>
          <cell r="DK98">
            <v>0</v>
          </cell>
          <cell r="DL98">
            <v>0</v>
          </cell>
          <cell r="DM98"/>
          <cell r="DN98"/>
          <cell r="DO98"/>
          <cell r="DP98"/>
        </row>
        <row r="99">
          <cell r="A99">
            <v>232</v>
          </cell>
          <cell r="B99" t="str">
            <v>Epe</v>
          </cell>
          <cell r="C99">
            <v>5</v>
          </cell>
          <cell r="D99">
            <v>-52374</v>
          </cell>
          <cell r="E99">
            <v>-26187</v>
          </cell>
          <cell r="F99">
            <v>0</v>
          </cell>
          <cell r="G99">
            <v>0</v>
          </cell>
          <cell r="H99">
            <v>-19604</v>
          </cell>
          <cell r="I99">
            <v>-8471</v>
          </cell>
          <cell r="J99"/>
          <cell r="K99">
            <v>0</v>
          </cell>
          <cell r="L99">
            <v>113408</v>
          </cell>
          <cell r="M99">
            <v>114275</v>
          </cell>
          <cell r="N99">
            <v>0</v>
          </cell>
          <cell r="O99">
            <v>0</v>
          </cell>
          <cell r="P99">
            <v>0</v>
          </cell>
          <cell r="Q99">
            <v>0</v>
          </cell>
          <cell r="R99">
            <v>0</v>
          </cell>
          <cell r="S99">
            <v>0</v>
          </cell>
          <cell r="T99">
            <v>0</v>
          </cell>
          <cell r="U99">
            <v>0</v>
          </cell>
          <cell r="V99">
            <v>3000</v>
          </cell>
          <cell r="W99">
            <v>125374</v>
          </cell>
          <cell r="X99">
            <v>0</v>
          </cell>
          <cell r="Y99"/>
          <cell r="Z99">
            <v>0</v>
          </cell>
          <cell r="AA99">
            <v>0</v>
          </cell>
          <cell r="AB99">
            <v>0</v>
          </cell>
          <cell r="AC99"/>
          <cell r="AD99">
            <v>24445</v>
          </cell>
          <cell r="AE99">
            <v>0</v>
          </cell>
          <cell r="AF99">
            <v>0</v>
          </cell>
          <cell r="AG99">
            <v>0</v>
          </cell>
          <cell r="AH99">
            <v>0</v>
          </cell>
          <cell r="AI99">
            <v>0</v>
          </cell>
          <cell r="AJ99">
            <v>0</v>
          </cell>
          <cell r="AK99">
            <v>0</v>
          </cell>
          <cell r="AL99"/>
          <cell r="AM99">
            <v>0</v>
          </cell>
          <cell r="AN99">
            <v>0</v>
          </cell>
          <cell r="AO99">
            <v>0</v>
          </cell>
          <cell r="AP99">
            <v>0</v>
          </cell>
          <cell r="AQ99">
            <v>0</v>
          </cell>
          <cell r="AR99">
            <v>0</v>
          </cell>
          <cell r="AS99">
            <v>0</v>
          </cell>
          <cell r="AT99">
            <v>0</v>
          </cell>
          <cell r="AU99">
            <v>7110</v>
          </cell>
          <cell r="AV99">
            <v>0</v>
          </cell>
          <cell r="AW99">
            <v>0</v>
          </cell>
          <cell r="AX99">
            <v>0</v>
          </cell>
          <cell r="AY99"/>
          <cell r="AZ99"/>
          <cell r="BA99">
            <v>0</v>
          </cell>
          <cell r="BB99"/>
          <cell r="BC99">
            <v>0</v>
          </cell>
          <cell r="BD99">
            <v>11422</v>
          </cell>
          <cell r="BE99"/>
          <cell r="BF99">
            <v>0</v>
          </cell>
          <cell r="BG99">
            <v>0</v>
          </cell>
          <cell r="BH99">
            <v>0</v>
          </cell>
          <cell r="BI99">
            <v>43820</v>
          </cell>
          <cell r="BJ99">
            <v>36070</v>
          </cell>
          <cell r="BK99">
            <v>36070</v>
          </cell>
          <cell r="BL99">
            <v>0</v>
          </cell>
          <cell r="BM99">
            <v>0</v>
          </cell>
          <cell r="BN99">
            <v>0</v>
          </cell>
          <cell r="BO99">
            <v>72964</v>
          </cell>
          <cell r="BP99">
            <v>9488.4</v>
          </cell>
          <cell r="BQ99">
            <v>17093.023255814001</v>
          </cell>
          <cell r="BR99">
            <v>0</v>
          </cell>
          <cell r="BS99">
            <v>0</v>
          </cell>
          <cell r="BT99">
            <v>53794</v>
          </cell>
          <cell r="BU99"/>
          <cell r="BV99"/>
          <cell r="BW99"/>
          <cell r="BX99"/>
          <cell r="BY99">
            <v>0</v>
          </cell>
          <cell r="BZ99">
            <v>0</v>
          </cell>
          <cell r="CA99">
            <v>0</v>
          </cell>
          <cell r="CB99">
            <v>0</v>
          </cell>
          <cell r="CC99">
            <v>2998318</v>
          </cell>
          <cell r="CD99">
            <v>15937451</v>
          </cell>
          <cell r="CE99">
            <v>808183</v>
          </cell>
          <cell r="CF99">
            <v>-20569</v>
          </cell>
          <cell r="CG99">
            <v>808183</v>
          </cell>
          <cell r="CH99">
            <v>808183</v>
          </cell>
          <cell r="CI99">
            <v>808183</v>
          </cell>
          <cell r="CJ99">
            <v>808183</v>
          </cell>
          <cell r="CK99">
            <v>0</v>
          </cell>
          <cell r="CL99">
            <v>0</v>
          </cell>
          <cell r="CM99">
            <v>0</v>
          </cell>
          <cell r="CN99">
            <v>0</v>
          </cell>
          <cell r="CO99">
            <v>0</v>
          </cell>
          <cell r="CP99">
            <v>0</v>
          </cell>
          <cell r="CQ99">
            <v>4496062</v>
          </cell>
          <cell r="CR99">
            <v>4179718</v>
          </cell>
          <cell r="CS99">
            <v>4068670</v>
          </cell>
          <cell r="CT99">
            <v>3928972</v>
          </cell>
          <cell r="CU99">
            <v>3736013</v>
          </cell>
          <cell r="CV99">
            <v>6781</v>
          </cell>
          <cell r="CW99">
            <v>0</v>
          </cell>
          <cell r="CX99">
            <v>0</v>
          </cell>
          <cell r="CY99">
            <v>0</v>
          </cell>
          <cell r="CZ99">
            <v>0</v>
          </cell>
          <cell r="DA99">
            <v>0</v>
          </cell>
          <cell r="DB99"/>
          <cell r="DC99">
            <v>0</v>
          </cell>
          <cell r="DD99">
            <v>0</v>
          </cell>
          <cell r="DE99">
            <v>0</v>
          </cell>
          <cell r="DF99">
            <v>0</v>
          </cell>
          <cell r="DG99">
            <v>0</v>
          </cell>
          <cell r="DH99">
            <v>0</v>
          </cell>
          <cell r="DI99">
            <v>0</v>
          </cell>
          <cell r="DJ99">
            <v>0</v>
          </cell>
          <cell r="DK99">
            <v>0</v>
          </cell>
          <cell r="DL99">
            <v>0</v>
          </cell>
          <cell r="DM99"/>
          <cell r="DN99"/>
          <cell r="DO99"/>
          <cell r="DP99"/>
        </row>
        <row r="100">
          <cell r="A100">
            <v>233</v>
          </cell>
          <cell r="B100" t="str">
            <v>Ermelo</v>
          </cell>
          <cell r="C100">
            <v>5</v>
          </cell>
          <cell r="D100">
            <v>-21960</v>
          </cell>
          <cell r="E100">
            <v>-10980</v>
          </cell>
          <cell r="F100">
            <v>0</v>
          </cell>
          <cell r="G100">
            <v>0</v>
          </cell>
          <cell r="H100">
            <v>-15101</v>
          </cell>
          <cell r="I100">
            <v>-10170</v>
          </cell>
          <cell r="J100"/>
          <cell r="K100">
            <v>0</v>
          </cell>
          <cell r="L100">
            <v>80918</v>
          </cell>
          <cell r="M100">
            <v>66494</v>
          </cell>
          <cell r="N100">
            <v>0</v>
          </cell>
          <cell r="O100">
            <v>0</v>
          </cell>
          <cell r="P100">
            <v>0</v>
          </cell>
          <cell r="Q100">
            <v>0</v>
          </cell>
          <cell r="R100">
            <v>0</v>
          </cell>
          <cell r="S100">
            <v>0</v>
          </cell>
          <cell r="T100">
            <v>0</v>
          </cell>
          <cell r="U100">
            <v>0</v>
          </cell>
          <cell r="V100">
            <v>9000</v>
          </cell>
          <cell r="W100">
            <v>94755</v>
          </cell>
          <cell r="X100">
            <v>0</v>
          </cell>
          <cell r="Y100"/>
          <cell r="Z100">
            <v>0</v>
          </cell>
          <cell r="AA100">
            <v>0</v>
          </cell>
          <cell r="AB100">
            <v>0</v>
          </cell>
          <cell r="AC100"/>
          <cell r="AD100">
            <v>0</v>
          </cell>
          <cell r="AE100">
            <v>0</v>
          </cell>
          <cell r="AF100">
            <v>0</v>
          </cell>
          <cell r="AG100">
            <v>0</v>
          </cell>
          <cell r="AH100">
            <v>0</v>
          </cell>
          <cell r="AI100">
            <v>0</v>
          </cell>
          <cell r="AJ100">
            <v>0</v>
          </cell>
          <cell r="AK100">
            <v>0</v>
          </cell>
          <cell r="AL100"/>
          <cell r="AM100">
            <v>0</v>
          </cell>
          <cell r="AN100">
            <v>0</v>
          </cell>
          <cell r="AO100">
            <v>0</v>
          </cell>
          <cell r="AP100">
            <v>0</v>
          </cell>
          <cell r="AQ100">
            <v>0</v>
          </cell>
          <cell r="AR100">
            <v>0</v>
          </cell>
          <cell r="AS100">
            <v>0</v>
          </cell>
          <cell r="AT100">
            <v>0</v>
          </cell>
          <cell r="AU100">
            <v>9480</v>
          </cell>
          <cell r="AV100">
            <v>0</v>
          </cell>
          <cell r="AW100">
            <v>0</v>
          </cell>
          <cell r="AX100">
            <v>0</v>
          </cell>
          <cell r="AY100"/>
          <cell r="AZ100"/>
          <cell r="BA100">
            <v>0</v>
          </cell>
          <cell r="BB100"/>
          <cell r="BC100">
            <v>0</v>
          </cell>
          <cell r="BD100">
            <v>9334</v>
          </cell>
          <cell r="BE100"/>
          <cell r="BF100">
            <v>0</v>
          </cell>
          <cell r="BG100">
            <v>0</v>
          </cell>
          <cell r="BH100">
            <v>0</v>
          </cell>
          <cell r="BI100">
            <v>30489</v>
          </cell>
          <cell r="BJ100">
            <v>25097</v>
          </cell>
          <cell r="BK100">
            <v>25097</v>
          </cell>
          <cell r="BL100">
            <v>0</v>
          </cell>
          <cell r="BM100">
            <v>0</v>
          </cell>
          <cell r="BN100">
            <v>0</v>
          </cell>
          <cell r="BO100">
            <v>53994</v>
          </cell>
          <cell r="BP100">
            <v>9488.4</v>
          </cell>
          <cell r="BQ100">
            <v>17093.023255814001</v>
          </cell>
          <cell r="BR100">
            <v>0</v>
          </cell>
          <cell r="BS100">
            <v>0</v>
          </cell>
          <cell r="BT100">
            <v>42848</v>
          </cell>
          <cell r="BU100"/>
          <cell r="BV100"/>
          <cell r="BW100"/>
          <cell r="BX100"/>
          <cell r="BY100">
            <v>0</v>
          </cell>
          <cell r="BZ100">
            <v>0</v>
          </cell>
          <cell r="CA100">
            <v>0</v>
          </cell>
          <cell r="CB100">
            <v>0</v>
          </cell>
          <cell r="CC100">
            <v>2472437</v>
          </cell>
          <cell r="CD100">
            <v>18354432</v>
          </cell>
          <cell r="CE100">
            <v>4755455</v>
          </cell>
          <cell r="CF100">
            <v>0</v>
          </cell>
          <cell r="CG100">
            <v>4755455</v>
          </cell>
          <cell r="CH100">
            <v>4755455</v>
          </cell>
          <cell r="CI100">
            <v>4755455</v>
          </cell>
          <cell r="CJ100">
            <v>4755455</v>
          </cell>
          <cell r="CK100">
            <v>0</v>
          </cell>
          <cell r="CL100">
            <v>0</v>
          </cell>
          <cell r="CM100">
            <v>0</v>
          </cell>
          <cell r="CN100">
            <v>0</v>
          </cell>
          <cell r="CO100">
            <v>0</v>
          </cell>
          <cell r="CP100">
            <v>-3653</v>
          </cell>
          <cell r="CQ100">
            <v>3383897</v>
          </cell>
          <cell r="CR100">
            <v>3249810</v>
          </cell>
          <cell r="CS100">
            <v>3180970</v>
          </cell>
          <cell r="CT100">
            <v>3136308</v>
          </cell>
          <cell r="CU100">
            <v>3041763</v>
          </cell>
          <cell r="CV100">
            <v>25655</v>
          </cell>
          <cell r="CW100">
            <v>0</v>
          </cell>
          <cell r="CX100">
            <v>0</v>
          </cell>
          <cell r="CY100">
            <v>0</v>
          </cell>
          <cell r="CZ100">
            <v>0</v>
          </cell>
          <cell r="DA100">
            <v>0</v>
          </cell>
          <cell r="DB100"/>
          <cell r="DC100">
            <v>0</v>
          </cell>
          <cell r="DD100">
            <v>0</v>
          </cell>
          <cell r="DE100">
            <v>0</v>
          </cell>
          <cell r="DF100">
            <v>0</v>
          </cell>
          <cell r="DG100">
            <v>0</v>
          </cell>
          <cell r="DH100">
            <v>0</v>
          </cell>
          <cell r="DI100">
            <v>0</v>
          </cell>
          <cell r="DJ100">
            <v>0</v>
          </cell>
          <cell r="DK100">
            <v>0</v>
          </cell>
          <cell r="DL100">
            <v>0</v>
          </cell>
          <cell r="DM100"/>
          <cell r="DN100"/>
          <cell r="DO100"/>
          <cell r="DP100"/>
        </row>
        <row r="101">
          <cell r="A101">
            <v>236</v>
          </cell>
          <cell r="B101" t="str">
            <v>Geldermalsen</v>
          </cell>
          <cell r="C101">
            <v>5</v>
          </cell>
          <cell r="D101">
            <v>-12763</v>
          </cell>
          <cell r="E101">
            <v>-6381</v>
          </cell>
          <cell r="F101">
            <v>0</v>
          </cell>
          <cell r="G101">
            <v>0</v>
          </cell>
          <cell r="H101">
            <v>-11250</v>
          </cell>
          <cell r="I101">
            <v>-4304</v>
          </cell>
          <cell r="J101"/>
          <cell r="K101">
            <v>0</v>
          </cell>
          <cell r="L101">
            <v>84519</v>
          </cell>
          <cell r="M101">
            <v>78564</v>
          </cell>
          <cell r="N101">
            <v>0</v>
          </cell>
          <cell r="O101">
            <v>0</v>
          </cell>
          <cell r="P101">
            <v>0</v>
          </cell>
          <cell r="Q101">
            <v>0</v>
          </cell>
          <cell r="R101">
            <v>0</v>
          </cell>
          <cell r="S101">
            <v>0</v>
          </cell>
          <cell r="T101">
            <v>0</v>
          </cell>
          <cell r="U101">
            <v>0</v>
          </cell>
          <cell r="V101">
            <v>18000</v>
          </cell>
          <cell r="W101">
            <v>88088</v>
          </cell>
          <cell r="X101">
            <v>0</v>
          </cell>
          <cell r="Y101"/>
          <cell r="Z101">
            <v>0</v>
          </cell>
          <cell r="AA101">
            <v>0</v>
          </cell>
          <cell r="AB101">
            <v>0</v>
          </cell>
          <cell r="AC101"/>
          <cell r="AD101">
            <v>0</v>
          </cell>
          <cell r="AE101">
            <v>0</v>
          </cell>
          <cell r="AF101">
            <v>0</v>
          </cell>
          <cell r="AG101">
            <v>0</v>
          </cell>
          <cell r="AH101">
            <v>0</v>
          </cell>
          <cell r="AI101">
            <v>0</v>
          </cell>
          <cell r="AJ101">
            <v>0</v>
          </cell>
          <cell r="AK101">
            <v>0</v>
          </cell>
          <cell r="AL101"/>
          <cell r="AM101">
            <v>0</v>
          </cell>
          <cell r="AN101">
            <v>0</v>
          </cell>
          <cell r="AO101">
            <v>0</v>
          </cell>
          <cell r="AP101">
            <v>0</v>
          </cell>
          <cell r="AQ101">
            <v>0</v>
          </cell>
          <cell r="AR101">
            <v>0</v>
          </cell>
          <cell r="AS101">
            <v>0</v>
          </cell>
          <cell r="AT101">
            <v>0</v>
          </cell>
          <cell r="AU101">
            <v>0</v>
          </cell>
          <cell r="AV101">
            <v>0</v>
          </cell>
          <cell r="AW101">
            <v>0</v>
          </cell>
          <cell r="AX101">
            <v>0</v>
          </cell>
          <cell r="AY101"/>
          <cell r="AZ101"/>
          <cell r="BA101">
            <v>0</v>
          </cell>
          <cell r="BB101"/>
          <cell r="BC101">
            <v>0</v>
          </cell>
          <cell r="BD101">
            <v>46645</v>
          </cell>
          <cell r="BE101"/>
          <cell r="BF101">
            <v>0</v>
          </cell>
          <cell r="BG101">
            <v>0</v>
          </cell>
          <cell r="BH101">
            <v>0</v>
          </cell>
          <cell r="BI101">
            <v>24859</v>
          </cell>
          <cell r="BJ101">
            <v>20463</v>
          </cell>
          <cell r="BK101">
            <v>20463</v>
          </cell>
          <cell r="BL101">
            <v>0</v>
          </cell>
          <cell r="BM101">
            <v>0</v>
          </cell>
          <cell r="BN101">
            <v>0</v>
          </cell>
          <cell r="BO101">
            <v>67127</v>
          </cell>
          <cell r="BP101">
            <v>20558.2</v>
          </cell>
          <cell r="BQ101">
            <v>37034.8837209302</v>
          </cell>
          <cell r="BR101">
            <v>0</v>
          </cell>
          <cell r="BS101">
            <v>0</v>
          </cell>
          <cell r="BT101">
            <v>45393</v>
          </cell>
          <cell r="BU101"/>
          <cell r="BV101"/>
          <cell r="BW101"/>
          <cell r="BX101"/>
          <cell r="BY101">
            <v>0</v>
          </cell>
          <cell r="BZ101">
            <v>0</v>
          </cell>
          <cell r="CA101">
            <v>0</v>
          </cell>
          <cell r="CB101">
            <v>0</v>
          </cell>
          <cell r="CC101">
            <v>1692793</v>
          </cell>
          <cell r="CD101">
            <v>9523106</v>
          </cell>
          <cell r="CE101">
            <v>427456</v>
          </cell>
          <cell r="CF101">
            <v>0</v>
          </cell>
          <cell r="CG101">
            <v>427456</v>
          </cell>
          <cell r="CH101">
            <v>427456</v>
          </cell>
          <cell r="CI101">
            <v>427456</v>
          </cell>
          <cell r="CJ101">
            <v>427456</v>
          </cell>
          <cell r="CK101">
            <v>0</v>
          </cell>
          <cell r="CL101">
            <v>0</v>
          </cell>
          <cell r="CM101">
            <v>0</v>
          </cell>
          <cell r="CN101">
            <v>0</v>
          </cell>
          <cell r="CO101">
            <v>0</v>
          </cell>
          <cell r="CP101">
            <v>-1553</v>
          </cell>
          <cell r="CQ101">
            <v>2236981</v>
          </cell>
          <cell r="CR101">
            <v>2142898</v>
          </cell>
          <cell r="CS101">
            <v>2101952</v>
          </cell>
          <cell r="CT101">
            <v>2012349</v>
          </cell>
          <cell r="CU101">
            <v>2008039</v>
          </cell>
          <cell r="CV101">
            <v>-26395</v>
          </cell>
          <cell r="CW101">
            <v>0</v>
          </cell>
          <cell r="CX101">
            <v>0</v>
          </cell>
          <cell r="CY101">
            <v>0</v>
          </cell>
          <cell r="CZ101">
            <v>0</v>
          </cell>
          <cell r="DA101">
            <v>0</v>
          </cell>
          <cell r="DB101"/>
          <cell r="DC101">
            <v>0</v>
          </cell>
          <cell r="DD101">
            <v>0</v>
          </cell>
          <cell r="DE101">
            <v>0</v>
          </cell>
          <cell r="DF101">
            <v>0</v>
          </cell>
          <cell r="DG101">
            <v>0</v>
          </cell>
          <cell r="DH101">
            <v>0</v>
          </cell>
          <cell r="DI101">
            <v>0</v>
          </cell>
          <cell r="DJ101">
            <v>0</v>
          </cell>
          <cell r="DK101">
            <v>0</v>
          </cell>
          <cell r="DL101">
            <v>0</v>
          </cell>
          <cell r="DM101"/>
          <cell r="DN101"/>
          <cell r="DO101"/>
          <cell r="DP101"/>
        </row>
        <row r="102">
          <cell r="A102">
            <v>243</v>
          </cell>
          <cell r="B102" t="str">
            <v>Harderwijk</v>
          </cell>
          <cell r="C102">
            <v>5</v>
          </cell>
          <cell r="D102">
            <v>-24162</v>
          </cell>
          <cell r="E102">
            <v>-12081</v>
          </cell>
          <cell r="F102">
            <v>0</v>
          </cell>
          <cell r="G102">
            <v>903020</v>
          </cell>
          <cell r="H102">
            <v>-22304</v>
          </cell>
          <cell r="I102">
            <v>-16414</v>
          </cell>
          <cell r="J102"/>
          <cell r="K102">
            <v>0</v>
          </cell>
          <cell r="L102">
            <v>219037</v>
          </cell>
          <cell r="M102">
            <v>214004</v>
          </cell>
          <cell r="N102">
            <v>0</v>
          </cell>
          <cell r="O102">
            <v>0</v>
          </cell>
          <cell r="P102">
            <v>0</v>
          </cell>
          <cell r="Q102">
            <v>0</v>
          </cell>
          <cell r="R102">
            <v>0</v>
          </cell>
          <cell r="S102">
            <v>0</v>
          </cell>
          <cell r="T102">
            <v>0</v>
          </cell>
          <cell r="U102">
            <v>0</v>
          </cell>
          <cell r="V102">
            <v>3000</v>
          </cell>
          <cell r="W102">
            <v>180383</v>
          </cell>
          <cell r="X102">
            <v>0</v>
          </cell>
          <cell r="Y102"/>
          <cell r="Z102">
            <v>0</v>
          </cell>
          <cell r="AA102">
            <v>0</v>
          </cell>
          <cell r="AB102">
            <v>0</v>
          </cell>
          <cell r="AC102"/>
          <cell r="AD102">
            <v>30311</v>
          </cell>
          <cell r="AE102">
            <v>0</v>
          </cell>
          <cell r="AF102">
            <v>0</v>
          </cell>
          <cell r="AG102">
            <v>0</v>
          </cell>
          <cell r="AH102">
            <v>0</v>
          </cell>
          <cell r="AI102">
            <v>0</v>
          </cell>
          <cell r="AJ102">
            <v>0</v>
          </cell>
          <cell r="AK102">
            <v>0</v>
          </cell>
          <cell r="AL102"/>
          <cell r="AM102">
            <v>0</v>
          </cell>
          <cell r="AN102">
            <v>0</v>
          </cell>
          <cell r="AO102">
            <v>0</v>
          </cell>
          <cell r="AP102">
            <v>0</v>
          </cell>
          <cell r="AQ102">
            <v>0</v>
          </cell>
          <cell r="AR102">
            <v>0</v>
          </cell>
          <cell r="AS102">
            <v>0</v>
          </cell>
          <cell r="AT102">
            <v>0</v>
          </cell>
          <cell r="AU102">
            <v>2370</v>
          </cell>
          <cell r="AV102">
            <v>0</v>
          </cell>
          <cell r="AW102">
            <v>0</v>
          </cell>
          <cell r="AX102">
            <v>0</v>
          </cell>
          <cell r="AY102"/>
          <cell r="AZ102"/>
          <cell r="BA102">
            <v>0</v>
          </cell>
          <cell r="BB102"/>
          <cell r="BC102">
            <v>0</v>
          </cell>
          <cell r="BD102">
            <v>16271</v>
          </cell>
          <cell r="BE102"/>
          <cell r="BF102">
            <v>0</v>
          </cell>
          <cell r="BG102">
            <v>0</v>
          </cell>
          <cell r="BH102">
            <v>0</v>
          </cell>
          <cell r="BI102">
            <v>62021</v>
          </cell>
          <cell r="BJ102">
            <v>51052</v>
          </cell>
          <cell r="BK102">
            <v>51052</v>
          </cell>
          <cell r="BL102">
            <v>0</v>
          </cell>
          <cell r="BM102">
            <v>0</v>
          </cell>
          <cell r="BN102">
            <v>0</v>
          </cell>
          <cell r="BO102">
            <v>175114</v>
          </cell>
          <cell r="BP102">
            <v>20558.2</v>
          </cell>
          <cell r="BQ102">
            <v>37034.8837209302</v>
          </cell>
          <cell r="BR102">
            <v>0</v>
          </cell>
          <cell r="BS102">
            <v>0</v>
          </cell>
          <cell r="BT102">
            <v>74728</v>
          </cell>
          <cell r="BU102"/>
          <cell r="BV102"/>
          <cell r="BW102"/>
          <cell r="BX102"/>
          <cell r="BY102">
            <v>0</v>
          </cell>
          <cell r="BZ102">
            <v>0</v>
          </cell>
          <cell r="CA102">
            <v>0</v>
          </cell>
          <cell r="CB102">
            <v>0</v>
          </cell>
          <cell r="CC102">
            <v>3479219</v>
          </cell>
          <cell r="CD102">
            <v>22338643</v>
          </cell>
          <cell r="CE102">
            <v>1150359</v>
          </cell>
          <cell r="CF102">
            <v>-39649</v>
          </cell>
          <cell r="CG102">
            <v>1150359</v>
          </cell>
          <cell r="CH102">
            <v>1150359</v>
          </cell>
          <cell r="CI102">
            <v>1150359</v>
          </cell>
          <cell r="CJ102">
            <v>1150359</v>
          </cell>
          <cell r="CK102">
            <v>0</v>
          </cell>
          <cell r="CL102">
            <v>0</v>
          </cell>
          <cell r="CM102">
            <v>0</v>
          </cell>
          <cell r="CN102">
            <v>0</v>
          </cell>
          <cell r="CO102">
            <v>0</v>
          </cell>
          <cell r="CP102">
            <v>0</v>
          </cell>
          <cell r="CQ102">
            <v>4839167</v>
          </cell>
          <cell r="CR102">
            <v>4628604</v>
          </cell>
          <cell r="CS102">
            <v>4503175</v>
          </cell>
          <cell r="CT102">
            <v>4475561</v>
          </cell>
          <cell r="CU102">
            <v>4447218</v>
          </cell>
          <cell r="CV102">
            <v>-15156</v>
          </cell>
          <cell r="CW102">
            <v>0</v>
          </cell>
          <cell r="CX102">
            <v>0</v>
          </cell>
          <cell r="CY102">
            <v>0</v>
          </cell>
          <cell r="CZ102">
            <v>0</v>
          </cell>
          <cell r="DA102">
            <v>0</v>
          </cell>
          <cell r="DB102"/>
          <cell r="DC102">
            <v>0</v>
          </cell>
          <cell r="DD102">
            <v>0</v>
          </cell>
          <cell r="DE102">
            <v>0</v>
          </cell>
          <cell r="DF102">
            <v>0</v>
          </cell>
          <cell r="DG102">
            <v>0</v>
          </cell>
          <cell r="DH102">
            <v>0</v>
          </cell>
          <cell r="DI102">
            <v>0</v>
          </cell>
          <cell r="DJ102">
            <v>0</v>
          </cell>
          <cell r="DK102">
            <v>0</v>
          </cell>
          <cell r="DL102">
            <v>0</v>
          </cell>
          <cell r="DM102"/>
          <cell r="DN102"/>
          <cell r="DO102"/>
          <cell r="DP102"/>
        </row>
        <row r="103">
          <cell r="A103">
            <v>244</v>
          </cell>
          <cell r="B103" t="str">
            <v>Hattem</v>
          </cell>
          <cell r="C103">
            <v>5</v>
          </cell>
          <cell r="D103">
            <v>-290</v>
          </cell>
          <cell r="E103">
            <v>-145</v>
          </cell>
          <cell r="F103">
            <v>0</v>
          </cell>
          <cell r="G103">
            <v>0</v>
          </cell>
          <cell r="H103">
            <v>0</v>
          </cell>
          <cell r="I103">
            <v>0</v>
          </cell>
          <cell r="J103"/>
          <cell r="K103">
            <v>0</v>
          </cell>
          <cell r="L103">
            <v>39295</v>
          </cell>
          <cell r="M103">
            <v>32140</v>
          </cell>
          <cell r="N103">
            <v>0</v>
          </cell>
          <cell r="O103">
            <v>0</v>
          </cell>
          <cell r="P103">
            <v>0</v>
          </cell>
          <cell r="Q103">
            <v>0</v>
          </cell>
          <cell r="R103">
            <v>0</v>
          </cell>
          <cell r="S103">
            <v>0</v>
          </cell>
          <cell r="T103">
            <v>0</v>
          </cell>
          <cell r="U103">
            <v>0</v>
          </cell>
          <cell r="V103">
            <v>0</v>
          </cell>
          <cell r="W103">
            <v>49178</v>
          </cell>
          <cell r="X103">
            <v>0</v>
          </cell>
          <cell r="Y103"/>
          <cell r="Z103">
            <v>0</v>
          </cell>
          <cell r="AA103">
            <v>0</v>
          </cell>
          <cell r="AB103">
            <v>0</v>
          </cell>
          <cell r="AC103"/>
          <cell r="AD103">
            <v>0</v>
          </cell>
          <cell r="AE103">
            <v>0</v>
          </cell>
          <cell r="AF103">
            <v>0</v>
          </cell>
          <cell r="AG103">
            <v>0</v>
          </cell>
          <cell r="AH103">
            <v>0</v>
          </cell>
          <cell r="AI103">
            <v>0</v>
          </cell>
          <cell r="AJ103">
            <v>0</v>
          </cell>
          <cell r="AK103">
            <v>0</v>
          </cell>
          <cell r="AL103"/>
          <cell r="AM103">
            <v>0</v>
          </cell>
          <cell r="AN103">
            <v>0</v>
          </cell>
          <cell r="AO103">
            <v>0</v>
          </cell>
          <cell r="AP103">
            <v>0</v>
          </cell>
          <cell r="AQ103">
            <v>0</v>
          </cell>
          <cell r="AR103">
            <v>0</v>
          </cell>
          <cell r="AS103">
            <v>0</v>
          </cell>
          <cell r="AT103">
            <v>0</v>
          </cell>
          <cell r="AU103">
            <v>0</v>
          </cell>
          <cell r="AV103">
            <v>0</v>
          </cell>
          <cell r="AW103">
            <v>0</v>
          </cell>
          <cell r="AX103">
            <v>0</v>
          </cell>
          <cell r="AY103"/>
          <cell r="AZ103"/>
          <cell r="BA103">
            <v>0</v>
          </cell>
          <cell r="BB103"/>
          <cell r="BC103">
            <v>0</v>
          </cell>
          <cell r="BD103">
            <v>4226</v>
          </cell>
          <cell r="BE103"/>
          <cell r="BF103">
            <v>0</v>
          </cell>
          <cell r="BG103">
            <v>0</v>
          </cell>
          <cell r="BH103">
            <v>0</v>
          </cell>
          <cell r="BI103">
            <v>13389</v>
          </cell>
          <cell r="BJ103">
            <v>11021</v>
          </cell>
          <cell r="BK103">
            <v>11021</v>
          </cell>
          <cell r="BL103">
            <v>0</v>
          </cell>
          <cell r="BM103">
            <v>0</v>
          </cell>
          <cell r="BN103">
            <v>0</v>
          </cell>
          <cell r="BO103">
            <v>43779</v>
          </cell>
          <cell r="BP103">
            <v>0</v>
          </cell>
          <cell r="BQ103">
            <v>0</v>
          </cell>
          <cell r="BR103">
            <v>0</v>
          </cell>
          <cell r="BS103">
            <v>0</v>
          </cell>
          <cell r="BT103">
            <v>18372</v>
          </cell>
          <cell r="BU103"/>
          <cell r="BV103"/>
          <cell r="BW103"/>
          <cell r="BX103"/>
          <cell r="BY103">
            <v>0</v>
          </cell>
          <cell r="BZ103">
            <v>0</v>
          </cell>
          <cell r="CA103">
            <v>0</v>
          </cell>
          <cell r="CB103">
            <v>0</v>
          </cell>
          <cell r="CC103">
            <v>891485</v>
          </cell>
          <cell r="CD103">
            <v>4522743</v>
          </cell>
          <cell r="CE103">
            <v>303981</v>
          </cell>
          <cell r="CF103">
            <v>0</v>
          </cell>
          <cell r="CG103">
            <v>303981</v>
          </cell>
          <cell r="CH103">
            <v>303981</v>
          </cell>
          <cell r="CI103">
            <v>303981</v>
          </cell>
          <cell r="CJ103">
            <v>303981</v>
          </cell>
          <cell r="CK103">
            <v>0</v>
          </cell>
          <cell r="CL103">
            <v>0</v>
          </cell>
          <cell r="CM103">
            <v>0</v>
          </cell>
          <cell r="CN103">
            <v>0</v>
          </cell>
          <cell r="CO103">
            <v>0</v>
          </cell>
          <cell r="CP103">
            <v>0</v>
          </cell>
          <cell r="CQ103">
            <v>826267</v>
          </cell>
          <cell r="CR103">
            <v>764433</v>
          </cell>
          <cell r="CS103">
            <v>716843</v>
          </cell>
          <cell r="CT103">
            <v>693543</v>
          </cell>
          <cell r="CU103">
            <v>668172</v>
          </cell>
          <cell r="CV103">
            <v>-27501</v>
          </cell>
          <cell r="CW103">
            <v>0</v>
          </cell>
          <cell r="CX103">
            <v>0</v>
          </cell>
          <cell r="CY103">
            <v>0</v>
          </cell>
          <cell r="CZ103">
            <v>0</v>
          </cell>
          <cell r="DA103">
            <v>0</v>
          </cell>
          <cell r="DB103"/>
          <cell r="DC103">
            <v>0</v>
          </cell>
          <cell r="DD103">
            <v>0</v>
          </cell>
          <cell r="DE103">
            <v>0</v>
          </cell>
          <cell r="DF103">
            <v>0</v>
          </cell>
          <cell r="DG103">
            <v>0</v>
          </cell>
          <cell r="DH103">
            <v>0</v>
          </cell>
          <cell r="DI103">
            <v>0</v>
          </cell>
          <cell r="DJ103">
            <v>0</v>
          </cell>
          <cell r="DK103">
            <v>0</v>
          </cell>
          <cell r="DL103">
            <v>0</v>
          </cell>
          <cell r="DM103"/>
          <cell r="DN103"/>
          <cell r="DO103"/>
          <cell r="DP103"/>
        </row>
        <row r="104">
          <cell r="A104">
            <v>246</v>
          </cell>
          <cell r="B104" t="str">
            <v>Heerde</v>
          </cell>
          <cell r="C104">
            <v>5</v>
          </cell>
          <cell r="D104">
            <v>-44366</v>
          </cell>
          <cell r="E104">
            <v>-22183</v>
          </cell>
          <cell r="F104">
            <v>0</v>
          </cell>
          <cell r="G104">
            <v>0</v>
          </cell>
          <cell r="H104">
            <v>-9882</v>
          </cell>
          <cell r="I104">
            <v>-2655</v>
          </cell>
          <cell r="J104"/>
          <cell r="K104">
            <v>0</v>
          </cell>
          <cell r="L104">
            <v>55212</v>
          </cell>
          <cell r="M104">
            <v>43163</v>
          </cell>
          <cell r="N104">
            <v>0</v>
          </cell>
          <cell r="O104">
            <v>0</v>
          </cell>
          <cell r="P104">
            <v>0</v>
          </cell>
          <cell r="Q104">
            <v>0</v>
          </cell>
          <cell r="R104">
            <v>0</v>
          </cell>
          <cell r="S104">
            <v>0</v>
          </cell>
          <cell r="T104">
            <v>0</v>
          </cell>
          <cell r="U104">
            <v>0</v>
          </cell>
          <cell r="V104">
            <v>0</v>
          </cell>
          <cell r="W104">
            <v>72697</v>
          </cell>
          <cell r="X104">
            <v>0</v>
          </cell>
          <cell r="Y104"/>
          <cell r="Z104">
            <v>0</v>
          </cell>
          <cell r="AA104">
            <v>0</v>
          </cell>
          <cell r="AB104">
            <v>0</v>
          </cell>
          <cell r="AC104"/>
          <cell r="AD104">
            <v>0</v>
          </cell>
          <cell r="AE104">
            <v>0</v>
          </cell>
          <cell r="AF104">
            <v>0</v>
          </cell>
          <cell r="AG104">
            <v>0</v>
          </cell>
          <cell r="AH104">
            <v>0</v>
          </cell>
          <cell r="AI104">
            <v>0</v>
          </cell>
          <cell r="AJ104">
            <v>0</v>
          </cell>
          <cell r="AK104">
            <v>0</v>
          </cell>
          <cell r="AL104"/>
          <cell r="AM104">
            <v>0</v>
          </cell>
          <cell r="AN104">
            <v>0</v>
          </cell>
          <cell r="AO104">
            <v>0</v>
          </cell>
          <cell r="AP104">
            <v>0</v>
          </cell>
          <cell r="AQ104">
            <v>0</v>
          </cell>
          <cell r="AR104">
            <v>0</v>
          </cell>
          <cell r="AS104">
            <v>0</v>
          </cell>
          <cell r="AT104">
            <v>0</v>
          </cell>
          <cell r="AU104">
            <v>0</v>
          </cell>
          <cell r="AV104">
            <v>0</v>
          </cell>
          <cell r="AW104">
            <v>0</v>
          </cell>
          <cell r="AX104">
            <v>0</v>
          </cell>
          <cell r="AY104"/>
          <cell r="AZ104"/>
          <cell r="BA104">
            <v>0</v>
          </cell>
          <cell r="BB104"/>
          <cell r="BC104">
            <v>0</v>
          </cell>
          <cell r="BD104">
            <v>6516</v>
          </cell>
          <cell r="BE104"/>
          <cell r="BF104">
            <v>0</v>
          </cell>
          <cell r="BG104">
            <v>0</v>
          </cell>
          <cell r="BH104">
            <v>0</v>
          </cell>
          <cell r="BI104">
            <v>22553</v>
          </cell>
          <cell r="BJ104">
            <v>18565</v>
          </cell>
          <cell r="BK104">
            <v>18565</v>
          </cell>
          <cell r="BL104">
            <v>0</v>
          </cell>
          <cell r="BM104">
            <v>0</v>
          </cell>
          <cell r="BN104">
            <v>0</v>
          </cell>
          <cell r="BO104">
            <v>56912</v>
          </cell>
          <cell r="BP104">
            <v>0</v>
          </cell>
          <cell r="BQ104">
            <v>0</v>
          </cell>
          <cell r="BR104">
            <v>0</v>
          </cell>
          <cell r="BS104">
            <v>0</v>
          </cell>
          <cell r="BT104">
            <v>31238</v>
          </cell>
          <cell r="BU104"/>
          <cell r="BV104"/>
          <cell r="BW104"/>
          <cell r="BX104"/>
          <cell r="BY104">
            <v>0</v>
          </cell>
          <cell r="BZ104">
            <v>0</v>
          </cell>
          <cell r="CA104">
            <v>0</v>
          </cell>
          <cell r="CB104">
            <v>0</v>
          </cell>
          <cell r="CC104">
            <v>1534606</v>
          </cell>
          <cell r="CD104">
            <v>10409783</v>
          </cell>
          <cell r="CE104">
            <v>2953525</v>
          </cell>
          <cell r="CF104">
            <v>-6412</v>
          </cell>
          <cell r="CG104">
            <v>2953525</v>
          </cell>
          <cell r="CH104">
            <v>2953525</v>
          </cell>
          <cell r="CI104">
            <v>2953525</v>
          </cell>
          <cell r="CJ104">
            <v>2953525</v>
          </cell>
          <cell r="CK104">
            <v>0</v>
          </cell>
          <cell r="CL104">
            <v>0</v>
          </cell>
          <cell r="CM104">
            <v>0</v>
          </cell>
          <cell r="CN104">
            <v>0</v>
          </cell>
          <cell r="CO104">
            <v>0</v>
          </cell>
          <cell r="CP104">
            <v>0</v>
          </cell>
          <cell r="CQ104">
            <v>2167424</v>
          </cell>
          <cell r="CR104">
            <v>2085310</v>
          </cell>
          <cell r="CS104">
            <v>2032863</v>
          </cell>
          <cell r="CT104">
            <v>1979083</v>
          </cell>
          <cell r="CU104">
            <v>1877901</v>
          </cell>
          <cell r="CV104">
            <v>-33863</v>
          </cell>
          <cell r="CW104">
            <v>0</v>
          </cell>
          <cell r="CX104">
            <v>0</v>
          </cell>
          <cell r="CY104">
            <v>0</v>
          </cell>
          <cell r="CZ104">
            <v>0</v>
          </cell>
          <cell r="DA104">
            <v>0</v>
          </cell>
          <cell r="DB104"/>
          <cell r="DC104">
            <v>0</v>
          </cell>
          <cell r="DD104">
            <v>0</v>
          </cell>
          <cell r="DE104">
            <v>0</v>
          </cell>
          <cell r="DF104">
            <v>0</v>
          </cell>
          <cell r="DG104">
            <v>0</v>
          </cell>
          <cell r="DH104">
            <v>0</v>
          </cell>
          <cell r="DI104">
            <v>0</v>
          </cell>
          <cell r="DJ104">
            <v>0</v>
          </cell>
          <cell r="DK104">
            <v>0</v>
          </cell>
          <cell r="DL104">
            <v>0</v>
          </cell>
          <cell r="DM104"/>
          <cell r="DN104"/>
          <cell r="DO104"/>
          <cell r="DP104"/>
        </row>
        <row r="105">
          <cell r="A105">
            <v>252</v>
          </cell>
          <cell r="B105" t="str">
            <v>Heumen</v>
          </cell>
          <cell r="C105">
            <v>5</v>
          </cell>
          <cell r="D105">
            <v>-41253</v>
          </cell>
          <cell r="E105">
            <v>-20626</v>
          </cell>
          <cell r="F105">
            <v>0</v>
          </cell>
          <cell r="G105">
            <v>0</v>
          </cell>
          <cell r="H105">
            <v>0</v>
          </cell>
          <cell r="I105">
            <v>0</v>
          </cell>
          <cell r="J105"/>
          <cell r="K105">
            <v>0</v>
          </cell>
          <cell r="L105">
            <v>50059</v>
          </cell>
          <cell r="M105">
            <v>40472</v>
          </cell>
          <cell r="N105">
            <v>0</v>
          </cell>
          <cell r="O105">
            <v>0</v>
          </cell>
          <cell r="P105">
            <v>0</v>
          </cell>
          <cell r="Q105">
            <v>0</v>
          </cell>
          <cell r="R105">
            <v>0</v>
          </cell>
          <cell r="S105">
            <v>0</v>
          </cell>
          <cell r="T105">
            <v>0</v>
          </cell>
          <cell r="U105">
            <v>0</v>
          </cell>
          <cell r="V105">
            <v>0</v>
          </cell>
          <cell r="W105">
            <v>0</v>
          </cell>
          <cell r="X105">
            <v>0</v>
          </cell>
          <cell r="Y105"/>
          <cell r="Z105">
            <v>0</v>
          </cell>
          <cell r="AA105">
            <v>0</v>
          </cell>
          <cell r="AB105">
            <v>0</v>
          </cell>
          <cell r="AC105"/>
          <cell r="AD105">
            <v>0</v>
          </cell>
          <cell r="AE105">
            <v>0</v>
          </cell>
          <cell r="AF105">
            <v>0</v>
          </cell>
          <cell r="AG105">
            <v>0</v>
          </cell>
          <cell r="AH105">
            <v>0</v>
          </cell>
          <cell r="AI105">
            <v>0</v>
          </cell>
          <cell r="AJ105">
            <v>0</v>
          </cell>
          <cell r="AK105">
            <v>0</v>
          </cell>
          <cell r="AL105"/>
          <cell r="AM105">
            <v>0</v>
          </cell>
          <cell r="AN105">
            <v>0</v>
          </cell>
          <cell r="AO105">
            <v>0</v>
          </cell>
          <cell r="AP105">
            <v>0</v>
          </cell>
          <cell r="AQ105">
            <v>0</v>
          </cell>
          <cell r="AR105">
            <v>0</v>
          </cell>
          <cell r="AS105">
            <v>0</v>
          </cell>
          <cell r="AT105">
            <v>0</v>
          </cell>
          <cell r="AU105">
            <v>0</v>
          </cell>
          <cell r="AV105">
            <v>0</v>
          </cell>
          <cell r="AW105">
            <v>0</v>
          </cell>
          <cell r="AX105">
            <v>0</v>
          </cell>
          <cell r="AY105"/>
          <cell r="AZ105"/>
          <cell r="BA105">
            <v>0</v>
          </cell>
          <cell r="BB105"/>
          <cell r="BC105">
            <v>0</v>
          </cell>
          <cell r="BD105">
            <v>5783</v>
          </cell>
          <cell r="BE105"/>
          <cell r="BF105">
            <v>0</v>
          </cell>
          <cell r="BG105">
            <v>0</v>
          </cell>
          <cell r="BH105">
            <v>0</v>
          </cell>
          <cell r="BI105">
            <v>17245</v>
          </cell>
          <cell r="BJ105">
            <v>14196</v>
          </cell>
          <cell r="BK105">
            <v>14196</v>
          </cell>
          <cell r="BL105">
            <v>0</v>
          </cell>
          <cell r="BM105">
            <v>0</v>
          </cell>
          <cell r="BN105">
            <v>0</v>
          </cell>
          <cell r="BO105">
            <v>90476</v>
          </cell>
          <cell r="BP105">
            <v>0</v>
          </cell>
          <cell r="BQ105">
            <v>0</v>
          </cell>
          <cell r="BR105">
            <v>0</v>
          </cell>
          <cell r="BS105">
            <v>0</v>
          </cell>
          <cell r="BT105">
            <v>27327</v>
          </cell>
          <cell r="BU105"/>
          <cell r="BV105"/>
          <cell r="BW105"/>
          <cell r="BX105"/>
          <cell r="BY105">
            <v>0</v>
          </cell>
          <cell r="BZ105">
            <v>0</v>
          </cell>
          <cell r="CA105">
            <v>0</v>
          </cell>
          <cell r="CB105">
            <v>0</v>
          </cell>
          <cell r="CC105">
            <v>1177268</v>
          </cell>
          <cell r="CD105">
            <v>6524976</v>
          </cell>
          <cell r="CE105">
            <v>215248</v>
          </cell>
          <cell r="CF105">
            <v>0</v>
          </cell>
          <cell r="CG105">
            <v>215248</v>
          </cell>
          <cell r="CH105">
            <v>215248</v>
          </cell>
          <cell r="CI105">
            <v>215248</v>
          </cell>
          <cell r="CJ105">
            <v>215248</v>
          </cell>
          <cell r="CK105">
            <v>0</v>
          </cell>
          <cell r="CL105">
            <v>0</v>
          </cell>
          <cell r="CM105">
            <v>0</v>
          </cell>
          <cell r="CN105">
            <v>0</v>
          </cell>
          <cell r="CO105">
            <v>0</v>
          </cell>
          <cell r="CP105">
            <v>0</v>
          </cell>
          <cell r="CQ105">
            <v>1457500</v>
          </cell>
          <cell r="CR105">
            <v>1383720</v>
          </cell>
          <cell r="CS105">
            <v>1374124</v>
          </cell>
          <cell r="CT105">
            <v>1305397</v>
          </cell>
          <cell r="CU105">
            <v>1250454</v>
          </cell>
          <cell r="CV105">
            <v>50463</v>
          </cell>
          <cell r="CW105">
            <v>0</v>
          </cell>
          <cell r="CX105">
            <v>0</v>
          </cell>
          <cell r="CY105">
            <v>0</v>
          </cell>
          <cell r="CZ105">
            <v>0</v>
          </cell>
          <cell r="DA105">
            <v>0</v>
          </cell>
          <cell r="DB105"/>
          <cell r="DC105">
            <v>0</v>
          </cell>
          <cell r="DD105">
            <v>0</v>
          </cell>
          <cell r="DE105">
            <v>0</v>
          </cell>
          <cell r="DF105">
            <v>0</v>
          </cell>
          <cell r="DG105">
            <v>0</v>
          </cell>
          <cell r="DH105">
            <v>0</v>
          </cell>
          <cell r="DI105">
            <v>0</v>
          </cell>
          <cell r="DJ105">
            <v>0</v>
          </cell>
          <cell r="DK105">
            <v>0</v>
          </cell>
          <cell r="DL105">
            <v>0</v>
          </cell>
          <cell r="DM105"/>
          <cell r="DN105"/>
          <cell r="DO105"/>
          <cell r="DP105"/>
        </row>
        <row r="106">
          <cell r="A106">
            <v>733</v>
          </cell>
          <cell r="B106" t="str">
            <v>Lingewaal</v>
          </cell>
          <cell r="C106">
            <v>5</v>
          </cell>
          <cell r="D106">
            <v>-13162</v>
          </cell>
          <cell r="E106">
            <v>-6581</v>
          </cell>
          <cell r="F106">
            <v>0</v>
          </cell>
          <cell r="G106">
            <v>0</v>
          </cell>
          <cell r="H106">
            <v>-20824</v>
          </cell>
          <cell r="I106">
            <v>-17989</v>
          </cell>
          <cell r="J106"/>
          <cell r="K106">
            <v>0</v>
          </cell>
          <cell r="L106">
            <v>34321</v>
          </cell>
          <cell r="M106">
            <v>31759</v>
          </cell>
          <cell r="N106">
            <v>0</v>
          </cell>
          <cell r="O106">
            <v>0</v>
          </cell>
          <cell r="P106">
            <v>0</v>
          </cell>
          <cell r="Q106">
            <v>0</v>
          </cell>
          <cell r="R106">
            <v>0</v>
          </cell>
          <cell r="S106">
            <v>0</v>
          </cell>
          <cell r="T106">
            <v>0</v>
          </cell>
          <cell r="U106">
            <v>0</v>
          </cell>
          <cell r="V106">
            <v>3000</v>
          </cell>
          <cell r="W106">
            <v>47428</v>
          </cell>
          <cell r="X106">
            <v>0</v>
          </cell>
          <cell r="Y106"/>
          <cell r="Z106">
            <v>0</v>
          </cell>
          <cell r="AA106">
            <v>0</v>
          </cell>
          <cell r="AB106">
            <v>0</v>
          </cell>
          <cell r="AC106"/>
          <cell r="AD106">
            <v>0</v>
          </cell>
          <cell r="AE106">
            <v>0</v>
          </cell>
          <cell r="AF106">
            <v>0</v>
          </cell>
          <cell r="AG106">
            <v>0</v>
          </cell>
          <cell r="AH106">
            <v>0</v>
          </cell>
          <cell r="AI106">
            <v>0</v>
          </cell>
          <cell r="AJ106">
            <v>0</v>
          </cell>
          <cell r="AK106">
            <v>0</v>
          </cell>
          <cell r="AL106"/>
          <cell r="AM106">
            <v>0</v>
          </cell>
          <cell r="AN106">
            <v>0</v>
          </cell>
          <cell r="AO106">
            <v>0</v>
          </cell>
          <cell r="AP106">
            <v>0</v>
          </cell>
          <cell r="AQ106">
            <v>0</v>
          </cell>
          <cell r="AR106">
            <v>0</v>
          </cell>
          <cell r="AS106">
            <v>0</v>
          </cell>
          <cell r="AT106">
            <v>0</v>
          </cell>
          <cell r="AU106">
            <v>0</v>
          </cell>
          <cell r="AV106">
            <v>0</v>
          </cell>
          <cell r="AW106">
            <v>0</v>
          </cell>
          <cell r="AX106">
            <v>0</v>
          </cell>
          <cell r="AY106"/>
          <cell r="AZ106"/>
          <cell r="BA106">
            <v>0</v>
          </cell>
          <cell r="BB106"/>
          <cell r="BC106">
            <v>0</v>
          </cell>
          <cell r="BD106">
            <v>19576</v>
          </cell>
          <cell r="BE106"/>
          <cell r="BF106">
            <v>0</v>
          </cell>
          <cell r="BG106">
            <v>0</v>
          </cell>
          <cell r="BH106">
            <v>0</v>
          </cell>
          <cell r="BI106">
            <v>11324</v>
          </cell>
          <cell r="BJ106">
            <v>9321</v>
          </cell>
          <cell r="BK106">
            <v>9321</v>
          </cell>
          <cell r="BL106">
            <v>0</v>
          </cell>
          <cell r="BM106">
            <v>0</v>
          </cell>
          <cell r="BN106">
            <v>0</v>
          </cell>
          <cell r="BO106">
            <v>32591</v>
          </cell>
          <cell r="BP106">
            <v>0</v>
          </cell>
          <cell r="BQ106">
            <v>0</v>
          </cell>
          <cell r="BR106">
            <v>0</v>
          </cell>
          <cell r="BS106">
            <v>0</v>
          </cell>
          <cell r="BT106">
            <v>22388</v>
          </cell>
          <cell r="BU106"/>
          <cell r="BV106"/>
          <cell r="BW106"/>
          <cell r="BX106"/>
          <cell r="BY106">
            <v>0</v>
          </cell>
          <cell r="BZ106">
            <v>0</v>
          </cell>
          <cell r="CA106">
            <v>0</v>
          </cell>
          <cell r="CB106">
            <v>0</v>
          </cell>
          <cell r="CC106">
            <v>712294</v>
          </cell>
          <cell r="CD106">
            <v>3444537</v>
          </cell>
          <cell r="CE106">
            <v>129711</v>
          </cell>
          <cell r="CF106">
            <v>-24292</v>
          </cell>
          <cell r="CG106">
            <v>129711</v>
          </cell>
          <cell r="CH106">
            <v>129711</v>
          </cell>
          <cell r="CI106">
            <v>129711</v>
          </cell>
          <cell r="CJ106">
            <v>129711</v>
          </cell>
          <cell r="CK106">
            <v>0</v>
          </cell>
          <cell r="CL106">
            <v>0</v>
          </cell>
          <cell r="CM106">
            <v>0</v>
          </cell>
          <cell r="CN106">
            <v>0</v>
          </cell>
          <cell r="CO106">
            <v>0</v>
          </cell>
          <cell r="CP106">
            <v>-2858</v>
          </cell>
          <cell r="CQ106">
            <v>465662</v>
          </cell>
          <cell r="CR106">
            <v>458106</v>
          </cell>
          <cell r="CS106">
            <v>451000</v>
          </cell>
          <cell r="CT106">
            <v>455543</v>
          </cell>
          <cell r="CU106">
            <v>460963</v>
          </cell>
          <cell r="CV106">
            <v>-3605</v>
          </cell>
          <cell r="CW106">
            <v>0</v>
          </cell>
          <cell r="CX106">
            <v>0</v>
          </cell>
          <cell r="CY106">
            <v>0</v>
          </cell>
          <cell r="CZ106">
            <v>0</v>
          </cell>
          <cell r="DA106">
            <v>0</v>
          </cell>
          <cell r="DB106"/>
          <cell r="DC106">
            <v>0</v>
          </cell>
          <cell r="DD106">
            <v>0</v>
          </cell>
          <cell r="DE106">
            <v>0</v>
          </cell>
          <cell r="DF106">
            <v>0</v>
          </cell>
          <cell r="DG106">
            <v>0</v>
          </cell>
          <cell r="DH106">
            <v>0</v>
          </cell>
          <cell r="DI106">
            <v>0</v>
          </cell>
          <cell r="DJ106">
            <v>0</v>
          </cell>
          <cell r="DK106">
            <v>0</v>
          </cell>
          <cell r="DL106">
            <v>0</v>
          </cell>
          <cell r="DM106"/>
          <cell r="DN106"/>
          <cell r="DO106"/>
          <cell r="DP106"/>
        </row>
        <row r="107">
          <cell r="A107">
            <v>1705</v>
          </cell>
          <cell r="B107" t="str">
            <v>Lingewaard</v>
          </cell>
          <cell r="C107">
            <v>5</v>
          </cell>
          <cell r="D107">
            <v>-21960</v>
          </cell>
          <cell r="E107">
            <v>-10980</v>
          </cell>
          <cell r="F107">
            <v>0</v>
          </cell>
          <cell r="G107">
            <v>420503</v>
          </cell>
          <cell r="H107">
            <v>-44059</v>
          </cell>
          <cell r="I107">
            <v>-47650</v>
          </cell>
          <cell r="J107"/>
          <cell r="K107">
            <v>0</v>
          </cell>
          <cell r="L107">
            <v>142814</v>
          </cell>
          <cell r="M107">
            <v>120084</v>
          </cell>
          <cell r="N107">
            <v>0</v>
          </cell>
          <cell r="O107">
            <v>0</v>
          </cell>
          <cell r="P107">
            <v>0</v>
          </cell>
          <cell r="Q107">
            <v>0</v>
          </cell>
          <cell r="R107">
            <v>0</v>
          </cell>
          <cell r="S107">
            <v>0</v>
          </cell>
          <cell r="T107">
            <v>0</v>
          </cell>
          <cell r="U107">
            <v>0</v>
          </cell>
          <cell r="V107">
            <v>0</v>
          </cell>
          <cell r="W107">
            <v>186992</v>
          </cell>
          <cell r="X107">
            <v>0</v>
          </cell>
          <cell r="Y107"/>
          <cell r="Z107">
            <v>0</v>
          </cell>
          <cell r="AA107">
            <v>0</v>
          </cell>
          <cell r="AB107">
            <v>0</v>
          </cell>
          <cell r="AC107"/>
          <cell r="AD107">
            <v>0</v>
          </cell>
          <cell r="AE107">
            <v>0</v>
          </cell>
          <cell r="AF107">
            <v>0</v>
          </cell>
          <cell r="AG107">
            <v>0</v>
          </cell>
          <cell r="AH107">
            <v>0</v>
          </cell>
          <cell r="AI107">
            <v>0</v>
          </cell>
          <cell r="AJ107">
            <v>0</v>
          </cell>
          <cell r="AK107">
            <v>0</v>
          </cell>
          <cell r="AL107"/>
          <cell r="AM107">
            <v>0</v>
          </cell>
          <cell r="AN107">
            <v>0</v>
          </cell>
          <cell r="AO107">
            <v>0</v>
          </cell>
          <cell r="AP107">
            <v>0</v>
          </cell>
          <cell r="AQ107">
            <v>0</v>
          </cell>
          <cell r="AR107">
            <v>0</v>
          </cell>
          <cell r="AS107">
            <v>0</v>
          </cell>
          <cell r="AT107">
            <v>0</v>
          </cell>
          <cell r="AU107">
            <v>4740</v>
          </cell>
          <cell r="AV107">
            <v>0</v>
          </cell>
          <cell r="AW107">
            <v>0</v>
          </cell>
          <cell r="AX107">
            <v>0</v>
          </cell>
          <cell r="AY107"/>
          <cell r="AZ107"/>
          <cell r="BA107">
            <v>0</v>
          </cell>
          <cell r="BB107"/>
          <cell r="BC107">
            <v>0</v>
          </cell>
          <cell r="BD107">
            <v>16212</v>
          </cell>
          <cell r="BE107"/>
          <cell r="BF107">
            <v>0</v>
          </cell>
          <cell r="BG107">
            <v>0</v>
          </cell>
          <cell r="BH107">
            <v>0</v>
          </cell>
          <cell r="BI107">
            <v>57171</v>
          </cell>
          <cell r="BJ107">
            <v>47061</v>
          </cell>
          <cell r="BK107">
            <v>47061</v>
          </cell>
          <cell r="BL107">
            <v>0</v>
          </cell>
          <cell r="BM107">
            <v>0</v>
          </cell>
          <cell r="BN107">
            <v>0</v>
          </cell>
          <cell r="BO107">
            <v>160035</v>
          </cell>
          <cell r="BP107">
            <v>6325.6</v>
          </cell>
          <cell r="BQ107">
            <v>11395.3488372093</v>
          </cell>
          <cell r="BR107">
            <v>0</v>
          </cell>
          <cell r="BS107">
            <v>0</v>
          </cell>
          <cell r="BT107">
            <v>68419</v>
          </cell>
          <cell r="BU107"/>
          <cell r="BV107"/>
          <cell r="BW107"/>
          <cell r="BX107"/>
          <cell r="BY107">
            <v>0</v>
          </cell>
          <cell r="BZ107">
            <v>0</v>
          </cell>
          <cell r="CA107">
            <v>0</v>
          </cell>
          <cell r="CB107">
            <v>0</v>
          </cell>
          <cell r="CC107">
            <v>3386067</v>
          </cell>
          <cell r="CD107">
            <v>19542911</v>
          </cell>
          <cell r="CE107">
            <v>967407</v>
          </cell>
          <cell r="CF107">
            <v>-76729</v>
          </cell>
          <cell r="CG107">
            <v>967407</v>
          </cell>
          <cell r="CH107">
            <v>967407</v>
          </cell>
          <cell r="CI107">
            <v>967407</v>
          </cell>
          <cell r="CJ107">
            <v>967407</v>
          </cell>
          <cell r="CK107">
            <v>0</v>
          </cell>
          <cell r="CL107">
            <v>0</v>
          </cell>
          <cell r="CM107">
            <v>0</v>
          </cell>
          <cell r="CN107">
            <v>0</v>
          </cell>
          <cell r="CO107">
            <v>0</v>
          </cell>
          <cell r="CP107">
            <v>-5745</v>
          </cell>
          <cell r="CQ107">
            <v>4409984</v>
          </cell>
          <cell r="CR107">
            <v>4102496</v>
          </cell>
          <cell r="CS107">
            <v>3896761</v>
          </cell>
          <cell r="CT107">
            <v>3742754</v>
          </cell>
          <cell r="CU107">
            <v>3660824</v>
          </cell>
          <cell r="CV107">
            <v>42392</v>
          </cell>
          <cell r="CW107">
            <v>0</v>
          </cell>
          <cell r="CX107">
            <v>0</v>
          </cell>
          <cell r="CY107">
            <v>0</v>
          </cell>
          <cell r="CZ107">
            <v>0</v>
          </cell>
          <cell r="DA107">
            <v>0</v>
          </cell>
          <cell r="DB107"/>
          <cell r="DC107">
            <v>0</v>
          </cell>
          <cell r="DD107">
            <v>0</v>
          </cell>
          <cell r="DE107">
            <v>0</v>
          </cell>
          <cell r="DF107">
            <v>0</v>
          </cell>
          <cell r="DG107">
            <v>0</v>
          </cell>
          <cell r="DH107">
            <v>0</v>
          </cell>
          <cell r="DI107">
            <v>0</v>
          </cell>
          <cell r="DJ107">
            <v>0</v>
          </cell>
          <cell r="DK107">
            <v>0</v>
          </cell>
          <cell r="DL107">
            <v>0</v>
          </cell>
          <cell r="DM107"/>
          <cell r="DN107"/>
          <cell r="DO107"/>
          <cell r="DP107"/>
        </row>
        <row r="108">
          <cell r="A108">
            <v>262</v>
          </cell>
          <cell r="B108" t="str">
            <v>Lochem</v>
          </cell>
          <cell r="C108">
            <v>5</v>
          </cell>
          <cell r="D108">
            <v>-42949</v>
          </cell>
          <cell r="E108">
            <v>-21474</v>
          </cell>
          <cell r="F108">
            <v>0</v>
          </cell>
          <cell r="G108">
            <v>357207</v>
          </cell>
          <cell r="H108">
            <v>-22526</v>
          </cell>
          <cell r="I108">
            <v>0</v>
          </cell>
          <cell r="J108"/>
          <cell r="K108">
            <v>0</v>
          </cell>
          <cell r="L108">
            <v>109230</v>
          </cell>
          <cell r="M108">
            <v>104800</v>
          </cell>
          <cell r="N108">
            <v>0</v>
          </cell>
          <cell r="O108">
            <v>0</v>
          </cell>
          <cell r="P108">
            <v>0</v>
          </cell>
          <cell r="Q108">
            <v>0</v>
          </cell>
          <cell r="R108">
            <v>0</v>
          </cell>
          <cell r="S108">
            <v>0</v>
          </cell>
          <cell r="T108">
            <v>0</v>
          </cell>
          <cell r="U108">
            <v>0</v>
          </cell>
          <cell r="V108">
            <v>0</v>
          </cell>
          <cell r="W108">
            <v>125957</v>
          </cell>
          <cell r="X108">
            <v>0</v>
          </cell>
          <cell r="Y108"/>
          <cell r="Z108">
            <v>0</v>
          </cell>
          <cell r="AA108">
            <v>0</v>
          </cell>
          <cell r="AB108">
            <v>0</v>
          </cell>
          <cell r="AC108"/>
          <cell r="AD108">
            <v>0</v>
          </cell>
          <cell r="AE108">
            <v>0</v>
          </cell>
          <cell r="AF108">
            <v>0</v>
          </cell>
          <cell r="AG108">
            <v>0</v>
          </cell>
          <cell r="AH108">
            <v>0</v>
          </cell>
          <cell r="AI108">
            <v>0</v>
          </cell>
          <cell r="AJ108">
            <v>0</v>
          </cell>
          <cell r="AK108">
            <v>0</v>
          </cell>
          <cell r="AL108"/>
          <cell r="AM108">
            <v>0</v>
          </cell>
          <cell r="AN108">
            <v>0</v>
          </cell>
          <cell r="AO108">
            <v>0</v>
          </cell>
          <cell r="AP108">
            <v>0</v>
          </cell>
          <cell r="AQ108">
            <v>0</v>
          </cell>
          <cell r="AR108">
            <v>0</v>
          </cell>
          <cell r="AS108">
            <v>0</v>
          </cell>
          <cell r="AT108">
            <v>0</v>
          </cell>
          <cell r="AU108">
            <v>7110</v>
          </cell>
          <cell r="AV108">
            <v>0</v>
          </cell>
          <cell r="AW108">
            <v>0</v>
          </cell>
          <cell r="AX108">
            <v>0</v>
          </cell>
          <cell r="AY108"/>
          <cell r="AZ108"/>
          <cell r="BA108">
            <v>0</v>
          </cell>
          <cell r="BB108"/>
          <cell r="BC108">
            <v>0</v>
          </cell>
          <cell r="BD108">
            <v>11775</v>
          </cell>
          <cell r="BE108"/>
          <cell r="BF108">
            <v>0</v>
          </cell>
          <cell r="BG108">
            <v>0</v>
          </cell>
          <cell r="BH108">
            <v>0</v>
          </cell>
          <cell r="BI108">
            <v>40216</v>
          </cell>
          <cell r="BJ108">
            <v>33104</v>
          </cell>
          <cell r="BK108">
            <v>33104</v>
          </cell>
          <cell r="BL108">
            <v>0</v>
          </cell>
          <cell r="BM108">
            <v>0</v>
          </cell>
          <cell r="BN108">
            <v>0</v>
          </cell>
          <cell r="BO108">
            <v>123066</v>
          </cell>
          <cell r="BP108">
            <v>15814</v>
          </cell>
          <cell r="BQ108">
            <v>28488.372093023299</v>
          </cell>
          <cell r="BR108">
            <v>0</v>
          </cell>
          <cell r="BS108">
            <v>0</v>
          </cell>
          <cell r="BT108">
            <v>59472</v>
          </cell>
          <cell r="BU108"/>
          <cell r="BV108"/>
          <cell r="BW108"/>
          <cell r="BX108"/>
          <cell r="BY108">
            <v>0</v>
          </cell>
          <cell r="BZ108">
            <v>0</v>
          </cell>
          <cell r="CA108">
            <v>0</v>
          </cell>
          <cell r="CB108">
            <v>0</v>
          </cell>
          <cell r="CC108">
            <v>2859570</v>
          </cell>
          <cell r="CD108">
            <v>14759615</v>
          </cell>
          <cell r="CE108">
            <v>3699593</v>
          </cell>
          <cell r="CF108">
            <v>0</v>
          </cell>
          <cell r="CG108">
            <v>3699593</v>
          </cell>
          <cell r="CH108">
            <v>3699593</v>
          </cell>
          <cell r="CI108">
            <v>3699593</v>
          </cell>
          <cell r="CJ108">
            <v>3699593</v>
          </cell>
          <cell r="CK108">
            <v>0</v>
          </cell>
          <cell r="CL108">
            <v>0</v>
          </cell>
          <cell r="CM108">
            <v>0</v>
          </cell>
          <cell r="CN108">
            <v>0</v>
          </cell>
          <cell r="CO108">
            <v>0</v>
          </cell>
          <cell r="CP108">
            <v>0</v>
          </cell>
          <cell r="CQ108">
            <v>2455284</v>
          </cell>
          <cell r="CR108">
            <v>2366585</v>
          </cell>
          <cell r="CS108">
            <v>2342287</v>
          </cell>
          <cell r="CT108">
            <v>2325838</v>
          </cell>
          <cell r="CU108">
            <v>2281662</v>
          </cell>
          <cell r="CV108">
            <v>41117</v>
          </cell>
          <cell r="CW108">
            <v>0</v>
          </cell>
          <cell r="CX108">
            <v>0</v>
          </cell>
          <cell r="CY108">
            <v>0</v>
          </cell>
          <cell r="CZ108">
            <v>0</v>
          </cell>
          <cell r="DA108">
            <v>0</v>
          </cell>
          <cell r="DB108"/>
          <cell r="DC108">
            <v>0</v>
          </cell>
          <cell r="DD108">
            <v>0</v>
          </cell>
          <cell r="DE108">
            <v>0</v>
          </cell>
          <cell r="DF108">
            <v>0</v>
          </cell>
          <cell r="DG108">
            <v>0</v>
          </cell>
          <cell r="DH108">
            <v>0</v>
          </cell>
          <cell r="DI108">
            <v>0</v>
          </cell>
          <cell r="DJ108">
            <v>0</v>
          </cell>
          <cell r="DK108">
            <v>0</v>
          </cell>
          <cell r="DL108">
            <v>0</v>
          </cell>
          <cell r="DM108"/>
          <cell r="DN108"/>
          <cell r="DO108"/>
          <cell r="DP108"/>
        </row>
        <row r="109">
          <cell r="A109">
            <v>263</v>
          </cell>
          <cell r="B109" t="str">
            <v>Maasdriel</v>
          </cell>
          <cell r="C109">
            <v>5</v>
          </cell>
          <cell r="D109">
            <v>-7698</v>
          </cell>
          <cell r="E109">
            <v>-3849</v>
          </cell>
          <cell r="F109">
            <v>0</v>
          </cell>
          <cell r="G109">
            <v>24320</v>
          </cell>
          <cell r="H109">
            <v>0</v>
          </cell>
          <cell r="I109">
            <v>-4448</v>
          </cell>
          <cell r="J109"/>
          <cell r="K109">
            <v>0</v>
          </cell>
          <cell r="L109">
            <v>78968</v>
          </cell>
          <cell r="M109">
            <v>74660</v>
          </cell>
          <cell r="N109">
            <v>0</v>
          </cell>
          <cell r="O109">
            <v>0</v>
          </cell>
          <cell r="P109">
            <v>0</v>
          </cell>
          <cell r="Q109">
            <v>0</v>
          </cell>
          <cell r="R109">
            <v>0</v>
          </cell>
          <cell r="S109">
            <v>0</v>
          </cell>
          <cell r="T109">
            <v>0</v>
          </cell>
          <cell r="U109">
            <v>0</v>
          </cell>
          <cell r="V109">
            <v>0</v>
          </cell>
          <cell r="W109">
            <v>58186</v>
          </cell>
          <cell r="X109">
            <v>0</v>
          </cell>
          <cell r="Y109"/>
          <cell r="Z109">
            <v>0</v>
          </cell>
          <cell r="AA109">
            <v>0</v>
          </cell>
          <cell r="AB109">
            <v>0</v>
          </cell>
          <cell r="AC109"/>
          <cell r="AD109">
            <v>0</v>
          </cell>
          <cell r="AE109">
            <v>0</v>
          </cell>
          <cell r="AF109">
            <v>0</v>
          </cell>
          <cell r="AG109">
            <v>0</v>
          </cell>
          <cell r="AH109">
            <v>0</v>
          </cell>
          <cell r="AI109">
            <v>0</v>
          </cell>
          <cell r="AJ109">
            <v>0</v>
          </cell>
          <cell r="AK109">
            <v>0</v>
          </cell>
          <cell r="AL109"/>
          <cell r="AM109">
            <v>0</v>
          </cell>
          <cell r="AN109">
            <v>0</v>
          </cell>
          <cell r="AO109">
            <v>0</v>
          </cell>
          <cell r="AP109">
            <v>0</v>
          </cell>
          <cell r="AQ109">
            <v>0</v>
          </cell>
          <cell r="AR109">
            <v>0</v>
          </cell>
          <cell r="AS109">
            <v>0</v>
          </cell>
          <cell r="AT109">
            <v>0</v>
          </cell>
          <cell r="AU109">
            <v>4740</v>
          </cell>
          <cell r="AV109">
            <v>0</v>
          </cell>
          <cell r="AW109">
            <v>0</v>
          </cell>
          <cell r="AX109">
            <v>0</v>
          </cell>
          <cell r="AY109"/>
          <cell r="AZ109"/>
          <cell r="BA109">
            <v>0</v>
          </cell>
          <cell r="BB109"/>
          <cell r="BC109">
            <v>0</v>
          </cell>
          <cell r="BD109">
            <v>8513</v>
          </cell>
          <cell r="BE109"/>
          <cell r="BF109">
            <v>0</v>
          </cell>
          <cell r="BG109">
            <v>0</v>
          </cell>
          <cell r="BH109">
            <v>0</v>
          </cell>
          <cell r="BI109">
            <v>27595</v>
          </cell>
          <cell r="BJ109">
            <v>22715</v>
          </cell>
          <cell r="BK109">
            <v>22715</v>
          </cell>
          <cell r="BL109">
            <v>0</v>
          </cell>
          <cell r="BM109">
            <v>0</v>
          </cell>
          <cell r="BN109">
            <v>0</v>
          </cell>
          <cell r="BO109">
            <v>62749</v>
          </cell>
          <cell r="BP109">
            <v>25302.400000000001</v>
          </cell>
          <cell r="BQ109">
            <v>45581.395348837199</v>
          </cell>
          <cell r="BR109">
            <v>0</v>
          </cell>
          <cell r="BS109">
            <v>0</v>
          </cell>
          <cell r="BT109">
            <v>44993</v>
          </cell>
          <cell r="BU109"/>
          <cell r="BV109"/>
          <cell r="BW109"/>
          <cell r="BX109"/>
          <cell r="BY109">
            <v>0</v>
          </cell>
          <cell r="BZ109">
            <v>0</v>
          </cell>
          <cell r="CA109">
            <v>0</v>
          </cell>
          <cell r="CB109">
            <v>0</v>
          </cell>
          <cell r="CC109">
            <v>1559784</v>
          </cell>
          <cell r="CD109">
            <v>8780332</v>
          </cell>
          <cell r="CE109">
            <v>490605</v>
          </cell>
          <cell r="CF109">
            <v>0</v>
          </cell>
          <cell r="CG109">
            <v>490605</v>
          </cell>
          <cell r="CH109">
            <v>490605</v>
          </cell>
          <cell r="CI109">
            <v>490605</v>
          </cell>
          <cell r="CJ109">
            <v>490605</v>
          </cell>
          <cell r="CK109">
            <v>0</v>
          </cell>
          <cell r="CL109">
            <v>0</v>
          </cell>
          <cell r="CM109">
            <v>0</v>
          </cell>
          <cell r="CN109">
            <v>0</v>
          </cell>
          <cell r="CO109">
            <v>0</v>
          </cell>
          <cell r="CP109">
            <v>-1605</v>
          </cell>
          <cell r="CQ109">
            <v>2092201</v>
          </cell>
          <cell r="CR109">
            <v>1993134</v>
          </cell>
          <cell r="CS109">
            <v>1927536</v>
          </cell>
          <cell r="CT109">
            <v>1891286</v>
          </cell>
          <cell r="CU109">
            <v>1860076</v>
          </cell>
          <cell r="CV109">
            <v>-21568</v>
          </cell>
          <cell r="CW109">
            <v>0</v>
          </cell>
          <cell r="CX109">
            <v>0</v>
          </cell>
          <cell r="CY109">
            <v>0</v>
          </cell>
          <cell r="CZ109">
            <v>0</v>
          </cell>
          <cell r="DA109">
            <v>0</v>
          </cell>
          <cell r="DB109"/>
          <cell r="DC109">
            <v>0</v>
          </cell>
          <cell r="DD109">
            <v>0</v>
          </cell>
          <cell r="DE109">
            <v>0</v>
          </cell>
          <cell r="DF109">
            <v>0</v>
          </cell>
          <cell r="DG109">
            <v>0</v>
          </cell>
          <cell r="DH109">
            <v>0</v>
          </cell>
          <cell r="DI109">
            <v>0</v>
          </cell>
          <cell r="DJ109">
            <v>0</v>
          </cell>
          <cell r="DK109">
            <v>0</v>
          </cell>
          <cell r="DL109">
            <v>0</v>
          </cell>
          <cell r="DM109"/>
          <cell r="DN109"/>
          <cell r="DO109"/>
          <cell r="DP109"/>
        </row>
        <row r="110">
          <cell r="A110">
            <v>1955</v>
          </cell>
          <cell r="B110" t="str">
            <v>Montferland</v>
          </cell>
          <cell r="C110">
            <v>5</v>
          </cell>
          <cell r="D110">
            <v>-60758</v>
          </cell>
          <cell r="E110">
            <v>-30379</v>
          </cell>
          <cell r="F110">
            <v>0</v>
          </cell>
          <cell r="G110">
            <v>0</v>
          </cell>
          <cell r="H110">
            <v>0</v>
          </cell>
          <cell r="I110">
            <v>0</v>
          </cell>
          <cell r="J110"/>
          <cell r="K110">
            <v>0</v>
          </cell>
          <cell r="L110">
            <v>147709</v>
          </cell>
          <cell r="M110">
            <v>127988</v>
          </cell>
          <cell r="N110">
            <v>0</v>
          </cell>
          <cell r="O110">
            <v>0</v>
          </cell>
          <cell r="P110">
            <v>0</v>
          </cell>
          <cell r="Q110">
            <v>0</v>
          </cell>
          <cell r="R110">
            <v>0</v>
          </cell>
          <cell r="S110">
            <v>0</v>
          </cell>
          <cell r="T110">
            <v>0</v>
          </cell>
          <cell r="U110">
            <v>0</v>
          </cell>
          <cell r="V110">
            <v>0</v>
          </cell>
          <cell r="W110">
            <v>139952</v>
          </cell>
          <cell r="X110">
            <v>0</v>
          </cell>
          <cell r="Y110"/>
          <cell r="Z110">
            <v>0</v>
          </cell>
          <cell r="AA110">
            <v>0</v>
          </cell>
          <cell r="AB110">
            <v>0</v>
          </cell>
          <cell r="AC110"/>
          <cell r="AD110">
            <v>38134</v>
          </cell>
          <cell r="AE110">
            <v>0</v>
          </cell>
          <cell r="AF110">
            <v>0</v>
          </cell>
          <cell r="AG110">
            <v>0</v>
          </cell>
          <cell r="AH110">
            <v>0</v>
          </cell>
          <cell r="AI110">
            <v>0</v>
          </cell>
          <cell r="AJ110">
            <v>0</v>
          </cell>
          <cell r="AK110">
            <v>0</v>
          </cell>
          <cell r="AL110"/>
          <cell r="AM110">
            <v>0</v>
          </cell>
          <cell r="AN110">
            <v>0</v>
          </cell>
          <cell r="AO110">
            <v>0</v>
          </cell>
          <cell r="AP110">
            <v>0</v>
          </cell>
          <cell r="AQ110">
            <v>0</v>
          </cell>
          <cell r="AR110">
            <v>0</v>
          </cell>
          <cell r="AS110">
            <v>0</v>
          </cell>
          <cell r="AT110">
            <v>0</v>
          </cell>
          <cell r="AU110">
            <v>0</v>
          </cell>
          <cell r="AV110">
            <v>0</v>
          </cell>
          <cell r="AW110">
            <v>0</v>
          </cell>
          <cell r="AX110">
            <v>0</v>
          </cell>
          <cell r="AY110"/>
          <cell r="AZ110"/>
          <cell r="BA110">
            <v>0</v>
          </cell>
          <cell r="BB110"/>
          <cell r="BC110">
            <v>0</v>
          </cell>
          <cell r="BD110">
            <v>12397</v>
          </cell>
          <cell r="BE110"/>
          <cell r="BF110">
            <v>0</v>
          </cell>
          <cell r="BG110">
            <v>0</v>
          </cell>
          <cell r="BH110">
            <v>0</v>
          </cell>
          <cell r="BI110">
            <v>54963</v>
          </cell>
          <cell r="BJ110">
            <v>45243</v>
          </cell>
          <cell r="BK110">
            <v>45243</v>
          </cell>
          <cell r="BL110">
            <v>0</v>
          </cell>
          <cell r="BM110">
            <v>0</v>
          </cell>
          <cell r="BN110">
            <v>0</v>
          </cell>
          <cell r="BO110">
            <v>22376</v>
          </cell>
          <cell r="BP110">
            <v>7907</v>
          </cell>
          <cell r="BQ110">
            <v>14244.186046511601</v>
          </cell>
          <cell r="BR110">
            <v>0</v>
          </cell>
          <cell r="BS110">
            <v>0</v>
          </cell>
          <cell r="BT110">
            <v>57678</v>
          </cell>
          <cell r="BU110"/>
          <cell r="BV110"/>
          <cell r="BW110"/>
          <cell r="BX110"/>
          <cell r="BY110">
            <v>0</v>
          </cell>
          <cell r="BZ110">
            <v>0</v>
          </cell>
          <cell r="CA110">
            <v>0</v>
          </cell>
          <cell r="CB110">
            <v>0</v>
          </cell>
          <cell r="CC110">
            <v>3222604</v>
          </cell>
          <cell r="CD110">
            <v>18603050</v>
          </cell>
          <cell r="CE110">
            <v>553229</v>
          </cell>
          <cell r="CF110">
            <v>0</v>
          </cell>
          <cell r="CG110">
            <v>553229</v>
          </cell>
          <cell r="CH110">
            <v>553229</v>
          </cell>
          <cell r="CI110">
            <v>553229</v>
          </cell>
          <cell r="CJ110">
            <v>553229</v>
          </cell>
          <cell r="CK110">
            <v>0</v>
          </cell>
          <cell r="CL110">
            <v>0</v>
          </cell>
          <cell r="CM110">
            <v>0</v>
          </cell>
          <cell r="CN110">
            <v>0</v>
          </cell>
          <cell r="CO110">
            <v>0</v>
          </cell>
          <cell r="CP110">
            <v>0</v>
          </cell>
          <cell r="CQ110">
            <v>4987435</v>
          </cell>
          <cell r="CR110">
            <v>4768695</v>
          </cell>
          <cell r="CS110">
            <v>4569716</v>
          </cell>
          <cell r="CT110">
            <v>4469644</v>
          </cell>
          <cell r="CU110">
            <v>4381510</v>
          </cell>
          <cell r="CV110">
            <v>56133</v>
          </cell>
          <cell r="CW110">
            <v>0</v>
          </cell>
          <cell r="CX110">
            <v>0</v>
          </cell>
          <cell r="CY110">
            <v>0</v>
          </cell>
          <cell r="CZ110">
            <v>0</v>
          </cell>
          <cell r="DA110">
            <v>0</v>
          </cell>
          <cell r="DB110"/>
          <cell r="DC110">
            <v>0</v>
          </cell>
          <cell r="DD110">
            <v>0</v>
          </cell>
          <cell r="DE110">
            <v>0</v>
          </cell>
          <cell r="DF110">
            <v>0</v>
          </cell>
          <cell r="DG110">
            <v>0</v>
          </cell>
          <cell r="DH110">
            <v>0</v>
          </cell>
          <cell r="DI110">
            <v>0</v>
          </cell>
          <cell r="DJ110">
            <v>0</v>
          </cell>
          <cell r="DK110">
            <v>0</v>
          </cell>
          <cell r="DL110">
            <v>0</v>
          </cell>
          <cell r="DM110"/>
          <cell r="DN110"/>
          <cell r="DO110"/>
          <cell r="DP110"/>
        </row>
        <row r="111">
          <cell r="A111">
            <v>1740</v>
          </cell>
          <cell r="B111" t="str">
            <v>Neder-Betuwe</v>
          </cell>
          <cell r="C111">
            <v>5</v>
          </cell>
          <cell r="D111">
            <v>36482</v>
          </cell>
          <cell r="E111">
            <v>18241</v>
          </cell>
          <cell r="F111">
            <v>0</v>
          </cell>
          <cell r="G111">
            <v>267003</v>
          </cell>
          <cell r="H111">
            <v>-28635</v>
          </cell>
          <cell r="I111">
            <v>-14126</v>
          </cell>
          <cell r="J111"/>
          <cell r="K111">
            <v>0</v>
          </cell>
          <cell r="L111">
            <v>80520</v>
          </cell>
          <cell r="M111">
            <v>75993</v>
          </cell>
          <cell r="N111">
            <v>0</v>
          </cell>
          <cell r="O111">
            <v>0</v>
          </cell>
          <cell r="P111">
            <v>0</v>
          </cell>
          <cell r="Q111">
            <v>0</v>
          </cell>
          <cell r="R111">
            <v>0</v>
          </cell>
          <cell r="S111">
            <v>0</v>
          </cell>
          <cell r="T111">
            <v>0</v>
          </cell>
          <cell r="U111">
            <v>0</v>
          </cell>
          <cell r="V111">
            <v>3000</v>
          </cell>
          <cell r="W111">
            <v>116627</v>
          </cell>
          <cell r="X111">
            <v>0</v>
          </cell>
          <cell r="Y111"/>
          <cell r="Z111">
            <v>0</v>
          </cell>
          <cell r="AA111">
            <v>0</v>
          </cell>
          <cell r="AB111">
            <v>0</v>
          </cell>
          <cell r="AC111"/>
          <cell r="AD111">
            <v>0</v>
          </cell>
          <cell r="AE111">
            <v>0</v>
          </cell>
          <cell r="AF111">
            <v>0</v>
          </cell>
          <cell r="AG111">
            <v>0</v>
          </cell>
          <cell r="AH111">
            <v>0</v>
          </cell>
          <cell r="AI111">
            <v>0</v>
          </cell>
          <cell r="AJ111">
            <v>0</v>
          </cell>
          <cell r="AK111">
            <v>0</v>
          </cell>
          <cell r="AL111"/>
          <cell r="AM111">
            <v>0</v>
          </cell>
          <cell r="AN111">
            <v>0</v>
          </cell>
          <cell r="AO111">
            <v>0</v>
          </cell>
          <cell r="AP111">
            <v>0</v>
          </cell>
          <cell r="AQ111">
            <v>0</v>
          </cell>
          <cell r="AR111">
            <v>0</v>
          </cell>
          <cell r="AS111">
            <v>0</v>
          </cell>
          <cell r="AT111">
            <v>0</v>
          </cell>
          <cell r="AU111">
            <v>4740</v>
          </cell>
          <cell r="AV111">
            <v>0</v>
          </cell>
          <cell r="AW111">
            <v>0</v>
          </cell>
          <cell r="AX111">
            <v>0</v>
          </cell>
          <cell r="AY111"/>
          <cell r="AZ111"/>
          <cell r="BA111">
            <v>0</v>
          </cell>
          <cell r="BB111"/>
          <cell r="BC111">
            <v>0</v>
          </cell>
          <cell r="BD111">
            <v>8180</v>
          </cell>
          <cell r="BE111"/>
          <cell r="BF111">
            <v>0</v>
          </cell>
          <cell r="BG111">
            <v>0</v>
          </cell>
          <cell r="BH111">
            <v>0</v>
          </cell>
          <cell r="BI111">
            <v>24045</v>
          </cell>
          <cell r="BJ111">
            <v>19793</v>
          </cell>
          <cell r="BK111">
            <v>19793</v>
          </cell>
          <cell r="BL111">
            <v>0</v>
          </cell>
          <cell r="BM111">
            <v>0</v>
          </cell>
          <cell r="BN111">
            <v>0</v>
          </cell>
          <cell r="BO111">
            <v>119661</v>
          </cell>
          <cell r="BP111">
            <v>6325.6</v>
          </cell>
          <cell r="BQ111">
            <v>11395.3488372093</v>
          </cell>
          <cell r="BR111">
            <v>0</v>
          </cell>
          <cell r="BS111">
            <v>0</v>
          </cell>
          <cell r="BT111">
            <v>47525</v>
          </cell>
          <cell r="BU111"/>
          <cell r="BV111"/>
          <cell r="BW111"/>
          <cell r="BX111"/>
          <cell r="BY111">
            <v>0</v>
          </cell>
          <cell r="BZ111">
            <v>0</v>
          </cell>
          <cell r="CA111">
            <v>0</v>
          </cell>
          <cell r="CB111">
            <v>0</v>
          </cell>
          <cell r="CC111">
            <v>1615479</v>
          </cell>
          <cell r="CD111">
            <v>9578405</v>
          </cell>
          <cell r="CE111">
            <v>755917</v>
          </cell>
          <cell r="CF111">
            <v>-33896</v>
          </cell>
          <cell r="CG111">
            <v>755917</v>
          </cell>
          <cell r="CH111">
            <v>755917</v>
          </cell>
          <cell r="CI111">
            <v>755917</v>
          </cell>
          <cell r="CJ111">
            <v>755917</v>
          </cell>
          <cell r="CK111">
            <v>0</v>
          </cell>
          <cell r="CL111">
            <v>0</v>
          </cell>
          <cell r="CM111">
            <v>0</v>
          </cell>
          <cell r="CN111">
            <v>0</v>
          </cell>
          <cell r="CO111">
            <v>0</v>
          </cell>
          <cell r="CP111">
            <v>0</v>
          </cell>
          <cell r="CQ111">
            <v>1343227</v>
          </cell>
          <cell r="CR111">
            <v>1243165</v>
          </cell>
          <cell r="CS111">
            <v>1224647</v>
          </cell>
          <cell r="CT111">
            <v>1183502</v>
          </cell>
          <cell r="CU111">
            <v>1159619</v>
          </cell>
          <cell r="CV111">
            <v>25983</v>
          </cell>
          <cell r="CW111">
            <v>0</v>
          </cell>
          <cell r="CX111">
            <v>0</v>
          </cell>
          <cell r="CY111">
            <v>0</v>
          </cell>
          <cell r="CZ111">
            <v>0</v>
          </cell>
          <cell r="DA111">
            <v>0</v>
          </cell>
          <cell r="DB111"/>
          <cell r="DC111">
            <v>0</v>
          </cell>
          <cell r="DD111">
            <v>0</v>
          </cell>
          <cell r="DE111">
            <v>0</v>
          </cell>
          <cell r="DF111">
            <v>0</v>
          </cell>
          <cell r="DG111">
            <v>0</v>
          </cell>
          <cell r="DH111">
            <v>0</v>
          </cell>
          <cell r="DI111">
            <v>0</v>
          </cell>
          <cell r="DJ111">
            <v>0</v>
          </cell>
          <cell r="DK111">
            <v>0</v>
          </cell>
          <cell r="DL111">
            <v>0</v>
          </cell>
          <cell r="DM111"/>
          <cell r="DN111"/>
          <cell r="DO111"/>
          <cell r="DP111"/>
        </row>
        <row r="112">
          <cell r="A112">
            <v>304</v>
          </cell>
          <cell r="B112" t="str">
            <v>Neerijnen</v>
          </cell>
          <cell r="C112">
            <v>5</v>
          </cell>
          <cell r="D112">
            <v>-3950</v>
          </cell>
          <cell r="E112">
            <v>-1975</v>
          </cell>
          <cell r="F112">
            <v>0</v>
          </cell>
          <cell r="G112">
            <v>0</v>
          </cell>
          <cell r="H112">
            <v>-6131</v>
          </cell>
          <cell r="I112">
            <v>-246</v>
          </cell>
          <cell r="J112"/>
          <cell r="K112">
            <v>0</v>
          </cell>
          <cell r="L112">
            <v>39554</v>
          </cell>
          <cell r="M112">
            <v>43329</v>
          </cell>
          <cell r="N112">
            <v>0</v>
          </cell>
          <cell r="O112">
            <v>0</v>
          </cell>
          <cell r="P112">
            <v>0</v>
          </cell>
          <cell r="Q112">
            <v>0</v>
          </cell>
          <cell r="R112">
            <v>0</v>
          </cell>
          <cell r="S112">
            <v>0</v>
          </cell>
          <cell r="T112">
            <v>0</v>
          </cell>
          <cell r="U112">
            <v>0</v>
          </cell>
          <cell r="V112">
            <v>0</v>
          </cell>
          <cell r="W112">
            <v>40205</v>
          </cell>
          <cell r="X112">
            <v>0</v>
          </cell>
          <cell r="Y112"/>
          <cell r="Z112">
            <v>0</v>
          </cell>
          <cell r="AA112">
            <v>0</v>
          </cell>
          <cell r="AB112">
            <v>0</v>
          </cell>
          <cell r="AC112"/>
          <cell r="AD112">
            <v>0</v>
          </cell>
          <cell r="AE112">
            <v>0</v>
          </cell>
          <cell r="AF112">
            <v>0</v>
          </cell>
          <cell r="AG112">
            <v>0</v>
          </cell>
          <cell r="AH112">
            <v>0</v>
          </cell>
          <cell r="AI112">
            <v>0</v>
          </cell>
          <cell r="AJ112">
            <v>0</v>
          </cell>
          <cell r="AK112">
            <v>0</v>
          </cell>
          <cell r="AL112"/>
          <cell r="AM112">
            <v>0</v>
          </cell>
          <cell r="AN112">
            <v>0</v>
          </cell>
          <cell r="AO112">
            <v>0</v>
          </cell>
          <cell r="AP112">
            <v>0</v>
          </cell>
          <cell r="AQ112">
            <v>0</v>
          </cell>
          <cell r="AR112">
            <v>0</v>
          </cell>
          <cell r="AS112">
            <v>0</v>
          </cell>
          <cell r="AT112">
            <v>0</v>
          </cell>
          <cell r="AU112">
            <v>0</v>
          </cell>
          <cell r="AV112">
            <v>0</v>
          </cell>
          <cell r="AW112">
            <v>0</v>
          </cell>
          <cell r="AX112">
            <v>0</v>
          </cell>
          <cell r="AY112"/>
          <cell r="AZ112"/>
          <cell r="BA112">
            <v>0</v>
          </cell>
          <cell r="BB112"/>
          <cell r="BC112">
            <v>0</v>
          </cell>
          <cell r="BD112">
            <v>21657</v>
          </cell>
          <cell r="BE112"/>
          <cell r="BF112">
            <v>0</v>
          </cell>
          <cell r="BG112">
            <v>0</v>
          </cell>
          <cell r="BH112">
            <v>0</v>
          </cell>
          <cell r="BI112">
            <v>11113</v>
          </cell>
          <cell r="BJ112">
            <v>9147</v>
          </cell>
          <cell r="BK112">
            <v>9147</v>
          </cell>
          <cell r="BL112">
            <v>0</v>
          </cell>
          <cell r="BM112">
            <v>0</v>
          </cell>
          <cell r="BN112">
            <v>0</v>
          </cell>
          <cell r="BO112">
            <v>35023</v>
          </cell>
          <cell r="BP112">
            <v>1581.4</v>
          </cell>
          <cell r="BQ112">
            <v>2848.8372093023299</v>
          </cell>
          <cell r="BR112">
            <v>0</v>
          </cell>
          <cell r="BS112">
            <v>0</v>
          </cell>
          <cell r="BT112">
            <v>27968</v>
          </cell>
          <cell r="BU112"/>
          <cell r="BV112"/>
          <cell r="BW112"/>
          <cell r="BX112"/>
          <cell r="BY112">
            <v>0</v>
          </cell>
          <cell r="BZ112">
            <v>0</v>
          </cell>
          <cell r="CA112">
            <v>0</v>
          </cell>
          <cell r="CB112">
            <v>0</v>
          </cell>
          <cell r="CC112">
            <v>706829</v>
          </cell>
          <cell r="CD112">
            <v>4351557</v>
          </cell>
          <cell r="CE112">
            <v>111467</v>
          </cell>
          <cell r="CF112">
            <v>0</v>
          </cell>
          <cell r="CG112">
            <v>111467</v>
          </cell>
          <cell r="CH112">
            <v>111467</v>
          </cell>
          <cell r="CI112">
            <v>111467</v>
          </cell>
          <cell r="CJ112">
            <v>111467</v>
          </cell>
          <cell r="CK112">
            <v>0</v>
          </cell>
          <cell r="CL112">
            <v>0</v>
          </cell>
          <cell r="CM112">
            <v>0</v>
          </cell>
          <cell r="CN112">
            <v>0</v>
          </cell>
          <cell r="CO112">
            <v>0</v>
          </cell>
          <cell r="CP112">
            <v>-89</v>
          </cell>
          <cell r="CQ112">
            <v>1020614</v>
          </cell>
          <cell r="CR112">
            <v>965500</v>
          </cell>
          <cell r="CS112">
            <v>935243</v>
          </cell>
          <cell r="CT112">
            <v>926617</v>
          </cell>
          <cell r="CU112">
            <v>913948</v>
          </cell>
          <cell r="CV112">
            <v>-25787</v>
          </cell>
          <cell r="CW112">
            <v>0</v>
          </cell>
          <cell r="CX112">
            <v>0</v>
          </cell>
          <cell r="CY112">
            <v>0</v>
          </cell>
          <cell r="CZ112">
            <v>0</v>
          </cell>
          <cell r="DA112">
            <v>0</v>
          </cell>
          <cell r="DB112"/>
          <cell r="DC112">
            <v>0</v>
          </cell>
          <cell r="DD112">
            <v>0</v>
          </cell>
          <cell r="DE112">
            <v>0</v>
          </cell>
          <cell r="DF112">
            <v>0</v>
          </cell>
          <cell r="DG112">
            <v>0</v>
          </cell>
          <cell r="DH112">
            <v>0</v>
          </cell>
          <cell r="DI112">
            <v>0</v>
          </cell>
          <cell r="DJ112">
            <v>0</v>
          </cell>
          <cell r="DK112">
            <v>0</v>
          </cell>
          <cell r="DL112">
            <v>0</v>
          </cell>
          <cell r="DM112"/>
          <cell r="DN112"/>
          <cell r="DO112"/>
          <cell r="DP112"/>
        </row>
        <row r="113">
          <cell r="A113">
            <v>267</v>
          </cell>
          <cell r="B113" t="str">
            <v>Nijkerk</v>
          </cell>
          <cell r="C113">
            <v>5</v>
          </cell>
          <cell r="D113">
            <v>-32291</v>
          </cell>
          <cell r="E113">
            <v>-16145</v>
          </cell>
          <cell r="F113">
            <v>0</v>
          </cell>
          <cell r="G113">
            <v>0</v>
          </cell>
          <cell r="H113">
            <v>0</v>
          </cell>
          <cell r="I113">
            <v>0</v>
          </cell>
          <cell r="J113"/>
          <cell r="K113">
            <v>0</v>
          </cell>
          <cell r="L113">
            <v>125823</v>
          </cell>
          <cell r="M113">
            <v>132035</v>
          </cell>
          <cell r="N113">
            <v>0</v>
          </cell>
          <cell r="O113">
            <v>0</v>
          </cell>
          <cell r="P113">
            <v>0</v>
          </cell>
          <cell r="Q113">
            <v>0</v>
          </cell>
          <cell r="R113">
            <v>0</v>
          </cell>
          <cell r="S113">
            <v>0</v>
          </cell>
          <cell r="T113">
            <v>0</v>
          </cell>
          <cell r="U113">
            <v>0</v>
          </cell>
          <cell r="V113">
            <v>3000</v>
          </cell>
          <cell r="W113">
            <v>171247</v>
          </cell>
          <cell r="X113">
            <v>0</v>
          </cell>
          <cell r="Y113"/>
          <cell r="Z113">
            <v>0</v>
          </cell>
          <cell r="AA113">
            <v>0</v>
          </cell>
          <cell r="AB113">
            <v>0</v>
          </cell>
          <cell r="AC113"/>
          <cell r="AD113">
            <v>0</v>
          </cell>
          <cell r="AE113">
            <v>0</v>
          </cell>
          <cell r="AF113">
            <v>0</v>
          </cell>
          <cell r="AG113">
            <v>0</v>
          </cell>
          <cell r="AH113">
            <v>0</v>
          </cell>
          <cell r="AI113">
            <v>0</v>
          </cell>
          <cell r="AJ113">
            <v>0</v>
          </cell>
          <cell r="AK113">
            <v>0</v>
          </cell>
          <cell r="AL113"/>
          <cell r="AM113">
            <v>0</v>
          </cell>
          <cell r="AN113">
            <v>0</v>
          </cell>
          <cell r="AO113">
            <v>0</v>
          </cell>
          <cell r="AP113">
            <v>0</v>
          </cell>
          <cell r="AQ113">
            <v>0</v>
          </cell>
          <cell r="AR113">
            <v>0</v>
          </cell>
          <cell r="AS113">
            <v>0</v>
          </cell>
          <cell r="AT113">
            <v>0</v>
          </cell>
          <cell r="AU113">
            <v>0</v>
          </cell>
          <cell r="AV113">
            <v>0</v>
          </cell>
          <cell r="AW113">
            <v>0</v>
          </cell>
          <cell r="AX113">
            <v>0</v>
          </cell>
          <cell r="AY113"/>
          <cell r="AZ113"/>
          <cell r="BA113">
            <v>0</v>
          </cell>
          <cell r="BB113"/>
          <cell r="BC113">
            <v>0</v>
          </cell>
          <cell r="BD113">
            <v>14665</v>
          </cell>
          <cell r="BE113"/>
          <cell r="BF113">
            <v>0</v>
          </cell>
          <cell r="BG113">
            <v>0</v>
          </cell>
          <cell r="BH113">
            <v>0</v>
          </cell>
          <cell r="BI113">
            <v>44947</v>
          </cell>
          <cell r="BJ113">
            <v>36998</v>
          </cell>
          <cell r="BK113">
            <v>36998</v>
          </cell>
          <cell r="BL113">
            <v>0</v>
          </cell>
          <cell r="BM113">
            <v>0</v>
          </cell>
          <cell r="BN113">
            <v>0</v>
          </cell>
          <cell r="BO113">
            <v>142523</v>
          </cell>
          <cell r="BP113">
            <v>23721</v>
          </cell>
          <cell r="BQ113">
            <v>42732.5581395349</v>
          </cell>
          <cell r="BR113">
            <v>0</v>
          </cell>
          <cell r="BS113">
            <v>0</v>
          </cell>
          <cell r="BT113">
            <v>67873</v>
          </cell>
          <cell r="BU113"/>
          <cell r="BV113"/>
          <cell r="BW113"/>
          <cell r="BX113"/>
          <cell r="BY113">
            <v>0</v>
          </cell>
          <cell r="BZ113">
            <v>0</v>
          </cell>
          <cell r="CA113">
            <v>0</v>
          </cell>
          <cell r="CB113">
            <v>0</v>
          </cell>
          <cell r="CC113">
            <v>2693901</v>
          </cell>
          <cell r="CD113">
            <v>14593397</v>
          </cell>
          <cell r="CE113">
            <v>1277094</v>
          </cell>
          <cell r="CF113">
            <v>0</v>
          </cell>
          <cell r="CG113">
            <v>1277094</v>
          </cell>
          <cell r="CH113">
            <v>1277094</v>
          </cell>
          <cell r="CI113">
            <v>1277094</v>
          </cell>
          <cell r="CJ113">
            <v>1277094</v>
          </cell>
          <cell r="CK113">
            <v>0</v>
          </cell>
          <cell r="CL113">
            <v>0</v>
          </cell>
          <cell r="CM113">
            <v>0</v>
          </cell>
          <cell r="CN113">
            <v>0</v>
          </cell>
          <cell r="CO113">
            <v>0</v>
          </cell>
          <cell r="CP113">
            <v>0</v>
          </cell>
          <cell r="CQ113">
            <v>1905687</v>
          </cell>
          <cell r="CR113">
            <v>1848796</v>
          </cell>
          <cell r="CS113">
            <v>1834425</v>
          </cell>
          <cell r="CT113">
            <v>1838481</v>
          </cell>
          <cell r="CU113">
            <v>1793955</v>
          </cell>
          <cell r="CV113">
            <v>-31866</v>
          </cell>
          <cell r="CW113">
            <v>0</v>
          </cell>
          <cell r="CX113">
            <v>0</v>
          </cell>
          <cell r="CY113">
            <v>0</v>
          </cell>
          <cell r="CZ113">
            <v>0</v>
          </cell>
          <cell r="DA113">
            <v>0</v>
          </cell>
          <cell r="DB113"/>
          <cell r="DC113">
            <v>0</v>
          </cell>
          <cell r="DD113">
            <v>0</v>
          </cell>
          <cell r="DE113">
            <v>0</v>
          </cell>
          <cell r="DF113">
            <v>0</v>
          </cell>
          <cell r="DG113">
            <v>0</v>
          </cell>
          <cell r="DH113">
            <v>0</v>
          </cell>
          <cell r="DI113">
            <v>0</v>
          </cell>
          <cell r="DJ113">
            <v>0</v>
          </cell>
          <cell r="DK113">
            <v>0</v>
          </cell>
          <cell r="DL113">
            <v>0</v>
          </cell>
          <cell r="DM113"/>
          <cell r="DN113"/>
          <cell r="DO113"/>
          <cell r="DP113"/>
        </row>
        <row r="114">
          <cell r="A114">
            <v>268</v>
          </cell>
          <cell r="B114" t="str">
            <v>Nijmegen</v>
          </cell>
          <cell r="C114">
            <v>5</v>
          </cell>
          <cell r="D114">
            <v>865114</v>
          </cell>
          <cell r="E114">
            <v>432557</v>
          </cell>
          <cell r="F114">
            <v>0</v>
          </cell>
          <cell r="G114">
            <v>137208</v>
          </cell>
          <cell r="H114">
            <v>-137754</v>
          </cell>
          <cell r="I114">
            <v>-59299</v>
          </cell>
          <cell r="J114"/>
          <cell r="K114">
            <v>7500</v>
          </cell>
          <cell r="L114">
            <v>939018</v>
          </cell>
          <cell r="M114">
            <v>972481</v>
          </cell>
          <cell r="N114">
            <v>0</v>
          </cell>
          <cell r="O114">
            <v>0</v>
          </cell>
          <cell r="P114">
            <v>150000</v>
          </cell>
          <cell r="Q114">
            <v>0</v>
          </cell>
          <cell r="R114">
            <v>0</v>
          </cell>
          <cell r="S114">
            <v>1164076</v>
          </cell>
          <cell r="T114">
            <v>1164076</v>
          </cell>
          <cell r="U114">
            <v>1164076</v>
          </cell>
          <cell r="V114">
            <v>12000</v>
          </cell>
          <cell r="W114">
            <v>523654</v>
          </cell>
          <cell r="X114">
            <v>0</v>
          </cell>
          <cell r="Y114"/>
          <cell r="Z114">
            <v>0</v>
          </cell>
          <cell r="AA114">
            <v>36000</v>
          </cell>
          <cell r="AB114">
            <v>0</v>
          </cell>
          <cell r="AC114"/>
          <cell r="AD114">
            <v>386231</v>
          </cell>
          <cell r="AE114">
            <v>0</v>
          </cell>
          <cell r="AF114">
            <v>0</v>
          </cell>
          <cell r="AG114">
            <v>0</v>
          </cell>
          <cell r="AH114">
            <v>0</v>
          </cell>
          <cell r="AI114">
            <v>0</v>
          </cell>
          <cell r="AJ114">
            <v>0</v>
          </cell>
          <cell r="AK114">
            <v>605273</v>
          </cell>
          <cell r="AL114"/>
          <cell r="AM114">
            <v>0</v>
          </cell>
          <cell r="AN114">
            <v>0</v>
          </cell>
          <cell r="AO114">
            <v>0</v>
          </cell>
          <cell r="AP114">
            <v>0</v>
          </cell>
          <cell r="AQ114">
            <v>0</v>
          </cell>
          <cell r="AR114">
            <v>0</v>
          </cell>
          <cell r="AS114">
            <v>0</v>
          </cell>
          <cell r="AT114">
            <v>20000</v>
          </cell>
          <cell r="AU114">
            <v>21330</v>
          </cell>
          <cell r="AV114">
            <v>10249480.083199199</v>
          </cell>
          <cell r="AW114">
            <v>80000</v>
          </cell>
          <cell r="AX114">
            <v>0</v>
          </cell>
          <cell r="AY114"/>
          <cell r="AZ114"/>
          <cell r="BA114">
            <v>0</v>
          </cell>
          <cell r="BB114"/>
          <cell r="BC114">
            <v>0</v>
          </cell>
          <cell r="BD114">
            <v>60924</v>
          </cell>
          <cell r="BE114"/>
          <cell r="BF114">
            <v>0</v>
          </cell>
          <cell r="BG114">
            <v>0</v>
          </cell>
          <cell r="BH114">
            <v>0</v>
          </cell>
          <cell r="BI114">
            <v>363163</v>
          </cell>
          <cell r="BJ114">
            <v>298937</v>
          </cell>
          <cell r="BK114">
            <v>298937</v>
          </cell>
          <cell r="BL114">
            <v>0</v>
          </cell>
          <cell r="BM114">
            <v>0</v>
          </cell>
          <cell r="BN114">
            <v>218680</v>
          </cell>
          <cell r="BO114">
            <v>410545</v>
          </cell>
          <cell r="BP114">
            <v>71163</v>
          </cell>
          <cell r="BQ114">
            <v>128197.67441860501</v>
          </cell>
          <cell r="BR114">
            <v>35000</v>
          </cell>
          <cell r="BS114">
            <v>0</v>
          </cell>
          <cell r="BT114">
            <v>311853</v>
          </cell>
          <cell r="BU114"/>
          <cell r="BV114"/>
          <cell r="BW114"/>
          <cell r="BX114"/>
          <cell r="BY114">
            <v>3282160.1947428901</v>
          </cell>
          <cell r="BZ114">
            <v>3804762.2534568999</v>
          </cell>
          <cell r="CA114">
            <v>3849406.6504324698</v>
          </cell>
          <cell r="CB114">
            <v>3975461.4183634799</v>
          </cell>
          <cell r="CC114">
            <v>12578255</v>
          </cell>
          <cell r="CD114">
            <v>155289463</v>
          </cell>
          <cell r="CE114">
            <v>6559063</v>
          </cell>
          <cell r="CF114">
            <v>0</v>
          </cell>
          <cell r="CG114">
            <v>6559063</v>
          </cell>
          <cell r="CH114">
            <v>6559063</v>
          </cell>
          <cell r="CI114">
            <v>6559063</v>
          </cell>
          <cell r="CJ114">
            <v>6559063</v>
          </cell>
          <cell r="CK114">
            <v>60271430</v>
          </cell>
          <cell r="CL114">
            <v>60242746</v>
          </cell>
          <cell r="CM114">
            <v>60242282</v>
          </cell>
          <cell r="CN114">
            <v>60241262</v>
          </cell>
          <cell r="CO114">
            <v>60242676</v>
          </cell>
          <cell r="CP114">
            <v>-21122</v>
          </cell>
          <cell r="CQ114">
            <v>23820168</v>
          </cell>
          <cell r="CR114">
            <v>22753894</v>
          </cell>
          <cell r="CS114">
            <v>22199688</v>
          </cell>
          <cell r="CT114">
            <v>21737064</v>
          </cell>
          <cell r="CU114">
            <v>21180542</v>
          </cell>
          <cell r="CV114">
            <v>682803</v>
          </cell>
          <cell r="CW114">
            <v>0</v>
          </cell>
          <cell r="CX114">
            <v>0</v>
          </cell>
          <cell r="CY114">
            <v>0</v>
          </cell>
          <cell r="CZ114">
            <v>0</v>
          </cell>
          <cell r="DA114">
            <v>0</v>
          </cell>
          <cell r="DB114"/>
          <cell r="DC114">
            <v>0</v>
          </cell>
          <cell r="DD114">
            <v>0</v>
          </cell>
          <cell r="DE114">
            <v>0</v>
          </cell>
          <cell r="DF114">
            <v>0</v>
          </cell>
          <cell r="DG114">
            <v>0</v>
          </cell>
          <cell r="DH114">
            <v>0</v>
          </cell>
          <cell r="DI114">
            <v>0</v>
          </cell>
          <cell r="DJ114">
            <v>0</v>
          </cell>
          <cell r="DK114">
            <v>0</v>
          </cell>
          <cell r="DL114">
            <v>0</v>
          </cell>
          <cell r="DM114"/>
          <cell r="DN114"/>
          <cell r="DO114"/>
          <cell r="DP114"/>
        </row>
        <row r="115">
          <cell r="A115">
            <v>302</v>
          </cell>
          <cell r="B115" t="str">
            <v>Nunspeet</v>
          </cell>
          <cell r="C115">
            <v>5</v>
          </cell>
          <cell r="D115">
            <v>-51813</v>
          </cell>
          <cell r="E115">
            <v>-25906</v>
          </cell>
          <cell r="F115">
            <v>0</v>
          </cell>
          <cell r="G115">
            <v>0</v>
          </cell>
          <cell r="H115">
            <v>-10321</v>
          </cell>
          <cell r="I115">
            <v>-1918</v>
          </cell>
          <cell r="J115"/>
          <cell r="K115">
            <v>0</v>
          </cell>
          <cell r="L115">
            <v>78789</v>
          </cell>
          <cell r="M115">
            <v>68565</v>
          </cell>
          <cell r="N115">
            <v>0</v>
          </cell>
          <cell r="O115">
            <v>0</v>
          </cell>
          <cell r="P115">
            <v>0</v>
          </cell>
          <cell r="Q115">
            <v>0</v>
          </cell>
          <cell r="R115">
            <v>0</v>
          </cell>
          <cell r="S115">
            <v>0</v>
          </cell>
          <cell r="T115">
            <v>0</v>
          </cell>
          <cell r="U115">
            <v>0</v>
          </cell>
          <cell r="V115">
            <v>9000</v>
          </cell>
          <cell r="W115">
            <v>121681</v>
          </cell>
          <cell r="X115">
            <v>0</v>
          </cell>
          <cell r="Y115"/>
          <cell r="Z115">
            <v>0</v>
          </cell>
          <cell r="AA115">
            <v>0</v>
          </cell>
          <cell r="AB115">
            <v>0</v>
          </cell>
          <cell r="AC115"/>
          <cell r="AD115">
            <v>0</v>
          </cell>
          <cell r="AE115">
            <v>0</v>
          </cell>
          <cell r="AF115">
            <v>0</v>
          </cell>
          <cell r="AG115">
            <v>0</v>
          </cell>
          <cell r="AH115">
            <v>0</v>
          </cell>
          <cell r="AI115">
            <v>0</v>
          </cell>
          <cell r="AJ115">
            <v>0</v>
          </cell>
          <cell r="AK115">
            <v>0</v>
          </cell>
          <cell r="AL115"/>
          <cell r="AM115">
            <v>0</v>
          </cell>
          <cell r="AN115">
            <v>0</v>
          </cell>
          <cell r="AO115">
            <v>0</v>
          </cell>
          <cell r="AP115">
            <v>0</v>
          </cell>
          <cell r="AQ115">
            <v>0</v>
          </cell>
          <cell r="AR115">
            <v>0</v>
          </cell>
          <cell r="AS115">
            <v>0</v>
          </cell>
          <cell r="AT115">
            <v>0</v>
          </cell>
          <cell r="AU115">
            <v>0</v>
          </cell>
          <cell r="AV115">
            <v>0</v>
          </cell>
          <cell r="AW115">
            <v>0</v>
          </cell>
          <cell r="AX115">
            <v>0</v>
          </cell>
          <cell r="AY115"/>
          <cell r="AZ115"/>
          <cell r="BA115">
            <v>0</v>
          </cell>
          <cell r="BB115"/>
          <cell r="BC115">
            <v>0</v>
          </cell>
          <cell r="BD115">
            <v>9440</v>
          </cell>
          <cell r="BE115"/>
          <cell r="BF115">
            <v>0</v>
          </cell>
          <cell r="BG115">
            <v>0</v>
          </cell>
          <cell r="BH115">
            <v>0</v>
          </cell>
          <cell r="BI115">
            <v>29638</v>
          </cell>
          <cell r="BJ115">
            <v>24397</v>
          </cell>
          <cell r="BK115">
            <v>24397</v>
          </cell>
          <cell r="BL115">
            <v>0</v>
          </cell>
          <cell r="BM115">
            <v>0</v>
          </cell>
          <cell r="BN115">
            <v>0</v>
          </cell>
          <cell r="BO115">
            <v>74423</v>
          </cell>
          <cell r="BP115">
            <v>7907</v>
          </cell>
          <cell r="BQ115">
            <v>14244.186046511601</v>
          </cell>
          <cell r="BR115">
            <v>0</v>
          </cell>
          <cell r="BS115">
            <v>0</v>
          </cell>
          <cell r="BT115">
            <v>52909</v>
          </cell>
          <cell r="BU115"/>
          <cell r="BV115"/>
          <cell r="BW115"/>
          <cell r="BX115"/>
          <cell r="BY115">
            <v>0</v>
          </cell>
          <cell r="BZ115">
            <v>0</v>
          </cell>
          <cell r="CA115">
            <v>0</v>
          </cell>
          <cell r="CB115">
            <v>0</v>
          </cell>
          <cell r="CC115">
            <v>2073654</v>
          </cell>
          <cell r="CD115">
            <v>13001996</v>
          </cell>
          <cell r="CE115">
            <v>806509</v>
          </cell>
          <cell r="CF115">
            <v>-4626</v>
          </cell>
          <cell r="CG115">
            <v>806509</v>
          </cell>
          <cell r="CH115">
            <v>806509</v>
          </cell>
          <cell r="CI115">
            <v>806509</v>
          </cell>
          <cell r="CJ115">
            <v>806509</v>
          </cell>
          <cell r="CK115">
            <v>0</v>
          </cell>
          <cell r="CL115">
            <v>0</v>
          </cell>
          <cell r="CM115">
            <v>0</v>
          </cell>
          <cell r="CN115">
            <v>0</v>
          </cell>
          <cell r="CO115">
            <v>0</v>
          </cell>
          <cell r="CP115">
            <v>0</v>
          </cell>
          <cell r="CQ115">
            <v>3677728</v>
          </cell>
          <cell r="CR115">
            <v>3460231</v>
          </cell>
          <cell r="CS115">
            <v>3360096</v>
          </cell>
          <cell r="CT115">
            <v>3303303</v>
          </cell>
          <cell r="CU115">
            <v>3219564</v>
          </cell>
          <cell r="CV115">
            <v>-36075</v>
          </cell>
          <cell r="CW115">
            <v>0</v>
          </cell>
          <cell r="CX115">
            <v>0</v>
          </cell>
          <cell r="CY115">
            <v>0</v>
          </cell>
          <cell r="CZ115">
            <v>0</v>
          </cell>
          <cell r="DA115">
            <v>0</v>
          </cell>
          <cell r="DB115"/>
          <cell r="DC115">
            <v>0</v>
          </cell>
          <cell r="DD115">
            <v>0</v>
          </cell>
          <cell r="DE115">
            <v>0</v>
          </cell>
          <cell r="DF115">
            <v>0</v>
          </cell>
          <cell r="DG115">
            <v>0</v>
          </cell>
          <cell r="DH115">
            <v>0</v>
          </cell>
          <cell r="DI115">
            <v>0</v>
          </cell>
          <cell r="DJ115">
            <v>0</v>
          </cell>
          <cell r="DK115">
            <v>0</v>
          </cell>
          <cell r="DL115">
            <v>0</v>
          </cell>
          <cell r="DM115"/>
          <cell r="DN115"/>
          <cell r="DO115"/>
          <cell r="DP115"/>
        </row>
        <row r="116">
          <cell r="A116">
            <v>269</v>
          </cell>
          <cell r="B116" t="str">
            <v>Oldebroek</v>
          </cell>
          <cell r="C116">
            <v>5</v>
          </cell>
          <cell r="D116">
            <v>-3685</v>
          </cell>
          <cell r="E116">
            <v>-1842</v>
          </cell>
          <cell r="F116">
            <v>0</v>
          </cell>
          <cell r="G116">
            <v>0</v>
          </cell>
          <cell r="H116">
            <v>0</v>
          </cell>
          <cell r="I116">
            <v>0</v>
          </cell>
          <cell r="J116"/>
          <cell r="K116">
            <v>0</v>
          </cell>
          <cell r="L116">
            <v>63926</v>
          </cell>
          <cell r="M116">
            <v>63137</v>
          </cell>
          <cell r="N116">
            <v>0</v>
          </cell>
          <cell r="O116">
            <v>0</v>
          </cell>
          <cell r="P116">
            <v>0</v>
          </cell>
          <cell r="Q116">
            <v>0</v>
          </cell>
          <cell r="R116">
            <v>0</v>
          </cell>
          <cell r="S116">
            <v>0</v>
          </cell>
          <cell r="T116">
            <v>0</v>
          </cell>
          <cell r="U116">
            <v>0</v>
          </cell>
          <cell r="V116">
            <v>0</v>
          </cell>
          <cell r="W116">
            <v>90108</v>
          </cell>
          <cell r="X116">
            <v>0</v>
          </cell>
          <cell r="Y116"/>
          <cell r="Z116">
            <v>0</v>
          </cell>
          <cell r="AA116">
            <v>0</v>
          </cell>
          <cell r="AB116">
            <v>0</v>
          </cell>
          <cell r="AC116"/>
          <cell r="AD116">
            <v>0</v>
          </cell>
          <cell r="AE116">
            <v>0</v>
          </cell>
          <cell r="AF116">
            <v>0</v>
          </cell>
          <cell r="AG116">
            <v>0</v>
          </cell>
          <cell r="AH116">
            <v>0</v>
          </cell>
          <cell r="AI116">
            <v>0</v>
          </cell>
          <cell r="AJ116">
            <v>0</v>
          </cell>
          <cell r="AK116">
            <v>0</v>
          </cell>
          <cell r="AL116"/>
          <cell r="AM116">
            <v>0</v>
          </cell>
          <cell r="AN116">
            <v>0</v>
          </cell>
          <cell r="AO116">
            <v>0</v>
          </cell>
          <cell r="AP116">
            <v>0</v>
          </cell>
          <cell r="AQ116">
            <v>0</v>
          </cell>
          <cell r="AR116">
            <v>0</v>
          </cell>
          <cell r="AS116">
            <v>0</v>
          </cell>
          <cell r="AT116">
            <v>0</v>
          </cell>
          <cell r="AU116">
            <v>0</v>
          </cell>
          <cell r="AV116">
            <v>0</v>
          </cell>
          <cell r="AW116">
            <v>0</v>
          </cell>
          <cell r="AX116">
            <v>0</v>
          </cell>
          <cell r="AY116"/>
          <cell r="AZ116"/>
          <cell r="BA116">
            <v>0</v>
          </cell>
          <cell r="BB116"/>
          <cell r="BC116">
            <v>0</v>
          </cell>
          <cell r="BD116">
            <v>8164</v>
          </cell>
          <cell r="BE116"/>
          <cell r="BF116">
            <v>0</v>
          </cell>
          <cell r="BG116">
            <v>0</v>
          </cell>
          <cell r="BH116">
            <v>0</v>
          </cell>
          <cell r="BI116">
            <v>23825</v>
          </cell>
          <cell r="BJ116">
            <v>19612</v>
          </cell>
          <cell r="BK116">
            <v>19612</v>
          </cell>
          <cell r="BL116">
            <v>0</v>
          </cell>
          <cell r="BM116">
            <v>0</v>
          </cell>
          <cell r="BN116">
            <v>0</v>
          </cell>
          <cell r="BO116">
            <v>32104</v>
          </cell>
          <cell r="BP116">
            <v>1581.4</v>
          </cell>
          <cell r="BQ116">
            <v>2848.8372093023299</v>
          </cell>
          <cell r="BR116">
            <v>0</v>
          </cell>
          <cell r="BS116">
            <v>0</v>
          </cell>
          <cell r="BT116">
            <v>42458</v>
          </cell>
          <cell r="BU116"/>
          <cell r="BV116"/>
          <cell r="BW116"/>
          <cell r="BX116"/>
          <cell r="BY116">
            <v>0</v>
          </cell>
          <cell r="BZ116">
            <v>0</v>
          </cell>
          <cell r="CA116">
            <v>0</v>
          </cell>
          <cell r="CB116">
            <v>0</v>
          </cell>
          <cell r="CC116">
            <v>1665736</v>
          </cell>
          <cell r="CD116">
            <v>9710448</v>
          </cell>
          <cell r="CE116">
            <v>803364</v>
          </cell>
          <cell r="CF116">
            <v>0</v>
          </cell>
          <cell r="CG116">
            <v>803364</v>
          </cell>
          <cell r="CH116">
            <v>803364</v>
          </cell>
          <cell r="CI116">
            <v>803364</v>
          </cell>
          <cell r="CJ116">
            <v>803364</v>
          </cell>
          <cell r="CK116">
            <v>0</v>
          </cell>
          <cell r="CL116">
            <v>0</v>
          </cell>
          <cell r="CM116">
            <v>0</v>
          </cell>
          <cell r="CN116">
            <v>0</v>
          </cell>
          <cell r="CO116">
            <v>0</v>
          </cell>
          <cell r="CP116">
            <v>0</v>
          </cell>
          <cell r="CQ116">
            <v>2175220</v>
          </cell>
          <cell r="CR116">
            <v>2080163</v>
          </cell>
          <cell r="CS116">
            <v>2051212</v>
          </cell>
          <cell r="CT116">
            <v>1968530</v>
          </cell>
          <cell r="CU116">
            <v>1873587</v>
          </cell>
          <cell r="CV116">
            <v>-58799</v>
          </cell>
          <cell r="CW116">
            <v>0</v>
          </cell>
          <cell r="CX116">
            <v>0</v>
          </cell>
          <cell r="CY116">
            <v>0</v>
          </cell>
          <cell r="CZ116">
            <v>0</v>
          </cell>
          <cell r="DA116">
            <v>0</v>
          </cell>
          <cell r="DB116"/>
          <cell r="DC116">
            <v>0</v>
          </cell>
          <cell r="DD116">
            <v>0</v>
          </cell>
          <cell r="DE116">
            <v>0</v>
          </cell>
          <cell r="DF116">
            <v>0</v>
          </cell>
          <cell r="DG116">
            <v>0</v>
          </cell>
          <cell r="DH116">
            <v>0</v>
          </cell>
          <cell r="DI116">
            <v>0</v>
          </cell>
          <cell r="DJ116">
            <v>0</v>
          </cell>
          <cell r="DK116">
            <v>0</v>
          </cell>
          <cell r="DL116">
            <v>0</v>
          </cell>
          <cell r="DM116"/>
          <cell r="DN116"/>
          <cell r="DO116"/>
          <cell r="DP116"/>
        </row>
        <row r="117">
          <cell r="A117">
            <v>1586</v>
          </cell>
          <cell r="B117" t="str">
            <v>Oost Gelre</v>
          </cell>
          <cell r="C117">
            <v>5</v>
          </cell>
          <cell r="D117">
            <v>-6710</v>
          </cell>
          <cell r="E117">
            <v>-3355</v>
          </cell>
          <cell r="F117">
            <v>0</v>
          </cell>
          <cell r="G117">
            <v>0</v>
          </cell>
          <cell r="H117">
            <v>-22118</v>
          </cell>
          <cell r="I117">
            <v>-8472</v>
          </cell>
          <cell r="J117"/>
          <cell r="K117">
            <v>0</v>
          </cell>
          <cell r="L117">
            <v>78789</v>
          </cell>
          <cell r="M117">
            <v>74279</v>
          </cell>
          <cell r="N117">
            <v>0</v>
          </cell>
          <cell r="O117">
            <v>0</v>
          </cell>
          <cell r="P117">
            <v>0</v>
          </cell>
          <cell r="Q117">
            <v>0</v>
          </cell>
          <cell r="R117">
            <v>0</v>
          </cell>
          <cell r="S117">
            <v>0</v>
          </cell>
          <cell r="T117">
            <v>0</v>
          </cell>
          <cell r="U117">
            <v>0</v>
          </cell>
          <cell r="V117">
            <v>0</v>
          </cell>
          <cell r="W117">
            <v>129067</v>
          </cell>
          <cell r="X117">
            <v>0</v>
          </cell>
          <cell r="Y117"/>
          <cell r="Z117">
            <v>0</v>
          </cell>
          <cell r="AA117">
            <v>0</v>
          </cell>
          <cell r="AB117">
            <v>0</v>
          </cell>
          <cell r="AC117"/>
          <cell r="AD117">
            <v>0</v>
          </cell>
          <cell r="AE117">
            <v>0</v>
          </cell>
          <cell r="AF117">
            <v>0</v>
          </cell>
          <cell r="AG117">
            <v>0</v>
          </cell>
          <cell r="AH117">
            <v>0</v>
          </cell>
          <cell r="AI117">
            <v>0</v>
          </cell>
          <cell r="AJ117">
            <v>0</v>
          </cell>
          <cell r="AK117">
            <v>0</v>
          </cell>
          <cell r="AL117"/>
          <cell r="AM117">
            <v>0</v>
          </cell>
          <cell r="AN117">
            <v>0</v>
          </cell>
          <cell r="AO117">
            <v>0</v>
          </cell>
          <cell r="AP117">
            <v>0</v>
          </cell>
          <cell r="AQ117">
            <v>0</v>
          </cell>
          <cell r="AR117">
            <v>0</v>
          </cell>
          <cell r="AS117">
            <v>0</v>
          </cell>
          <cell r="AT117">
            <v>0</v>
          </cell>
          <cell r="AU117">
            <v>0</v>
          </cell>
          <cell r="AV117">
            <v>0</v>
          </cell>
          <cell r="AW117">
            <v>0</v>
          </cell>
          <cell r="AX117">
            <v>0</v>
          </cell>
          <cell r="AY117"/>
          <cell r="AZ117"/>
          <cell r="BA117">
            <v>0</v>
          </cell>
          <cell r="BB117"/>
          <cell r="BC117">
            <v>0</v>
          </cell>
          <cell r="BD117">
            <v>10403</v>
          </cell>
          <cell r="BE117"/>
          <cell r="BF117">
            <v>0</v>
          </cell>
          <cell r="BG117">
            <v>0</v>
          </cell>
          <cell r="BH117">
            <v>0</v>
          </cell>
          <cell r="BI117">
            <v>41062</v>
          </cell>
          <cell r="BJ117">
            <v>33800</v>
          </cell>
          <cell r="BK117">
            <v>33800</v>
          </cell>
          <cell r="BL117">
            <v>0</v>
          </cell>
          <cell r="BM117">
            <v>0</v>
          </cell>
          <cell r="BN117">
            <v>0</v>
          </cell>
          <cell r="BO117">
            <v>125985</v>
          </cell>
          <cell r="BP117">
            <v>0</v>
          </cell>
          <cell r="BQ117">
            <v>0</v>
          </cell>
          <cell r="BR117">
            <v>0</v>
          </cell>
          <cell r="BS117">
            <v>0</v>
          </cell>
          <cell r="BT117">
            <v>48142</v>
          </cell>
          <cell r="BU117"/>
          <cell r="BV117"/>
          <cell r="BW117"/>
          <cell r="BX117"/>
          <cell r="BY117">
            <v>0</v>
          </cell>
          <cell r="BZ117">
            <v>0</v>
          </cell>
          <cell r="CA117">
            <v>0</v>
          </cell>
          <cell r="CB117">
            <v>0</v>
          </cell>
          <cell r="CC117">
            <v>2289463</v>
          </cell>
          <cell r="CD117">
            <v>20180370</v>
          </cell>
          <cell r="CE117">
            <v>5127286</v>
          </cell>
          <cell r="CF117">
            <v>-20600</v>
          </cell>
          <cell r="CG117">
            <v>5127286</v>
          </cell>
          <cell r="CH117">
            <v>5127286</v>
          </cell>
          <cell r="CI117">
            <v>5127286</v>
          </cell>
          <cell r="CJ117">
            <v>5127286</v>
          </cell>
          <cell r="CK117">
            <v>0</v>
          </cell>
          <cell r="CL117">
            <v>0</v>
          </cell>
          <cell r="CM117">
            <v>0</v>
          </cell>
          <cell r="CN117">
            <v>0</v>
          </cell>
          <cell r="CO117">
            <v>0</v>
          </cell>
          <cell r="CP117">
            <v>0</v>
          </cell>
          <cell r="CQ117">
            <v>6253956</v>
          </cell>
          <cell r="CR117">
            <v>5861300</v>
          </cell>
          <cell r="CS117">
            <v>5621234</v>
          </cell>
          <cell r="CT117">
            <v>5377186</v>
          </cell>
          <cell r="CU117">
            <v>5230925</v>
          </cell>
          <cell r="CV117">
            <v>372</v>
          </cell>
          <cell r="CW117">
            <v>0</v>
          </cell>
          <cell r="CX117">
            <v>0</v>
          </cell>
          <cell r="CY117">
            <v>0</v>
          </cell>
          <cell r="CZ117">
            <v>0</v>
          </cell>
          <cell r="DA117">
            <v>0</v>
          </cell>
          <cell r="DB117"/>
          <cell r="DC117">
            <v>0</v>
          </cell>
          <cell r="DD117">
            <v>0</v>
          </cell>
          <cell r="DE117">
            <v>0</v>
          </cell>
          <cell r="DF117">
            <v>0</v>
          </cell>
          <cell r="DG117">
            <v>0</v>
          </cell>
          <cell r="DH117">
            <v>0</v>
          </cell>
          <cell r="DI117">
            <v>0</v>
          </cell>
          <cell r="DJ117">
            <v>0</v>
          </cell>
          <cell r="DK117">
            <v>0</v>
          </cell>
          <cell r="DL117">
            <v>0</v>
          </cell>
          <cell r="DM117"/>
          <cell r="DN117"/>
          <cell r="DO117"/>
          <cell r="DP117"/>
        </row>
        <row r="118">
          <cell r="A118">
            <v>1509</v>
          </cell>
          <cell r="B118" t="str">
            <v>Oude IJsselstreek</v>
          </cell>
          <cell r="C118">
            <v>5</v>
          </cell>
          <cell r="D118">
            <v>-42575</v>
          </cell>
          <cell r="E118">
            <v>-21287</v>
          </cell>
          <cell r="F118">
            <v>0</v>
          </cell>
          <cell r="G118">
            <v>0</v>
          </cell>
          <cell r="H118">
            <v>-55661</v>
          </cell>
          <cell r="I118">
            <v>-15787</v>
          </cell>
          <cell r="J118"/>
          <cell r="K118">
            <v>0</v>
          </cell>
          <cell r="L118">
            <v>163924</v>
          </cell>
          <cell r="M118">
            <v>166818</v>
          </cell>
          <cell r="N118">
            <v>0</v>
          </cell>
          <cell r="O118">
            <v>0</v>
          </cell>
          <cell r="P118">
            <v>0</v>
          </cell>
          <cell r="Q118">
            <v>0</v>
          </cell>
          <cell r="R118">
            <v>0</v>
          </cell>
          <cell r="S118">
            <v>0</v>
          </cell>
          <cell r="T118">
            <v>0</v>
          </cell>
          <cell r="U118">
            <v>0</v>
          </cell>
          <cell r="V118">
            <v>3000</v>
          </cell>
          <cell r="W118">
            <v>121222</v>
          </cell>
          <cell r="X118">
            <v>0</v>
          </cell>
          <cell r="Y118"/>
          <cell r="Z118">
            <v>0</v>
          </cell>
          <cell r="AA118">
            <v>0</v>
          </cell>
          <cell r="AB118">
            <v>0</v>
          </cell>
          <cell r="AC118"/>
          <cell r="AD118">
            <v>78224</v>
          </cell>
          <cell r="AE118">
            <v>0</v>
          </cell>
          <cell r="AF118">
            <v>0</v>
          </cell>
          <cell r="AG118">
            <v>0</v>
          </cell>
          <cell r="AH118">
            <v>0</v>
          </cell>
          <cell r="AI118">
            <v>0</v>
          </cell>
          <cell r="AJ118">
            <v>0</v>
          </cell>
          <cell r="AK118">
            <v>0</v>
          </cell>
          <cell r="AL118"/>
          <cell r="AM118">
            <v>0</v>
          </cell>
          <cell r="AN118">
            <v>0</v>
          </cell>
          <cell r="AO118">
            <v>0</v>
          </cell>
          <cell r="AP118">
            <v>0</v>
          </cell>
          <cell r="AQ118">
            <v>0</v>
          </cell>
          <cell r="AR118">
            <v>0</v>
          </cell>
          <cell r="AS118">
            <v>0</v>
          </cell>
          <cell r="AT118">
            <v>0</v>
          </cell>
          <cell r="AU118">
            <v>7110</v>
          </cell>
          <cell r="AV118">
            <v>0</v>
          </cell>
          <cell r="AW118">
            <v>0</v>
          </cell>
          <cell r="AX118">
            <v>0</v>
          </cell>
          <cell r="AY118"/>
          <cell r="AZ118"/>
          <cell r="BA118">
            <v>0</v>
          </cell>
          <cell r="BB118"/>
          <cell r="BC118">
            <v>0</v>
          </cell>
          <cell r="BD118">
            <v>13890</v>
          </cell>
          <cell r="BE118"/>
          <cell r="BF118">
            <v>0</v>
          </cell>
          <cell r="BG118">
            <v>0</v>
          </cell>
          <cell r="BH118">
            <v>0</v>
          </cell>
          <cell r="BI118">
            <v>68647</v>
          </cell>
          <cell r="BJ118">
            <v>56506</v>
          </cell>
          <cell r="BK118">
            <v>56506</v>
          </cell>
          <cell r="BL118">
            <v>0</v>
          </cell>
          <cell r="BM118">
            <v>0</v>
          </cell>
          <cell r="BN118">
            <v>0</v>
          </cell>
          <cell r="BO118">
            <v>130363</v>
          </cell>
          <cell r="BP118">
            <v>11069.8</v>
          </cell>
          <cell r="BQ118">
            <v>19941.8604651163</v>
          </cell>
          <cell r="BR118">
            <v>0</v>
          </cell>
          <cell r="BS118">
            <v>0</v>
          </cell>
          <cell r="BT118">
            <v>66730</v>
          </cell>
          <cell r="BU118"/>
          <cell r="BV118"/>
          <cell r="BW118"/>
          <cell r="BX118"/>
          <cell r="BY118">
            <v>0</v>
          </cell>
          <cell r="BZ118">
            <v>0</v>
          </cell>
          <cell r="CA118">
            <v>0</v>
          </cell>
          <cell r="CB118">
            <v>0</v>
          </cell>
          <cell r="CC118">
            <v>3697783</v>
          </cell>
          <cell r="CD118">
            <v>20724176</v>
          </cell>
          <cell r="CE118">
            <v>1395317</v>
          </cell>
          <cell r="CF118">
            <v>-20597</v>
          </cell>
          <cell r="CG118">
            <v>1395317</v>
          </cell>
          <cell r="CH118">
            <v>1395317</v>
          </cell>
          <cell r="CI118">
            <v>1395317</v>
          </cell>
          <cell r="CJ118">
            <v>1395317</v>
          </cell>
          <cell r="CK118">
            <v>0</v>
          </cell>
          <cell r="CL118">
            <v>0</v>
          </cell>
          <cell r="CM118">
            <v>0</v>
          </cell>
          <cell r="CN118">
            <v>0</v>
          </cell>
          <cell r="CO118">
            <v>0</v>
          </cell>
          <cell r="CP118">
            <v>-2631</v>
          </cell>
          <cell r="CQ118">
            <v>4927646</v>
          </cell>
          <cell r="CR118">
            <v>4663093</v>
          </cell>
          <cell r="CS118">
            <v>4470618</v>
          </cell>
          <cell r="CT118">
            <v>4373718</v>
          </cell>
          <cell r="CU118">
            <v>4276968</v>
          </cell>
          <cell r="CV118">
            <v>10792</v>
          </cell>
          <cell r="CW118">
            <v>0</v>
          </cell>
          <cell r="CX118">
            <v>0</v>
          </cell>
          <cell r="CY118">
            <v>0</v>
          </cell>
          <cell r="CZ118">
            <v>0</v>
          </cell>
          <cell r="DA118">
            <v>0</v>
          </cell>
          <cell r="DB118"/>
          <cell r="DC118">
            <v>0</v>
          </cell>
          <cell r="DD118">
            <v>0</v>
          </cell>
          <cell r="DE118">
            <v>0</v>
          </cell>
          <cell r="DF118">
            <v>0</v>
          </cell>
          <cell r="DG118">
            <v>0</v>
          </cell>
          <cell r="DH118">
            <v>0</v>
          </cell>
          <cell r="DI118">
            <v>0</v>
          </cell>
          <cell r="DJ118">
            <v>0</v>
          </cell>
          <cell r="DK118">
            <v>0</v>
          </cell>
          <cell r="DL118">
            <v>0</v>
          </cell>
          <cell r="DM118"/>
          <cell r="DN118"/>
          <cell r="DO118"/>
          <cell r="DP118"/>
        </row>
        <row r="119">
          <cell r="A119">
            <v>1734</v>
          </cell>
          <cell r="B119" t="str">
            <v>Overbetuwe</v>
          </cell>
          <cell r="C119">
            <v>5</v>
          </cell>
          <cell r="D119">
            <v>-57400</v>
          </cell>
          <cell r="E119">
            <v>-28700</v>
          </cell>
          <cell r="F119">
            <v>0</v>
          </cell>
          <cell r="G119">
            <v>402821</v>
          </cell>
          <cell r="H119">
            <v>-71297</v>
          </cell>
          <cell r="I119">
            <v>-54173</v>
          </cell>
          <cell r="J119"/>
          <cell r="K119">
            <v>0</v>
          </cell>
          <cell r="L119">
            <v>171306</v>
          </cell>
          <cell r="M119">
            <v>157485</v>
          </cell>
          <cell r="N119">
            <v>0</v>
          </cell>
          <cell r="O119">
            <v>0</v>
          </cell>
          <cell r="P119">
            <v>0</v>
          </cell>
          <cell r="Q119">
            <v>0</v>
          </cell>
          <cell r="R119">
            <v>0</v>
          </cell>
          <cell r="S119">
            <v>0</v>
          </cell>
          <cell r="T119">
            <v>0</v>
          </cell>
          <cell r="U119">
            <v>0</v>
          </cell>
          <cell r="V119">
            <v>0</v>
          </cell>
          <cell r="W119">
            <v>195933</v>
          </cell>
          <cell r="X119">
            <v>0</v>
          </cell>
          <cell r="Y119"/>
          <cell r="Z119">
            <v>0</v>
          </cell>
          <cell r="AA119">
            <v>0</v>
          </cell>
          <cell r="AB119">
            <v>0</v>
          </cell>
          <cell r="AC119"/>
          <cell r="AD119">
            <v>0</v>
          </cell>
          <cell r="AE119">
            <v>0</v>
          </cell>
          <cell r="AF119">
            <v>0</v>
          </cell>
          <cell r="AG119">
            <v>0</v>
          </cell>
          <cell r="AH119">
            <v>0</v>
          </cell>
          <cell r="AI119">
            <v>0</v>
          </cell>
          <cell r="AJ119">
            <v>0</v>
          </cell>
          <cell r="AK119">
            <v>0</v>
          </cell>
          <cell r="AL119"/>
          <cell r="AM119">
            <v>0</v>
          </cell>
          <cell r="AN119">
            <v>0</v>
          </cell>
          <cell r="AO119">
            <v>0</v>
          </cell>
          <cell r="AP119">
            <v>0</v>
          </cell>
          <cell r="AQ119">
            <v>0</v>
          </cell>
          <cell r="AR119">
            <v>0</v>
          </cell>
          <cell r="AS119">
            <v>0</v>
          </cell>
          <cell r="AT119">
            <v>0</v>
          </cell>
          <cell r="AU119">
            <v>9480</v>
          </cell>
          <cell r="AV119">
            <v>0</v>
          </cell>
          <cell r="AW119">
            <v>0</v>
          </cell>
          <cell r="AX119">
            <v>0</v>
          </cell>
          <cell r="AY119"/>
          <cell r="AZ119"/>
          <cell r="BA119">
            <v>0</v>
          </cell>
          <cell r="BB119"/>
          <cell r="BC119">
            <v>0</v>
          </cell>
          <cell r="BD119">
            <v>16637</v>
          </cell>
          <cell r="BE119"/>
          <cell r="BF119">
            <v>0</v>
          </cell>
          <cell r="BG119">
            <v>0</v>
          </cell>
          <cell r="BH119">
            <v>0</v>
          </cell>
          <cell r="BI119">
            <v>48456</v>
          </cell>
          <cell r="BJ119">
            <v>39886</v>
          </cell>
          <cell r="BK119">
            <v>39886</v>
          </cell>
          <cell r="BL119">
            <v>0</v>
          </cell>
          <cell r="BM119">
            <v>0</v>
          </cell>
          <cell r="BN119">
            <v>0</v>
          </cell>
          <cell r="BO119">
            <v>121121</v>
          </cell>
          <cell r="BP119">
            <v>53767.6</v>
          </cell>
          <cell r="BQ119">
            <v>96860.465116279098</v>
          </cell>
          <cell r="BR119">
            <v>0</v>
          </cell>
          <cell r="BS119">
            <v>0</v>
          </cell>
          <cell r="BT119">
            <v>82006</v>
          </cell>
          <cell r="BU119"/>
          <cell r="BV119"/>
          <cell r="BW119"/>
          <cell r="BX119"/>
          <cell r="BY119">
            <v>0</v>
          </cell>
          <cell r="BZ119">
            <v>0</v>
          </cell>
          <cell r="CA119">
            <v>0</v>
          </cell>
          <cell r="CB119">
            <v>0</v>
          </cell>
          <cell r="CC119">
            <v>3019909</v>
          </cell>
          <cell r="CD119">
            <v>21991745</v>
          </cell>
          <cell r="CE119">
            <v>3977396</v>
          </cell>
          <cell r="CF119">
            <v>-89008</v>
          </cell>
          <cell r="CG119">
            <v>3977396</v>
          </cell>
          <cell r="CH119">
            <v>3977396</v>
          </cell>
          <cell r="CI119">
            <v>3977396</v>
          </cell>
          <cell r="CJ119">
            <v>3977396</v>
          </cell>
          <cell r="CK119">
            <v>0</v>
          </cell>
          <cell r="CL119">
            <v>0</v>
          </cell>
          <cell r="CM119">
            <v>0</v>
          </cell>
          <cell r="CN119">
            <v>0</v>
          </cell>
          <cell r="CO119">
            <v>0</v>
          </cell>
          <cell r="CP119">
            <v>-6201</v>
          </cell>
          <cell r="CQ119">
            <v>3842243</v>
          </cell>
          <cell r="CR119">
            <v>3636323</v>
          </cell>
          <cell r="CS119">
            <v>3538319</v>
          </cell>
          <cell r="CT119">
            <v>3454953</v>
          </cell>
          <cell r="CU119">
            <v>3413748</v>
          </cell>
          <cell r="CV119">
            <v>32591</v>
          </cell>
          <cell r="CW119">
            <v>0</v>
          </cell>
          <cell r="CX119">
            <v>0</v>
          </cell>
          <cell r="CY119">
            <v>0</v>
          </cell>
          <cell r="CZ119">
            <v>0</v>
          </cell>
          <cell r="DA119">
            <v>0</v>
          </cell>
          <cell r="DB119"/>
          <cell r="DC119">
            <v>0</v>
          </cell>
          <cell r="DD119">
            <v>0</v>
          </cell>
          <cell r="DE119">
            <v>0</v>
          </cell>
          <cell r="DF119">
            <v>0</v>
          </cell>
          <cell r="DG119">
            <v>0</v>
          </cell>
          <cell r="DH119">
            <v>0</v>
          </cell>
          <cell r="DI119">
            <v>0</v>
          </cell>
          <cell r="DJ119">
            <v>0</v>
          </cell>
          <cell r="DK119">
            <v>0</v>
          </cell>
          <cell r="DL119">
            <v>0</v>
          </cell>
          <cell r="DM119"/>
          <cell r="DN119"/>
          <cell r="DO119"/>
          <cell r="DP119"/>
        </row>
        <row r="120">
          <cell r="A120">
            <v>273</v>
          </cell>
          <cell r="B120" t="str">
            <v>Putten</v>
          </cell>
          <cell r="C120">
            <v>5</v>
          </cell>
          <cell r="D120">
            <v>-44520</v>
          </cell>
          <cell r="E120">
            <v>-22260</v>
          </cell>
          <cell r="F120">
            <v>0</v>
          </cell>
          <cell r="G120">
            <v>0</v>
          </cell>
          <cell r="H120">
            <v>-2783</v>
          </cell>
          <cell r="I120">
            <v>0</v>
          </cell>
          <cell r="J120"/>
          <cell r="K120">
            <v>0</v>
          </cell>
          <cell r="L120">
            <v>92079</v>
          </cell>
          <cell r="M120">
            <v>86659</v>
          </cell>
          <cell r="N120">
            <v>0</v>
          </cell>
          <cell r="O120">
            <v>0</v>
          </cell>
          <cell r="P120">
            <v>0</v>
          </cell>
          <cell r="Q120">
            <v>0</v>
          </cell>
          <cell r="R120">
            <v>0</v>
          </cell>
          <cell r="S120">
            <v>0</v>
          </cell>
          <cell r="T120">
            <v>0</v>
          </cell>
          <cell r="U120">
            <v>0</v>
          </cell>
          <cell r="V120">
            <v>0</v>
          </cell>
          <cell r="W120">
            <v>103409</v>
          </cell>
          <cell r="X120">
            <v>0</v>
          </cell>
          <cell r="Y120"/>
          <cell r="Z120">
            <v>0</v>
          </cell>
          <cell r="AA120">
            <v>0</v>
          </cell>
          <cell r="AB120">
            <v>0</v>
          </cell>
          <cell r="AC120"/>
          <cell r="AD120">
            <v>0</v>
          </cell>
          <cell r="AE120">
            <v>0</v>
          </cell>
          <cell r="AF120">
            <v>0</v>
          </cell>
          <cell r="AG120">
            <v>0</v>
          </cell>
          <cell r="AH120">
            <v>0</v>
          </cell>
          <cell r="AI120">
            <v>0</v>
          </cell>
          <cell r="AJ120">
            <v>0</v>
          </cell>
          <cell r="AK120">
            <v>0</v>
          </cell>
          <cell r="AL120"/>
          <cell r="AM120">
            <v>0</v>
          </cell>
          <cell r="AN120">
            <v>0</v>
          </cell>
          <cell r="AO120">
            <v>0</v>
          </cell>
          <cell r="AP120">
            <v>0</v>
          </cell>
          <cell r="AQ120">
            <v>0</v>
          </cell>
          <cell r="AR120">
            <v>0</v>
          </cell>
          <cell r="AS120">
            <v>0</v>
          </cell>
          <cell r="AT120">
            <v>0</v>
          </cell>
          <cell r="AU120">
            <v>4740</v>
          </cell>
          <cell r="AV120">
            <v>0</v>
          </cell>
          <cell r="AW120">
            <v>0</v>
          </cell>
          <cell r="AX120">
            <v>0</v>
          </cell>
          <cell r="AY120"/>
          <cell r="AZ120"/>
          <cell r="BA120">
            <v>0</v>
          </cell>
          <cell r="BB120"/>
          <cell r="BC120">
            <v>0</v>
          </cell>
          <cell r="BD120">
            <v>8575</v>
          </cell>
          <cell r="BE120"/>
          <cell r="BF120">
            <v>0</v>
          </cell>
          <cell r="BG120">
            <v>0</v>
          </cell>
          <cell r="BH120">
            <v>0</v>
          </cell>
          <cell r="BI120">
            <v>25145</v>
          </cell>
          <cell r="BJ120">
            <v>20698</v>
          </cell>
          <cell r="BK120">
            <v>20698</v>
          </cell>
          <cell r="BL120">
            <v>0</v>
          </cell>
          <cell r="BM120">
            <v>0</v>
          </cell>
          <cell r="BN120">
            <v>0</v>
          </cell>
          <cell r="BO120">
            <v>121121</v>
          </cell>
          <cell r="BP120">
            <v>11069.8</v>
          </cell>
          <cell r="BQ120">
            <v>19941.8604651163</v>
          </cell>
          <cell r="BR120">
            <v>0</v>
          </cell>
          <cell r="BS120">
            <v>0</v>
          </cell>
          <cell r="BT120">
            <v>39991</v>
          </cell>
          <cell r="BU120"/>
          <cell r="BV120"/>
          <cell r="BW120"/>
          <cell r="BX120"/>
          <cell r="BY120">
            <v>0</v>
          </cell>
          <cell r="BZ120">
            <v>0</v>
          </cell>
          <cell r="CA120">
            <v>0</v>
          </cell>
          <cell r="CB120">
            <v>0</v>
          </cell>
          <cell r="CC120">
            <v>1801772</v>
          </cell>
          <cell r="CD120">
            <v>10113050</v>
          </cell>
          <cell r="CE120">
            <v>845310</v>
          </cell>
          <cell r="CF120">
            <v>0</v>
          </cell>
          <cell r="CG120">
            <v>845310</v>
          </cell>
          <cell r="CH120">
            <v>845310</v>
          </cell>
          <cell r="CI120">
            <v>845310</v>
          </cell>
          <cell r="CJ120">
            <v>845310</v>
          </cell>
          <cell r="CK120">
            <v>0</v>
          </cell>
          <cell r="CL120">
            <v>0</v>
          </cell>
          <cell r="CM120">
            <v>0</v>
          </cell>
          <cell r="CN120">
            <v>0</v>
          </cell>
          <cell r="CO120">
            <v>0</v>
          </cell>
          <cell r="CP120">
            <v>0</v>
          </cell>
          <cell r="CQ120">
            <v>2047672</v>
          </cell>
          <cell r="CR120">
            <v>1941550</v>
          </cell>
          <cell r="CS120">
            <v>1907961</v>
          </cell>
          <cell r="CT120">
            <v>1848771</v>
          </cell>
          <cell r="CU120">
            <v>1787716</v>
          </cell>
          <cell r="CV120">
            <v>-20962</v>
          </cell>
          <cell r="CW120">
            <v>0</v>
          </cell>
          <cell r="CX120">
            <v>0</v>
          </cell>
          <cell r="CY120">
            <v>0</v>
          </cell>
          <cell r="CZ120">
            <v>0</v>
          </cell>
          <cell r="DA120">
            <v>0</v>
          </cell>
          <cell r="DB120"/>
          <cell r="DC120">
            <v>0</v>
          </cell>
          <cell r="DD120">
            <v>0</v>
          </cell>
          <cell r="DE120">
            <v>0</v>
          </cell>
          <cell r="DF120">
            <v>0</v>
          </cell>
          <cell r="DG120">
            <v>0</v>
          </cell>
          <cell r="DH120">
            <v>0</v>
          </cell>
          <cell r="DI120">
            <v>0</v>
          </cell>
          <cell r="DJ120">
            <v>0</v>
          </cell>
          <cell r="DK120">
            <v>0</v>
          </cell>
          <cell r="DL120">
            <v>0</v>
          </cell>
          <cell r="DM120"/>
          <cell r="DN120"/>
          <cell r="DO120"/>
          <cell r="DP120"/>
        </row>
        <row r="121">
          <cell r="A121">
            <v>274</v>
          </cell>
          <cell r="B121" t="str">
            <v>Renkum</v>
          </cell>
          <cell r="C121">
            <v>5</v>
          </cell>
          <cell r="D121">
            <v>114642</v>
          </cell>
          <cell r="E121">
            <v>57321</v>
          </cell>
          <cell r="F121">
            <v>0</v>
          </cell>
          <cell r="G121">
            <v>166285</v>
          </cell>
          <cell r="H121">
            <v>0</v>
          </cell>
          <cell r="I121">
            <v>0</v>
          </cell>
          <cell r="J121"/>
          <cell r="K121">
            <v>0</v>
          </cell>
          <cell r="L121">
            <v>124789</v>
          </cell>
          <cell r="M121">
            <v>117322</v>
          </cell>
          <cell r="N121">
            <v>0</v>
          </cell>
          <cell r="O121">
            <v>0</v>
          </cell>
          <cell r="P121">
            <v>0</v>
          </cell>
          <cell r="Q121">
            <v>0</v>
          </cell>
          <cell r="R121">
            <v>0</v>
          </cell>
          <cell r="S121">
            <v>0</v>
          </cell>
          <cell r="T121">
            <v>0</v>
          </cell>
          <cell r="U121">
            <v>0</v>
          </cell>
          <cell r="V121">
            <v>3000</v>
          </cell>
          <cell r="W121">
            <v>103847</v>
          </cell>
          <cell r="X121">
            <v>0</v>
          </cell>
          <cell r="Y121"/>
          <cell r="Z121">
            <v>0</v>
          </cell>
          <cell r="AA121">
            <v>0</v>
          </cell>
          <cell r="AB121">
            <v>0</v>
          </cell>
          <cell r="AC121"/>
          <cell r="AD121">
            <v>0</v>
          </cell>
          <cell r="AE121">
            <v>0</v>
          </cell>
          <cell r="AF121">
            <v>0</v>
          </cell>
          <cell r="AG121">
            <v>0</v>
          </cell>
          <cell r="AH121">
            <v>0</v>
          </cell>
          <cell r="AI121">
            <v>0</v>
          </cell>
          <cell r="AJ121">
            <v>0</v>
          </cell>
          <cell r="AK121">
            <v>0</v>
          </cell>
          <cell r="AL121"/>
          <cell r="AM121">
            <v>0</v>
          </cell>
          <cell r="AN121">
            <v>0</v>
          </cell>
          <cell r="AO121">
            <v>0</v>
          </cell>
          <cell r="AP121">
            <v>0</v>
          </cell>
          <cell r="AQ121">
            <v>0</v>
          </cell>
          <cell r="AR121">
            <v>0</v>
          </cell>
          <cell r="AS121">
            <v>0</v>
          </cell>
          <cell r="AT121">
            <v>0</v>
          </cell>
          <cell r="AU121">
            <v>7110</v>
          </cell>
          <cell r="AV121">
            <v>0</v>
          </cell>
          <cell r="AW121">
            <v>0</v>
          </cell>
          <cell r="AX121">
            <v>0</v>
          </cell>
          <cell r="AY121"/>
          <cell r="AZ121"/>
          <cell r="BA121">
            <v>0</v>
          </cell>
          <cell r="BB121"/>
          <cell r="BC121">
            <v>0</v>
          </cell>
          <cell r="BD121">
            <v>11019</v>
          </cell>
          <cell r="BE121"/>
          <cell r="BF121">
            <v>0</v>
          </cell>
          <cell r="BG121">
            <v>0</v>
          </cell>
          <cell r="BH121">
            <v>0</v>
          </cell>
          <cell r="BI121">
            <v>45738</v>
          </cell>
          <cell r="BJ121">
            <v>37649</v>
          </cell>
          <cell r="BK121">
            <v>37649</v>
          </cell>
          <cell r="BL121">
            <v>0</v>
          </cell>
          <cell r="BM121">
            <v>0</v>
          </cell>
          <cell r="BN121">
            <v>0</v>
          </cell>
          <cell r="BO121">
            <v>65668</v>
          </cell>
          <cell r="BP121">
            <v>12651.2</v>
          </cell>
          <cell r="BQ121">
            <v>22790.697674418599</v>
          </cell>
          <cell r="BR121">
            <v>0</v>
          </cell>
          <cell r="BS121">
            <v>0</v>
          </cell>
          <cell r="BT121">
            <v>48346</v>
          </cell>
          <cell r="BU121"/>
          <cell r="BV121"/>
          <cell r="BW121"/>
          <cell r="BX121"/>
          <cell r="BY121">
            <v>0</v>
          </cell>
          <cell r="BZ121">
            <v>0</v>
          </cell>
          <cell r="CA121">
            <v>0</v>
          </cell>
          <cell r="CB121">
            <v>0</v>
          </cell>
          <cell r="CC121">
            <v>2881763</v>
          </cell>
          <cell r="CD121">
            <v>17697148</v>
          </cell>
          <cell r="CE121">
            <v>3501769</v>
          </cell>
          <cell r="CF121">
            <v>2334027</v>
          </cell>
          <cell r="CG121">
            <v>3501769</v>
          </cell>
          <cell r="CH121">
            <v>3501769</v>
          </cell>
          <cell r="CI121">
            <v>3501769</v>
          </cell>
          <cell r="CJ121">
            <v>3501769</v>
          </cell>
          <cell r="CK121">
            <v>0</v>
          </cell>
          <cell r="CL121">
            <v>0</v>
          </cell>
          <cell r="CM121">
            <v>0</v>
          </cell>
          <cell r="CN121">
            <v>0</v>
          </cell>
          <cell r="CO121">
            <v>0</v>
          </cell>
          <cell r="CP121">
            <v>-2331</v>
          </cell>
          <cell r="CQ121">
            <v>2353234</v>
          </cell>
          <cell r="CR121">
            <v>2293983</v>
          </cell>
          <cell r="CS121">
            <v>2237113</v>
          </cell>
          <cell r="CT121">
            <v>2221388</v>
          </cell>
          <cell r="CU121">
            <v>2178216</v>
          </cell>
          <cell r="CV121">
            <v>5051</v>
          </cell>
          <cell r="CW121">
            <v>0</v>
          </cell>
          <cell r="CX121">
            <v>0</v>
          </cell>
          <cell r="CY121">
            <v>0</v>
          </cell>
          <cell r="CZ121">
            <v>0</v>
          </cell>
          <cell r="DA121">
            <v>0</v>
          </cell>
          <cell r="DB121"/>
          <cell r="DC121">
            <v>0</v>
          </cell>
          <cell r="DD121">
            <v>0</v>
          </cell>
          <cell r="DE121">
            <v>0</v>
          </cell>
          <cell r="DF121">
            <v>0</v>
          </cell>
          <cell r="DG121">
            <v>0</v>
          </cell>
          <cell r="DH121">
            <v>0</v>
          </cell>
          <cell r="DI121">
            <v>0</v>
          </cell>
          <cell r="DJ121">
            <v>0</v>
          </cell>
          <cell r="DK121">
            <v>0</v>
          </cell>
          <cell r="DL121">
            <v>0</v>
          </cell>
          <cell r="DM121"/>
          <cell r="DN121"/>
          <cell r="DO121"/>
          <cell r="DP121"/>
        </row>
        <row r="122">
          <cell r="A122">
            <v>275</v>
          </cell>
          <cell r="B122" t="str">
            <v>Rheden</v>
          </cell>
          <cell r="C122">
            <v>5</v>
          </cell>
          <cell r="D122">
            <v>83772</v>
          </cell>
          <cell r="E122">
            <v>41886</v>
          </cell>
          <cell r="F122">
            <v>0</v>
          </cell>
          <cell r="G122">
            <v>281770</v>
          </cell>
          <cell r="H122">
            <v>-24078</v>
          </cell>
          <cell r="I122">
            <v>-13103</v>
          </cell>
          <cell r="J122"/>
          <cell r="K122">
            <v>0</v>
          </cell>
          <cell r="L122">
            <v>223672</v>
          </cell>
          <cell r="M122">
            <v>219980</v>
          </cell>
          <cell r="N122">
            <v>0</v>
          </cell>
          <cell r="O122">
            <v>0</v>
          </cell>
          <cell r="P122">
            <v>0</v>
          </cell>
          <cell r="Q122">
            <v>0</v>
          </cell>
          <cell r="R122">
            <v>0</v>
          </cell>
          <cell r="S122">
            <v>0</v>
          </cell>
          <cell r="T122">
            <v>0</v>
          </cell>
          <cell r="U122">
            <v>0</v>
          </cell>
          <cell r="V122">
            <v>3000</v>
          </cell>
          <cell r="W122">
            <v>152587</v>
          </cell>
          <cell r="X122">
            <v>0</v>
          </cell>
          <cell r="Y122"/>
          <cell r="Z122">
            <v>0</v>
          </cell>
          <cell r="AA122">
            <v>0</v>
          </cell>
          <cell r="AB122">
            <v>0</v>
          </cell>
          <cell r="AC122"/>
          <cell r="AD122">
            <v>53779</v>
          </cell>
          <cell r="AE122">
            <v>0</v>
          </cell>
          <cell r="AF122">
            <v>0</v>
          </cell>
          <cell r="AG122">
            <v>0</v>
          </cell>
          <cell r="AH122">
            <v>0</v>
          </cell>
          <cell r="AI122">
            <v>0</v>
          </cell>
          <cell r="AJ122">
            <v>0</v>
          </cell>
          <cell r="AK122">
            <v>0</v>
          </cell>
          <cell r="AL122"/>
          <cell r="AM122">
            <v>0</v>
          </cell>
          <cell r="AN122">
            <v>0</v>
          </cell>
          <cell r="AO122">
            <v>0</v>
          </cell>
          <cell r="AP122">
            <v>0</v>
          </cell>
          <cell r="AQ122">
            <v>0</v>
          </cell>
          <cell r="AR122">
            <v>0</v>
          </cell>
          <cell r="AS122">
            <v>0</v>
          </cell>
          <cell r="AT122">
            <v>0</v>
          </cell>
          <cell r="AU122">
            <v>7110</v>
          </cell>
          <cell r="AV122">
            <v>0</v>
          </cell>
          <cell r="AW122">
            <v>0</v>
          </cell>
          <cell r="AX122">
            <v>0</v>
          </cell>
          <cell r="AY122"/>
          <cell r="AZ122"/>
          <cell r="BA122">
            <v>0</v>
          </cell>
          <cell r="BB122"/>
          <cell r="BC122">
            <v>0</v>
          </cell>
          <cell r="BD122">
            <v>15321</v>
          </cell>
          <cell r="BE122"/>
          <cell r="BF122">
            <v>0</v>
          </cell>
          <cell r="BG122">
            <v>0</v>
          </cell>
          <cell r="BH122">
            <v>0</v>
          </cell>
          <cell r="BI122">
            <v>85992</v>
          </cell>
          <cell r="BJ122">
            <v>70784</v>
          </cell>
          <cell r="BK122">
            <v>70784</v>
          </cell>
          <cell r="BL122">
            <v>0</v>
          </cell>
          <cell r="BM122">
            <v>0</v>
          </cell>
          <cell r="BN122">
            <v>0</v>
          </cell>
          <cell r="BO122">
            <v>106041</v>
          </cell>
          <cell r="BP122">
            <v>25302.400000000001</v>
          </cell>
          <cell r="BQ122">
            <v>45581.395348837199</v>
          </cell>
          <cell r="BR122">
            <v>0</v>
          </cell>
          <cell r="BS122">
            <v>0</v>
          </cell>
          <cell r="BT122">
            <v>70368</v>
          </cell>
          <cell r="BU122"/>
          <cell r="BV122"/>
          <cell r="BW122"/>
          <cell r="BX122"/>
          <cell r="BY122">
            <v>0</v>
          </cell>
          <cell r="BZ122">
            <v>0</v>
          </cell>
          <cell r="CA122">
            <v>0</v>
          </cell>
          <cell r="CB122">
            <v>0</v>
          </cell>
          <cell r="CC122">
            <v>4568936</v>
          </cell>
          <cell r="CD122">
            <v>25199559</v>
          </cell>
          <cell r="CE122">
            <v>1523462</v>
          </cell>
          <cell r="CF122">
            <v>-25224</v>
          </cell>
          <cell r="CG122">
            <v>1523462</v>
          </cell>
          <cell r="CH122">
            <v>1523462</v>
          </cell>
          <cell r="CI122">
            <v>1523462</v>
          </cell>
          <cell r="CJ122">
            <v>1523462</v>
          </cell>
          <cell r="CK122">
            <v>0</v>
          </cell>
          <cell r="CL122">
            <v>0</v>
          </cell>
          <cell r="CM122">
            <v>0</v>
          </cell>
          <cell r="CN122">
            <v>0</v>
          </cell>
          <cell r="CO122">
            <v>0</v>
          </cell>
          <cell r="CP122">
            <v>-967</v>
          </cell>
          <cell r="CQ122">
            <v>6393081</v>
          </cell>
          <cell r="CR122">
            <v>6125532</v>
          </cell>
          <cell r="CS122">
            <v>5989029</v>
          </cell>
          <cell r="CT122">
            <v>5886827</v>
          </cell>
          <cell r="CU122">
            <v>5739111</v>
          </cell>
          <cell r="CV122">
            <v>81667</v>
          </cell>
          <cell r="CW122">
            <v>0</v>
          </cell>
          <cell r="CX122">
            <v>0</v>
          </cell>
          <cell r="CY122">
            <v>0</v>
          </cell>
          <cell r="CZ122">
            <v>0</v>
          </cell>
          <cell r="DA122">
            <v>0</v>
          </cell>
          <cell r="DB122"/>
          <cell r="DC122">
            <v>0</v>
          </cell>
          <cell r="DD122">
            <v>0</v>
          </cell>
          <cell r="DE122">
            <v>0</v>
          </cell>
          <cell r="DF122">
            <v>0</v>
          </cell>
          <cell r="DG122">
            <v>0</v>
          </cell>
          <cell r="DH122">
            <v>0</v>
          </cell>
          <cell r="DI122">
            <v>0</v>
          </cell>
          <cell r="DJ122">
            <v>0</v>
          </cell>
          <cell r="DK122">
            <v>0</v>
          </cell>
          <cell r="DL122">
            <v>0</v>
          </cell>
          <cell r="DM122"/>
          <cell r="DN122"/>
          <cell r="DO122"/>
          <cell r="DP122"/>
        </row>
        <row r="123">
          <cell r="A123">
            <v>277</v>
          </cell>
          <cell r="B123" t="str">
            <v>Rozendaal</v>
          </cell>
          <cell r="C123">
            <v>5</v>
          </cell>
          <cell r="D123">
            <v>-306</v>
          </cell>
          <cell r="E123">
            <v>-153</v>
          </cell>
          <cell r="F123">
            <v>0</v>
          </cell>
          <cell r="G123">
            <v>217633</v>
          </cell>
          <cell r="H123">
            <v>48425</v>
          </cell>
          <cell r="I123">
            <v>72172</v>
          </cell>
          <cell r="J123"/>
          <cell r="K123">
            <v>0</v>
          </cell>
          <cell r="L123">
            <v>1253</v>
          </cell>
          <cell r="M123">
            <v>1071</v>
          </cell>
          <cell r="N123">
            <v>0</v>
          </cell>
          <cell r="O123">
            <v>0</v>
          </cell>
          <cell r="P123">
            <v>0</v>
          </cell>
          <cell r="Q123">
            <v>0</v>
          </cell>
          <cell r="R123">
            <v>0</v>
          </cell>
          <cell r="S123">
            <v>0</v>
          </cell>
          <cell r="T123">
            <v>0</v>
          </cell>
          <cell r="U123">
            <v>0</v>
          </cell>
          <cell r="V123">
            <v>0</v>
          </cell>
          <cell r="W123">
            <v>0</v>
          </cell>
          <cell r="X123">
            <v>0</v>
          </cell>
          <cell r="Y123"/>
          <cell r="Z123">
            <v>0</v>
          </cell>
          <cell r="AA123">
            <v>0</v>
          </cell>
          <cell r="AB123">
            <v>0</v>
          </cell>
          <cell r="AC123"/>
          <cell r="AD123">
            <v>0</v>
          </cell>
          <cell r="AE123">
            <v>0</v>
          </cell>
          <cell r="AF123">
            <v>0</v>
          </cell>
          <cell r="AG123">
            <v>0</v>
          </cell>
          <cell r="AH123">
            <v>0</v>
          </cell>
          <cell r="AI123">
            <v>0</v>
          </cell>
          <cell r="AJ123">
            <v>0</v>
          </cell>
          <cell r="AK123">
            <v>0</v>
          </cell>
          <cell r="AL123"/>
          <cell r="AM123">
            <v>0</v>
          </cell>
          <cell r="AN123">
            <v>0</v>
          </cell>
          <cell r="AO123">
            <v>0</v>
          </cell>
          <cell r="AP123">
            <v>0</v>
          </cell>
          <cell r="AQ123">
            <v>0</v>
          </cell>
          <cell r="AR123">
            <v>0</v>
          </cell>
          <cell r="AS123">
            <v>0</v>
          </cell>
          <cell r="AT123">
            <v>0</v>
          </cell>
          <cell r="AU123">
            <v>0</v>
          </cell>
          <cell r="AV123">
            <v>0</v>
          </cell>
          <cell r="AW123">
            <v>0</v>
          </cell>
          <cell r="AX123">
            <v>0</v>
          </cell>
          <cell r="AY123"/>
          <cell r="AZ123"/>
          <cell r="BA123">
            <v>0</v>
          </cell>
          <cell r="BB123"/>
          <cell r="BC123">
            <v>0</v>
          </cell>
          <cell r="BD123">
            <v>526</v>
          </cell>
          <cell r="BE123"/>
          <cell r="BF123">
            <v>0</v>
          </cell>
          <cell r="BG123">
            <v>0</v>
          </cell>
          <cell r="BH123">
            <v>0</v>
          </cell>
          <cell r="BI123">
            <v>570</v>
          </cell>
          <cell r="BJ123">
            <v>470</v>
          </cell>
          <cell r="BK123">
            <v>470</v>
          </cell>
          <cell r="BL123">
            <v>0</v>
          </cell>
          <cell r="BM123">
            <v>0</v>
          </cell>
          <cell r="BN123">
            <v>0</v>
          </cell>
          <cell r="BO123">
            <v>0</v>
          </cell>
          <cell r="BP123">
            <v>0</v>
          </cell>
          <cell r="BQ123">
            <v>0</v>
          </cell>
          <cell r="BR123">
            <v>0</v>
          </cell>
          <cell r="BS123">
            <v>0</v>
          </cell>
          <cell r="BT123">
            <v>2839</v>
          </cell>
          <cell r="BU123"/>
          <cell r="BV123"/>
          <cell r="BW123"/>
          <cell r="BX123"/>
          <cell r="BY123">
            <v>0</v>
          </cell>
          <cell r="BZ123">
            <v>0</v>
          </cell>
          <cell r="CA123">
            <v>0</v>
          </cell>
          <cell r="CB123">
            <v>0</v>
          </cell>
          <cell r="CC123">
            <v>73778</v>
          </cell>
          <cell r="CD123">
            <v>233014</v>
          </cell>
          <cell r="CE123">
            <v>44898</v>
          </cell>
          <cell r="CF123">
            <v>0</v>
          </cell>
          <cell r="CG123">
            <v>44898</v>
          </cell>
          <cell r="CH123">
            <v>44898</v>
          </cell>
          <cell r="CI123">
            <v>44898</v>
          </cell>
          <cell r="CJ123">
            <v>44898</v>
          </cell>
          <cell r="CK123">
            <v>0</v>
          </cell>
          <cell r="CL123">
            <v>0</v>
          </cell>
          <cell r="CM123">
            <v>0</v>
          </cell>
          <cell r="CN123">
            <v>0</v>
          </cell>
          <cell r="CO123">
            <v>0</v>
          </cell>
          <cell r="CP123">
            <v>0</v>
          </cell>
          <cell r="CQ123">
            <v>28733</v>
          </cell>
          <cell r="CR123">
            <v>28173</v>
          </cell>
          <cell r="CS123">
            <v>26857</v>
          </cell>
          <cell r="CT123">
            <v>26803</v>
          </cell>
          <cell r="CU123">
            <v>26813</v>
          </cell>
          <cell r="CV123">
            <v>-449</v>
          </cell>
          <cell r="CW123">
            <v>0</v>
          </cell>
          <cell r="CX123">
            <v>0</v>
          </cell>
          <cell r="CY123">
            <v>0</v>
          </cell>
          <cell r="CZ123">
            <v>0</v>
          </cell>
          <cell r="DA123">
            <v>0</v>
          </cell>
          <cell r="DB123"/>
          <cell r="DC123">
            <v>0</v>
          </cell>
          <cell r="DD123">
            <v>0</v>
          </cell>
          <cell r="DE123">
            <v>0</v>
          </cell>
          <cell r="DF123">
            <v>0</v>
          </cell>
          <cell r="DG123">
            <v>0</v>
          </cell>
          <cell r="DH123">
            <v>0</v>
          </cell>
          <cell r="DI123">
            <v>0</v>
          </cell>
          <cell r="DJ123">
            <v>0</v>
          </cell>
          <cell r="DK123">
            <v>0</v>
          </cell>
          <cell r="DL123">
            <v>0</v>
          </cell>
          <cell r="DM123"/>
          <cell r="DN123"/>
          <cell r="DO123"/>
          <cell r="DP123"/>
        </row>
        <row r="124">
          <cell r="A124">
            <v>279</v>
          </cell>
          <cell r="B124" t="str">
            <v>Scherpenzeel</v>
          </cell>
          <cell r="C124">
            <v>5</v>
          </cell>
          <cell r="D124">
            <v>-3606</v>
          </cell>
          <cell r="E124">
            <v>-1803</v>
          </cell>
          <cell r="F124">
            <v>0</v>
          </cell>
          <cell r="G124">
            <v>0</v>
          </cell>
          <cell r="H124">
            <v>-4813</v>
          </cell>
          <cell r="I124">
            <v>-3892</v>
          </cell>
          <cell r="J124"/>
          <cell r="K124">
            <v>0</v>
          </cell>
          <cell r="L124">
            <v>26541</v>
          </cell>
          <cell r="M124">
            <v>24641</v>
          </cell>
          <cell r="N124">
            <v>0</v>
          </cell>
          <cell r="O124">
            <v>0</v>
          </cell>
          <cell r="P124">
            <v>0</v>
          </cell>
          <cell r="Q124">
            <v>0</v>
          </cell>
          <cell r="R124">
            <v>0</v>
          </cell>
          <cell r="S124">
            <v>0</v>
          </cell>
          <cell r="T124">
            <v>0</v>
          </cell>
          <cell r="U124">
            <v>0</v>
          </cell>
          <cell r="V124">
            <v>6000</v>
          </cell>
          <cell r="W124">
            <v>25052</v>
          </cell>
          <cell r="X124">
            <v>0</v>
          </cell>
          <cell r="Y124"/>
          <cell r="Z124">
            <v>0</v>
          </cell>
          <cell r="AA124">
            <v>0</v>
          </cell>
          <cell r="AB124">
            <v>0</v>
          </cell>
          <cell r="AC124"/>
          <cell r="AD124">
            <v>0</v>
          </cell>
          <cell r="AE124">
            <v>0</v>
          </cell>
          <cell r="AF124">
            <v>0</v>
          </cell>
          <cell r="AG124">
            <v>0</v>
          </cell>
          <cell r="AH124">
            <v>0</v>
          </cell>
          <cell r="AI124">
            <v>0</v>
          </cell>
          <cell r="AJ124">
            <v>0</v>
          </cell>
          <cell r="AK124">
            <v>0</v>
          </cell>
          <cell r="AL124"/>
          <cell r="AM124">
            <v>0</v>
          </cell>
          <cell r="AN124">
            <v>0</v>
          </cell>
          <cell r="AO124">
            <v>0</v>
          </cell>
          <cell r="AP124">
            <v>0</v>
          </cell>
          <cell r="AQ124">
            <v>0</v>
          </cell>
          <cell r="AR124">
            <v>0</v>
          </cell>
          <cell r="AS124">
            <v>0</v>
          </cell>
          <cell r="AT124">
            <v>0</v>
          </cell>
          <cell r="AU124">
            <v>0</v>
          </cell>
          <cell r="AV124">
            <v>0</v>
          </cell>
          <cell r="AW124">
            <v>0</v>
          </cell>
          <cell r="AX124">
            <v>0</v>
          </cell>
          <cell r="AY124"/>
          <cell r="AZ124"/>
          <cell r="BA124">
            <v>0</v>
          </cell>
          <cell r="BB124"/>
          <cell r="BC124">
            <v>0</v>
          </cell>
          <cell r="BD124">
            <v>3406</v>
          </cell>
          <cell r="BE124"/>
          <cell r="BF124">
            <v>0</v>
          </cell>
          <cell r="BG124">
            <v>0</v>
          </cell>
          <cell r="BH124">
            <v>0</v>
          </cell>
          <cell r="BI124">
            <v>10748</v>
          </cell>
          <cell r="BJ124">
            <v>8847</v>
          </cell>
          <cell r="BK124">
            <v>8847</v>
          </cell>
          <cell r="BL124">
            <v>0</v>
          </cell>
          <cell r="BM124">
            <v>0</v>
          </cell>
          <cell r="BN124">
            <v>0</v>
          </cell>
          <cell r="BO124">
            <v>9242</v>
          </cell>
          <cell r="BP124">
            <v>45860.6</v>
          </cell>
          <cell r="BQ124">
            <v>82616.279069767406</v>
          </cell>
          <cell r="BR124">
            <v>0</v>
          </cell>
          <cell r="BS124">
            <v>0</v>
          </cell>
          <cell r="BT124">
            <v>16219</v>
          </cell>
          <cell r="BU124"/>
          <cell r="BV124"/>
          <cell r="BW124"/>
          <cell r="BX124"/>
          <cell r="BY124">
            <v>0</v>
          </cell>
          <cell r="BZ124">
            <v>0</v>
          </cell>
          <cell r="CA124">
            <v>0</v>
          </cell>
          <cell r="CB124">
            <v>0</v>
          </cell>
          <cell r="CC124">
            <v>639989</v>
          </cell>
          <cell r="CD124">
            <v>3164083</v>
          </cell>
          <cell r="CE124">
            <v>74777</v>
          </cell>
          <cell r="CF124">
            <v>0</v>
          </cell>
          <cell r="CG124">
            <v>74777</v>
          </cell>
          <cell r="CH124">
            <v>74777</v>
          </cell>
          <cell r="CI124">
            <v>74777</v>
          </cell>
          <cell r="CJ124">
            <v>74777</v>
          </cell>
          <cell r="CK124">
            <v>0</v>
          </cell>
          <cell r="CL124">
            <v>0</v>
          </cell>
          <cell r="CM124">
            <v>0</v>
          </cell>
          <cell r="CN124">
            <v>0</v>
          </cell>
          <cell r="CO124">
            <v>0</v>
          </cell>
          <cell r="CP124">
            <v>-1402</v>
          </cell>
          <cell r="CQ124">
            <v>181525</v>
          </cell>
          <cell r="CR124">
            <v>181849</v>
          </cell>
          <cell r="CS124">
            <v>183131</v>
          </cell>
          <cell r="CT124">
            <v>186965</v>
          </cell>
          <cell r="CU124">
            <v>190561</v>
          </cell>
          <cell r="CV124">
            <v>18289</v>
          </cell>
          <cell r="CW124">
            <v>0</v>
          </cell>
          <cell r="CX124">
            <v>0</v>
          </cell>
          <cell r="CY124">
            <v>0</v>
          </cell>
          <cell r="CZ124">
            <v>0</v>
          </cell>
          <cell r="DA124">
            <v>0</v>
          </cell>
          <cell r="DB124"/>
          <cell r="DC124">
            <v>0</v>
          </cell>
          <cell r="DD124">
            <v>0</v>
          </cell>
          <cell r="DE124">
            <v>0</v>
          </cell>
          <cell r="DF124">
            <v>0</v>
          </cell>
          <cell r="DG124">
            <v>0</v>
          </cell>
          <cell r="DH124">
            <v>0</v>
          </cell>
          <cell r="DI124">
            <v>0</v>
          </cell>
          <cell r="DJ124">
            <v>0</v>
          </cell>
          <cell r="DK124">
            <v>0</v>
          </cell>
          <cell r="DL124">
            <v>0</v>
          </cell>
          <cell r="DM124"/>
          <cell r="DN124"/>
          <cell r="DO124"/>
          <cell r="DP124"/>
        </row>
        <row r="125">
          <cell r="A125">
            <v>281</v>
          </cell>
          <cell r="B125" t="str">
            <v>Tiel</v>
          </cell>
          <cell r="C125">
            <v>5</v>
          </cell>
          <cell r="D125">
            <v>-15621</v>
          </cell>
          <cell r="E125">
            <v>-7810</v>
          </cell>
          <cell r="F125">
            <v>0</v>
          </cell>
          <cell r="G125">
            <v>0</v>
          </cell>
          <cell r="H125">
            <v>-50425</v>
          </cell>
          <cell r="I125">
            <v>-14450</v>
          </cell>
          <cell r="J125"/>
          <cell r="K125">
            <v>0</v>
          </cell>
          <cell r="L125">
            <v>278387</v>
          </cell>
          <cell r="M125">
            <v>265118</v>
          </cell>
          <cell r="N125">
            <v>0</v>
          </cell>
          <cell r="O125">
            <v>0</v>
          </cell>
          <cell r="P125">
            <v>0</v>
          </cell>
          <cell r="Q125">
            <v>0</v>
          </cell>
          <cell r="R125">
            <v>0</v>
          </cell>
          <cell r="S125">
            <v>0</v>
          </cell>
          <cell r="T125">
            <v>0</v>
          </cell>
          <cell r="U125">
            <v>0</v>
          </cell>
          <cell r="V125">
            <v>32250</v>
          </cell>
          <cell r="W125">
            <v>161629</v>
          </cell>
          <cell r="X125">
            <v>0</v>
          </cell>
          <cell r="Y125"/>
          <cell r="Z125">
            <v>0</v>
          </cell>
          <cell r="AA125">
            <v>34000</v>
          </cell>
          <cell r="AB125">
            <v>0</v>
          </cell>
          <cell r="AC125"/>
          <cell r="AD125">
            <v>20000</v>
          </cell>
          <cell r="AE125">
            <v>0</v>
          </cell>
          <cell r="AF125">
            <v>0</v>
          </cell>
          <cell r="AG125">
            <v>0</v>
          </cell>
          <cell r="AH125">
            <v>0</v>
          </cell>
          <cell r="AI125">
            <v>0</v>
          </cell>
          <cell r="AJ125">
            <v>0</v>
          </cell>
          <cell r="AK125">
            <v>0</v>
          </cell>
          <cell r="AL125"/>
          <cell r="AM125">
            <v>0</v>
          </cell>
          <cell r="AN125">
            <v>0</v>
          </cell>
          <cell r="AO125">
            <v>0</v>
          </cell>
          <cell r="AP125">
            <v>0</v>
          </cell>
          <cell r="AQ125">
            <v>0</v>
          </cell>
          <cell r="AR125">
            <v>0</v>
          </cell>
          <cell r="AS125">
            <v>0</v>
          </cell>
          <cell r="AT125">
            <v>0</v>
          </cell>
          <cell r="AU125">
            <v>9480</v>
          </cell>
          <cell r="AV125">
            <v>0</v>
          </cell>
          <cell r="AW125">
            <v>80000</v>
          </cell>
          <cell r="AX125">
            <v>0</v>
          </cell>
          <cell r="AY125"/>
          <cell r="AZ125"/>
          <cell r="BA125">
            <v>0</v>
          </cell>
          <cell r="BB125"/>
          <cell r="BC125">
            <v>0</v>
          </cell>
          <cell r="BD125">
            <v>14564</v>
          </cell>
          <cell r="BE125"/>
          <cell r="BF125">
            <v>0</v>
          </cell>
          <cell r="BG125">
            <v>0</v>
          </cell>
          <cell r="BH125">
            <v>0</v>
          </cell>
          <cell r="BI125">
            <v>66456</v>
          </cell>
          <cell r="BJ125">
            <v>54703</v>
          </cell>
          <cell r="BK125">
            <v>54703</v>
          </cell>
          <cell r="BL125">
            <v>0</v>
          </cell>
          <cell r="BM125">
            <v>0</v>
          </cell>
          <cell r="BN125">
            <v>0</v>
          </cell>
          <cell r="BO125">
            <v>286020</v>
          </cell>
          <cell r="BP125">
            <v>17395.400000000001</v>
          </cell>
          <cell r="BQ125">
            <v>31337.209302325598</v>
          </cell>
          <cell r="BR125">
            <v>0</v>
          </cell>
          <cell r="BS125">
            <v>0</v>
          </cell>
          <cell r="BT125">
            <v>75994</v>
          </cell>
          <cell r="BU125"/>
          <cell r="BV125"/>
          <cell r="BW125"/>
          <cell r="BX125"/>
          <cell r="BY125">
            <v>0</v>
          </cell>
          <cell r="BZ125">
            <v>0</v>
          </cell>
          <cell r="CA125">
            <v>0</v>
          </cell>
          <cell r="CB125">
            <v>0</v>
          </cell>
          <cell r="CC125">
            <v>3158206</v>
          </cell>
          <cell r="CD125">
            <v>26869478</v>
          </cell>
          <cell r="CE125">
            <v>1362270</v>
          </cell>
          <cell r="CF125">
            <v>0</v>
          </cell>
          <cell r="CG125">
            <v>1362270</v>
          </cell>
          <cell r="CH125">
            <v>1362270</v>
          </cell>
          <cell r="CI125">
            <v>1362270</v>
          </cell>
          <cell r="CJ125">
            <v>1362270</v>
          </cell>
          <cell r="CK125">
            <v>0</v>
          </cell>
          <cell r="CL125">
            <v>0</v>
          </cell>
          <cell r="CM125">
            <v>0</v>
          </cell>
          <cell r="CN125">
            <v>0</v>
          </cell>
          <cell r="CO125">
            <v>0</v>
          </cell>
          <cell r="CP125">
            <v>-5243</v>
          </cell>
          <cell r="CQ125">
            <v>8344269</v>
          </cell>
          <cell r="CR125">
            <v>8056128</v>
          </cell>
          <cell r="CS125">
            <v>7891053</v>
          </cell>
          <cell r="CT125">
            <v>7782633</v>
          </cell>
          <cell r="CU125">
            <v>7681902</v>
          </cell>
          <cell r="CV125">
            <v>-82112</v>
          </cell>
          <cell r="CW125">
            <v>0</v>
          </cell>
          <cell r="CX125">
            <v>0</v>
          </cell>
          <cell r="CY125">
            <v>0</v>
          </cell>
          <cell r="CZ125">
            <v>0</v>
          </cell>
          <cell r="DA125">
            <v>0</v>
          </cell>
          <cell r="DB125"/>
          <cell r="DC125">
            <v>0</v>
          </cell>
          <cell r="DD125">
            <v>0</v>
          </cell>
          <cell r="DE125">
            <v>0</v>
          </cell>
          <cell r="DF125">
            <v>0</v>
          </cell>
          <cell r="DG125">
            <v>0</v>
          </cell>
          <cell r="DH125">
            <v>0</v>
          </cell>
          <cell r="DI125">
            <v>0</v>
          </cell>
          <cell r="DJ125">
            <v>0</v>
          </cell>
          <cell r="DK125">
            <v>0</v>
          </cell>
          <cell r="DL125">
            <v>0</v>
          </cell>
          <cell r="DM125"/>
          <cell r="DN125"/>
          <cell r="DO125"/>
          <cell r="DP125"/>
        </row>
        <row r="126">
          <cell r="A126">
            <v>285</v>
          </cell>
          <cell r="B126" t="str">
            <v>Voorst</v>
          </cell>
          <cell r="C126">
            <v>5</v>
          </cell>
          <cell r="D126">
            <v>-54210</v>
          </cell>
          <cell r="E126">
            <v>-27105</v>
          </cell>
          <cell r="F126">
            <v>0</v>
          </cell>
          <cell r="G126">
            <v>390313</v>
          </cell>
          <cell r="H126">
            <v>-40299</v>
          </cell>
          <cell r="I126">
            <v>-23677</v>
          </cell>
          <cell r="J126"/>
          <cell r="K126">
            <v>0</v>
          </cell>
          <cell r="L126">
            <v>57301</v>
          </cell>
          <cell r="M126">
            <v>56780</v>
          </cell>
          <cell r="N126">
            <v>0</v>
          </cell>
          <cell r="O126">
            <v>0</v>
          </cell>
          <cell r="P126">
            <v>0</v>
          </cell>
          <cell r="Q126">
            <v>0</v>
          </cell>
          <cell r="R126">
            <v>0</v>
          </cell>
          <cell r="S126">
            <v>0</v>
          </cell>
          <cell r="T126">
            <v>0</v>
          </cell>
          <cell r="U126">
            <v>0</v>
          </cell>
          <cell r="V126">
            <v>3000</v>
          </cell>
          <cell r="W126">
            <v>91746</v>
          </cell>
          <cell r="X126">
            <v>0</v>
          </cell>
          <cell r="Y126"/>
          <cell r="Z126">
            <v>0</v>
          </cell>
          <cell r="AA126">
            <v>0</v>
          </cell>
          <cell r="AB126">
            <v>30000</v>
          </cell>
          <cell r="AC126"/>
          <cell r="AD126">
            <v>0</v>
          </cell>
          <cell r="AE126">
            <v>0</v>
          </cell>
          <cell r="AF126">
            <v>0</v>
          </cell>
          <cell r="AG126">
            <v>0</v>
          </cell>
          <cell r="AH126">
            <v>0</v>
          </cell>
          <cell r="AI126">
            <v>0</v>
          </cell>
          <cell r="AJ126">
            <v>0</v>
          </cell>
          <cell r="AK126">
            <v>0</v>
          </cell>
          <cell r="AL126"/>
          <cell r="AM126">
            <v>0</v>
          </cell>
          <cell r="AN126">
            <v>0</v>
          </cell>
          <cell r="AO126">
            <v>0</v>
          </cell>
          <cell r="AP126">
            <v>0</v>
          </cell>
          <cell r="AQ126">
            <v>0</v>
          </cell>
          <cell r="AR126">
            <v>0</v>
          </cell>
          <cell r="AS126">
            <v>0</v>
          </cell>
          <cell r="AT126">
            <v>0</v>
          </cell>
          <cell r="AU126">
            <v>0</v>
          </cell>
          <cell r="AV126">
            <v>0</v>
          </cell>
          <cell r="AW126">
            <v>0</v>
          </cell>
          <cell r="AX126">
            <v>0</v>
          </cell>
          <cell r="AY126"/>
          <cell r="AZ126"/>
          <cell r="BA126">
            <v>0</v>
          </cell>
          <cell r="BB126"/>
          <cell r="BC126">
            <v>0</v>
          </cell>
          <cell r="BD126">
            <v>8495</v>
          </cell>
          <cell r="BE126"/>
          <cell r="BF126">
            <v>0</v>
          </cell>
          <cell r="BG126">
            <v>0</v>
          </cell>
          <cell r="BH126">
            <v>0</v>
          </cell>
          <cell r="BI126">
            <v>28260</v>
          </cell>
          <cell r="BJ126">
            <v>23262</v>
          </cell>
          <cell r="BK126">
            <v>23262</v>
          </cell>
          <cell r="BL126">
            <v>0</v>
          </cell>
          <cell r="BM126">
            <v>0</v>
          </cell>
          <cell r="BN126">
            <v>0</v>
          </cell>
          <cell r="BO126">
            <v>67613</v>
          </cell>
          <cell r="BP126">
            <v>-6325.6</v>
          </cell>
          <cell r="BQ126">
            <v>-11395.3488372093</v>
          </cell>
          <cell r="BR126">
            <v>0</v>
          </cell>
          <cell r="BS126">
            <v>0</v>
          </cell>
          <cell r="BT126">
            <v>47055</v>
          </cell>
          <cell r="BU126"/>
          <cell r="BV126"/>
          <cell r="BW126"/>
          <cell r="BX126"/>
          <cell r="BY126">
            <v>0</v>
          </cell>
          <cell r="BZ126">
            <v>0</v>
          </cell>
          <cell r="CA126">
            <v>0</v>
          </cell>
          <cell r="CB126">
            <v>0</v>
          </cell>
          <cell r="CC126">
            <v>2056525</v>
          </cell>
          <cell r="CD126">
            <v>13181923</v>
          </cell>
          <cell r="CE126">
            <v>4831502</v>
          </cell>
          <cell r="CF126">
            <v>-52202</v>
          </cell>
          <cell r="CG126">
            <v>4831502</v>
          </cell>
          <cell r="CH126">
            <v>4831502</v>
          </cell>
          <cell r="CI126">
            <v>4831502</v>
          </cell>
          <cell r="CJ126">
            <v>4831502</v>
          </cell>
          <cell r="CK126">
            <v>0</v>
          </cell>
          <cell r="CL126">
            <v>0</v>
          </cell>
          <cell r="CM126">
            <v>0</v>
          </cell>
          <cell r="CN126">
            <v>0</v>
          </cell>
          <cell r="CO126">
            <v>0</v>
          </cell>
          <cell r="CP126">
            <v>-702</v>
          </cell>
          <cell r="CQ126">
            <v>1862254</v>
          </cell>
          <cell r="CR126">
            <v>1810179</v>
          </cell>
          <cell r="CS126">
            <v>1785338</v>
          </cell>
          <cell r="CT126">
            <v>1749655</v>
          </cell>
          <cell r="CU126">
            <v>1736020</v>
          </cell>
          <cell r="CV126">
            <v>-37827</v>
          </cell>
          <cell r="CW126">
            <v>0</v>
          </cell>
          <cell r="CX126">
            <v>0</v>
          </cell>
          <cell r="CY126">
            <v>0</v>
          </cell>
          <cell r="CZ126">
            <v>0</v>
          </cell>
          <cell r="DA126">
            <v>0</v>
          </cell>
          <cell r="DB126"/>
          <cell r="DC126">
            <v>0</v>
          </cell>
          <cell r="DD126">
            <v>0</v>
          </cell>
          <cell r="DE126">
            <v>0</v>
          </cell>
          <cell r="DF126">
            <v>0</v>
          </cell>
          <cell r="DG126">
            <v>0</v>
          </cell>
          <cell r="DH126">
            <v>0</v>
          </cell>
          <cell r="DI126">
            <v>0</v>
          </cell>
          <cell r="DJ126">
            <v>0</v>
          </cell>
          <cell r="DK126">
            <v>0</v>
          </cell>
          <cell r="DL126">
            <v>0</v>
          </cell>
          <cell r="DM126"/>
          <cell r="DN126"/>
          <cell r="DO126"/>
          <cell r="DP126"/>
        </row>
        <row r="127">
          <cell r="A127">
            <v>289</v>
          </cell>
          <cell r="B127" t="str">
            <v>Wageningen</v>
          </cell>
          <cell r="C127">
            <v>5</v>
          </cell>
          <cell r="D127">
            <v>66724</v>
          </cell>
          <cell r="E127">
            <v>33362</v>
          </cell>
          <cell r="F127">
            <v>0</v>
          </cell>
          <cell r="G127">
            <v>0</v>
          </cell>
          <cell r="H127">
            <v>0</v>
          </cell>
          <cell r="I127">
            <v>0</v>
          </cell>
          <cell r="J127"/>
          <cell r="K127">
            <v>0</v>
          </cell>
          <cell r="L127">
            <v>127017</v>
          </cell>
          <cell r="M127">
            <v>135702</v>
          </cell>
          <cell r="N127">
            <v>0</v>
          </cell>
          <cell r="O127">
            <v>0</v>
          </cell>
          <cell r="P127">
            <v>0</v>
          </cell>
          <cell r="Q127">
            <v>0</v>
          </cell>
          <cell r="R127">
            <v>0</v>
          </cell>
          <cell r="S127">
            <v>0</v>
          </cell>
          <cell r="T127">
            <v>0</v>
          </cell>
          <cell r="U127">
            <v>0</v>
          </cell>
          <cell r="V127">
            <v>7750</v>
          </cell>
          <cell r="W127">
            <v>82229</v>
          </cell>
          <cell r="X127">
            <v>0</v>
          </cell>
          <cell r="Y127"/>
          <cell r="Z127">
            <v>0</v>
          </cell>
          <cell r="AA127">
            <v>0</v>
          </cell>
          <cell r="AB127">
            <v>0</v>
          </cell>
          <cell r="AC127"/>
          <cell r="AD127">
            <v>70401</v>
          </cell>
          <cell r="AE127">
            <v>0</v>
          </cell>
          <cell r="AF127">
            <v>0</v>
          </cell>
          <cell r="AG127">
            <v>0</v>
          </cell>
          <cell r="AH127">
            <v>0</v>
          </cell>
          <cell r="AI127">
            <v>0</v>
          </cell>
          <cell r="AJ127">
            <v>0</v>
          </cell>
          <cell r="AK127">
            <v>0</v>
          </cell>
          <cell r="AL127"/>
          <cell r="AM127">
            <v>0</v>
          </cell>
          <cell r="AN127">
            <v>0</v>
          </cell>
          <cell r="AO127">
            <v>0</v>
          </cell>
          <cell r="AP127">
            <v>0</v>
          </cell>
          <cell r="AQ127">
            <v>0</v>
          </cell>
          <cell r="AR127">
            <v>0</v>
          </cell>
          <cell r="AS127">
            <v>0</v>
          </cell>
          <cell r="AT127">
            <v>0</v>
          </cell>
          <cell r="AU127">
            <v>2370</v>
          </cell>
          <cell r="AV127">
            <v>0</v>
          </cell>
          <cell r="AW127">
            <v>0</v>
          </cell>
          <cell r="AX127">
            <v>0</v>
          </cell>
          <cell r="AY127"/>
          <cell r="AZ127"/>
          <cell r="BA127">
            <v>0</v>
          </cell>
          <cell r="BB127"/>
          <cell r="BC127">
            <v>0</v>
          </cell>
          <cell r="BD127">
            <v>13500</v>
          </cell>
          <cell r="BE127"/>
          <cell r="BF127">
            <v>0</v>
          </cell>
          <cell r="BG127">
            <v>0</v>
          </cell>
          <cell r="BH127">
            <v>0</v>
          </cell>
          <cell r="BI127">
            <v>52415</v>
          </cell>
          <cell r="BJ127">
            <v>43145</v>
          </cell>
          <cell r="BK127">
            <v>43145</v>
          </cell>
          <cell r="BL127">
            <v>0</v>
          </cell>
          <cell r="BM127">
            <v>0</v>
          </cell>
          <cell r="BN127">
            <v>0</v>
          </cell>
          <cell r="BO127">
            <v>23835</v>
          </cell>
          <cell r="BP127">
            <v>22139.599999999999</v>
          </cell>
          <cell r="BQ127">
            <v>39883.720930232601</v>
          </cell>
          <cell r="BR127">
            <v>0</v>
          </cell>
          <cell r="BS127">
            <v>0</v>
          </cell>
          <cell r="BT127">
            <v>52936</v>
          </cell>
          <cell r="BU127"/>
          <cell r="BV127"/>
          <cell r="BW127"/>
          <cell r="BX127"/>
          <cell r="BY127">
            <v>0</v>
          </cell>
          <cell r="BZ127">
            <v>0</v>
          </cell>
          <cell r="CA127">
            <v>0</v>
          </cell>
          <cell r="CB127">
            <v>0</v>
          </cell>
          <cell r="CC127">
            <v>2114332</v>
          </cell>
          <cell r="CD127">
            <v>13671985</v>
          </cell>
          <cell r="CE127">
            <v>625292</v>
          </cell>
          <cell r="CF127">
            <v>0</v>
          </cell>
          <cell r="CG127">
            <v>625292</v>
          </cell>
          <cell r="CH127">
            <v>625292</v>
          </cell>
          <cell r="CI127">
            <v>625292</v>
          </cell>
          <cell r="CJ127">
            <v>625292</v>
          </cell>
          <cell r="CK127">
            <v>0</v>
          </cell>
          <cell r="CL127">
            <v>0</v>
          </cell>
          <cell r="CM127">
            <v>0</v>
          </cell>
          <cell r="CN127">
            <v>0</v>
          </cell>
          <cell r="CO127">
            <v>0</v>
          </cell>
          <cell r="CP127">
            <v>0</v>
          </cell>
          <cell r="CQ127">
            <v>3630383</v>
          </cell>
          <cell r="CR127">
            <v>3434450</v>
          </cell>
          <cell r="CS127">
            <v>3357237</v>
          </cell>
          <cell r="CT127">
            <v>3281033</v>
          </cell>
          <cell r="CU127">
            <v>3189909</v>
          </cell>
          <cell r="CV127">
            <v>261308</v>
          </cell>
          <cell r="CW127">
            <v>0</v>
          </cell>
          <cell r="CX127">
            <v>0</v>
          </cell>
          <cell r="CY127">
            <v>0</v>
          </cell>
          <cell r="CZ127">
            <v>0</v>
          </cell>
          <cell r="DA127">
            <v>0</v>
          </cell>
          <cell r="DB127"/>
          <cell r="DC127">
            <v>0</v>
          </cell>
          <cell r="DD127">
            <v>0</v>
          </cell>
          <cell r="DE127">
            <v>0</v>
          </cell>
          <cell r="DF127">
            <v>0</v>
          </cell>
          <cell r="DG127">
            <v>0</v>
          </cell>
          <cell r="DH127">
            <v>0</v>
          </cell>
          <cell r="DI127">
            <v>0</v>
          </cell>
          <cell r="DJ127">
            <v>0</v>
          </cell>
          <cell r="DK127">
            <v>0</v>
          </cell>
          <cell r="DL127">
            <v>0</v>
          </cell>
          <cell r="DM127"/>
          <cell r="DN127"/>
          <cell r="DO127"/>
          <cell r="DP127"/>
        </row>
        <row r="128">
          <cell r="A128">
            <v>668</v>
          </cell>
          <cell r="B128" t="str">
            <v>West Maas en Waal</v>
          </cell>
          <cell r="C128">
            <v>5</v>
          </cell>
          <cell r="D128">
            <v>4138</v>
          </cell>
          <cell r="E128">
            <v>2069</v>
          </cell>
          <cell r="F128">
            <v>0</v>
          </cell>
          <cell r="G128">
            <v>0</v>
          </cell>
          <cell r="H128">
            <v>-26649</v>
          </cell>
          <cell r="I128">
            <v>-10884</v>
          </cell>
          <cell r="J128"/>
          <cell r="K128">
            <v>0</v>
          </cell>
          <cell r="L128">
            <v>55152</v>
          </cell>
          <cell r="M128">
            <v>53138</v>
          </cell>
          <cell r="N128">
            <v>0</v>
          </cell>
          <cell r="O128">
            <v>0</v>
          </cell>
          <cell r="P128">
            <v>0</v>
          </cell>
          <cell r="Q128">
            <v>0</v>
          </cell>
          <cell r="R128">
            <v>0</v>
          </cell>
          <cell r="S128">
            <v>0</v>
          </cell>
          <cell r="T128">
            <v>0</v>
          </cell>
          <cell r="U128">
            <v>0</v>
          </cell>
          <cell r="V128">
            <v>12000</v>
          </cell>
          <cell r="W128">
            <v>73475</v>
          </cell>
          <cell r="X128">
            <v>0</v>
          </cell>
          <cell r="Y128"/>
          <cell r="Z128">
            <v>0</v>
          </cell>
          <cell r="AA128">
            <v>0</v>
          </cell>
          <cell r="AB128">
            <v>0</v>
          </cell>
          <cell r="AC128"/>
          <cell r="AD128">
            <v>0</v>
          </cell>
          <cell r="AE128">
            <v>0</v>
          </cell>
          <cell r="AF128">
            <v>0</v>
          </cell>
          <cell r="AG128">
            <v>0</v>
          </cell>
          <cell r="AH128">
            <v>0</v>
          </cell>
          <cell r="AI128">
            <v>0</v>
          </cell>
          <cell r="AJ128">
            <v>0</v>
          </cell>
          <cell r="AK128">
            <v>0</v>
          </cell>
          <cell r="AL128"/>
          <cell r="AM128">
            <v>0</v>
          </cell>
          <cell r="AN128">
            <v>0</v>
          </cell>
          <cell r="AO128">
            <v>0</v>
          </cell>
          <cell r="AP128">
            <v>0</v>
          </cell>
          <cell r="AQ128">
            <v>0</v>
          </cell>
          <cell r="AR128">
            <v>0</v>
          </cell>
          <cell r="AS128">
            <v>0</v>
          </cell>
          <cell r="AT128">
            <v>0</v>
          </cell>
          <cell r="AU128">
            <v>0</v>
          </cell>
          <cell r="AV128">
            <v>0</v>
          </cell>
          <cell r="AW128">
            <v>0</v>
          </cell>
          <cell r="AX128">
            <v>0</v>
          </cell>
          <cell r="AY128"/>
          <cell r="AZ128"/>
          <cell r="BA128">
            <v>0</v>
          </cell>
          <cell r="BB128"/>
          <cell r="BC128">
            <v>0</v>
          </cell>
          <cell r="BD128">
            <v>6606</v>
          </cell>
          <cell r="BE128"/>
          <cell r="BF128">
            <v>0</v>
          </cell>
          <cell r="BG128">
            <v>0</v>
          </cell>
          <cell r="BH128">
            <v>0</v>
          </cell>
          <cell r="BI128">
            <v>26523</v>
          </cell>
          <cell r="BJ128">
            <v>21832</v>
          </cell>
          <cell r="BK128">
            <v>21832</v>
          </cell>
          <cell r="BL128">
            <v>0</v>
          </cell>
          <cell r="BM128">
            <v>0</v>
          </cell>
          <cell r="BN128">
            <v>0</v>
          </cell>
          <cell r="BO128">
            <v>140091</v>
          </cell>
          <cell r="BP128">
            <v>0</v>
          </cell>
          <cell r="BQ128">
            <v>0</v>
          </cell>
          <cell r="BR128">
            <v>0</v>
          </cell>
          <cell r="BS128">
            <v>0</v>
          </cell>
          <cell r="BT128">
            <v>35516</v>
          </cell>
          <cell r="BU128"/>
          <cell r="BV128"/>
          <cell r="BW128"/>
          <cell r="BX128"/>
          <cell r="BY128">
            <v>0</v>
          </cell>
          <cell r="BZ128">
            <v>0</v>
          </cell>
          <cell r="CA128">
            <v>0</v>
          </cell>
          <cell r="CB128">
            <v>0</v>
          </cell>
          <cell r="CC128">
            <v>1405374</v>
          </cell>
          <cell r="CD128">
            <v>6616963</v>
          </cell>
          <cell r="CE128">
            <v>567653</v>
          </cell>
          <cell r="CF128">
            <v>-4258</v>
          </cell>
          <cell r="CG128">
            <v>567653</v>
          </cell>
          <cell r="CH128">
            <v>567653</v>
          </cell>
          <cell r="CI128">
            <v>567653</v>
          </cell>
          <cell r="CJ128">
            <v>567653</v>
          </cell>
          <cell r="CK128">
            <v>0</v>
          </cell>
          <cell r="CL128">
            <v>0</v>
          </cell>
          <cell r="CM128">
            <v>0</v>
          </cell>
          <cell r="CN128">
            <v>0</v>
          </cell>
          <cell r="CO128">
            <v>0</v>
          </cell>
          <cell r="CP128">
            <v>-3264</v>
          </cell>
          <cell r="CQ128">
            <v>1243465</v>
          </cell>
          <cell r="CR128">
            <v>1178928</v>
          </cell>
          <cell r="CS128">
            <v>1114582</v>
          </cell>
          <cell r="CT128">
            <v>1061470</v>
          </cell>
          <cell r="CU128">
            <v>1047336</v>
          </cell>
          <cell r="CV128">
            <v>40003</v>
          </cell>
          <cell r="CW128">
            <v>0</v>
          </cell>
          <cell r="CX128">
            <v>0</v>
          </cell>
          <cell r="CY128">
            <v>0</v>
          </cell>
          <cell r="CZ128">
            <v>0</v>
          </cell>
          <cell r="DA128">
            <v>0</v>
          </cell>
          <cell r="DB128"/>
          <cell r="DC128">
            <v>0</v>
          </cell>
          <cell r="DD128">
            <v>0</v>
          </cell>
          <cell r="DE128">
            <v>0</v>
          </cell>
          <cell r="DF128">
            <v>0</v>
          </cell>
          <cell r="DG128">
            <v>0</v>
          </cell>
          <cell r="DH128">
            <v>0</v>
          </cell>
          <cell r="DI128">
            <v>0</v>
          </cell>
          <cell r="DJ128">
            <v>0</v>
          </cell>
          <cell r="DK128">
            <v>0</v>
          </cell>
          <cell r="DL128">
            <v>0</v>
          </cell>
          <cell r="DM128"/>
          <cell r="DN128"/>
          <cell r="DO128"/>
          <cell r="DP128"/>
        </row>
        <row r="129">
          <cell r="A129">
            <v>293</v>
          </cell>
          <cell r="B129" t="str">
            <v>Westervoort</v>
          </cell>
          <cell r="C129">
            <v>5</v>
          </cell>
          <cell r="D129">
            <v>6</v>
          </cell>
          <cell r="E129">
            <v>3</v>
          </cell>
          <cell r="F129">
            <v>0</v>
          </cell>
          <cell r="G129">
            <v>0</v>
          </cell>
          <cell r="H129">
            <v>-20628</v>
          </cell>
          <cell r="I129">
            <v>-8891</v>
          </cell>
          <cell r="J129"/>
          <cell r="K129">
            <v>0</v>
          </cell>
          <cell r="L129">
            <v>93591</v>
          </cell>
          <cell r="M129">
            <v>92658</v>
          </cell>
          <cell r="N129">
            <v>0</v>
          </cell>
          <cell r="O129">
            <v>0</v>
          </cell>
          <cell r="P129">
            <v>0</v>
          </cell>
          <cell r="Q129">
            <v>0</v>
          </cell>
          <cell r="R129">
            <v>0</v>
          </cell>
          <cell r="S129">
            <v>0</v>
          </cell>
          <cell r="T129">
            <v>0</v>
          </cell>
          <cell r="U129">
            <v>0</v>
          </cell>
          <cell r="V129">
            <v>0</v>
          </cell>
          <cell r="W129">
            <v>49701</v>
          </cell>
          <cell r="X129">
            <v>0</v>
          </cell>
          <cell r="Y129"/>
          <cell r="Z129">
            <v>0</v>
          </cell>
          <cell r="AA129">
            <v>0</v>
          </cell>
          <cell r="AB129">
            <v>0</v>
          </cell>
          <cell r="AC129"/>
          <cell r="AD129">
            <v>0</v>
          </cell>
          <cell r="AE129">
            <v>0</v>
          </cell>
          <cell r="AF129">
            <v>0</v>
          </cell>
          <cell r="AG129">
            <v>0</v>
          </cell>
          <cell r="AH129">
            <v>0</v>
          </cell>
          <cell r="AI129">
            <v>0</v>
          </cell>
          <cell r="AJ129">
            <v>0</v>
          </cell>
          <cell r="AK129">
            <v>0</v>
          </cell>
          <cell r="AL129"/>
          <cell r="AM129">
            <v>0</v>
          </cell>
          <cell r="AN129">
            <v>0</v>
          </cell>
          <cell r="AO129">
            <v>0</v>
          </cell>
          <cell r="AP129">
            <v>0</v>
          </cell>
          <cell r="AQ129">
            <v>0</v>
          </cell>
          <cell r="AR129">
            <v>0</v>
          </cell>
          <cell r="AS129">
            <v>0</v>
          </cell>
          <cell r="AT129">
            <v>0</v>
          </cell>
          <cell r="AU129">
            <v>0</v>
          </cell>
          <cell r="AV129">
            <v>0</v>
          </cell>
          <cell r="AW129">
            <v>0</v>
          </cell>
          <cell r="AX129">
            <v>0</v>
          </cell>
          <cell r="AY129"/>
          <cell r="AZ129"/>
          <cell r="BA129">
            <v>0</v>
          </cell>
          <cell r="BB129"/>
          <cell r="BC129">
            <v>0</v>
          </cell>
          <cell r="BD129">
            <v>5262</v>
          </cell>
          <cell r="BE129"/>
          <cell r="BF129">
            <v>0</v>
          </cell>
          <cell r="BG129">
            <v>0</v>
          </cell>
          <cell r="BH129">
            <v>0</v>
          </cell>
          <cell r="BI129">
            <v>23370</v>
          </cell>
          <cell r="BJ129">
            <v>19237</v>
          </cell>
          <cell r="BK129">
            <v>19237</v>
          </cell>
          <cell r="BL129">
            <v>0</v>
          </cell>
          <cell r="BM129">
            <v>0</v>
          </cell>
          <cell r="BN129">
            <v>0</v>
          </cell>
          <cell r="BO129">
            <v>44265</v>
          </cell>
          <cell r="BP129">
            <v>18976.8</v>
          </cell>
          <cell r="BQ129">
            <v>34186.046511627901</v>
          </cell>
          <cell r="BR129">
            <v>0</v>
          </cell>
          <cell r="BS129">
            <v>0</v>
          </cell>
          <cell r="BT129">
            <v>24716</v>
          </cell>
          <cell r="BU129"/>
          <cell r="BV129"/>
          <cell r="BW129"/>
          <cell r="BX129"/>
          <cell r="BY129">
            <v>0</v>
          </cell>
          <cell r="BZ129">
            <v>0</v>
          </cell>
          <cell r="CA129">
            <v>0</v>
          </cell>
          <cell r="CB129">
            <v>0</v>
          </cell>
          <cell r="CC129">
            <v>1132617</v>
          </cell>
          <cell r="CD129">
            <v>9256754</v>
          </cell>
          <cell r="CE129">
            <v>474132</v>
          </cell>
          <cell r="CF129">
            <v>-5250</v>
          </cell>
          <cell r="CG129">
            <v>474132</v>
          </cell>
          <cell r="CH129">
            <v>474132</v>
          </cell>
          <cell r="CI129">
            <v>474132</v>
          </cell>
          <cell r="CJ129">
            <v>474132</v>
          </cell>
          <cell r="CK129">
            <v>0</v>
          </cell>
          <cell r="CL129">
            <v>0</v>
          </cell>
          <cell r="CM129">
            <v>0</v>
          </cell>
          <cell r="CN129">
            <v>0</v>
          </cell>
          <cell r="CO129">
            <v>0</v>
          </cell>
          <cell r="CP129">
            <v>-2459</v>
          </cell>
          <cell r="CQ129">
            <v>2389924</v>
          </cell>
          <cell r="CR129">
            <v>2313757</v>
          </cell>
          <cell r="CS129">
            <v>2287447</v>
          </cell>
          <cell r="CT129">
            <v>2250401</v>
          </cell>
          <cell r="CU129">
            <v>2212268</v>
          </cell>
          <cell r="CV129">
            <v>-29403</v>
          </cell>
          <cell r="CW129">
            <v>0</v>
          </cell>
          <cell r="CX129">
            <v>0</v>
          </cell>
          <cell r="CY129">
            <v>0</v>
          </cell>
          <cell r="CZ129">
            <v>0</v>
          </cell>
          <cell r="DA129">
            <v>0</v>
          </cell>
          <cell r="DB129"/>
          <cell r="DC129">
            <v>0</v>
          </cell>
          <cell r="DD129">
            <v>0</v>
          </cell>
          <cell r="DE129">
            <v>0</v>
          </cell>
          <cell r="DF129">
            <v>0</v>
          </cell>
          <cell r="DG129">
            <v>0</v>
          </cell>
          <cell r="DH129">
            <v>0</v>
          </cell>
          <cell r="DI129">
            <v>0</v>
          </cell>
          <cell r="DJ129">
            <v>0</v>
          </cell>
          <cell r="DK129">
            <v>0</v>
          </cell>
          <cell r="DL129">
            <v>0</v>
          </cell>
          <cell r="DM129"/>
          <cell r="DN129"/>
          <cell r="DO129"/>
          <cell r="DP129"/>
        </row>
        <row r="130">
          <cell r="A130">
            <v>296</v>
          </cell>
          <cell r="B130" t="str">
            <v>Wijchen</v>
          </cell>
          <cell r="C130">
            <v>5</v>
          </cell>
          <cell r="D130">
            <v>-9448</v>
          </cell>
          <cell r="E130">
            <v>-4724</v>
          </cell>
          <cell r="F130">
            <v>0</v>
          </cell>
          <cell r="G130">
            <v>0</v>
          </cell>
          <cell r="H130">
            <v>-29657</v>
          </cell>
          <cell r="I130">
            <v>-13369</v>
          </cell>
          <cell r="J130"/>
          <cell r="K130">
            <v>0</v>
          </cell>
          <cell r="L130">
            <v>160661</v>
          </cell>
          <cell r="M130">
            <v>151772</v>
          </cell>
          <cell r="N130">
            <v>0</v>
          </cell>
          <cell r="O130">
            <v>0</v>
          </cell>
          <cell r="P130">
            <v>0</v>
          </cell>
          <cell r="Q130">
            <v>0</v>
          </cell>
          <cell r="R130">
            <v>0</v>
          </cell>
          <cell r="S130">
            <v>0</v>
          </cell>
          <cell r="T130">
            <v>0</v>
          </cell>
          <cell r="U130">
            <v>0</v>
          </cell>
          <cell r="V130">
            <v>0</v>
          </cell>
          <cell r="W130">
            <v>169498</v>
          </cell>
          <cell r="X130">
            <v>0</v>
          </cell>
          <cell r="Y130"/>
          <cell r="Z130">
            <v>0</v>
          </cell>
          <cell r="AA130">
            <v>0</v>
          </cell>
          <cell r="AB130">
            <v>0</v>
          </cell>
          <cell r="AC130"/>
          <cell r="AD130">
            <v>0</v>
          </cell>
          <cell r="AE130">
            <v>0</v>
          </cell>
          <cell r="AF130">
            <v>0</v>
          </cell>
          <cell r="AG130">
            <v>0</v>
          </cell>
          <cell r="AH130">
            <v>0</v>
          </cell>
          <cell r="AI130">
            <v>0</v>
          </cell>
          <cell r="AJ130">
            <v>0</v>
          </cell>
          <cell r="AK130">
            <v>0</v>
          </cell>
          <cell r="AL130"/>
          <cell r="AM130">
            <v>0</v>
          </cell>
          <cell r="AN130">
            <v>0</v>
          </cell>
          <cell r="AO130">
            <v>0</v>
          </cell>
          <cell r="AP130">
            <v>0</v>
          </cell>
          <cell r="AQ130">
            <v>0</v>
          </cell>
          <cell r="AR130">
            <v>0</v>
          </cell>
          <cell r="AS130">
            <v>0</v>
          </cell>
          <cell r="AT130">
            <v>0</v>
          </cell>
          <cell r="AU130">
            <v>7110</v>
          </cell>
          <cell r="AV130">
            <v>0</v>
          </cell>
          <cell r="AW130">
            <v>0</v>
          </cell>
          <cell r="AX130">
            <v>0</v>
          </cell>
          <cell r="AY130"/>
          <cell r="AZ130"/>
          <cell r="BA130">
            <v>0</v>
          </cell>
          <cell r="BB130"/>
          <cell r="BC130">
            <v>0</v>
          </cell>
          <cell r="BD130">
            <v>14349</v>
          </cell>
          <cell r="BE130"/>
          <cell r="BF130">
            <v>0</v>
          </cell>
          <cell r="BG130">
            <v>0</v>
          </cell>
          <cell r="BH130">
            <v>0</v>
          </cell>
          <cell r="BI130">
            <v>55618</v>
          </cell>
          <cell r="BJ130">
            <v>45782</v>
          </cell>
          <cell r="BK130">
            <v>45782</v>
          </cell>
          <cell r="BL130">
            <v>0</v>
          </cell>
          <cell r="BM130">
            <v>0</v>
          </cell>
          <cell r="BN130">
            <v>0</v>
          </cell>
          <cell r="BO130">
            <v>145928</v>
          </cell>
          <cell r="BP130">
            <v>11069.8</v>
          </cell>
          <cell r="BQ130">
            <v>19941.8604651163</v>
          </cell>
          <cell r="BR130">
            <v>0</v>
          </cell>
          <cell r="BS130">
            <v>0</v>
          </cell>
          <cell r="BT130">
            <v>68037</v>
          </cell>
          <cell r="BU130"/>
          <cell r="BV130"/>
          <cell r="BW130"/>
          <cell r="BX130"/>
          <cell r="BY130">
            <v>0</v>
          </cell>
          <cell r="BZ130">
            <v>0</v>
          </cell>
          <cell r="CA130">
            <v>0</v>
          </cell>
          <cell r="CB130">
            <v>0</v>
          </cell>
          <cell r="CC130">
            <v>3003033</v>
          </cell>
          <cell r="CD130">
            <v>18311080</v>
          </cell>
          <cell r="CE130">
            <v>618396</v>
          </cell>
          <cell r="CF130">
            <v>0</v>
          </cell>
          <cell r="CG130">
            <v>618396</v>
          </cell>
          <cell r="CH130">
            <v>618396</v>
          </cell>
          <cell r="CI130">
            <v>618396</v>
          </cell>
          <cell r="CJ130">
            <v>618396</v>
          </cell>
          <cell r="CK130">
            <v>0</v>
          </cell>
          <cell r="CL130">
            <v>0</v>
          </cell>
          <cell r="CM130">
            <v>0</v>
          </cell>
          <cell r="CN130">
            <v>0</v>
          </cell>
          <cell r="CO130">
            <v>0</v>
          </cell>
          <cell r="CP130">
            <v>-4848</v>
          </cell>
          <cell r="CQ130">
            <v>4537535</v>
          </cell>
          <cell r="CR130">
            <v>4221686</v>
          </cell>
          <cell r="CS130">
            <v>4121490</v>
          </cell>
          <cell r="CT130">
            <v>3997361</v>
          </cell>
          <cell r="CU130">
            <v>3868469</v>
          </cell>
          <cell r="CV130">
            <v>39919</v>
          </cell>
          <cell r="CW130">
            <v>0</v>
          </cell>
          <cell r="CX130">
            <v>0</v>
          </cell>
          <cell r="CY130">
            <v>0</v>
          </cell>
          <cell r="CZ130">
            <v>0</v>
          </cell>
          <cell r="DA130">
            <v>0</v>
          </cell>
          <cell r="DB130"/>
          <cell r="DC130">
            <v>0</v>
          </cell>
          <cell r="DD130">
            <v>0</v>
          </cell>
          <cell r="DE130">
            <v>0</v>
          </cell>
          <cell r="DF130">
            <v>0</v>
          </cell>
          <cell r="DG130">
            <v>0</v>
          </cell>
          <cell r="DH130">
            <v>0</v>
          </cell>
          <cell r="DI130">
            <v>0</v>
          </cell>
          <cell r="DJ130">
            <v>0</v>
          </cell>
          <cell r="DK130">
            <v>0</v>
          </cell>
          <cell r="DL130">
            <v>0</v>
          </cell>
          <cell r="DM130"/>
          <cell r="DN130"/>
          <cell r="DO130"/>
          <cell r="DP130"/>
        </row>
        <row r="131">
          <cell r="A131">
            <v>294</v>
          </cell>
          <cell r="B131" t="str">
            <v>Winterswijk</v>
          </cell>
          <cell r="C131">
            <v>5</v>
          </cell>
          <cell r="D131">
            <v>-10937</v>
          </cell>
          <cell r="E131">
            <v>-5468</v>
          </cell>
          <cell r="F131">
            <v>0</v>
          </cell>
          <cell r="G131">
            <v>0</v>
          </cell>
          <cell r="H131">
            <v>-28591</v>
          </cell>
          <cell r="I131">
            <v>-27708</v>
          </cell>
          <cell r="J131"/>
          <cell r="K131">
            <v>0</v>
          </cell>
          <cell r="L131">
            <v>129245</v>
          </cell>
          <cell r="M131">
            <v>129321</v>
          </cell>
          <cell r="N131">
            <v>0</v>
          </cell>
          <cell r="O131">
            <v>0</v>
          </cell>
          <cell r="P131">
            <v>0</v>
          </cell>
          <cell r="Q131">
            <v>0</v>
          </cell>
          <cell r="R131">
            <v>0</v>
          </cell>
          <cell r="S131">
            <v>0</v>
          </cell>
          <cell r="T131">
            <v>0</v>
          </cell>
          <cell r="U131">
            <v>0</v>
          </cell>
          <cell r="V131">
            <v>6000</v>
          </cell>
          <cell r="W131">
            <v>105261</v>
          </cell>
          <cell r="X131">
            <v>0</v>
          </cell>
          <cell r="Y131"/>
          <cell r="Z131">
            <v>0</v>
          </cell>
          <cell r="AA131">
            <v>0</v>
          </cell>
          <cell r="AB131">
            <v>0</v>
          </cell>
          <cell r="AC131"/>
          <cell r="AD131">
            <v>85068</v>
          </cell>
          <cell r="AE131">
            <v>0</v>
          </cell>
          <cell r="AF131">
            <v>0</v>
          </cell>
          <cell r="AG131">
            <v>0</v>
          </cell>
          <cell r="AH131">
            <v>0</v>
          </cell>
          <cell r="AI131">
            <v>0</v>
          </cell>
          <cell r="AJ131">
            <v>0</v>
          </cell>
          <cell r="AK131">
            <v>0</v>
          </cell>
          <cell r="AL131"/>
          <cell r="AM131">
            <v>0</v>
          </cell>
          <cell r="AN131">
            <v>0</v>
          </cell>
          <cell r="AO131">
            <v>0</v>
          </cell>
          <cell r="AP131">
            <v>0</v>
          </cell>
          <cell r="AQ131">
            <v>0</v>
          </cell>
          <cell r="AR131">
            <v>0</v>
          </cell>
          <cell r="AS131">
            <v>0</v>
          </cell>
          <cell r="AT131">
            <v>0</v>
          </cell>
          <cell r="AU131">
            <v>11850</v>
          </cell>
          <cell r="AV131">
            <v>0</v>
          </cell>
          <cell r="AW131">
            <v>0</v>
          </cell>
          <cell r="AX131">
            <v>0</v>
          </cell>
          <cell r="AY131"/>
          <cell r="AZ131"/>
          <cell r="BA131">
            <v>0</v>
          </cell>
          <cell r="BB131"/>
          <cell r="BC131">
            <v>0</v>
          </cell>
          <cell r="BD131">
            <v>10149</v>
          </cell>
          <cell r="BE131"/>
          <cell r="BF131">
            <v>0</v>
          </cell>
          <cell r="BG131">
            <v>0</v>
          </cell>
          <cell r="BH131">
            <v>0</v>
          </cell>
          <cell r="BI131">
            <v>52439</v>
          </cell>
          <cell r="BJ131">
            <v>43165</v>
          </cell>
          <cell r="BK131">
            <v>43165</v>
          </cell>
          <cell r="BL131">
            <v>0</v>
          </cell>
          <cell r="BM131">
            <v>0</v>
          </cell>
          <cell r="BN131">
            <v>0</v>
          </cell>
          <cell r="BO131">
            <v>230567</v>
          </cell>
          <cell r="BP131">
            <v>0</v>
          </cell>
          <cell r="BQ131">
            <v>0</v>
          </cell>
          <cell r="BR131">
            <v>0</v>
          </cell>
          <cell r="BS131">
            <v>0</v>
          </cell>
          <cell r="BT131">
            <v>51310</v>
          </cell>
          <cell r="BU131"/>
          <cell r="BV131"/>
          <cell r="BW131"/>
          <cell r="BX131"/>
          <cell r="BY131">
            <v>0</v>
          </cell>
          <cell r="BZ131">
            <v>0</v>
          </cell>
          <cell r="CA131">
            <v>0</v>
          </cell>
          <cell r="CB131">
            <v>0</v>
          </cell>
          <cell r="CC131">
            <v>2692047</v>
          </cell>
          <cell r="CD131">
            <v>18015202</v>
          </cell>
          <cell r="CE131">
            <v>335122</v>
          </cell>
          <cell r="CF131">
            <v>-66773</v>
          </cell>
          <cell r="CG131">
            <v>335122</v>
          </cell>
          <cell r="CH131">
            <v>335122</v>
          </cell>
          <cell r="CI131">
            <v>335122</v>
          </cell>
          <cell r="CJ131">
            <v>335122</v>
          </cell>
          <cell r="CK131">
            <v>0</v>
          </cell>
          <cell r="CL131">
            <v>0</v>
          </cell>
          <cell r="CM131">
            <v>0</v>
          </cell>
          <cell r="CN131">
            <v>0</v>
          </cell>
          <cell r="CO131">
            <v>0</v>
          </cell>
          <cell r="CP131">
            <v>0</v>
          </cell>
          <cell r="CQ131">
            <v>6386587</v>
          </cell>
          <cell r="CR131">
            <v>6145230</v>
          </cell>
          <cell r="CS131">
            <v>6021445</v>
          </cell>
          <cell r="CT131">
            <v>5805545</v>
          </cell>
          <cell r="CU131">
            <v>5554004</v>
          </cell>
          <cell r="CV131">
            <v>115338</v>
          </cell>
          <cell r="CW131">
            <v>0</v>
          </cell>
          <cell r="CX131">
            <v>0</v>
          </cell>
          <cell r="CY131">
            <v>0</v>
          </cell>
          <cell r="CZ131">
            <v>0</v>
          </cell>
          <cell r="DA131">
            <v>0</v>
          </cell>
          <cell r="DB131"/>
          <cell r="DC131">
            <v>0</v>
          </cell>
          <cell r="DD131">
            <v>0</v>
          </cell>
          <cell r="DE131">
            <v>0</v>
          </cell>
          <cell r="DF131">
            <v>0</v>
          </cell>
          <cell r="DG131">
            <v>0</v>
          </cell>
          <cell r="DH131">
            <v>0</v>
          </cell>
          <cell r="DI131">
            <v>0</v>
          </cell>
          <cell r="DJ131">
            <v>0</v>
          </cell>
          <cell r="DK131">
            <v>0</v>
          </cell>
          <cell r="DL131">
            <v>0</v>
          </cell>
          <cell r="DM131"/>
          <cell r="DN131"/>
          <cell r="DO131"/>
          <cell r="DP131"/>
        </row>
        <row r="132">
          <cell r="A132">
            <v>297</v>
          </cell>
          <cell r="B132" t="str">
            <v>Zaltbommel</v>
          </cell>
          <cell r="C132">
            <v>5</v>
          </cell>
          <cell r="D132">
            <v>-3426</v>
          </cell>
          <cell r="E132">
            <v>-1713</v>
          </cell>
          <cell r="F132">
            <v>0</v>
          </cell>
          <cell r="G132">
            <v>8958</v>
          </cell>
          <cell r="H132">
            <v>-55308</v>
          </cell>
          <cell r="I132">
            <v>-37636</v>
          </cell>
          <cell r="J132"/>
          <cell r="K132">
            <v>0</v>
          </cell>
          <cell r="L132">
            <v>96994</v>
          </cell>
          <cell r="M132">
            <v>95943</v>
          </cell>
          <cell r="N132">
            <v>0</v>
          </cell>
          <cell r="O132">
            <v>0</v>
          </cell>
          <cell r="P132">
            <v>0</v>
          </cell>
          <cell r="Q132">
            <v>0</v>
          </cell>
          <cell r="R132">
            <v>0</v>
          </cell>
          <cell r="S132">
            <v>0</v>
          </cell>
          <cell r="T132">
            <v>0</v>
          </cell>
          <cell r="U132">
            <v>0</v>
          </cell>
          <cell r="V132">
            <v>6000</v>
          </cell>
          <cell r="W132">
            <v>110312</v>
          </cell>
          <cell r="X132">
            <v>0</v>
          </cell>
          <cell r="Y132"/>
          <cell r="Z132">
            <v>0</v>
          </cell>
          <cell r="AA132">
            <v>0</v>
          </cell>
          <cell r="AB132">
            <v>0</v>
          </cell>
          <cell r="AC132"/>
          <cell r="AD132">
            <v>0</v>
          </cell>
          <cell r="AE132">
            <v>0</v>
          </cell>
          <cell r="AF132">
            <v>0</v>
          </cell>
          <cell r="AG132">
            <v>0</v>
          </cell>
          <cell r="AH132">
            <v>0</v>
          </cell>
          <cell r="AI132">
            <v>0</v>
          </cell>
          <cell r="AJ132">
            <v>0</v>
          </cell>
          <cell r="AK132">
            <v>0</v>
          </cell>
          <cell r="AL132"/>
          <cell r="AM132">
            <v>0</v>
          </cell>
          <cell r="AN132">
            <v>0</v>
          </cell>
          <cell r="AO132">
            <v>0</v>
          </cell>
          <cell r="AP132">
            <v>0</v>
          </cell>
          <cell r="AQ132">
            <v>0</v>
          </cell>
          <cell r="AR132">
            <v>0</v>
          </cell>
          <cell r="AS132">
            <v>0</v>
          </cell>
          <cell r="AT132">
            <v>0</v>
          </cell>
          <cell r="AU132">
            <v>0</v>
          </cell>
          <cell r="AV132">
            <v>0</v>
          </cell>
          <cell r="AW132">
            <v>0</v>
          </cell>
          <cell r="AX132">
            <v>0</v>
          </cell>
          <cell r="AY132"/>
          <cell r="AZ132"/>
          <cell r="BA132">
            <v>0</v>
          </cell>
          <cell r="BB132"/>
          <cell r="BC132">
            <v>0</v>
          </cell>
          <cell r="BD132">
            <v>9734</v>
          </cell>
          <cell r="BE132"/>
          <cell r="BF132">
            <v>0</v>
          </cell>
          <cell r="BG132">
            <v>0</v>
          </cell>
          <cell r="BH132">
            <v>0</v>
          </cell>
          <cell r="BI132">
            <v>30078</v>
          </cell>
          <cell r="BJ132">
            <v>24759</v>
          </cell>
          <cell r="BK132">
            <v>24759</v>
          </cell>
          <cell r="BL132">
            <v>0</v>
          </cell>
          <cell r="BM132">
            <v>0</v>
          </cell>
          <cell r="BN132">
            <v>0</v>
          </cell>
          <cell r="BO132">
            <v>220352</v>
          </cell>
          <cell r="BP132">
            <v>-4744.2</v>
          </cell>
          <cell r="BQ132">
            <v>-8546.5116279069807</v>
          </cell>
          <cell r="BR132">
            <v>0</v>
          </cell>
          <cell r="BS132">
            <v>0</v>
          </cell>
          <cell r="BT132">
            <v>52481</v>
          </cell>
          <cell r="BU132"/>
          <cell r="BV132"/>
          <cell r="BW132"/>
          <cell r="BX132"/>
          <cell r="BY132">
            <v>0</v>
          </cell>
          <cell r="BZ132">
            <v>0</v>
          </cell>
          <cell r="CA132">
            <v>0</v>
          </cell>
          <cell r="CB132">
            <v>0</v>
          </cell>
          <cell r="CC132">
            <v>1738510</v>
          </cell>
          <cell r="CD132">
            <v>12092450</v>
          </cell>
          <cell r="CE132">
            <v>847833</v>
          </cell>
          <cell r="CF132">
            <v>-76985</v>
          </cell>
          <cell r="CG132">
            <v>847833</v>
          </cell>
          <cell r="CH132">
            <v>847833</v>
          </cell>
          <cell r="CI132">
            <v>847833</v>
          </cell>
          <cell r="CJ132">
            <v>847833</v>
          </cell>
          <cell r="CK132">
            <v>0</v>
          </cell>
          <cell r="CL132">
            <v>0</v>
          </cell>
          <cell r="CM132">
            <v>0</v>
          </cell>
          <cell r="CN132">
            <v>0</v>
          </cell>
          <cell r="CO132">
            <v>0</v>
          </cell>
          <cell r="CP132">
            <v>-2007</v>
          </cell>
          <cell r="CQ132">
            <v>3130630</v>
          </cell>
          <cell r="CR132">
            <v>2989865</v>
          </cell>
          <cell r="CS132">
            <v>2891439</v>
          </cell>
          <cell r="CT132">
            <v>2818154</v>
          </cell>
          <cell r="CU132">
            <v>2719678</v>
          </cell>
          <cell r="CV132">
            <v>-42369</v>
          </cell>
          <cell r="CW132">
            <v>0</v>
          </cell>
          <cell r="CX132">
            <v>0</v>
          </cell>
          <cell r="CY132">
            <v>0</v>
          </cell>
          <cell r="CZ132">
            <v>0</v>
          </cell>
          <cell r="DA132">
            <v>0</v>
          </cell>
          <cell r="DB132"/>
          <cell r="DC132">
            <v>0</v>
          </cell>
          <cell r="DD132">
            <v>0</v>
          </cell>
          <cell r="DE132">
            <v>0</v>
          </cell>
          <cell r="DF132">
            <v>0</v>
          </cell>
          <cell r="DG132">
            <v>0</v>
          </cell>
          <cell r="DH132">
            <v>0</v>
          </cell>
          <cell r="DI132">
            <v>0</v>
          </cell>
          <cell r="DJ132">
            <v>0</v>
          </cell>
          <cell r="DK132">
            <v>0</v>
          </cell>
          <cell r="DL132">
            <v>0</v>
          </cell>
          <cell r="DM132"/>
          <cell r="DN132"/>
          <cell r="DO132"/>
          <cell r="DP132"/>
        </row>
        <row r="133">
          <cell r="A133">
            <v>299</v>
          </cell>
          <cell r="B133" t="str">
            <v>Zevenaar</v>
          </cell>
          <cell r="C133">
            <v>5</v>
          </cell>
          <cell r="D133">
            <v>-24110</v>
          </cell>
          <cell r="E133">
            <v>-12054</v>
          </cell>
          <cell r="F133">
            <v>0</v>
          </cell>
          <cell r="G133">
            <v>0</v>
          </cell>
          <cell r="H133">
            <v>-14096</v>
          </cell>
          <cell r="I133">
            <v>-3130</v>
          </cell>
          <cell r="J133"/>
          <cell r="K133">
            <v>0</v>
          </cell>
          <cell r="L133">
            <v>189133</v>
          </cell>
          <cell r="M133">
            <v>176912</v>
          </cell>
          <cell r="N133">
            <v>0</v>
          </cell>
          <cell r="O133">
            <v>0</v>
          </cell>
          <cell r="P133">
            <v>0</v>
          </cell>
          <cell r="Q133">
            <v>0</v>
          </cell>
          <cell r="R133">
            <v>0</v>
          </cell>
          <cell r="S133">
            <v>0</v>
          </cell>
          <cell r="T133">
            <v>0</v>
          </cell>
          <cell r="U133">
            <v>0</v>
          </cell>
          <cell r="V133">
            <v>0</v>
          </cell>
          <cell r="W133">
            <v>163472</v>
          </cell>
          <cell r="X133">
            <v>0</v>
          </cell>
          <cell r="Y133"/>
          <cell r="Z133">
            <v>0</v>
          </cell>
          <cell r="AA133">
            <v>0</v>
          </cell>
          <cell r="AB133">
            <v>0</v>
          </cell>
          <cell r="AC133"/>
          <cell r="AD133">
            <v>0</v>
          </cell>
          <cell r="AE133">
            <v>0</v>
          </cell>
          <cell r="AF133">
            <v>0</v>
          </cell>
          <cell r="AG133">
            <v>0</v>
          </cell>
          <cell r="AH133">
            <v>0</v>
          </cell>
          <cell r="AI133">
            <v>0</v>
          </cell>
          <cell r="AJ133">
            <v>0</v>
          </cell>
          <cell r="AK133">
            <v>0</v>
          </cell>
          <cell r="AL133"/>
          <cell r="AM133">
            <v>0</v>
          </cell>
          <cell r="AN133">
            <v>0</v>
          </cell>
          <cell r="AO133">
            <v>0</v>
          </cell>
          <cell r="AP133">
            <v>0</v>
          </cell>
          <cell r="AQ133">
            <v>0</v>
          </cell>
          <cell r="AR133">
            <v>0</v>
          </cell>
          <cell r="AS133">
            <v>0</v>
          </cell>
          <cell r="AT133">
            <v>0</v>
          </cell>
          <cell r="AU133">
            <v>0</v>
          </cell>
          <cell r="AV133">
            <v>0</v>
          </cell>
          <cell r="AW133">
            <v>0</v>
          </cell>
          <cell r="AX133">
            <v>0</v>
          </cell>
          <cell r="AY133"/>
          <cell r="AZ133"/>
          <cell r="BA133">
            <v>0</v>
          </cell>
          <cell r="BB133"/>
          <cell r="BC133">
            <v>0</v>
          </cell>
          <cell r="BD133">
            <v>75846</v>
          </cell>
          <cell r="BE133"/>
          <cell r="BF133">
            <v>0</v>
          </cell>
          <cell r="BG133">
            <v>0</v>
          </cell>
          <cell r="BH133">
            <v>0</v>
          </cell>
          <cell r="BI133">
            <v>72013</v>
          </cell>
          <cell r="BJ133">
            <v>59277</v>
          </cell>
          <cell r="BK133">
            <v>59277</v>
          </cell>
          <cell r="BL133">
            <v>0</v>
          </cell>
          <cell r="BM133">
            <v>0</v>
          </cell>
          <cell r="BN133">
            <v>0</v>
          </cell>
          <cell r="BO133">
            <v>133767</v>
          </cell>
          <cell r="BP133">
            <v>79070</v>
          </cell>
          <cell r="BQ133">
            <v>142441.86046511601</v>
          </cell>
          <cell r="BR133">
            <v>0</v>
          </cell>
          <cell r="BS133">
            <v>0</v>
          </cell>
          <cell r="BT133">
            <v>74448</v>
          </cell>
          <cell r="BU133"/>
          <cell r="BV133"/>
          <cell r="BW133"/>
          <cell r="BX133"/>
          <cell r="BY133">
            <v>0</v>
          </cell>
          <cell r="BZ133">
            <v>0</v>
          </cell>
          <cell r="CA133">
            <v>0</v>
          </cell>
          <cell r="CB133">
            <v>0</v>
          </cell>
          <cell r="CC133">
            <v>3948348</v>
          </cell>
          <cell r="CD133">
            <v>21545508</v>
          </cell>
          <cell r="CE133">
            <v>1256137</v>
          </cell>
          <cell r="CF133">
            <v>-7572</v>
          </cell>
          <cell r="CG133">
            <v>1256137</v>
          </cell>
          <cell r="CH133">
            <v>1256137</v>
          </cell>
          <cell r="CI133">
            <v>1256137</v>
          </cell>
          <cell r="CJ133">
            <v>1256137</v>
          </cell>
          <cell r="CK133">
            <v>0</v>
          </cell>
          <cell r="CL133">
            <v>0</v>
          </cell>
          <cell r="CM133">
            <v>0</v>
          </cell>
          <cell r="CN133">
            <v>0</v>
          </cell>
          <cell r="CO133">
            <v>0</v>
          </cell>
          <cell r="CP133">
            <v>0</v>
          </cell>
          <cell r="CQ133">
            <v>4699489</v>
          </cell>
          <cell r="CR133">
            <v>4444220</v>
          </cell>
          <cell r="CS133">
            <v>4367579</v>
          </cell>
          <cell r="CT133">
            <v>4259233</v>
          </cell>
          <cell r="CU133">
            <v>4192426</v>
          </cell>
          <cell r="CV133">
            <v>50659</v>
          </cell>
          <cell r="CW133">
            <v>0</v>
          </cell>
          <cell r="CX133">
            <v>0</v>
          </cell>
          <cell r="CY133">
            <v>0</v>
          </cell>
          <cell r="CZ133">
            <v>0</v>
          </cell>
          <cell r="DA133">
            <v>0</v>
          </cell>
          <cell r="DB133"/>
          <cell r="DC133">
            <v>0</v>
          </cell>
          <cell r="DD133">
            <v>0</v>
          </cell>
          <cell r="DE133">
            <v>0</v>
          </cell>
          <cell r="DF133">
            <v>0</v>
          </cell>
          <cell r="DG133">
            <v>0</v>
          </cell>
          <cell r="DH133">
            <v>0</v>
          </cell>
          <cell r="DI133">
            <v>0</v>
          </cell>
          <cell r="DJ133">
            <v>0</v>
          </cell>
          <cell r="DK133">
            <v>0</v>
          </cell>
          <cell r="DL133">
            <v>0</v>
          </cell>
          <cell r="DM133"/>
          <cell r="DN133"/>
          <cell r="DO133"/>
          <cell r="DP133"/>
        </row>
        <row r="134">
          <cell r="A134">
            <v>301</v>
          </cell>
          <cell r="B134" t="str">
            <v>Zutphen</v>
          </cell>
          <cell r="C134">
            <v>5</v>
          </cell>
          <cell r="D134">
            <v>-36157</v>
          </cell>
          <cell r="E134">
            <v>-18079</v>
          </cell>
          <cell r="F134">
            <v>0</v>
          </cell>
          <cell r="G134">
            <v>144778</v>
          </cell>
          <cell r="H134">
            <v>0</v>
          </cell>
          <cell r="I134">
            <v>-5600</v>
          </cell>
          <cell r="J134"/>
          <cell r="K134">
            <v>0</v>
          </cell>
          <cell r="L134">
            <v>291080</v>
          </cell>
          <cell r="M134">
            <v>294830</v>
          </cell>
          <cell r="N134">
            <v>0</v>
          </cell>
          <cell r="O134">
            <v>0</v>
          </cell>
          <cell r="P134">
            <v>0</v>
          </cell>
          <cell r="Q134">
            <v>0</v>
          </cell>
          <cell r="R134">
            <v>0</v>
          </cell>
          <cell r="S134">
            <v>0</v>
          </cell>
          <cell r="T134">
            <v>0</v>
          </cell>
          <cell r="U134">
            <v>0</v>
          </cell>
          <cell r="V134">
            <v>3000</v>
          </cell>
          <cell r="W134">
            <v>191657</v>
          </cell>
          <cell r="X134">
            <v>0</v>
          </cell>
          <cell r="Y134"/>
          <cell r="Z134">
            <v>0</v>
          </cell>
          <cell r="AA134">
            <v>0</v>
          </cell>
          <cell r="AB134">
            <v>50000</v>
          </cell>
          <cell r="AC134"/>
          <cell r="AD134">
            <v>49867</v>
          </cell>
          <cell r="AE134">
            <v>0</v>
          </cell>
          <cell r="AF134">
            <v>0</v>
          </cell>
          <cell r="AG134">
            <v>0</v>
          </cell>
          <cell r="AH134">
            <v>0</v>
          </cell>
          <cell r="AI134">
            <v>148777</v>
          </cell>
          <cell r="AJ134">
            <v>0</v>
          </cell>
          <cell r="AK134">
            <v>0</v>
          </cell>
          <cell r="AL134"/>
          <cell r="AM134">
            <v>0</v>
          </cell>
          <cell r="AN134">
            <v>0</v>
          </cell>
          <cell r="AO134">
            <v>0</v>
          </cell>
          <cell r="AP134">
            <v>0</v>
          </cell>
          <cell r="AQ134">
            <v>0</v>
          </cell>
          <cell r="AR134">
            <v>0</v>
          </cell>
          <cell r="AS134">
            <v>0</v>
          </cell>
          <cell r="AT134">
            <v>0</v>
          </cell>
          <cell r="AU134">
            <v>2370</v>
          </cell>
          <cell r="AV134">
            <v>0</v>
          </cell>
          <cell r="AW134">
            <v>0</v>
          </cell>
          <cell r="AX134">
            <v>0</v>
          </cell>
          <cell r="AY134"/>
          <cell r="AZ134"/>
          <cell r="BA134">
            <v>0</v>
          </cell>
          <cell r="BB134"/>
          <cell r="BC134">
            <v>0</v>
          </cell>
          <cell r="BD134">
            <v>16618</v>
          </cell>
          <cell r="BE134"/>
          <cell r="BF134">
            <v>0</v>
          </cell>
          <cell r="BG134">
            <v>0</v>
          </cell>
          <cell r="BH134">
            <v>0</v>
          </cell>
          <cell r="BI134">
            <v>90705</v>
          </cell>
          <cell r="BJ134">
            <v>74664</v>
          </cell>
          <cell r="BK134">
            <v>74664</v>
          </cell>
          <cell r="BL134">
            <v>0</v>
          </cell>
          <cell r="BM134">
            <v>0</v>
          </cell>
          <cell r="BN134">
            <v>0</v>
          </cell>
          <cell r="BO134">
            <v>124039</v>
          </cell>
          <cell r="BP134">
            <v>28465.200000000001</v>
          </cell>
          <cell r="BQ134">
            <v>51279.069767441899</v>
          </cell>
          <cell r="BR134">
            <v>0</v>
          </cell>
          <cell r="BS134">
            <v>0</v>
          </cell>
          <cell r="BT134">
            <v>82255</v>
          </cell>
          <cell r="BU134"/>
          <cell r="BV134"/>
          <cell r="BW134"/>
          <cell r="BX134"/>
          <cell r="BY134">
            <v>0</v>
          </cell>
          <cell r="BZ134">
            <v>0</v>
          </cell>
          <cell r="CA134">
            <v>0</v>
          </cell>
          <cell r="CB134">
            <v>0</v>
          </cell>
          <cell r="CC134">
            <v>4363561</v>
          </cell>
          <cell r="CD134">
            <v>35998012</v>
          </cell>
          <cell r="CE134">
            <v>2725821</v>
          </cell>
          <cell r="CF134">
            <v>-13630</v>
          </cell>
          <cell r="CG134">
            <v>2725821</v>
          </cell>
          <cell r="CH134">
            <v>2725821</v>
          </cell>
          <cell r="CI134">
            <v>2725821</v>
          </cell>
          <cell r="CJ134">
            <v>2725821</v>
          </cell>
          <cell r="CK134">
            <v>0</v>
          </cell>
          <cell r="CL134">
            <v>0</v>
          </cell>
          <cell r="CM134">
            <v>0</v>
          </cell>
          <cell r="CN134">
            <v>0</v>
          </cell>
          <cell r="CO134">
            <v>0</v>
          </cell>
          <cell r="CP134">
            <v>0</v>
          </cell>
          <cell r="CQ134">
            <v>10460284</v>
          </cell>
          <cell r="CR134">
            <v>9990639</v>
          </cell>
          <cell r="CS134">
            <v>9801731</v>
          </cell>
          <cell r="CT134">
            <v>9654619</v>
          </cell>
          <cell r="CU134">
            <v>9571072</v>
          </cell>
          <cell r="CV134">
            <v>-14870</v>
          </cell>
          <cell r="CW134">
            <v>0</v>
          </cell>
          <cell r="CX134">
            <v>0</v>
          </cell>
          <cell r="CY134">
            <v>0</v>
          </cell>
          <cell r="CZ134">
            <v>0</v>
          </cell>
          <cell r="DA134">
            <v>0</v>
          </cell>
          <cell r="DB134"/>
          <cell r="DC134">
            <v>0</v>
          </cell>
          <cell r="DD134">
            <v>0</v>
          </cell>
          <cell r="DE134">
            <v>0</v>
          </cell>
          <cell r="DF134">
            <v>0</v>
          </cell>
          <cell r="DG134">
            <v>0</v>
          </cell>
          <cell r="DH134">
            <v>0</v>
          </cell>
          <cell r="DI134">
            <v>0</v>
          </cell>
          <cell r="DJ134">
            <v>0</v>
          </cell>
          <cell r="DK134">
            <v>0</v>
          </cell>
          <cell r="DL134">
            <v>0</v>
          </cell>
          <cell r="DM134"/>
          <cell r="DN134"/>
          <cell r="DO134"/>
          <cell r="DP134"/>
        </row>
        <row r="135">
          <cell r="A135">
            <v>307</v>
          </cell>
          <cell r="B135" t="str">
            <v>Amersfoort</v>
          </cell>
          <cell r="C135">
            <v>6</v>
          </cell>
          <cell r="D135">
            <v>441166</v>
          </cell>
          <cell r="E135">
            <v>220583</v>
          </cell>
          <cell r="F135">
            <v>0</v>
          </cell>
          <cell r="G135">
            <v>131823</v>
          </cell>
          <cell r="H135">
            <v>0</v>
          </cell>
          <cell r="I135">
            <v>-32805</v>
          </cell>
          <cell r="J135"/>
          <cell r="K135">
            <v>0</v>
          </cell>
          <cell r="L135">
            <v>733272</v>
          </cell>
          <cell r="M135">
            <v>737455</v>
          </cell>
          <cell r="N135">
            <v>0</v>
          </cell>
          <cell r="O135">
            <v>0</v>
          </cell>
          <cell r="P135">
            <v>150000</v>
          </cell>
          <cell r="Q135">
            <v>0</v>
          </cell>
          <cell r="R135">
            <v>0</v>
          </cell>
          <cell r="S135">
            <v>785097</v>
          </cell>
          <cell r="T135">
            <v>785097</v>
          </cell>
          <cell r="U135">
            <v>785097</v>
          </cell>
          <cell r="V135">
            <v>8250</v>
          </cell>
          <cell r="W135">
            <v>615790</v>
          </cell>
          <cell r="X135">
            <v>0</v>
          </cell>
          <cell r="Y135"/>
          <cell r="Z135">
            <v>0</v>
          </cell>
          <cell r="AA135">
            <v>0</v>
          </cell>
          <cell r="AB135">
            <v>0</v>
          </cell>
          <cell r="AC135"/>
          <cell r="AD135">
            <v>184804</v>
          </cell>
          <cell r="AE135">
            <v>0</v>
          </cell>
          <cell r="AF135">
            <v>0</v>
          </cell>
          <cell r="AG135">
            <v>0</v>
          </cell>
          <cell r="AH135">
            <v>0</v>
          </cell>
          <cell r="AI135">
            <v>297554</v>
          </cell>
          <cell r="AJ135">
            <v>0</v>
          </cell>
          <cell r="AK135">
            <v>128380</v>
          </cell>
          <cell r="AL135"/>
          <cell r="AM135">
            <v>0</v>
          </cell>
          <cell r="AN135">
            <v>0</v>
          </cell>
          <cell r="AO135">
            <v>0</v>
          </cell>
          <cell r="AP135">
            <v>0</v>
          </cell>
          <cell r="AQ135">
            <v>0</v>
          </cell>
          <cell r="AR135">
            <v>0</v>
          </cell>
          <cell r="AS135">
            <v>0</v>
          </cell>
          <cell r="AT135">
            <v>20000</v>
          </cell>
          <cell r="AU135">
            <v>28440</v>
          </cell>
          <cell r="AV135">
            <v>5720780.8784744497</v>
          </cell>
          <cell r="AW135">
            <v>0</v>
          </cell>
          <cell r="AX135">
            <v>0</v>
          </cell>
          <cell r="AY135"/>
          <cell r="AZ135"/>
          <cell r="BA135">
            <v>0</v>
          </cell>
          <cell r="BB135"/>
          <cell r="BC135">
            <v>0</v>
          </cell>
          <cell r="BD135">
            <v>54178</v>
          </cell>
          <cell r="BE135"/>
          <cell r="BF135">
            <v>0</v>
          </cell>
          <cell r="BG135">
            <v>0</v>
          </cell>
          <cell r="BH135">
            <v>0</v>
          </cell>
          <cell r="BI135">
            <v>207151</v>
          </cell>
          <cell r="BJ135">
            <v>170516</v>
          </cell>
          <cell r="BK135">
            <v>170516</v>
          </cell>
          <cell r="BL135">
            <v>0</v>
          </cell>
          <cell r="BM135">
            <v>0</v>
          </cell>
          <cell r="BN135">
            <v>0</v>
          </cell>
          <cell r="BO135">
            <v>171709</v>
          </cell>
          <cell r="BP135">
            <v>107535.2</v>
          </cell>
          <cell r="BQ135">
            <v>193720.93023255799</v>
          </cell>
          <cell r="BR135">
            <v>135000</v>
          </cell>
          <cell r="BS135">
            <v>0</v>
          </cell>
          <cell r="BT135">
            <v>263177</v>
          </cell>
          <cell r="BU135"/>
          <cell r="BV135"/>
          <cell r="BW135"/>
          <cell r="BX135"/>
          <cell r="BY135">
            <v>2632658.1269432399</v>
          </cell>
          <cell r="BZ135">
            <v>3051865.66435656</v>
          </cell>
          <cell r="CA135">
            <v>3087677.36353258</v>
          </cell>
          <cell r="CB135">
            <v>3188792.7494413201</v>
          </cell>
          <cell r="CC135">
            <v>8969231</v>
          </cell>
          <cell r="CD135">
            <v>109878892</v>
          </cell>
          <cell r="CE135">
            <v>5395814</v>
          </cell>
          <cell r="CF135">
            <v>-78496</v>
          </cell>
          <cell r="CG135">
            <v>5395814</v>
          </cell>
          <cell r="CH135">
            <v>5395814</v>
          </cell>
          <cell r="CI135">
            <v>5395814</v>
          </cell>
          <cell r="CJ135">
            <v>5395814</v>
          </cell>
          <cell r="CK135">
            <v>34252083</v>
          </cell>
          <cell r="CL135">
            <v>34235796</v>
          </cell>
          <cell r="CM135">
            <v>34235532</v>
          </cell>
          <cell r="CN135">
            <v>34234953</v>
          </cell>
          <cell r="CO135">
            <v>34235756</v>
          </cell>
          <cell r="CP135">
            <v>0</v>
          </cell>
          <cell r="CQ135">
            <v>18076822</v>
          </cell>
          <cell r="CR135">
            <v>17154539</v>
          </cell>
          <cell r="CS135">
            <v>16591842</v>
          </cell>
          <cell r="CT135">
            <v>16203834</v>
          </cell>
          <cell r="CU135">
            <v>15878441</v>
          </cell>
          <cell r="CV135">
            <v>-196189</v>
          </cell>
          <cell r="CW135">
            <v>0</v>
          </cell>
          <cell r="CX135">
            <v>0</v>
          </cell>
          <cell r="CY135">
            <v>0</v>
          </cell>
          <cell r="CZ135">
            <v>0</v>
          </cell>
          <cell r="DA135">
            <v>0</v>
          </cell>
          <cell r="DB135"/>
          <cell r="DC135">
            <v>80000</v>
          </cell>
          <cell r="DD135">
            <v>0</v>
          </cell>
          <cell r="DE135">
            <v>0</v>
          </cell>
          <cell r="DF135">
            <v>0</v>
          </cell>
          <cell r="DG135">
            <v>0</v>
          </cell>
          <cell r="DH135">
            <v>0</v>
          </cell>
          <cell r="DI135">
            <v>0</v>
          </cell>
          <cell r="DJ135">
            <v>0</v>
          </cell>
          <cell r="DK135">
            <v>0</v>
          </cell>
          <cell r="DL135">
            <v>0</v>
          </cell>
          <cell r="DM135"/>
          <cell r="DN135"/>
          <cell r="DO135"/>
          <cell r="DP135"/>
        </row>
        <row r="136">
          <cell r="A136">
            <v>308</v>
          </cell>
          <cell r="B136" t="str">
            <v>Baarn</v>
          </cell>
          <cell r="C136">
            <v>6</v>
          </cell>
          <cell r="D136">
            <v>-53646</v>
          </cell>
          <cell r="E136">
            <v>-26823</v>
          </cell>
          <cell r="F136">
            <v>0</v>
          </cell>
          <cell r="G136">
            <v>0</v>
          </cell>
          <cell r="H136">
            <v>-46226</v>
          </cell>
          <cell r="I136">
            <v>-43475</v>
          </cell>
          <cell r="J136"/>
          <cell r="K136">
            <v>0</v>
          </cell>
          <cell r="L136">
            <v>86031</v>
          </cell>
          <cell r="M136">
            <v>85421</v>
          </cell>
          <cell r="N136">
            <v>0</v>
          </cell>
          <cell r="O136">
            <v>0</v>
          </cell>
          <cell r="P136">
            <v>0</v>
          </cell>
          <cell r="Q136">
            <v>0</v>
          </cell>
          <cell r="R136">
            <v>0</v>
          </cell>
          <cell r="S136">
            <v>0</v>
          </cell>
          <cell r="T136">
            <v>0</v>
          </cell>
          <cell r="U136">
            <v>0</v>
          </cell>
          <cell r="V136">
            <v>0</v>
          </cell>
          <cell r="W136">
            <v>80814</v>
          </cell>
          <cell r="X136">
            <v>0</v>
          </cell>
          <cell r="Y136"/>
          <cell r="Z136">
            <v>0</v>
          </cell>
          <cell r="AA136">
            <v>0</v>
          </cell>
          <cell r="AB136">
            <v>0</v>
          </cell>
          <cell r="AC136"/>
          <cell r="AD136">
            <v>0</v>
          </cell>
          <cell r="AE136">
            <v>0</v>
          </cell>
          <cell r="AF136">
            <v>0</v>
          </cell>
          <cell r="AG136">
            <v>0</v>
          </cell>
          <cell r="AH136">
            <v>0</v>
          </cell>
          <cell r="AI136">
            <v>0</v>
          </cell>
          <cell r="AJ136">
            <v>0</v>
          </cell>
          <cell r="AK136">
            <v>0</v>
          </cell>
          <cell r="AL136"/>
          <cell r="AM136">
            <v>0</v>
          </cell>
          <cell r="AN136">
            <v>0</v>
          </cell>
          <cell r="AO136">
            <v>0</v>
          </cell>
          <cell r="AP136">
            <v>0</v>
          </cell>
          <cell r="AQ136">
            <v>0</v>
          </cell>
          <cell r="AR136">
            <v>0</v>
          </cell>
          <cell r="AS136">
            <v>0</v>
          </cell>
          <cell r="AT136">
            <v>0</v>
          </cell>
          <cell r="AU136">
            <v>4740</v>
          </cell>
          <cell r="AV136">
            <v>0</v>
          </cell>
          <cell r="AW136">
            <v>0</v>
          </cell>
          <cell r="AX136">
            <v>0</v>
          </cell>
          <cell r="AY136"/>
          <cell r="AZ136"/>
          <cell r="BA136">
            <v>0</v>
          </cell>
          <cell r="BB136"/>
          <cell r="BC136">
            <v>0</v>
          </cell>
          <cell r="BD136">
            <v>8611</v>
          </cell>
          <cell r="BE136"/>
          <cell r="BF136">
            <v>0</v>
          </cell>
          <cell r="BG136">
            <v>0</v>
          </cell>
          <cell r="BH136">
            <v>0</v>
          </cell>
          <cell r="BI136">
            <v>34142</v>
          </cell>
          <cell r="BJ136">
            <v>28104</v>
          </cell>
          <cell r="BK136">
            <v>28104</v>
          </cell>
          <cell r="BL136">
            <v>0</v>
          </cell>
          <cell r="BM136">
            <v>0</v>
          </cell>
          <cell r="BN136">
            <v>0</v>
          </cell>
          <cell r="BO136">
            <v>45238</v>
          </cell>
          <cell r="BP136">
            <v>14232.6</v>
          </cell>
          <cell r="BQ136">
            <v>25639.534883720899</v>
          </cell>
          <cell r="BR136">
            <v>0</v>
          </cell>
          <cell r="BS136">
            <v>0</v>
          </cell>
          <cell r="BT136">
            <v>37599</v>
          </cell>
          <cell r="BU136"/>
          <cell r="BV136"/>
          <cell r="BW136"/>
          <cell r="BX136"/>
          <cell r="BY136">
            <v>0</v>
          </cell>
          <cell r="BZ136">
            <v>0</v>
          </cell>
          <cell r="CA136">
            <v>0</v>
          </cell>
          <cell r="CB136">
            <v>0</v>
          </cell>
          <cell r="CC136">
            <v>2144870</v>
          </cell>
          <cell r="CD136">
            <v>9816468</v>
          </cell>
          <cell r="CE136">
            <v>927946</v>
          </cell>
          <cell r="CF136">
            <v>-75889</v>
          </cell>
          <cell r="CG136">
            <v>927946</v>
          </cell>
          <cell r="CH136">
            <v>927946</v>
          </cell>
          <cell r="CI136">
            <v>927946</v>
          </cell>
          <cell r="CJ136">
            <v>927946</v>
          </cell>
          <cell r="CK136">
            <v>0</v>
          </cell>
          <cell r="CL136">
            <v>0</v>
          </cell>
          <cell r="CM136">
            <v>0</v>
          </cell>
          <cell r="CN136">
            <v>0</v>
          </cell>
          <cell r="CO136">
            <v>0</v>
          </cell>
          <cell r="CP136">
            <v>-4308</v>
          </cell>
          <cell r="CQ136">
            <v>982163</v>
          </cell>
          <cell r="CR136">
            <v>936934</v>
          </cell>
          <cell r="CS136">
            <v>917362</v>
          </cell>
          <cell r="CT136">
            <v>902328</v>
          </cell>
          <cell r="CU136">
            <v>878485</v>
          </cell>
          <cell r="CV136">
            <v>-10530</v>
          </cell>
          <cell r="CW136">
            <v>0</v>
          </cell>
          <cell r="CX136">
            <v>0</v>
          </cell>
          <cell r="CY136">
            <v>0</v>
          </cell>
          <cell r="CZ136">
            <v>0</v>
          </cell>
          <cell r="DA136">
            <v>0</v>
          </cell>
          <cell r="DB136"/>
          <cell r="DC136">
            <v>0</v>
          </cell>
          <cell r="DD136">
            <v>0</v>
          </cell>
          <cell r="DE136">
            <v>0</v>
          </cell>
          <cell r="DF136">
            <v>0</v>
          </cell>
          <cell r="DG136">
            <v>0</v>
          </cell>
          <cell r="DH136">
            <v>0</v>
          </cell>
          <cell r="DI136">
            <v>0</v>
          </cell>
          <cell r="DJ136">
            <v>0</v>
          </cell>
          <cell r="DK136">
            <v>0</v>
          </cell>
          <cell r="DL136">
            <v>0</v>
          </cell>
          <cell r="DM136"/>
          <cell r="DN136"/>
          <cell r="DO136"/>
          <cell r="DP136"/>
        </row>
        <row r="137">
          <cell r="A137">
            <v>312</v>
          </cell>
          <cell r="B137" t="str">
            <v>Bunnik</v>
          </cell>
          <cell r="C137">
            <v>6</v>
          </cell>
          <cell r="D137">
            <v>72293</v>
          </cell>
          <cell r="E137">
            <v>36147</v>
          </cell>
          <cell r="F137">
            <v>0</v>
          </cell>
          <cell r="G137">
            <v>0</v>
          </cell>
          <cell r="H137">
            <v>-8149</v>
          </cell>
          <cell r="I137">
            <v>-5958</v>
          </cell>
          <cell r="J137"/>
          <cell r="K137">
            <v>0</v>
          </cell>
          <cell r="L137">
            <v>28989</v>
          </cell>
          <cell r="M137">
            <v>27307</v>
          </cell>
          <cell r="N137">
            <v>0</v>
          </cell>
          <cell r="O137">
            <v>0</v>
          </cell>
          <cell r="P137">
            <v>0</v>
          </cell>
          <cell r="Q137">
            <v>0</v>
          </cell>
          <cell r="R137">
            <v>0</v>
          </cell>
          <cell r="S137">
            <v>0</v>
          </cell>
          <cell r="T137">
            <v>0</v>
          </cell>
          <cell r="U137">
            <v>0</v>
          </cell>
          <cell r="V137">
            <v>0</v>
          </cell>
          <cell r="W137">
            <v>44448</v>
          </cell>
          <cell r="X137">
            <v>0</v>
          </cell>
          <cell r="Y137"/>
          <cell r="Z137">
            <v>0</v>
          </cell>
          <cell r="AA137">
            <v>0</v>
          </cell>
          <cell r="AB137">
            <v>0</v>
          </cell>
          <cell r="AC137"/>
          <cell r="AD137">
            <v>0</v>
          </cell>
          <cell r="AE137">
            <v>0</v>
          </cell>
          <cell r="AF137">
            <v>0</v>
          </cell>
          <cell r="AG137">
            <v>0</v>
          </cell>
          <cell r="AH137">
            <v>0</v>
          </cell>
          <cell r="AI137">
            <v>0</v>
          </cell>
          <cell r="AJ137">
            <v>0</v>
          </cell>
          <cell r="AK137">
            <v>0</v>
          </cell>
          <cell r="AL137"/>
          <cell r="AM137">
            <v>0</v>
          </cell>
          <cell r="AN137">
            <v>0</v>
          </cell>
          <cell r="AO137">
            <v>0</v>
          </cell>
          <cell r="AP137">
            <v>0</v>
          </cell>
          <cell r="AQ137">
            <v>0</v>
          </cell>
          <cell r="AR137">
            <v>0</v>
          </cell>
          <cell r="AS137">
            <v>0</v>
          </cell>
          <cell r="AT137">
            <v>0</v>
          </cell>
          <cell r="AU137">
            <v>2370</v>
          </cell>
          <cell r="AV137">
            <v>0</v>
          </cell>
          <cell r="AW137">
            <v>0</v>
          </cell>
          <cell r="AX137">
            <v>0</v>
          </cell>
          <cell r="AY137"/>
          <cell r="AZ137"/>
          <cell r="BA137">
            <v>0</v>
          </cell>
          <cell r="BB137"/>
          <cell r="BC137">
            <v>0</v>
          </cell>
          <cell r="BD137">
            <v>5320</v>
          </cell>
          <cell r="BE137"/>
          <cell r="BF137">
            <v>0</v>
          </cell>
          <cell r="BG137">
            <v>0</v>
          </cell>
          <cell r="BH137">
            <v>0</v>
          </cell>
          <cell r="BI137">
            <v>10123</v>
          </cell>
          <cell r="BJ137">
            <v>8333</v>
          </cell>
          <cell r="BK137">
            <v>8333</v>
          </cell>
          <cell r="BL137">
            <v>0</v>
          </cell>
          <cell r="BM137">
            <v>0</v>
          </cell>
          <cell r="BN137">
            <v>0</v>
          </cell>
          <cell r="BO137">
            <v>35509</v>
          </cell>
          <cell r="BP137">
            <v>1581.4</v>
          </cell>
          <cell r="BQ137">
            <v>2848.8372093023299</v>
          </cell>
          <cell r="BR137">
            <v>0</v>
          </cell>
          <cell r="BS137">
            <v>0</v>
          </cell>
          <cell r="BT137">
            <v>22723</v>
          </cell>
          <cell r="BU137"/>
          <cell r="BV137"/>
          <cell r="BW137"/>
          <cell r="BX137"/>
          <cell r="BY137">
            <v>0</v>
          </cell>
          <cell r="BZ137">
            <v>0</v>
          </cell>
          <cell r="CA137">
            <v>0</v>
          </cell>
          <cell r="CB137">
            <v>0</v>
          </cell>
          <cell r="CC137">
            <v>904421</v>
          </cell>
          <cell r="CD137">
            <v>3902079</v>
          </cell>
          <cell r="CE137">
            <v>701371</v>
          </cell>
          <cell r="CF137">
            <v>-14371</v>
          </cell>
          <cell r="CG137">
            <v>701371</v>
          </cell>
          <cell r="CH137">
            <v>701371</v>
          </cell>
          <cell r="CI137">
            <v>701371</v>
          </cell>
          <cell r="CJ137">
            <v>701371</v>
          </cell>
          <cell r="CK137">
            <v>0</v>
          </cell>
          <cell r="CL137">
            <v>0</v>
          </cell>
          <cell r="CM137">
            <v>0</v>
          </cell>
          <cell r="CN137">
            <v>0</v>
          </cell>
          <cell r="CO137">
            <v>0</v>
          </cell>
          <cell r="CP137">
            <v>0</v>
          </cell>
          <cell r="CQ137">
            <v>409500</v>
          </cell>
          <cell r="CR137">
            <v>400240</v>
          </cell>
          <cell r="CS137">
            <v>399695</v>
          </cell>
          <cell r="CT137">
            <v>396161</v>
          </cell>
          <cell r="CU137">
            <v>384553</v>
          </cell>
          <cell r="CV137">
            <v>-14301</v>
          </cell>
          <cell r="CW137">
            <v>0</v>
          </cell>
          <cell r="CX137">
            <v>0</v>
          </cell>
          <cell r="CY137">
            <v>0</v>
          </cell>
          <cell r="CZ137">
            <v>0</v>
          </cell>
          <cell r="DA137">
            <v>0</v>
          </cell>
          <cell r="DB137"/>
          <cell r="DC137">
            <v>0</v>
          </cell>
          <cell r="DD137">
            <v>0</v>
          </cell>
          <cell r="DE137">
            <v>0</v>
          </cell>
          <cell r="DF137">
            <v>0</v>
          </cell>
          <cell r="DG137">
            <v>0</v>
          </cell>
          <cell r="DH137">
            <v>0</v>
          </cell>
          <cell r="DI137">
            <v>0</v>
          </cell>
          <cell r="DJ137">
            <v>0</v>
          </cell>
          <cell r="DK137">
            <v>0</v>
          </cell>
          <cell r="DL137">
            <v>0</v>
          </cell>
          <cell r="DM137"/>
          <cell r="DN137"/>
          <cell r="DO137"/>
          <cell r="DP137"/>
        </row>
        <row r="138">
          <cell r="A138">
            <v>313</v>
          </cell>
          <cell r="B138" t="str">
            <v>Bunschoten</v>
          </cell>
          <cell r="C138">
            <v>6</v>
          </cell>
          <cell r="D138">
            <v>-34698</v>
          </cell>
          <cell r="E138">
            <v>-17349</v>
          </cell>
          <cell r="F138">
            <v>0</v>
          </cell>
          <cell r="G138">
            <v>0</v>
          </cell>
          <cell r="H138">
            <v>-30185</v>
          </cell>
          <cell r="I138">
            <v>-25172</v>
          </cell>
          <cell r="J138"/>
          <cell r="K138">
            <v>0</v>
          </cell>
          <cell r="L138">
            <v>54595</v>
          </cell>
          <cell r="M138">
            <v>60661</v>
          </cell>
          <cell r="N138">
            <v>0</v>
          </cell>
          <cell r="O138">
            <v>0</v>
          </cell>
          <cell r="P138">
            <v>0</v>
          </cell>
          <cell r="Q138">
            <v>0</v>
          </cell>
          <cell r="R138">
            <v>0</v>
          </cell>
          <cell r="S138">
            <v>0</v>
          </cell>
          <cell r="T138">
            <v>0</v>
          </cell>
          <cell r="U138">
            <v>0</v>
          </cell>
          <cell r="V138">
            <v>0</v>
          </cell>
          <cell r="W138">
            <v>41417</v>
          </cell>
          <cell r="X138">
            <v>0</v>
          </cell>
          <cell r="Y138"/>
          <cell r="Z138">
            <v>0</v>
          </cell>
          <cell r="AA138">
            <v>0</v>
          </cell>
          <cell r="AB138">
            <v>0</v>
          </cell>
          <cell r="AC138"/>
          <cell r="AD138">
            <v>0</v>
          </cell>
          <cell r="AE138">
            <v>0</v>
          </cell>
          <cell r="AF138">
            <v>0</v>
          </cell>
          <cell r="AG138">
            <v>0</v>
          </cell>
          <cell r="AH138">
            <v>0</v>
          </cell>
          <cell r="AI138">
            <v>0</v>
          </cell>
          <cell r="AJ138">
            <v>0</v>
          </cell>
          <cell r="AK138">
            <v>0</v>
          </cell>
          <cell r="AL138"/>
          <cell r="AM138">
            <v>0</v>
          </cell>
          <cell r="AN138">
            <v>0</v>
          </cell>
          <cell r="AO138">
            <v>0</v>
          </cell>
          <cell r="AP138">
            <v>0</v>
          </cell>
          <cell r="AQ138">
            <v>0</v>
          </cell>
          <cell r="AR138">
            <v>0</v>
          </cell>
          <cell r="AS138">
            <v>0</v>
          </cell>
          <cell r="AT138">
            <v>0</v>
          </cell>
          <cell r="AU138">
            <v>0</v>
          </cell>
          <cell r="AV138">
            <v>0</v>
          </cell>
          <cell r="AW138">
            <v>0</v>
          </cell>
          <cell r="AX138">
            <v>0</v>
          </cell>
          <cell r="AY138"/>
          <cell r="AZ138"/>
          <cell r="BA138">
            <v>0</v>
          </cell>
          <cell r="BB138"/>
          <cell r="BC138">
            <v>0</v>
          </cell>
          <cell r="BD138">
            <v>7379</v>
          </cell>
          <cell r="BE138"/>
          <cell r="BF138">
            <v>0</v>
          </cell>
          <cell r="BG138">
            <v>0</v>
          </cell>
          <cell r="BH138">
            <v>0</v>
          </cell>
          <cell r="BI138">
            <v>19191</v>
          </cell>
          <cell r="BJ138">
            <v>15797</v>
          </cell>
          <cell r="BK138">
            <v>15797</v>
          </cell>
          <cell r="BL138">
            <v>0</v>
          </cell>
          <cell r="BM138">
            <v>0</v>
          </cell>
          <cell r="BN138">
            <v>0</v>
          </cell>
          <cell r="BO138">
            <v>52048</v>
          </cell>
          <cell r="BP138">
            <v>9488.4</v>
          </cell>
          <cell r="BQ138">
            <v>17093.023255814001</v>
          </cell>
          <cell r="BR138">
            <v>0</v>
          </cell>
          <cell r="BS138">
            <v>0</v>
          </cell>
          <cell r="BT138">
            <v>32565</v>
          </cell>
          <cell r="BU138"/>
          <cell r="BV138"/>
          <cell r="BW138"/>
          <cell r="BX138"/>
          <cell r="BY138">
            <v>0</v>
          </cell>
          <cell r="BZ138">
            <v>0</v>
          </cell>
          <cell r="CA138">
            <v>0</v>
          </cell>
          <cell r="CB138">
            <v>0</v>
          </cell>
          <cell r="CC138">
            <v>1067422</v>
          </cell>
          <cell r="CD138">
            <v>6505266</v>
          </cell>
          <cell r="CE138">
            <v>479025</v>
          </cell>
          <cell r="CF138">
            <v>-60406</v>
          </cell>
          <cell r="CG138">
            <v>479025</v>
          </cell>
          <cell r="CH138">
            <v>479025</v>
          </cell>
          <cell r="CI138">
            <v>479025</v>
          </cell>
          <cell r="CJ138">
            <v>479025</v>
          </cell>
          <cell r="CK138">
            <v>0</v>
          </cell>
          <cell r="CL138">
            <v>0</v>
          </cell>
          <cell r="CM138">
            <v>0</v>
          </cell>
          <cell r="CN138">
            <v>0</v>
          </cell>
          <cell r="CO138">
            <v>0</v>
          </cell>
          <cell r="CP138">
            <v>0</v>
          </cell>
          <cell r="CQ138">
            <v>974098</v>
          </cell>
          <cell r="CR138">
            <v>946008</v>
          </cell>
          <cell r="CS138">
            <v>929503</v>
          </cell>
          <cell r="CT138">
            <v>929362</v>
          </cell>
          <cell r="CU138">
            <v>897322</v>
          </cell>
          <cell r="CV138">
            <v>5168</v>
          </cell>
          <cell r="CW138">
            <v>0</v>
          </cell>
          <cell r="CX138">
            <v>0</v>
          </cell>
          <cell r="CY138">
            <v>0</v>
          </cell>
          <cell r="CZ138">
            <v>0</v>
          </cell>
          <cell r="DA138">
            <v>0</v>
          </cell>
          <cell r="DB138"/>
          <cell r="DC138">
            <v>0</v>
          </cell>
          <cell r="DD138">
            <v>0</v>
          </cell>
          <cell r="DE138">
            <v>0</v>
          </cell>
          <cell r="DF138">
            <v>0</v>
          </cell>
          <cell r="DG138">
            <v>0</v>
          </cell>
          <cell r="DH138">
            <v>0</v>
          </cell>
          <cell r="DI138">
            <v>0</v>
          </cell>
          <cell r="DJ138">
            <v>0</v>
          </cell>
          <cell r="DK138">
            <v>0</v>
          </cell>
          <cell r="DL138">
            <v>0</v>
          </cell>
          <cell r="DM138"/>
          <cell r="DN138"/>
          <cell r="DO138"/>
          <cell r="DP138"/>
        </row>
        <row r="139">
          <cell r="A139">
            <v>310</v>
          </cell>
          <cell r="B139" t="str">
            <v>De Bilt</v>
          </cell>
          <cell r="C139">
            <v>6</v>
          </cell>
          <cell r="D139">
            <v>3971</v>
          </cell>
          <cell r="E139">
            <v>1985</v>
          </cell>
          <cell r="F139">
            <v>0</v>
          </cell>
          <cell r="G139">
            <v>0</v>
          </cell>
          <cell r="H139">
            <v>0</v>
          </cell>
          <cell r="I139">
            <v>-11203</v>
          </cell>
          <cell r="J139"/>
          <cell r="K139">
            <v>0</v>
          </cell>
          <cell r="L139">
            <v>159129</v>
          </cell>
          <cell r="M139">
            <v>151510</v>
          </cell>
          <cell r="N139">
            <v>0</v>
          </cell>
          <cell r="O139">
            <v>0</v>
          </cell>
          <cell r="P139">
            <v>0</v>
          </cell>
          <cell r="Q139">
            <v>0</v>
          </cell>
          <cell r="R139">
            <v>0</v>
          </cell>
          <cell r="S139">
            <v>0</v>
          </cell>
          <cell r="T139">
            <v>0</v>
          </cell>
          <cell r="U139">
            <v>0</v>
          </cell>
          <cell r="V139">
            <v>3000</v>
          </cell>
          <cell r="W139">
            <v>125060</v>
          </cell>
          <cell r="X139">
            <v>0</v>
          </cell>
          <cell r="Y139"/>
          <cell r="Z139">
            <v>0</v>
          </cell>
          <cell r="AA139">
            <v>0</v>
          </cell>
          <cell r="AB139">
            <v>0</v>
          </cell>
          <cell r="AC139"/>
          <cell r="AD139">
            <v>0</v>
          </cell>
          <cell r="AE139">
            <v>0</v>
          </cell>
          <cell r="AF139">
            <v>0</v>
          </cell>
          <cell r="AG139">
            <v>0</v>
          </cell>
          <cell r="AH139">
            <v>0</v>
          </cell>
          <cell r="AI139">
            <v>0</v>
          </cell>
          <cell r="AJ139">
            <v>0</v>
          </cell>
          <cell r="AK139">
            <v>0</v>
          </cell>
          <cell r="AL139"/>
          <cell r="AM139">
            <v>0</v>
          </cell>
          <cell r="AN139">
            <v>0</v>
          </cell>
          <cell r="AO139">
            <v>0</v>
          </cell>
          <cell r="AP139">
            <v>0</v>
          </cell>
          <cell r="AQ139">
            <v>0</v>
          </cell>
          <cell r="AR139">
            <v>0</v>
          </cell>
          <cell r="AS139">
            <v>0</v>
          </cell>
          <cell r="AT139">
            <v>0</v>
          </cell>
          <cell r="AU139">
            <v>4740</v>
          </cell>
          <cell r="AV139">
            <v>0</v>
          </cell>
          <cell r="AW139">
            <v>0</v>
          </cell>
          <cell r="AX139">
            <v>0</v>
          </cell>
          <cell r="AY139"/>
          <cell r="AZ139"/>
          <cell r="BA139">
            <v>0</v>
          </cell>
          <cell r="BB139"/>
          <cell r="BC139">
            <v>0</v>
          </cell>
          <cell r="BD139">
            <v>15008</v>
          </cell>
          <cell r="BE139"/>
          <cell r="BF139">
            <v>0</v>
          </cell>
          <cell r="BG139">
            <v>0</v>
          </cell>
          <cell r="BH139">
            <v>0</v>
          </cell>
          <cell r="BI139">
            <v>50741</v>
          </cell>
          <cell r="BJ139">
            <v>41768</v>
          </cell>
          <cell r="BK139">
            <v>41768</v>
          </cell>
          <cell r="BL139">
            <v>0</v>
          </cell>
          <cell r="BM139">
            <v>0</v>
          </cell>
          <cell r="BN139">
            <v>0</v>
          </cell>
          <cell r="BO139">
            <v>35509</v>
          </cell>
          <cell r="BP139">
            <v>33209.4</v>
          </cell>
          <cell r="BQ139">
            <v>59825.581395348803</v>
          </cell>
          <cell r="BR139">
            <v>0</v>
          </cell>
          <cell r="BS139">
            <v>0</v>
          </cell>
          <cell r="BT139">
            <v>68497</v>
          </cell>
          <cell r="BU139"/>
          <cell r="BV139"/>
          <cell r="BW139"/>
          <cell r="BX139"/>
          <cell r="BY139">
            <v>0</v>
          </cell>
          <cell r="BZ139">
            <v>0</v>
          </cell>
          <cell r="CA139">
            <v>0</v>
          </cell>
          <cell r="CB139">
            <v>0</v>
          </cell>
          <cell r="CC139">
            <v>2951730</v>
          </cell>
          <cell r="CD139">
            <v>12406413</v>
          </cell>
          <cell r="CE139">
            <v>948696</v>
          </cell>
          <cell r="CF139">
            <v>0</v>
          </cell>
          <cell r="CG139">
            <v>948696</v>
          </cell>
          <cell r="CH139">
            <v>948696</v>
          </cell>
          <cell r="CI139">
            <v>948696</v>
          </cell>
          <cell r="CJ139">
            <v>948696</v>
          </cell>
          <cell r="CK139">
            <v>0</v>
          </cell>
          <cell r="CL139">
            <v>0</v>
          </cell>
          <cell r="CM139">
            <v>0</v>
          </cell>
          <cell r="CN139">
            <v>0</v>
          </cell>
          <cell r="CO139">
            <v>0</v>
          </cell>
          <cell r="CP139">
            <v>-4034</v>
          </cell>
          <cell r="CQ139">
            <v>1172685</v>
          </cell>
          <cell r="CR139">
            <v>1123254</v>
          </cell>
          <cell r="CS139">
            <v>1087343</v>
          </cell>
          <cell r="CT139">
            <v>1050440</v>
          </cell>
          <cell r="CU139">
            <v>1023242</v>
          </cell>
          <cell r="CV139">
            <v>-28429</v>
          </cell>
          <cell r="CW139">
            <v>0</v>
          </cell>
          <cell r="CX139">
            <v>0</v>
          </cell>
          <cell r="CY139">
            <v>0</v>
          </cell>
          <cell r="CZ139">
            <v>0</v>
          </cell>
          <cell r="DA139">
            <v>0</v>
          </cell>
          <cell r="DB139"/>
          <cell r="DC139">
            <v>0</v>
          </cell>
          <cell r="DD139">
            <v>0</v>
          </cell>
          <cell r="DE139">
            <v>0</v>
          </cell>
          <cell r="DF139">
            <v>0</v>
          </cell>
          <cell r="DG139">
            <v>0</v>
          </cell>
          <cell r="DH139">
            <v>0</v>
          </cell>
          <cell r="DI139">
            <v>0</v>
          </cell>
          <cell r="DJ139">
            <v>0</v>
          </cell>
          <cell r="DK139">
            <v>0</v>
          </cell>
          <cell r="DL139">
            <v>0</v>
          </cell>
          <cell r="DM139"/>
          <cell r="DN139"/>
          <cell r="DO139"/>
          <cell r="DP139"/>
        </row>
        <row r="140">
          <cell r="A140">
            <v>736</v>
          </cell>
          <cell r="B140" t="str">
            <v>De Ronde Venen</v>
          </cell>
          <cell r="C140">
            <v>6</v>
          </cell>
          <cell r="D140">
            <v>-1109</v>
          </cell>
          <cell r="E140">
            <v>-555</v>
          </cell>
          <cell r="F140">
            <v>0</v>
          </cell>
          <cell r="G140">
            <v>0</v>
          </cell>
          <cell r="H140">
            <v>0</v>
          </cell>
          <cell r="I140">
            <v>-3481</v>
          </cell>
          <cell r="J140"/>
          <cell r="K140">
            <v>0</v>
          </cell>
          <cell r="L140">
            <v>140208</v>
          </cell>
          <cell r="M140">
            <v>136702</v>
          </cell>
          <cell r="N140">
            <v>0</v>
          </cell>
          <cell r="O140">
            <v>0</v>
          </cell>
          <cell r="P140">
            <v>0</v>
          </cell>
          <cell r="Q140">
            <v>0</v>
          </cell>
          <cell r="R140">
            <v>0</v>
          </cell>
          <cell r="S140">
            <v>0</v>
          </cell>
          <cell r="T140">
            <v>0</v>
          </cell>
          <cell r="U140">
            <v>0</v>
          </cell>
          <cell r="V140">
            <v>0</v>
          </cell>
          <cell r="W140">
            <v>189130</v>
          </cell>
          <cell r="X140">
            <v>0</v>
          </cell>
          <cell r="Y140"/>
          <cell r="Z140">
            <v>0</v>
          </cell>
          <cell r="AA140">
            <v>0</v>
          </cell>
          <cell r="AB140">
            <v>0</v>
          </cell>
          <cell r="AC140"/>
          <cell r="AD140">
            <v>0</v>
          </cell>
          <cell r="AE140">
            <v>0</v>
          </cell>
          <cell r="AF140">
            <v>0</v>
          </cell>
          <cell r="AG140">
            <v>0</v>
          </cell>
          <cell r="AH140">
            <v>0</v>
          </cell>
          <cell r="AI140">
            <v>0</v>
          </cell>
          <cell r="AJ140">
            <v>0</v>
          </cell>
          <cell r="AK140">
            <v>0</v>
          </cell>
          <cell r="AL140"/>
          <cell r="AM140">
            <v>0</v>
          </cell>
          <cell r="AN140">
            <v>0</v>
          </cell>
          <cell r="AO140">
            <v>0</v>
          </cell>
          <cell r="AP140">
            <v>0</v>
          </cell>
          <cell r="AQ140">
            <v>0</v>
          </cell>
          <cell r="AR140">
            <v>0</v>
          </cell>
          <cell r="AS140">
            <v>0</v>
          </cell>
          <cell r="AT140">
            <v>0</v>
          </cell>
          <cell r="AU140">
            <v>2370</v>
          </cell>
          <cell r="AV140">
            <v>0</v>
          </cell>
          <cell r="AW140">
            <v>0</v>
          </cell>
          <cell r="AX140">
            <v>0</v>
          </cell>
          <cell r="AY140"/>
          <cell r="AZ140"/>
          <cell r="BA140">
            <v>0</v>
          </cell>
          <cell r="BB140"/>
          <cell r="BC140">
            <v>0</v>
          </cell>
          <cell r="BD140">
            <v>15011</v>
          </cell>
          <cell r="BE140"/>
          <cell r="BF140">
            <v>0</v>
          </cell>
          <cell r="BG140">
            <v>0</v>
          </cell>
          <cell r="BH140">
            <v>0</v>
          </cell>
          <cell r="BI140">
            <v>40613</v>
          </cell>
          <cell r="BJ140">
            <v>33431</v>
          </cell>
          <cell r="BK140">
            <v>33431</v>
          </cell>
          <cell r="BL140">
            <v>0</v>
          </cell>
          <cell r="BM140">
            <v>0</v>
          </cell>
          <cell r="BN140">
            <v>0</v>
          </cell>
          <cell r="BO140">
            <v>190680</v>
          </cell>
          <cell r="BP140">
            <v>14232.6</v>
          </cell>
          <cell r="BQ140">
            <v>25639.534883720899</v>
          </cell>
          <cell r="BR140">
            <v>0</v>
          </cell>
          <cell r="BS140">
            <v>0</v>
          </cell>
          <cell r="BT140">
            <v>78118</v>
          </cell>
          <cell r="BU140"/>
          <cell r="BV140"/>
          <cell r="BW140"/>
          <cell r="BX140"/>
          <cell r="BY140">
            <v>0</v>
          </cell>
          <cell r="BZ140">
            <v>0</v>
          </cell>
          <cell r="CA140">
            <v>0</v>
          </cell>
          <cell r="CB140">
            <v>0</v>
          </cell>
          <cell r="CC140">
            <v>2482793</v>
          </cell>
          <cell r="CD140">
            <v>11263687</v>
          </cell>
          <cell r="CE140">
            <v>830727</v>
          </cell>
          <cell r="CF140">
            <v>0</v>
          </cell>
          <cell r="CG140">
            <v>830727</v>
          </cell>
          <cell r="CH140">
            <v>830727</v>
          </cell>
          <cell r="CI140">
            <v>830727</v>
          </cell>
          <cell r="CJ140">
            <v>830727</v>
          </cell>
          <cell r="CK140">
            <v>0</v>
          </cell>
          <cell r="CL140">
            <v>0</v>
          </cell>
          <cell r="CM140">
            <v>0</v>
          </cell>
          <cell r="CN140">
            <v>0</v>
          </cell>
          <cell r="CO140">
            <v>0</v>
          </cell>
          <cell r="CP140">
            <v>-1259</v>
          </cell>
          <cell r="CQ140">
            <v>1509937</v>
          </cell>
          <cell r="CR140">
            <v>1481753</v>
          </cell>
          <cell r="CS140">
            <v>1445773</v>
          </cell>
          <cell r="CT140">
            <v>1447684</v>
          </cell>
          <cell r="CU140">
            <v>1450500</v>
          </cell>
          <cell r="CV140">
            <v>30582</v>
          </cell>
          <cell r="CW140">
            <v>0</v>
          </cell>
          <cell r="CX140">
            <v>0</v>
          </cell>
          <cell r="CY140">
            <v>0</v>
          </cell>
          <cell r="CZ140">
            <v>0</v>
          </cell>
          <cell r="DA140">
            <v>0</v>
          </cell>
          <cell r="DB140"/>
          <cell r="DC140">
            <v>0</v>
          </cell>
          <cell r="DD140">
            <v>0</v>
          </cell>
          <cell r="DE140">
            <v>0</v>
          </cell>
          <cell r="DF140">
            <v>0</v>
          </cell>
          <cell r="DG140">
            <v>0</v>
          </cell>
          <cell r="DH140">
            <v>0</v>
          </cell>
          <cell r="DI140">
            <v>0</v>
          </cell>
          <cell r="DJ140">
            <v>0</v>
          </cell>
          <cell r="DK140">
            <v>0</v>
          </cell>
          <cell r="DL140">
            <v>0</v>
          </cell>
          <cell r="DM140"/>
          <cell r="DN140"/>
          <cell r="DO140"/>
          <cell r="DP140"/>
        </row>
        <row r="141">
          <cell r="A141">
            <v>317</v>
          </cell>
          <cell r="B141" t="str">
            <v>Eemnes</v>
          </cell>
          <cell r="C141">
            <v>6</v>
          </cell>
          <cell r="D141">
            <v>-13158</v>
          </cell>
          <cell r="E141">
            <v>-6579</v>
          </cell>
          <cell r="F141">
            <v>0</v>
          </cell>
          <cell r="G141">
            <v>0</v>
          </cell>
          <cell r="H141">
            <v>0</v>
          </cell>
          <cell r="I141">
            <v>-180</v>
          </cell>
          <cell r="J141"/>
          <cell r="K141">
            <v>0</v>
          </cell>
          <cell r="L141">
            <v>31376</v>
          </cell>
          <cell r="M141">
            <v>29854</v>
          </cell>
          <cell r="N141">
            <v>0</v>
          </cell>
          <cell r="O141">
            <v>0</v>
          </cell>
          <cell r="P141">
            <v>0</v>
          </cell>
          <cell r="Q141">
            <v>0</v>
          </cell>
          <cell r="R141">
            <v>0</v>
          </cell>
          <cell r="S141">
            <v>0</v>
          </cell>
          <cell r="T141">
            <v>0</v>
          </cell>
          <cell r="U141">
            <v>0</v>
          </cell>
          <cell r="V141">
            <v>0</v>
          </cell>
          <cell r="W141">
            <v>30305</v>
          </cell>
          <cell r="X141">
            <v>0</v>
          </cell>
          <cell r="Y141"/>
          <cell r="Z141">
            <v>0</v>
          </cell>
          <cell r="AA141">
            <v>0</v>
          </cell>
          <cell r="AB141">
            <v>0</v>
          </cell>
          <cell r="AC141"/>
          <cell r="AD141">
            <v>0</v>
          </cell>
          <cell r="AE141">
            <v>0</v>
          </cell>
          <cell r="AF141">
            <v>0</v>
          </cell>
          <cell r="AG141">
            <v>0</v>
          </cell>
          <cell r="AH141">
            <v>0</v>
          </cell>
          <cell r="AI141">
            <v>0</v>
          </cell>
          <cell r="AJ141">
            <v>0</v>
          </cell>
          <cell r="AK141">
            <v>0</v>
          </cell>
          <cell r="AL141"/>
          <cell r="AM141">
            <v>0</v>
          </cell>
          <cell r="AN141">
            <v>0</v>
          </cell>
          <cell r="AO141">
            <v>0</v>
          </cell>
          <cell r="AP141">
            <v>0</v>
          </cell>
          <cell r="AQ141">
            <v>0</v>
          </cell>
          <cell r="AR141">
            <v>0</v>
          </cell>
          <cell r="AS141">
            <v>0</v>
          </cell>
          <cell r="AT141">
            <v>0</v>
          </cell>
          <cell r="AU141">
            <v>0</v>
          </cell>
          <cell r="AV141">
            <v>0</v>
          </cell>
          <cell r="AW141">
            <v>0</v>
          </cell>
          <cell r="AX141">
            <v>0</v>
          </cell>
          <cell r="AY141"/>
          <cell r="AZ141"/>
          <cell r="BA141">
            <v>0</v>
          </cell>
          <cell r="BB141"/>
          <cell r="BC141">
            <v>0</v>
          </cell>
          <cell r="BD141">
            <v>3159</v>
          </cell>
          <cell r="BE141"/>
          <cell r="BF141">
            <v>0</v>
          </cell>
          <cell r="BG141">
            <v>0</v>
          </cell>
          <cell r="BH141">
            <v>0</v>
          </cell>
          <cell r="BI141">
            <v>7714</v>
          </cell>
          <cell r="BJ141">
            <v>6350</v>
          </cell>
          <cell r="BK141">
            <v>6350</v>
          </cell>
          <cell r="BL141">
            <v>0</v>
          </cell>
          <cell r="BM141">
            <v>0</v>
          </cell>
          <cell r="BN141">
            <v>0</v>
          </cell>
          <cell r="BO141">
            <v>79288</v>
          </cell>
          <cell r="BP141">
            <v>0</v>
          </cell>
          <cell r="BQ141">
            <v>0</v>
          </cell>
          <cell r="BR141">
            <v>0</v>
          </cell>
          <cell r="BS141">
            <v>0</v>
          </cell>
          <cell r="BT141">
            <v>15295</v>
          </cell>
          <cell r="BU141"/>
          <cell r="BV141"/>
          <cell r="BW141"/>
          <cell r="BX141"/>
          <cell r="BY141">
            <v>0</v>
          </cell>
          <cell r="BZ141">
            <v>0</v>
          </cell>
          <cell r="CA141">
            <v>0</v>
          </cell>
          <cell r="CB141">
            <v>0</v>
          </cell>
          <cell r="CC141">
            <v>530530</v>
          </cell>
          <cell r="CD141">
            <v>2594575</v>
          </cell>
          <cell r="CE141">
            <v>40062</v>
          </cell>
          <cell r="CF141">
            <v>0</v>
          </cell>
          <cell r="CG141">
            <v>40062</v>
          </cell>
          <cell r="CH141">
            <v>40062</v>
          </cell>
          <cell r="CI141">
            <v>40062</v>
          </cell>
          <cell r="CJ141">
            <v>40062</v>
          </cell>
          <cell r="CK141">
            <v>0</v>
          </cell>
          <cell r="CL141">
            <v>0</v>
          </cell>
          <cell r="CM141">
            <v>0</v>
          </cell>
          <cell r="CN141">
            <v>0</v>
          </cell>
          <cell r="CO141">
            <v>0</v>
          </cell>
          <cell r="CP141">
            <v>-65</v>
          </cell>
          <cell r="CQ141">
            <v>297117</v>
          </cell>
          <cell r="CR141">
            <v>289808</v>
          </cell>
          <cell r="CS141">
            <v>288953</v>
          </cell>
          <cell r="CT141">
            <v>276089</v>
          </cell>
          <cell r="CU141">
            <v>270847</v>
          </cell>
          <cell r="CV141">
            <v>30627</v>
          </cell>
          <cell r="CW141">
            <v>0</v>
          </cell>
          <cell r="CX141">
            <v>0</v>
          </cell>
          <cell r="CY141">
            <v>0</v>
          </cell>
          <cell r="CZ141">
            <v>0</v>
          </cell>
          <cell r="DA141">
            <v>0</v>
          </cell>
          <cell r="DB141"/>
          <cell r="DC141">
            <v>0</v>
          </cell>
          <cell r="DD141">
            <v>0</v>
          </cell>
          <cell r="DE141">
            <v>0</v>
          </cell>
          <cell r="DF141">
            <v>0</v>
          </cell>
          <cell r="DG141">
            <v>0</v>
          </cell>
          <cell r="DH141">
            <v>0</v>
          </cell>
          <cell r="DI141">
            <v>0</v>
          </cell>
          <cell r="DJ141">
            <v>0</v>
          </cell>
          <cell r="DK141">
            <v>0</v>
          </cell>
          <cell r="DL141">
            <v>0</v>
          </cell>
          <cell r="DM141"/>
          <cell r="DN141"/>
          <cell r="DO141"/>
          <cell r="DP141"/>
        </row>
        <row r="142">
          <cell r="A142">
            <v>321</v>
          </cell>
          <cell r="B142" t="str">
            <v>Houten</v>
          </cell>
          <cell r="C142">
            <v>6</v>
          </cell>
          <cell r="D142">
            <v>75757</v>
          </cell>
          <cell r="E142">
            <v>37879</v>
          </cell>
          <cell r="F142">
            <v>0</v>
          </cell>
          <cell r="G142">
            <v>0</v>
          </cell>
          <cell r="H142">
            <v>0</v>
          </cell>
          <cell r="I142">
            <v>-10277</v>
          </cell>
          <cell r="J142"/>
          <cell r="K142">
            <v>0</v>
          </cell>
          <cell r="L142">
            <v>144426</v>
          </cell>
          <cell r="M142">
            <v>134273</v>
          </cell>
          <cell r="N142">
            <v>0</v>
          </cell>
          <cell r="O142">
            <v>0</v>
          </cell>
          <cell r="P142">
            <v>0</v>
          </cell>
          <cell r="Q142">
            <v>0</v>
          </cell>
          <cell r="R142">
            <v>0</v>
          </cell>
          <cell r="S142">
            <v>0</v>
          </cell>
          <cell r="T142">
            <v>0</v>
          </cell>
          <cell r="U142">
            <v>0</v>
          </cell>
          <cell r="V142">
            <v>3000</v>
          </cell>
          <cell r="W142">
            <v>228394</v>
          </cell>
          <cell r="X142">
            <v>0</v>
          </cell>
          <cell r="Y142"/>
          <cell r="Z142">
            <v>0</v>
          </cell>
          <cell r="AA142">
            <v>0</v>
          </cell>
          <cell r="AB142">
            <v>0</v>
          </cell>
          <cell r="AC142"/>
          <cell r="AD142">
            <v>0</v>
          </cell>
          <cell r="AE142">
            <v>0</v>
          </cell>
          <cell r="AF142">
            <v>0</v>
          </cell>
          <cell r="AG142">
            <v>0</v>
          </cell>
          <cell r="AH142">
            <v>0</v>
          </cell>
          <cell r="AI142">
            <v>297554</v>
          </cell>
          <cell r="AJ142">
            <v>0</v>
          </cell>
          <cell r="AK142">
            <v>0</v>
          </cell>
          <cell r="AL142"/>
          <cell r="AM142">
            <v>0</v>
          </cell>
          <cell r="AN142">
            <v>0</v>
          </cell>
          <cell r="AO142">
            <v>0</v>
          </cell>
          <cell r="AP142">
            <v>0</v>
          </cell>
          <cell r="AQ142">
            <v>0</v>
          </cell>
          <cell r="AR142">
            <v>0</v>
          </cell>
          <cell r="AS142">
            <v>0</v>
          </cell>
          <cell r="AT142">
            <v>0</v>
          </cell>
          <cell r="AU142">
            <v>7110</v>
          </cell>
          <cell r="AV142">
            <v>0</v>
          </cell>
          <cell r="AW142">
            <v>0</v>
          </cell>
          <cell r="AX142">
            <v>0</v>
          </cell>
          <cell r="AY142"/>
          <cell r="AZ142"/>
          <cell r="BA142">
            <v>0</v>
          </cell>
          <cell r="BB142"/>
          <cell r="BC142">
            <v>0</v>
          </cell>
          <cell r="BD142">
            <v>17306</v>
          </cell>
          <cell r="BE142"/>
          <cell r="BF142">
            <v>0</v>
          </cell>
          <cell r="BG142">
            <v>0</v>
          </cell>
          <cell r="BH142">
            <v>0</v>
          </cell>
          <cell r="BI142">
            <v>33541</v>
          </cell>
          <cell r="BJ142">
            <v>27609</v>
          </cell>
          <cell r="BK142">
            <v>27609</v>
          </cell>
          <cell r="BL142">
            <v>0</v>
          </cell>
          <cell r="BM142">
            <v>0</v>
          </cell>
          <cell r="BN142">
            <v>0</v>
          </cell>
          <cell r="BO142">
            <v>62263</v>
          </cell>
          <cell r="BP142">
            <v>17395.400000000001</v>
          </cell>
          <cell r="BQ142">
            <v>31337.209302325598</v>
          </cell>
          <cell r="BR142">
            <v>0</v>
          </cell>
          <cell r="BS142">
            <v>0</v>
          </cell>
          <cell r="BT142">
            <v>85049</v>
          </cell>
          <cell r="BU142"/>
          <cell r="BV142"/>
          <cell r="BW142"/>
          <cell r="BX142"/>
          <cell r="BY142">
            <v>0</v>
          </cell>
          <cell r="BZ142">
            <v>0</v>
          </cell>
          <cell r="CA142">
            <v>0</v>
          </cell>
          <cell r="CB142">
            <v>0</v>
          </cell>
          <cell r="CC142">
            <v>2158529</v>
          </cell>
          <cell r="CD142">
            <v>15462227</v>
          </cell>
          <cell r="CE142">
            <v>1894746</v>
          </cell>
          <cell r="CF142">
            <v>-5597</v>
          </cell>
          <cell r="CG142">
            <v>1894746</v>
          </cell>
          <cell r="CH142">
            <v>1894746</v>
          </cell>
          <cell r="CI142">
            <v>1894746</v>
          </cell>
          <cell r="CJ142">
            <v>1894746</v>
          </cell>
          <cell r="CK142">
            <v>0</v>
          </cell>
          <cell r="CL142">
            <v>0</v>
          </cell>
          <cell r="CM142">
            <v>0</v>
          </cell>
          <cell r="CN142">
            <v>0</v>
          </cell>
          <cell r="CO142">
            <v>0</v>
          </cell>
          <cell r="CP142">
            <v>-2860</v>
          </cell>
          <cell r="CQ142">
            <v>778966</v>
          </cell>
          <cell r="CR142">
            <v>784834</v>
          </cell>
          <cell r="CS142">
            <v>789851</v>
          </cell>
          <cell r="CT142">
            <v>801561</v>
          </cell>
          <cell r="CU142">
            <v>820384</v>
          </cell>
          <cell r="CV142">
            <v>-72545</v>
          </cell>
          <cell r="CW142">
            <v>0</v>
          </cell>
          <cell r="CX142">
            <v>0</v>
          </cell>
          <cell r="CY142">
            <v>0</v>
          </cell>
          <cell r="CZ142">
            <v>0</v>
          </cell>
          <cell r="DA142">
            <v>0</v>
          </cell>
          <cell r="DB142"/>
          <cell r="DC142">
            <v>0</v>
          </cell>
          <cell r="DD142">
            <v>0</v>
          </cell>
          <cell r="DE142">
            <v>0</v>
          </cell>
          <cell r="DF142">
            <v>0</v>
          </cell>
          <cell r="DG142">
            <v>0</v>
          </cell>
          <cell r="DH142">
            <v>0</v>
          </cell>
          <cell r="DI142">
            <v>0</v>
          </cell>
          <cell r="DJ142">
            <v>0</v>
          </cell>
          <cell r="DK142">
            <v>0</v>
          </cell>
          <cell r="DL142">
            <v>0</v>
          </cell>
          <cell r="DM142"/>
          <cell r="DN142"/>
          <cell r="DO142"/>
          <cell r="DP142"/>
        </row>
        <row r="143">
          <cell r="A143">
            <v>353</v>
          </cell>
          <cell r="B143" t="str">
            <v>IJsselstein</v>
          </cell>
          <cell r="C143">
            <v>6</v>
          </cell>
          <cell r="D143">
            <v>-15598</v>
          </cell>
          <cell r="E143">
            <v>-7799</v>
          </cell>
          <cell r="F143">
            <v>0</v>
          </cell>
          <cell r="G143">
            <v>0</v>
          </cell>
          <cell r="H143">
            <v>-27907</v>
          </cell>
          <cell r="I143">
            <v>-33003</v>
          </cell>
          <cell r="J143"/>
          <cell r="K143">
            <v>0</v>
          </cell>
          <cell r="L143">
            <v>152086</v>
          </cell>
          <cell r="M143">
            <v>142987</v>
          </cell>
          <cell r="N143">
            <v>0</v>
          </cell>
          <cell r="O143">
            <v>0</v>
          </cell>
          <cell r="P143">
            <v>0</v>
          </cell>
          <cell r="Q143">
            <v>0</v>
          </cell>
          <cell r="R143">
            <v>0</v>
          </cell>
          <cell r="S143">
            <v>0</v>
          </cell>
          <cell r="T143">
            <v>0</v>
          </cell>
          <cell r="U143">
            <v>0</v>
          </cell>
          <cell r="V143">
            <v>0</v>
          </cell>
          <cell r="W143">
            <v>142840</v>
          </cell>
          <cell r="X143">
            <v>0</v>
          </cell>
          <cell r="Y143"/>
          <cell r="Z143">
            <v>0</v>
          </cell>
          <cell r="AA143">
            <v>0</v>
          </cell>
          <cell r="AB143">
            <v>0</v>
          </cell>
          <cell r="AC143"/>
          <cell r="AD143">
            <v>0</v>
          </cell>
          <cell r="AE143">
            <v>0</v>
          </cell>
          <cell r="AF143">
            <v>0</v>
          </cell>
          <cell r="AG143">
            <v>0</v>
          </cell>
          <cell r="AH143">
            <v>0</v>
          </cell>
          <cell r="AI143">
            <v>0</v>
          </cell>
          <cell r="AJ143">
            <v>0</v>
          </cell>
          <cell r="AK143">
            <v>0</v>
          </cell>
          <cell r="AL143"/>
          <cell r="AM143">
            <v>0</v>
          </cell>
          <cell r="AN143">
            <v>0</v>
          </cell>
          <cell r="AO143">
            <v>0</v>
          </cell>
          <cell r="AP143">
            <v>0</v>
          </cell>
          <cell r="AQ143">
            <v>0</v>
          </cell>
          <cell r="AR143">
            <v>0</v>
          </cell>
          <cell r="AS143">
            <v>0</v>
          </cell>
          <cell r="AT143">
            <v>0</v>
          </cell>
          <cell r="AU143">
            <v>0</v>
          </cell>
          <cell r="AV143">
            <v>0</v>
          </cell>
          <cell r="AW143">
            <v>0</v>
          </cell>
          <cell r="AX143">
            <v>0</v>
          </cell>
          <cell r="AY143"/>
          <cell r="AZ143"/>
          <cell r="BA143">
            <v>0</v>
          </cell>
          <cell r="BB143"/>
          <cell r="BC143">
            <v>0</v>
          </cell>
          <cell r="BD143">
            <v>12008</v>
          </cell>
          <cell r="BE143"/>
          <cell r="BF143">
            <v>0</v>
          </cell>
          <cell r="BG143">
            <v>0</v>
          </cell>
          <cell r="BH143">
            <v>0</v>
          </cell>
          <cell r="BI143">
            <v>36122</v>
          </cell>
          <cell r="BJ143">
            <v>29733</v>
          </cell>
          <cell r="BK143">
            <v>29733</v>
          </cell>
          <cell r="BL143">
            <v>0</v>
          </cell>
          <cell r="BM143">
            <v>0</v>
          </cell>
          <cell r="BN143">
            <v>0</v>
          </cell>
          <cell r="BO143">
            <v>41346</v>
          </cell>
          <cell r="BP143">
            <v>3162.8</v>
          </cell>
          <cell r="BQ143">
            <v>5697.6744186046499</v>
          </cell>
          <cell r="BR143">
            <v>0</v>
          </cell>
          <cell r="BS143">
            <v>0</v>
          </cell>
          <cell r="BT143">
            <v>54795</v>
          </cell>
          <cell r="BU143"/>
          <cell r="BV143"/>
          <cell r="BW143"/>
          <cell r="BX143"/>
          <cell r="BY143">
            <v>0</v>
          </cell>
          <cell r="BZ143">
            <v>0</v>
          </cell>
          <cell r="CA143">
            <v>0</v>
          </cell>
          <cell r="CB143">
            <v>0</v>
          </cell>
          <cell r="CC143">
            <v>2103570</v>
          </cell>
          <cell r="CD143">
            <v>13492768</v>
          </cell>
          <cell r="CE143">
            <v>577192</v>
          </cell>
          <cell r="CF143">
            <v>-51508</v>
          </cell>
          <cell r="CG143">
            <v>577192</v>
          </cell>
          <cell r="CH143">
            <v>577192</v>
          </cell>
          <cell r="CI143">
            <v>577192</v>
          </cell>
          <cell r="CJ143">
            <v>577192</v>
          </cell>
          <cell r="CK143">
            <v>0</v>
          </cell>
          <cell r="CL143">
            <v>0</v>
          </cell>
          <cell r="CM143">
            <v>0</v>
          </cell>
          <cell r="CN143">
            <v>0</v>
          </cell>
          <cell r="CO143">
            <v>0</v>
          </cell>
          <cell r="CP143">
            <v>-4302</v>
          </cell>
          <cell r="CQ143">
            <v>2392730</v>
          </cell>
          <cell r="CR143">
            <v>2306443</v>
          </cell>
          <cell r="CS143">
            <v>2281842</v>
          </cell>
          <cell r="CT143">
            <v>2272451</v>
          </cell>
          <cell r="CU143">
            <v>2257094</v>
          </cell>
          <cell r="CV143">
            <v>-42376</v>
          </cell>
          <cell r="CW143">
            <v>0</v>
          </cell>
          <cell r="CX143">
            <v>0</v>
          </cell>
          <cell r="CY143">
            <v>0</v>
          </cell>
          <cell r="CZ143">
            <v>0</v>
          </cell>
          <cell r="DA143">
            <v>0</v>
          </cell>
          <cell r="DB143"/>
          <cell r="DC143">
            <v>0</v>
          </cell>
          <cell r="DD143">
            <v>0</v>
          </cell>
          <cell r="DE143">
            <v>0</v>
          </cell>
          <cell r="DF143">
            <v>0</v>
          </cell>
          <cell r="DG143">
            <v>0</v>
          </cell>
          <cell r="DH143">
            <v>0</v>
          </cell>
          <cell r="DI143">
            <v>0</v>
          </cell>
          <cell r="DJ143">
            <v>0</v>
          </cell>
          <cell r="DK143">
            <v>0</v>
          </cell>
          <cell r="DL143">
            <v>0</v>
          </cell>
          <cell r="DM143"/>
          <cell r="DN143"/>
          <cell r="DO143"/>
          <cell r="DP143"/>
        </row>
        <row r="144">
          <cell r="A144">
            <v>327</v>
          </cell>
          <cell r="B144" t="str">
            <v>Leusden</v>
          </cell>
          <cell r="C144">
            <v>6</v>
          </cell>
          <cell r="D144">
            <v>-7352</v>
          </cell>
          <cell r="E144">
            <v>-3676</v>
          </cell>
          <cell r="F144">
            <v>0</v>
          </cell>
          <cell r="G144">
            <v>0</v>
          </cell>
          <cell r="H144">
            <v>0</v>
          </cell>
          <cell r="I144">
            <v>0</v>
          </cell>
          <cell r="J144"/>
          <cell r="K144">
            <v>0</v>
          </cell>
          <cell r="L144">
            <v>67965</v>
          </cell>
          <cell r="M144">
            <v>65351</v>
          </cell>
          <cell r="N144">
            <v>0</v>
          </cell>
          <cell r="O144">
            <v>0</v>
          </cell>
          <cell r="P144">
            <v>0</v>
          </cell>
          <cell r="Q144">
            <v>0</v>
          </cell>
          <cell r="R144">
            <v>0</v>
          </cell>
          <cell r="S144">
            <v>0</v>
          </cell>
          <cell r="T144">
            <v>0</v>
          </cell>
          <cell r="U144">
            <v>0</v>
          </cell>
          <cell r="V144">
            <v>0</v>
          </cell>
          <cell r="W144">
            <v>121098</v>
          </cell>
          <cell r="X144">
            <v>0</v>
          </cell>
          <cell r="Y144"/>
          <cell r="Z144">
            <v>0</v>
          </cell>
          <cell r="AA144">
            <v>0</v>
          </cell>
          <cell r="AB144">
            <v>0</v>
          </cell>
          <cell r="AC144"/>
          <cell r="AD144">
            <v>0</v>
          </cell>
          <cell r="AE144">
            <v>0</v>
          </cell>
          <cell r="AF144">
            <v>0</v>
          </cell>
          <cell r="AG144">
            <v>0</v>
          </cell>
          <cell r="AH144">
            <v>0</v>
          </cell>
          <cell r="AI144">
            <v>0</v>
          </cell>
          <cell r="AJ144">
            <v>0</v>
          </cell>
          <cell r="AK144">
            <v>0</v>
          </cell>
          <cell r="AL144"/>
          <cell r="AM144">
            <v>0</v>
          </cell>
          <cell r="AN144">
            <v>0</v>
          </cell>
          <cell r="AO144">
            <v>0</v>
          </cell>
          <cell r="AP144">
            <v>0</v>
          </cell>
          <cell r="AQ144">
            <v>0</v>
          </cell>
          <cell r="AR144">
            <v>0</v>
          </cell>
          <cell r="AS144">
            <v>0</v>
          </cell>
          <cell r="AT144">
            <v>0</v>
          </cell>
          <cell r="AU144">
            <v>11850</v>
          </cell>
          <cell r="AV144">
            <v>0</v>
          </cell>
          <cell r="AW144">
            <v>0</v>
          </cell>
          <cell r="AX144">
            <v>0</v>
          </cell>
          <cell r="AY144"/>
          <cell r="AZ144"/>
          <cell r="BA144">
            <v>0</v>
          </cell>
          <cell r="BB144"/>
          <cell r="BC144">
            <v>0</v>
          </cell>
          <cell r="BD144">
            <v>10418</v>
          </cell>
          <cell r="BE144"/>
          <cell r="BF144">
            <v>0</v>
          </cell>
          <cell r="BG144">
            <v>0</v>
          </cell>
          <cell r="BH144">
            <v>0</v>
          </cell>
          <cell r="BI144">
            <v>25830</v>
          </cell>
          <cell r="BJ144">
            <v>21262</v>
          </cell>
          <cell r="BK144">
            <v>21262</v>
          </cell>
          <cell r="BL144">
            <v>0</v>
          </cell>
          <cell r="BM144">
            <v>0</v>
          </cell>
          <cell r="BN144">
            <v>0</v>
          </cell>
          <cell r="BO144">
            <v>58858</v>
          </cell>
          <cell r="BP144">
            <v>22139.599999999999</v>
          </cell>
          <cell r="BQ144">
            <v>39883.720930232601</v>
          </cell>
          <cell r="BR144">
            <v>0</v>
          </cell>
          <cell r="BS144">
            <v>0</v>
          </cell>
          <cell r="BT144">
            <v>43114</v>
          </cell>
          <cell r="BU144"/>
          <cell r="BV144"/>
          <cell r="BW144"/>
          <cell r="BX144"/>
          <cell r="BY144">
            <v>0</v>
          </cell>
          <cell r="BZ144">
            <v>0</v>
          </cell>
          <cell r="CA144">
            <v>0</v>
          </cell>
          <cell r="CB144">
            <v>0</v>
          </cell>
          <cell r="CC144">
            <v>1785483</v>
          </cell>
          <cell r="CD144">
            <v>9566741</v>
          </cell>
          <cell r="CE144">
            <v>722448</v>
          </cell>
          <cell r="CF144">
            <v>0</v>
          </cell>
          <cell r="CG144">
            <v>722448</v>
          </cell>
          <cell r="CH144">
            <v>722448</v>
          </cell>
          <cell r="CI144">
            <v>722448</v>
          </cell>
          <cell r="CJ144">
            <v>722448</v>
          </cell>
          <cell r="CK144">
            <v>0</v>
          </cell>
          <cell r="CL144">
            <v>0</v>
          </cell>
          <cell r="CM144">
            <v>0</v>
          </cell>
          <cell r="CN144">
            <v>0</v>
          </cell>
          <cell r="CO144">
            <v>0</v>
          </cell>
          <cell r="CP144">
            <v>0</v>
          </cell>
          <cell r="CQ144">
            <v>1516888</v>
          </cell>
          <cell r="CR144">
            <v>1436565</v>
          </cell>
          <cell r="CS144">
            <v>1381457</v>
          </cell>
          <cell r="CT144">
            <v>1326484</v>
          </cell>
          <cell r="CU144">
            <v>1289787</v>
          </cell>
          <cell r="CV144">
            <v>13373</v>
          </cell>
          <cell r="CW144">
            <v>0</v>
          </cell>
          <cell r="CX144">
            <v>0</v>
          </cell>
          <cell r="CY144">
            <v>0</v>
          </cell>
          <cell r="CZ144">
            <v>0</v>
          </cell>
          <cell r="DA144">
            <v>0</v>
          </cell>
          <cell r="DB144"/>
          <cell r="DC144">
            <v>0</v>
          </cell>
          <cell r="DD144">
            <v>0</v>
          </cell>
          <cell r="DE144">
            <v>0</v>
          </cell>
          <cell r="DF144">
            <v>0</v>
          </cell>
          <cell r="DG144">
            <v>0</v>
          </cell>
          <cell r="DH144">
            <v>0</v>
          </cell>
          <cell r="DI144">
            <v>0</v>
          </cell>
          <cell r="DJ144">
            <v>0</v>
          </cell>
          <cell r="DK144">
            <v>0</v>
          </cell>
          <cell r="DL144">
            <v>0</v>
          </cell>
          <cell r="DM144"/>
          <cell r="DN144"/>
          <cell r="DO144"/>
          <cell r="DP144"/>
        </row>
        <row r="145">
          <cell r="A145">
            <v>331</v>
          </cell>
          <cell r="B145" t="str">
            <v>Lopik</v>
          </cell>
          <cell r="C145">
            <v>6</v>
          </cell>
          <cell r="D145">
            <v>-8293</v>
          </cell>
          <cell r="E145">
            <v>-4146</v>
          </cell>
          <cell r="F145">
            <v>0</v>
          </cell>
          <cell r="G145">
            <v>0</v>
          </cell>
          <cell r="H145">
            <v>-3867</v>
          </cell>
          <cell r="I145">
            <v>0</v>
          </cell>
          <cell r="J145"/>
          <cell r="K145">
            <v>0</v>
          </cell>
          <cell r="L145">
            <v>53182</v>
          </cell>
          <cell r="M145">
            <v>56566</v>
          </cell>
          <cell r="N145">
            <v>0</v>
          </cell>
          <cell r="O145">
            <v>0</v>
          </cell>
          <cell r="P145">
            <v>0</v>
          </cell>
          <cell r="Q145">
            <v>0</v>
          </cell>
          <cell r="R145">
            <v>0</v>
          </cell>
          <cell r="S145">
            <v>0</v>
          </cell>
          <cell r="T145">
            <v>0</v>
          </cell>
          <cell r="U145">
            <v>0</v>
          </cell>
          <cell r="V145">
            <v>0</v>
          </cell>
          <cell r="W145">
            <v>50711</v>
          </cell>
          <cell r="X145">
            <v>0</v>
          </cell>
          <cell r="Y145"/>
          <cell r="Z145">
            <v>0</v>
          </cell>
          <cell r="AA145">
            <v>0</v>
          </cell>
          <cell r="AB145">
            <v>0</v>
          </cell>
          <cell r="AC145"/>
          <cell r="AD145">
            <v>0</v>
          </cell>
          <cell r="AE145">
            <v>0</v>
          </cell>
          <cell r="AF145">
            <v>0</v>
          </cell>
          <cell r="AG145">
            <v>0</v>
          </cell>
          <cell r="AH145">
            <v>0</v>
          </cell>
          <cell r="AI145">
            <v>0</v>
          </cell>
          <cell r="AJ145">
            <v>0</v>
          </cell>
          <cell r="AK145">
            <v>0</v>
          </cell>
          <cell r="AL145"/>
          <cell r="AM145">
            <v>0</v>
          </cell>
          <cell r="AN145">
            <v>0</v>
          </cell>
          <cell r="AO145">
            <v>0</v>
          </cell>
          <cell r="AP145">
            <v>0</v>
          </cell>
          <cell r="AQ145">
            <v>0</v>
          </cell>
          <cell r="AR145">
            <v>0</v>
          </cell>
          <cell r="AS145">
            <v>0</v>
          </cell>
          <cell r="AT145">
            <v>0</v>
          </cell>
          <cell r="AU145">
            <v>0</v>
          </cell>
          <cell r="AV145">
            <v>0</v>
          </cell>
          <cell r="AW145">
            <v>0</v>
          </cell>
          <cell r="AX145">
            <v>0</v>
          </cell>
          <cell r="AY145"/>
          <cell r="AZ145"/>
          <cell r="BA145">
            <v>0</v>
          </cell>
          <cell r="BB145"/>
          <cell r="BC145">
            <v>0</v>
          </cell>
          <cell r="BD145">
            <v>4988</v>
          </cell>
          <cell r="BE145"/>
          <cell r="BF145">
            <v>0</v>
          </cell>
          <cell r="BG145">
            <v>0</v>
          </cell>
          <cell r="BH145">
            <v>0</v>
          </cell>
          <cell r="BI145">
            <v>11448</v>
          </cell>
          <cell r="BJ145">
            <v>9423</v>
          </cell>
          <cell r="BK145">
            <v>9423</v>
          </cell>
          <cell r="BL145">
            <v>0</v>
          </cell>
          <cell r="BM145">
            <v>0</v>
          </cell>
          <cell r="BN145">
            <v>0</v>
          </cell>
          <cell r="BO145">
            <v>87557</v>
          </cell>
          <cell r="BP145">
            <v>18976.8</v>
          </cell>
          <cell r="BQ145">
            <v>34186.046511627901</v>
          </cell>
          <cell r="BR145">
            <v>0</v>
          </cell>
          <cell r="BS145">
            <v>0</v>
          </cell>
          <cell r="BT145">
            <v>32972</v>
          </cell>
          <cell r="BU145"/>
          <cell r="BV145"/>
          <cell r="BW145"/>
          <cell r="BX145"/>
          <cell r="BY145">
            <v>0</v>
          </cell>
          <cell r="BZ145">
            <v>0</v>
          </cell>
          <cell r="CA145">
            <v>0</v>
          </cell>
          <cell r="CB145">
            <v>0</v>
          </cell>
          <cell r="CC145">
            <v>750335</v>
          </cell>
          <cell r="CD145">
            <v>4596318</v>
          </cell>
          <cell r="CE145">
            <v>540362</v>
          </cell>
          <cell r="CF145">
            <v>0</v>
          </cell>
          <cell r="CG145">
            <v>540362</v>
          </cell>
          <cell r="CH145">
            <v>540362</v>
          </cell>
          <cell r="CI145">
            <v>540362</v>
          </cell>
          <cell r="CJ145">
            <v>540362</v>
          </cell>
          <cell r="CK145">
            <v>0</v>
          </cell>
          <cell r="CL145">
            <v>0</v>
          </cell>
          <cell r="CM145">
            <v>0</v>
          </cell>
          <cell r="CN145">
            <v>0</v>
          </cell>
          <cell r="CO145">
            <v>0</v>
          </cell>
          <cell r="CP145">
            <v>0</v>
          </cell>
          <cell r="CQ145">
            <v>735452</v>
          </cell>
          <cell r="CR145">
            <v>705687</v>
          </cell>
          <cell r="CS145">
            <v>702317</v>
          </cell>
          <cell r="CT145">
            <v>695216</v>
          </cell>
          <cell r="CU145">
            <v>691299</v>
          </cell>
          <cell r="CV145">
            <v>-28994</v>
          </cell>
          <cell r="CW145">
            <v>0</v>
          </cell>
          <cell r="CX145">
            <v>0</v>
          </cell>
          <cell r="CY145">
            <v>0</v>
          </cell>
          <cell r="CZ145">
            <v>0</v>
          </cell>
          <cell r="DA145">
            <v>0</v>
          </cell>
          <cell r="DB145"/>
          <cell r="DC145">
            <v>0</v>
          </cell>
          <cell r="DD145">
            <v>0</v>
          </cell>
          <cell r="DE145">
            <v>0</v>
          </cell>
          <cell r="DF145">
            <v>0</v>
          </cell>
          <cell r="DG145">
            <v>0</v>
          </cell>
          <cell r="DH145">
            <v>0</v>
          </cell>
          <cell r="DI145">
            <v>0</v>
          </cell>
          <cell r="DJ145">
            <v>0</v>
          </cell>
          <cell r="DK145">
            <v>0</v>
          </cell>
          <cell r="DL145">
            <v>0</v>
          </cell>
          <cell r="DM145"/>
          <cell r="DN145"/>
          <cell r="DO145"/>
          <cell r="DP145"/>
        </row>
        <row r="146">
          <cell r="A146">
            <v>335</v>
          </cell>
          <cell r="B146" t="str">
            <v>Montfoort U</v>
          </cell>
          <cell r="C146">
            <v>6</v>
          </cell>
          <cell r="D146">
            <v>9512</v>
          </cell>
          <cell r="E146">
            <v>4756</v>
          </cell>
          <cell r="F146">
            <v>0</v>
          </cell>
          <cell r="G146">
            <v>0</v>
          </cell>
          <cell r="H146">
            <v>0</v>
          </cell>
          <cell r="I146">
            <v>0</v>
          </cell>
          <cell r="J146"/>
          <cell r="K146">
            <v>0</v>
          </cell>
          <cell r="L146">
            <v>40747</v>
          </cell>
          <cell r="M146">
            <v>40377</v>
          </cell>
          <cell r="N146">
            <v>0</v>
          </cell>
          <cell r="O146">
            <v>0</v>
          </cell>
          <cell r="P146">
            <v>0</v>
          </cell>
          <cell r="Q146">
            <v>0</v>
          </cell>
          <cell r="R146">
            <v>0</v>
          </cell>
          <cell r="S146">
            <v>0</v>
          </cell>
          <cell r="T146">
            <v>0</v>
          </cell>
          <cell r="U146">
            <v>0</v>
          </cell>
          <cell r="V146">
            <v>0</v>
          </cell>
          <cell r="W146">
            <v>63173</v>
          </cell>
          <cell r="X146">
            <v>0</v>
          </cell>
          <cell r="Y146"/>
          <cell r="Z146">
            <v>0</v>
          </cell>
          <cell r="AA146">
            <v>0</v>
          </cell>
          <cell r="AB146">
            <v>0</v>
          </cell>
          <cell r="AC146"/>
          <cell r="AD146">
            <v>0</v>
          </cell>
          <cell r="AE146">
            <v>0</v>
          </cell>
          <cell r="AF146">
            <v>0</v>
          </cell>
          <cell r="AG146">
            <v>0</v>
          </cell>
          <cell r="AH146">
            <v>0</v>
          </cell>
          <cell r="AI146">
            <v>0</v>
          </cell>
          <cell r="AJ146">
            <v>0</v>
          </cell>
          <cell r="AK146">
            <v>0</v>
          </cell>
          <cell r="AL146"/>
          <cell r="AM146">
            <v>0</v>
          </cell>
          <cell r="AN146">
            <v>0</v>
          </cell>
          <cell r="AO146">
            <v>0</v>
          </cell>
          <cell r="AP146">
            <v>0</v>
          </cell>
          <cell r="AQ146">
            <v>0</v>
          </cell>
          <cell r="AR146">
            <v>0</v>
          </cell>
          <cell r="AS146">
            <v>0</v>
          </cell>
          <cell r="AT146">
            <v>0</v>
          </cell>
          <cell r="AU146">
            <v>2370</v>
          </cell>
          <cell r="AV146">
            <v>0</v>
          </cell>
          <cell r="AW146">
            <v>0</v>
          </cell>
          <cell r="AX146">
            <v>0</v>
          </cell>
          <cell r="AY146"/>
          <cell r="AZ146"/>
          <cell r="BA146">
            <v>0</v>
          </cell>
          <cell r="BB146"/>
          <cell r="BC146">
            <v>0</v>
          </cell>
          <cell r="BD146">
            <v>4867</v>
          </cell>
          <cell r="BE146"/>
          <cell r="BF146">
            <v>0</v>
          </cell>
          <cell r="BG146">
            <v>0</v>
          </cell>
          <cell r="BH146">
            <v>0</v>
          </cell>
          <cell r="BI146">
            <v>11295</v>
          </cell>
          <cell r="BJ146">
            <v>9297</v>
          </cell>
          <cell r="BK146">
            <v>9297</v>
          </cell>
          <cell r="BL146">
            <v>0</v>
          </cell>
          <cell r="BM146">
            <v>0</v>
          </cell>
          <cell r="BN146">
            <v>0</v>
          </cell>
          <cell r="BO146">
            <v>113824</v>
          </cell>
          <cell r="BP146">
            <v>4744.2</v>
          </cell>
          <cell r="BQ146">
            <v>8546.5116279069807</v>
          </cell>
          <cell r="BR146">
            <v>0</v>
          </cell>
          <cell r="BS146">
            <v>0</v>
          </cell>
          <cell r="BT146">
            <v>23800</v>
          </cell>
          <cell r="BU146"/>
          <cell r="BV146"/>
          <cell r="BW146"/>
          <cell r="BX146"/>
          <cell r="BY146">
            <v>0</v>
          </cell>
          <cell r="BZ146">
            <v>0</v>
          </cell>
          <cell r="CA146">
            <v>0</v>
          </cell>
          <cell r="CB146">
            <v>0</v>
          </cell>
          <cell r="CC146">
            <v>729790</v>
          </cell>
          <cell r="CD146">
            <v>3615732</v>
          </cell>
          <cell r="CE146">
            <v>213183</v>
          </cell>
          <cell r="CF146">
            <v>0</v>
          </cell>
          <cell r="CG146">
            <v>213183</v>
          </cell>
          <cell r="CH146">
            <v>213183</v>
          </cell>
          <cell r="CI146">
            <v>213183</v>
          </cell>
          <cell r="CJ146">
            <v>213183</v>
          </cell>
          <cell r="CK146">
            <v>0</v>
          </cell>
          <cell r="CL146">
            <v>0</v>
          </cell>
          <cell r="CM146">
            <v>0</v>
          </cell>
          <cell r="CN146">
            <v>0</v>
          </cell>
          <cell r="CO146">
            <v>0</v>
          </cell>
          <cell r="CP146">
            <v>0</v>
          </cell>
          <cell r="CQ146">
            <v>493750</v>
          </cell>
          <cell r="CR146">
            <v>483371</v>
          </cell>
          <cell r="CS146">
            <v>482994</v>
          </cell>
          <cell r="CT146">
            <v>483117</v>
          </cell>
          <cell r="CU146">
            <v>471474</v>
          </cell>
          <cell r="CV146">
            <v>-13979</v>
          </cell>
          <cell r="CW146">
            <v>0</v>
          </cell>
          <cell r="CX146">
            <v>0</v>
          </cell>
          <cell r="CY146">
            <v>0</v>
          </cell>
          <cell r="CZ146">
            <v>0</v>
          </cell>
          <cell r="DA146">
            <v>0</v>
          </cell>
          <cell r="DB146"/>
          <cell r="DC146">
            <v>0</v>
          </cell>
          <cell r="DD146">
            <v>0</v>
          </cell>
          <cell r="DE146">
            <v>0</v>
          </cell>
          <cell r="DF146">
            <v>0</v>
          </cell>
          <cell r="DG146">
            <v>0</v>
          </cell>
          <cell r="DH146">
            <v>0</v>
          </cell>
          <cell r="DI146">
            <v>0</v>
          </cell>
          <cell r="DJ146">
            <v>0</v>
          </cell>
          <cell r="DK146">
            <v>0</v>
          </cell>
          <cell r="DL146">
            <v>0</v>
          </cell>
          <cell r="DM146"/>
          <cell r="DN146"/>
          <cell r="DO146"/>
          <cell r="DP146"/>
        </row>
        <row r="147">
          <cell r="A147">
            <v>356</v>
          </cell>
          <cell r="B147" t="str">
            <v>Nieuwegein</v>
          </cell>
          <cell r="C147">
            <v>6</v>
          </cell>
          <cell r="D147">
            <v>52320</v>
          </cell>
          <cell r="E147">
            <v>26160</v>
          </cell>
          <cell r="F147">
            <v>0</v>
          </cell>
          <cell r="G147">
            <v>0</v>
          </cell>
          <cell r="H147">
            <v>0</v>
          </cell>
          <cell r="I147">
            <v>-13773</v>
          </cell>
          <cell r="J147"/>
          <cell r="K147">
            <v>0</v>
          </cell>
          <cell r="L147">
            <v>265414</v>
          </cell>
          <cell r="M147">
            <v>265571</v>
          </cell>
          <cell r="N147">
            <v>0</v>
          </cell>
          <cell r="O147">
            <v>0</v>
          </cell>
          <cell r="P147">
            <v>0</v>
          </cell>
          <cell r="Q147">
            <v>0</v>
          </cell>
          <cell r="R147">
            <v>0</v>
          </cell>
          <cell r="S147">
            <v>0</v>
          </cell>
          <cell r="T147">
            <v>0</v>
          </cell>
          <cell r="U147">
            <v>0</v>
          </cell>
          <cell r="V147">
            <v>0</v>
          </cell>
          <cell r="W147">
            <v>228589</v>
          </cell>
          <cell r="X147">
            <v>0</v>
          </cell>
          <cell r="Y147"/>
          <cell r="Z147">
            <v>0</v>
          </cell>
          <cell r="AA147">
            <v>0</v>
          </cell>
          <cell r="AB147">
            <v>0</v>
          </cell>
          <cell r="AC147"/>
          <cell r="AD147">
            <v>0</v>
          </cell>
          <cell r="AE147">
            <v>0</v>
          </cell>
          <cell r="AF147">
            <v>0</v>
          </cell>
          <cell r="AG147">
            <v>0</v>
          </cell>
          <cell r="AH147">
            <v>0</v>
          </cell>
          <cell r="AI147">
            <v>0</v>
          </cell>
          <cell r="AJ147">
            <v>0</v>
          </cell>
          <cell r="AK147">
            <v>0</v>
          </cell>
          <cell r="AL147"/>
          <cell r="AM147">
            <v>0</v>
          </cell>
          <cell r="AN147">
            <v>0</v>
          </cell>
          <cell r="AO147">
            <v>0</v>
          </cell>
          <cell r="AP147">
            <v>0</v>
          </cell>
          <cell r="AQ147">
            <v>0</v>
          </cell>
          <cell r="AR147">
            <v>0</v>
          </cell>
          <cell r="AS147">
            <v>0</v>
          </cell>
          <cell r="AT147">
            <v>0</v>
          </cell>
          <cell r="AU147">
            <v>18960</v>
          </cell>
          <cell r="AV147">
            <v>0</v>
          </cell>
          <cell r="AW147">
            <v>0</v>
          </cell>
          <cell r="AX147">
            <v>0</v>
          </cell>
          <cell r="AY147"/>
          <cell r="AZ147"/>
          <cell r="BA147">
            <v>0</v>
          </cell>
          <cell r="BB147"/>
          <cell r="BC147">
            <v>0</v>
          </cell>
          <cell r="BD147">
            <v>21718</v>
          </cell>
          <cell r="BE147"/>
          <cell r="BF147">
            <v>0</v>
          </cell>
          <cell r="BG147">
            <v>0</v>
          </cell>
          <cell r="BH147">
            <v>0</v>
          </cell>
          <cell r="BI147">
            <v>85162</v>
          </cell>
          <cell r="BJ147">
            <v>70101</v>
          </cell>
          <cell r="BK147">
            <v>70101</v>
          </cell>
          <cell r="BL147">
            <v>0</v>
          </cell>
          <cell r="BM147">
            <v>0</v>
          </cell>
          <cell r="BN147">
            <v>0</v>
          </cell>
          <cell r="BO147">
            <v>151279</v>
          </cell>
          <cell r="BP147">
            <v>31628</v>
          </cell>
          <cell r="BQ147">
            <v>56976.744186046497</v>
          </cell>
          <cell r="BR147">
            <v>0</v>
          </cell>
          <cell r="BS147">
            <v>0</v>
          </cell>
          <cell r="BT147">
            <v>89439</v>
          </cell>
          <cell r="BU147"/>
          <cell r="BV147"/>
          <cell r="BW147"/>
          <cell r="BX147"/>
          <cell r="BY147">
            <v>0</v>
          </cell>
          <cell r="BZ147">
            <v>0</v>
          </cell>
          <cell r="CA147">
            <v>0</v>
          </cell>
          <cell r="CB147">
            <v>0</v>
          </cell>
          <cell r="CC147">
            <v>4499747</v>
          </cell>
          <cell r="CD147">
            <v>24450579</v>
          </cell>
          <cell r="CE147">
            <v>1258285</v>
          </cell>
          <cell r="CF147">
            <v>0</v>
          </cell>
          <cell r="CG147">
            <v>1258285</v>
          </cell>
          <cell r="CH147">
            <v>1258285</v>
          </cell>
          <cell r="CI147">
            <v>1258285</v>
          </cell>
          <cell r="CJ147">
            <v>1258285</v>
          </cell>
          <cell r="CK147">
            <v>0</v>
          </cell>
          <cell r="CL147">
            <v>0</v>
          </cell>
          <cell r="CM147">
            <v>0</v>
          </cell>
          <cell r="CN147">
            <v>0</v>
          </cell>
          <cell r="CO147">
            <v>0</v>
          </cell>
          <cell r="CP147">
            <v>-4957</v>
          </cell>
          <cell r="CQ147">
            <v>3145859</v>
          </cell>
          <cell r="CR147">
            <v>3061546</v>
          </cell>
          <cell r="CS147">
            <v>3005718</v>
          </cell>
          <cell r="CT147">
            <v>2988582</v>
          </cell>
          <cell r="CU147">
            <v>2956346</v>
          </cell>
          <cell r="CV147">
            <v>-37753</v>
          </cell>
          <cell r="CW147">
            <v>0</v>
          </cell>
          <cell r="CX147">
            <v>0</v>
          </cell>
          <cell r="CY147">
            <v>0</v>
          </cell>
          <cell r="CZ147">
            <v>0</v>
          </cell>
          <cell r="DA147">
            <v>0</v>
          </cell>
          <cell r="DB147"/>
          <cell r="DC147">
            <v>0</v>
          </cell>
          <cell r="DD147">
            <v>0</v>
          </cell>
          <cell r="DE147">
            <v>0</v>
          </cell>
          <cell r="DF147">
            <v>0</v>
          </cell>
          <cell r="DG147">
            <v>0</v>
          </cell>
          <cell r="DH147">
            <v>0</v>
          </cell>
          <cell r="DI147">
            <v>0</v>
          </cell>
          <cell r="DJ147">
            <v>0</v>
          </cell>
          <cell r="DK147">
            <v>0</v>
          </cell>
          <cell r="DL147">
            <v>0</v>
          </cell>
          <cell r="DM147"/>
          <cell r="DN147"/>
          <cell r="DO147"/>
          <cell r="DP147"/>
        </row>
        <row r="148">
          <cell r="A148">
            <v>589</v>
          </cell>
          <cell r="B148" t="str">
            <v>Oudewater</v>
          </cell>
          <cell r="C148">
            <v>6</v>
          </cell>
          <cell r="D148">
            <v>-25718</v>
          </cell>
          <cell r="E148">
            <v>-12859</v>
          </cell>
          <cell r="F148">
            <v>0</v>
          </cell>
          <cell r="G148">
            <v>5663</v>
          </cell>
          <cell r="H148">
            <v>0</v>
          </cell>
          <cell r="I148">
            <v>-1186</v>
          </cell>
          <cell r="J148"/>
          <cell r="K148">
            <v>0</v>
          </cell>
          <cell r="L148">
            <v>34261</v>
          </cell>
          <cell r="M148">
            <v>29497</v>
          </cell>
          <cell r="N148">
            <v>0</v>
          </cell>
          <cell r="O148">
            <v>0</v>
          </cell>
          <cell r="P148">
            <v>0</v>
          </cell>
          <cell r="Q148">
            <v>0</v>
          </cell>
          <cell r="R148">
            <v>0</v>
          </cell>
          <cell r="S148">
            <v>0</v>
          </cell>
          <cell r="T148">
            <v>0</v>
          </cell>
          <cell r="U148">
            <v>0</v>
          </cell>
          <cell r="V148">
            <v>0</v>
          </cell>
          <cell r="W148">
            <v>19598</v>
          </cell>
          <cell r="X148">
            <v>0</v>
          </cell>
          <cell r="Y148"/>
          <cell r="Z148">
            <v>0</v>
          </cell>
          <cell r="AA148">
            <v>0</v>
          </cell>
          <cell r="AB148">
            <v>0</v>
          </cell>
          <cell r="AC148"/>
          <cell r="AD148">
            <v>0</v>
          </cell>
          <cell r="AE148">
            <v>0</v>
          </cell>
          <cell r="AF148">
            <v>0</v>
          </cell>
          <cell r="AG148">
            <v>0</v>
          </cell>
          <cell r="AH148">
            <v>0</v>
          </cell>
          <cell r="AI148">
            <v>0</v>
          </cell>
          <cell r="AJ148">
            <v>0</v>
          </cell>
          <cell r="AK148">
            <v>0</v>
          </cell>
          <cell r="AL148"/>
          <cell r="AM148">
            <v>0</v>
          </cell>
          <cell r="AN148">
            <v>0</v>
          </cell>
          <cell r="AO148">
            <v>0</v>
          </cell>
          <cell r="AP148">
            <v>0</v>
          </cell>
          <cell r="AQ148">
            <v>0</v>
          </cell>
          <cell r="AR148">
            <v>0</v>
          </cell>
          <cell r="AS148">
            <v>0</v>
          </cell>
          <cell r="AT148">
            <v>0</v>
          </cell>
          <cell r="AU148">
            <v>2370</v>
          </cell>
          <cell r="AV148">
            <v>0</v>
          </cell>
          <cell r="AW148">
            <v>0</v>
          </cell>
          <cell r="AX148">
            <v>0</v>
          </cell>
          <cell r="AY148"/>
          <cell r="AZ148"/>
          <cell r="BA148">
            <v>0</v>
          </cell>
          <cell r="BB148"/>
          <cell r="BC148">
            <v>0</v>
          </cell>
          <cell r="BD148">
            <v>3576</v>
          </cell>
          <cell r="BE148"/>
          <cell r="BF148">
            <v>0</v>
          </cell>
          <cell r="BG148">
            <v>0</v>
          </cell>
          <cell r="BH148">
            <v>0</v>
          </cell>
          <cell r="BI148">
            <v>12297</v>
          </cell>
          <cell r="BJ148">
            <v>10122</v>
          </cell>
          <cell r="BK148">
            <v>10122</v>
          </cell>
          <cell r="BL148">
            <v>0</v>
          </cell>
          <cell r="BM148">
            <v>0</v>
          </cell>
          <cell r="BN148">
            <v>0</v>
          </cell>
          <cell r="BO148">
            <v>77342</v>
          </cell>
          <cell r="BP148">
            <v>15814</v>
          </cell>
          <cell r="BQ148">
            <v>28488.372093023299</v>
          </cell>
          <cell r="BR148">
            <v>0</v>
          </cell>
          <cell r="BS148">
            <v>0</v>
          </cell>
          <cell r="BT148">
            <v>16632</v>
          </cell>
          <cell r="BU148"/>
          <cell r="BV148"/>
          <cell r="BW148"/>
          <cell r="BX148"/>
          <cell r="BY148">
            <v>0</v>
          </cell>
          <cell r="BZ148">
            <v>0</v>
          </cell>
          <cell r="CA148">
            <v>0</v>
          </cell>
          <cell r="CB148">
            <v>0</v>
          </cell>
          <cell r="CC148">
            <v>614296</v>
          </cell>
          <cell r="CD148">
            <v>2872397</v>
          </cell>
          <cell r="CE148">
            <v>151691</v>
          </cell>
          <cell r="CF148">
            <v>-2853</v>
          </cell>
          <cell r="CG148">
            <v>151691</v>
          </cell>
          <cell r="CH148">
            <v>151691</v>
          </cell>
          <cell r="CI148">
            <v>151691</v>
          </cell>
          <cell r="CJ148">
            <v>151691</v>
          </cell>
          <cell r="CK148">
            <v>0</v>
          </cell>
          <cell r="CL148">
            <v>0</v>
          </cell>
          <cell r="CM148">
            <v>0</v>
          </cell>
          <cell r="CN148">
            <v>0</v>
          </cell>
          <cell r="CO148">
            <v>0</v>
          </cell>
          <cell r="CP148">
            <v>0</v>
          </cell>
          <cell r="CQ148">
            <v>493122</v>
          </cell>
          <cell r="CR148">
            <v>478404</v>
          </cell>
          <cell r="CS148">
            <v>455156</v>
          </cell>
          <cell r="CT148">
            <v>436135</v>
          </cell>
          <cell r="CU148">
            <v>426435</v>
          </cell>
          <cell r="CV148">
            <v>-12579</v>
          </cell>
          <cell r="CW148">
            <v>0</v>
          </cell>
          <cell r="CX148">
            <v>0</v>
          </cell>
          <cell r="CY148">
            <v>0</v>
          </cell>
          <cell r="CZ148">
            <v>0</v>
          </cell>
          <cell r="DA148">
            <v>0</v>
          </cell>
          <cell r="DB148"/>
          <cell r="DC148">
            <v>0</v>
          </cell>
          <cell r="DD148">
            <v>0</v>
          </cell>
          <cell r="DE148">
            <v>0</v>
          </cell>
          <cell r="DF148">
            <v>0</v>
          </cell>
          <cell r="DG148">
            <v>0</v>
          </cell>
          <cell r="DH148">
            <v>0</v>
          </cell>
          <cell r="DI148">
            <v>0</v>
          </cell>
          <cell r="DJ148">
            <v>0</v>
          </cell>
          <cell r="DK148">
            <v>0</v>
          </cell>
          <cell r="DL148">
            <v>0</v>
          </cell>
          <cell r="DM148"/>
          <cell r="DN148"/>
          <cell r="DO148"/>
          <cell r="DP148"/>
        </row>
        <row r="149">
          <cell r="A149">
            <v>339</v>
          </cell>
          <cell r="B149" t="str">
            <v>Renswoude</v>
          </cell>
          <cell r="C149">
            <v>6</v>
          </cell>
          <cell r="D149">
            <v>-7849</v>
          </cell>
          <cell r="E149">
            <v>-3924</v>
          </cell>
          <cell r="F149">
            <v>0</v>
          </cell>
          <cell r="G149">
            <v>0</v>
          </cell>
          <cell r="H149">
            <v>-4836</v>
          </cell>
          <cell r="I149">
            <v>-1427</v>
          </cell>
          <cell r="J149"/>
          <cell r="K149">
            <v>0</v>
          </cell>
          <cell r="L149">
            <v>14226</v>
          </cell>
          <cell r="M149">
            <v>10523</v>
          </cell>
          <cell r="N149">
            <v>0</v>
          </cell>
          <cell r="O149">
            <v>0</v>
          </cell>
          <cell r="P149">
            <v>0</v>
          </cell>
          <cell r="Q149">
            <v>0</v>
          </cell>
          <cell r="R149">
            <v>0</v>
          </cell>
          <cell r="S149">
            <v>0</v>
          </cell>
          <cell r="T149">
            <v>0</v>
          </cell>
          <cell r="U149">
            <v>0</v>
          </cell>
          <cell r="V149">
            <v>0</v>
          </cell>
          <cell r="W149">
            <v>0</v>
          </cell>
          <cell r="X149">
            <v>0</v>
          </cell>
          <cell r="Y149"/>
          <cell r="Z149">
            <v>0</v>
          </cell>
          <cell r="AA149">
            <v>0</v>
          </cell>
          <cell r="AB149">
            <v>0</v>
          </cell>
          <cell r="AC149"/>
          <cell r="AD149">
            <v>0</v>
          </cell>
          <cell r="AE149">
            <v>0</v>
          </cell>
          <cell r="AF149">
            <v>0</v>
          </cell>
          <cell r="AG149">
            <v>0</v>
          </cell>
          <cell r="AH149">
            <v>0</v>
          </cell>
          <cell r="AI149">
            <v>0</v>
          </cell>
          <cell r="AJ149">
            <v>0</v>
          </cell>
          <cell r="AK149">
            <v>0</v>
          </cell>
          <cell r="AL149"/>
          <cell r="AM149">
            <v>0</v>
          </cell>
          <cell r="AN149">
            <v>0</v>
          </cell>
          <cell r="AO149">
            <v>0</v>
          </cell>
          <cell r="AP149">
            <v>0</v>
          </cell>
          <cell r="AQ149">
            <v>0</v>
          </cell>
          <cell r="AR149">
            <v>0</v>
          </cell>
          <cell r="AS149">
            <v>0</v>
          </cell>
          <cell r="AT149">
            <v>0</v>
          </cell>
          <cell r="AU149">
            <v>0</v>
          </cell>
          <cell r="AV149">
            <v>0</v>
          </cell>
          <cell r="AW149">
            <v>0</v>
          </cell>
          <cell r="AX149">
            <v>0</v>
          </cell>
          <cell r="AY149"/>
          <cell r="AZ149"/>
          <cell r="BA149">
            <v>0</v>
          </cell>
          <cell r="BB149"/>
          <cell r="BC149">
            <v>0</v>
          </cell>
          <cell r="BD149">
            <v>1791</v>
          </cell>
          <cell r="BE149"/>
          <cell r="BF149">
            <v>0</v>
          </cell>
          <cell r="BG149">
            <v>0</v>
          </cell>
          <cell r="BH149">
            <v>0</v>
          </cell>
          <cell r="BI149">
            <v>3634</v>
          </cell>
          <cell r="BJ149">
            <v>2992</v>
          </cell>
          <cell r="BK149">
            <v>2992</v>
          </cell>
          <cell r="BL149">
            <v>0</v>
          </cell>
          <cell r="BM149">
            <v>0</v>
          </cell>
          <cell r="BN149">
            <v>0</v>
          </cell>
          <cell r="BO149">
            <v>0</v>
          </cell>
          <cell r="BP149">
            <v>0</v>
          </cell>
          <cell r="BQ149">
            <v>0</v>
          </cell>
          <cell r="BR149">
            <v>0</v>
          </cell>
          <cell r="BS149">
            <v>0</v>
          </cell>
          <cell r="BT149">
            <v>8853</v>
          </cell>
          <cell r="BU149"/>
          <cell r="BV149"/>
          <cell r="BW149"/>
          <cell r="BX149"/>
          <cell r="BY149">
            <v>0</v>
          </cell>
          <cell r="BZ149">
            <v>0</v>
          </cell>
          <cell r="CA149">
            <v>0</v>
          </cell>
          <cell r="CB149">
            <v>0</v>
          </cell>
          <cell r="CC149">
            <v>225409</v>
          </cell>
          <cell r="CD149">
            <v>1453728</v>
          </cell>
          <cell r="CE149">
            <v>83703</v>
          </cell>
          <cell r="CF149">
            <v>-3415</v>
          </cell>
          <cell r="CG149">
            <v>83703</v>
          </cell>
          <cell r="CH149">
            <v>83703</v>
          </cell>
          <cell r="CI149">
            <v>83703</v>
          </cell>
          <cell r="CJ149">
            <v>83703</v>
          </cell>
          <cell r="CK149">
            <v>0</v>
          </cell>
          <cell r="CL149">
            <v>0</v>
          </cell>
          <cell r="CM149">
            <v>0</v>
          </cell>
          <cell r="CN149">
            <v>0</v>
          </cell>
          <cell r="CO149">
            <v>0</v>
          </cell>
          <cell r="CP149">
            <v>0</v>
          </cell>
          <cell r="CQ149">
            <v>239299</v>
          </cell>
          <cell r="CR149">
            <v>235488</v>
          </cell>
          <cell r="CS149">
            <v>235760</v>
          </cell>
          <cell r="CT149">
            <v>237203</v>
          </cell>
          <cell r="CU149">
            <v>238961</v>
          </cell>
          <cell r="CV149">
            <v>-10228</v>
          </cell>
          <cell r="CW149">
            <v>0</v>
          </cell>
          <cell r="CX149">
            <v>0</v>
          </cell>
          <cell r="CY149">
            <v>0</v>
          </cell>
          <cell r="CZ149">
            <v>0</v>
          </cell>
          <cell r="DA149">
            <v>0</v>
          </cell>
          <cell r="DB149"/>
          <cell r="DC149">
            <v>0</v>
          </cell>
          <cell r="DD149">
            <v>0</v>
          </cell>
          <cell r="DE149">
            <v>0</v>
          </cell>
          <cell r="DF149">
            <v>0</v>
          </cell>
          <cell r="DG149">
            <v>0</v>
          </cell>
          <cell r="DH149">
            <v>0</v>
          </cell>
          <cell r="DI149">
            <v>0</v>
          </cell>
          <cell r="DJ149">
            <v>0</v>
          </cell>
          <cell r="DK149">
            <v>0</v>
          </cell>
          <cell r="DL149">
            <v>0</v>
          </cell>
          <cell r="DM149"/>
          <cell r="DN149"/>
          <cell r="DO149"/>
          <cell r="DP149"/>
        </row>
        <row r="150">
          <cell r="A150">
            <v>340</v>
          </cell>
          <cell r="B150" t="str">
            <v>Rhenen</v>
          </cell>
          <cell r="C150">
            <v>6</v>
          </cell>
          <cell r="D150">
            <v>23387</v>
          </cell>
          <cell r="E150">
            <v>11693</v>
          </cell>
          <cell r="F150">
            <v>0</v>
          </cell>
          <cell r="G150">
            <v>39513</v>
          </cell>
          <cell r="H150">
            <v>-35206</v>
          </cell>
          <cell r="I150">
            <v>-18522</v>
          </cell>
          <cell r="J150"/>
          <cell r="K150">
            <v>0</v>
          </cell>
          <cell r="L150">
            <v>79565</v>
          </cell>
          <cell r="M150">
            <v>81897</v>
          </cell>
          <cell r="N150">
            <v>0</v>
          </cell>
          <cell r="O150">
            <v>0</v>
          </cell>
          <cell r="P150">
            <v>0</v>
          </cell>
          <cell r="Q150">
            <v>0</v>
          </cell>
          <cell r="R150">
            <v>0</v>
          </cell>
          <cell r="S150">
            <v>0</v>
          </cell>
          <cell r="T150">
            <v>0</v>
          </cell>
          <cell r="U150">
            <v>0</v>
          </cell>
          <cell r="V150">
            <v>0</v>
          </cell>
          <cell r="W150">
            <v>58388</v>
          </cell>
          <cell r="X150">
            <v>0</v>
          </cell>
          <cell r="Y150"/>
          <cell r="Z150">
            <v>0</v>
          </cell>
          <cell r="AA150">
            <v>0</v>
          </cell>
          <cell r="AB150">
            <v>0</v>
          </cell>
          <cell r="AC150"/>
          <cell r="AD150">
            <v>0</v>
          </cell>
          <cell r="AE150">
            <v>0</v>
          </cell>
          <cell r="AF150">
            <v>0</v>
          </cell>
          <cell r="AG150">
            <v>0</v>
          </cell>
          <cell r="AH150">
            <v>0</v>
          </cell>
          <cell r="AI150">
            <v>0</v>
          </cell>
          <cell r="AJ150">
            <v>0</v>
          </cell>
          <cell r="AK150">
            <v>0</v>
          </cell>
          <cell r="AL150"/>
          <cell r="AM150">
            <v>0</v>
          </cell>
          <cell r="AN150">
            <v>0</v>
          </cell>
          <cell r="AO150">
            <v>0</v>
          </cell>
          <cell r="AP150">
            <v>0</v>
          </cell>
          <cell r="AQ150">
            <v>0</v>
          </cell>
          <cell r="AR150">
            <v>0</v>
          </cell>
          <cell r="AS150">
            <v>0</v>
          </cell>
          <cell r="AT150">
            <v>0</v>
          </cell>
          <cell r="AU150">
            <v>4740</v>
          </cell>
          <cell r="AV150">
            <v>0</v>
          </cell>
          <cell r="AW150">
            <v>0</v>
          </cell>
          <cell r="AX150">
            <v>0</v>
          </cell>
          <cell r="AY150"/>
          <cell r="AZ150"/>
          <cell r="BA150">
            <v>0</v>
          </cell>
          <cell r="BB150"/>
          <cell r="BC150">
            <v>0</v>
          </cell>
          <cell r="BD150">
            <v>6879</v>
          </cell>
          <cell r="BE150"/>
          <cell r="BF150">
            <v>0</v>
          </cell>
          <cell r="BG150">
            <v>0</v>
          </cell>
          <cell r="BH150">
            <v>0</v>
          </cell>
          <cell r="BI150">
            <v>23038</v>
          </cell>
          <cell r="BJ150">
            <v>18964</v>
          </cell>
          <cell r="BK150">
            <v>18964</v>
          </cell>
          <cell r="BL150">
            <v>0</v>
          </cell>
          <cell r="BM150">
            <v>0</v>
          </cell>
          <cell r="BN150">
            <v>0</v>
          </cell>
          <cell r="BO150">
            <v>51561</v>
          </cell>
          <cell r="BP150">
            <v>14232.6</v>
          </cell>
          <cell r="BQ150">
            <v>25639.534883720899</v>
          </cell>
          <cell r="BR150">
            <v>0</v>
          </cell>
          <cell r="BS150">
            <v>0</v>
          </cell>
          <cell r="BT150">
            <v>35783</v>
          </cell>
          <cell r="BU150"/>
          <cell r="BV150"/>
          <cell r="BW150"/>
          <cell r="BX150"/>
          <cell r="BY150">
            <v>0</v>
          </cell>
          <cell r="BZ150">
            <v>0</v>
          </cell>
          <cell r="CA150">
            <v>0</v>
          </cell>
          <cell r="CB150">
            <v>0</v>
          </cell>
          <cell r="CC150">
            <v>1502911</v>
          </cell>
          <cell r="CD150">
            <v>7674627</v>
          </cell>
          <cell r="CE150">
            <v>519529</v>
          </cell>
          <cell r="CF150">
            <v>-38672</v>
          </cell>
          <cell r="CG150">
            <v>519529</v>
          </cell>
          <cell r="CH150">
            <v>519529</v>
          </cell>
          <cell r="CI150">
            <v>519529</v>
          </cell>
          <cell r="CJ150">
            <v>519529</v>
          </cell>
          <cell r="CK150">
            <v>0</v>
          </cell>
          <cell r="CL150">
            <v>0</v>
          </cell>
          <cell r="CM150">
            <v>0</v>
          </cell>
          <cell r="CN150">
            <v>0</v>
          </cell>
          <cell r="CO150">
            <v>0</v>
          </cell>
          <cell r="CP150">
            <v>-847</v>
          </cell>
          <cell r="CQ150">
            <v>1372902</v>
          </cell>
          <cell r="CR150">
            <v>1310574</v>
          </cell>
          <cell r="CS150">
            <v>1267086</v>
          </cell>
          <cell r="CT150">
            <v>1204657</v>
          </cell>
          <cell r="CU150">
            <v>1178416</v>
          </cell>
          <cell r="CV150">
            <v>-9425</v>
          </cell>
          <cell r="CW150">
            <v>0</v>
          </cell>
          <cell r="CX150">
            <v>0</v>
          </cell>
          <cell r="CY150">
            <v>0</v>
          </cell>
          <cell r="CZ150">
            <v>0</v>
          </cell>
          <cell r="DA150">
            <v>0</v>
          </cell>
          <cell r="DB150"/>
          <cell r="DC150">
            <v>0</v>
          </cell>
          <cell r="DD150">
            <v>0</v>
          </cell>
          <cell r="DE150">
            <v>0</v>
          </cell>
          <cell r="DF150">
            <v>0</v>
          </cell>
          <cell r="DG150">
            <v>0</v>
          </cell>
          <cell r="DH150">
            <v>0</v>
          </cell>
          <cell r="DI150">
            <v>0</v>
          </cell>
          <cell r="DJ150">
            <v>0</v>
          </cell>
          <cell r="DK150">
            <v>0</v>
          </cell>
          <cell r="DL150">
            <v>0</v>
          </cell>
          <cell r="DM150"/>
          <cell r="DN150"/>
          <cell r="DO150"/>
          <cell r="DP150"/>
        </row>
        <row r="151">
          <cell r="A151">
            <v>342</v>
          </cell>
          <cell r="B151" t="str">
            <v>Soest</v>
          </cell>
          <cell r="C151">
            <v>6</v>
          </cell>
          <cell r="D151">
            <v>-67485</v>
          </cell>
          <cell r="E151">
            <v>-33742</v>
          </cell>
          <cell r="F151">
            <v>0</v>
          </cell>
          <cell r="G151">
            <v>0</v>
          </cell>
          <cell r="H151">
            <v>0</v>
          </cell>
          <cell r="I151">
            <v>0</v>
          </cell>
          <cell r="J151"/>
          <cell r="K151">
            <v>0</v>
          </cell>
          <cell r="L151">
            <v>196136</v>
          </cell>
          <cell r="M151">
            <v>192625</v>
          </cell>
          <cell r="N151">
            <v>0</v>
          </cell>
          <cell r="O151">
            <v>0</v>
          </cell>
          <cell r="P151">
            <v>0</v>
          </cell>
          <cell r="Q151">
            <v>0</v>
          </cell>
          <cell r="R151">
            <v>0</v>
          </cell>
          <cell r="S151">
            <v>0</v>
          </cell>
          <cell r="T151">
            <v>0</v>
          </cell>
          <cell r="U151">
            <v>0</v>
          </cell>
          <cell r="V151">
            <v>0</v>
          </cell>
          <cell r="W151">
            <v>137385</v>
          </cell>
          <cell r="X151">
            <v>0</v>
          </cell>
          <cell r="Y151"/>
          <cell r="Z151">
            <v>0</v>
          </cell>
          <cell r="AA151">
            <v>0</v>
          </cell>
          <cell r="AB151">
            <v>0</v>
          </cell>
          <cell r="AC151"/>
          <cell r="AD151">
            <v>0</v>
          </cell>
          <cell r="AE151">
            <v>0</v>
          </cell>
          <cell r="AF151">
            <v>0</v>
          </cell>
          <cell r="AG151">
            <v>0</v>
          </cell>
          <cell r="AH151">
            <v>0</v>
          </cell>
          <cell r="AI151">
            <v>0</v>
          </cell>
          <cell r="AJ151">
            <v>0</v>
          </cell>
          <cell r="AK151">
            <v>0</v>
          </cell>
          <cell r="AL151"/>
          <cell r="AM151">
            <v>0</v>
          </cell>
          <cell r="AN151">
            <v>0</v>
          </cell>
          <cell r="AO151">
            <v>0</v>
          </cell>
          <cell r="AP151">
            <v>0</v>
          </cell>
          <cell r="AQ151">
            <v>0</v>
          </cell>
          <cell r="AR151">
            <v>0</v>
          </cell>
          <cell r="AS151">
            <v>0</v>
          </cell>
          <cell r="AT151">
            <v>0</v>
          </cell>
          <cell r="AU151">
            <v>4740</v>
          </cell>
          <cell r="AV151">
            <v>0</v>
          </cell>
          <cell r="AW151">
            <v>0</v>
          </cell>
          <cell r="AX151">
            <v>0</v>
          </cell>
          <cell r="AY151"/>
          <cell r="AZ151"/>
          <cell r="BA151">
            <v>0</v>
          </cell>
          <cell r="BB151"/>
          <cell r="BC151">
            <v>0</v>
          </cell>
          <cell r="BD151">
            <v>16103</v>
          </cell>
          <cell r="BE151"/>
          <cell r="BF151">
            <v>0</v>
          </cell>
          <cell r="BG151">
            <v>0</v>
          </cell>
          <cell r="BH151">
            <v>0</v>
          </cell>
          <cell r="BI151">
            <v>59234</v>
          </cell>
          <cell r="BJ151">
            <v>48758</v>
          </cell>
          <cell r="BK151">
            <v>48758</v>
          </cell>
          <cell r="BL151">
            <v>0</v>
          </cell>
          <cell r="BM151">
            <v>0</v>
          </cell>
          <cell r="BN151">
            <v>0</v>
          </cell>
          <cell r="BO151">
            <v>108473</v>
          </cell>
          <cell r="BP151">
            <v>17395.400000000001</v>
          </cell>
          <cell r="BQ151">
            <v>31337.209302325598</v>
          </cell>
          <cell r="BR151">
            <v>0</v>
          </cell>
          <cell r="BS151">
            <v>0</v>
          </cell>
          <cell r="BT151">
            <v>69733</v>
          </cell>
          <cell r="BU151"/>
          <cell r="BV151"/>
          <cell r="BW151"/>
          <cell r="BX151"/>
          <cell r="BY151">
            <v>0</v>
          </cell>
          <cell r="BZ151">
            <v>0</v>
          </cell>
          <cell r="CA151">
            <v>0</v>
          </cell>
          <cell r="CB151">
            <v>0</v>
          </cell>
          <cell r="CC151">
            <v>3353349</v>
          </cell>
          <cell r="CD151">
            <v>17346720</v>
          </cell>
          <cell r="CE151">
            <v>1078360</v>
          </cell>
          <cell r="CF151">
            <v>0</v>
          </cell>
          <cell r="CG151">
            <v>1078360</v>
          </cell>
          <cell r="CH151">
            <v>1078360</v>
          </cell>
          <cell r="CI151">
            <v>1078360</v>
          </cell>
          <cell r="CJ151">
            <v>1078360</v>
          </cell>
          <cell r="CK151">
            <v>0</v>
          </cell>
          <cell r="CL151">
            <v>0</v>
          </cell>
          <cell r="CM151">
            <v>0</v>
          </cell>
          <cell r="CN151">
            <v>0</v>
          </cell>
          <cell r="CO151">
            <v>0</v>
          </cell>
          <cell r="CP151">
            <v>0</v>
          </cell>
          <cell r="CQ151">
            <v>2889678</v>
          </cell>
          <cell r="CR151">
            <v>2780810</v>
          </cell>
          <cell r="CS151">
            <v>2722179</v>
          </cell>
          <cell r="CT151">
            <v>2616837</v>
          </cell>
          <cell r="CU151">
            <v>2586245</v>
          </cell>
          <cell r="CV151">
            <v>245</v>
          </cell>
          <cell r="CW151">
            <v>0</v>
          </cell>
          <cell r="CX151">
            <v>0</v>
          </cell>
          <cell r="CY151">
            <v>0</v>
          </cell>
          <cell r="CZ151">
            <v>0</v>
          </cell>
          <cell r="DA151">
            <v>0</v>
          </cell>
          <cell r="DB151"/>
          <cell r="DC151">
            <v>0</v>
          </cell>
          <cell r="DD151">
            <v>0</v>
          </cell>
          <cell r="DE151">
            <v>0</v>
          </cell>
          <cell r="DF151">
            <v>0</v>
          </cell>
          <cell r="DG151">
            <v>0</v>
          </cell>
          <cell r="DH151">
            <v>0</v>
          </cell>
          <cell r="DI151">
            <v>0</v>
          </cell>
          <cell r="DJ151">
            <v>0</v>
          </cell>
          <cell r="DK151">
            <v>0</v>
          </cell>
          <cell r="DL151">
            <v>0</v>
          </cell>
          <cell r="DM151"/>
          <cell r="DN151"/>
          <cell r="DO151"/>
          <cell r="DP151"/>
        </row>
        <row r="152">
          <cell r="A152">
            <v>1904</v>
          </cell>
          <cell r="B152" t="str">
            <v>Stichtse Vecht</v>
          </cell>
          <cell r="C152">
            <v>6</v>
          </cell>
          <cell r="D152">
            <v>-21754</v>
          </cell>
          <cell r="E152">
            <v>-10877</v>
          </cell>
          <cell r="F152">
            <v>0</v>
          </cell>
          <cell r="G152">
            <v>0</v>
          </cell>
          <cell r="H152">
            <v>0</v>
          </cell>
          <cell r="I152">
            <v>0</v>
          </cell>
          <cell r="J152"/>
          <cell r="K152">
            <v>0</v>
          </cell>
          <cell r="L152">
            <v>199598</v>
          </cell>
          <cell r="M152">
            <v>188554</v>
          </cell>
          <cell r="N152">
            <v>0</v>
          </cell>
          <cell r="O152">
            <v>0</v>
          </cell>
          <cell r="P152">
            <v>0</v>
          </cell>
          <cell r="Q152">
            <v>0</v>
          </cell>
          <cell r="R152">
            <v>0</v>
          </cell>
          <cell r="S152">
            <v>0</v>
          </cell>
          <cell r="T152">
            <v>0</v>
          </cell>
          <cell r="U152">
            <v>0</v>
          </cell>
          <cell r="V152">
            <v>3000</v>
          </cell>
          <cell r="W152">
            <v>254441</v>
          </cell>
          <cell r="X152">
            <v>0</v>
          </cell>
          <cell r="Y152"/>
          <cell r="Z152">
            <v>0</v>
          </cell>
          <cell r="AA152">
            <v>0</v>
          </cell>
          <cell r="AB152">
            <v>30000</v>
          </cell>
          <cell r="AC152"/>
          <cell r="AD152">
            <v>0</v>
          </cell>
          <cell r="AE152">
            <v>0</v>
          </cell>
          <cell r="AF152">
            <v>0</v>
          </cell>
          <cell r="AG152">
            <v>0</v>
          </cell>
          <cell r="AH152">
            <v>0</v>
          </cell>
          <cell r="AI152">
            <v>0</v>
          </cell>
          <cell r="AJ152">
            <v>0</v>
          </cell>
          <cell r="AK152">
            <v>0</v>
          </cell>
          <cell r="AL152"/>
          <cell r="AM152">
            <v>0</v>
          </cell>
          <cell r="AN152">
            <v>0</v>
          </cell>
          <cell r="AO152">
            <v>0</v>
          </cell>
          <cell r="AP152">
            <v>0</v>
          </cell>
          <cell r="AQ152">
            <v>0</v>
          </cell>
          <cell r="AR152">
            <v>0</v>
          </cell>
          <cell r="AS152">
            <v>0</v>
          </cell>
          <cell r="AT152">
            <v>0</v>
          </cell>
          <cell r="AU152">
            <v>4740</v>
          </cell>
          <cell r="AV152">
            <v>0</v>
          </cell>
          <cell r="AW152">
            <v>0</v>
          </cell>
          <cell r="AX152">
            <v>0</v>
          </cell>
          <cell r="AY152"/>
          <cell r="AZ152"/>
          <cell r="BA152">
            <v>0</v>
          </cell>
          <cell r="BB152"/>
          <cell r="BC152">
            <v>0</v>
          </cell>
          <cell r="BD152">
            <v>22624</v>
          </cell>
          <cell r="BE152"/>
          <cell r="BF152">
            <v>0</v>
          </cell>
          <cell r="BG152">
            <v>0</v>
          </cell>
          <cell r="BH152">
            <v>0</v>
          </cell>
          <cell r="BI152">
            <v>65633</v>
          </cell>
          <cell r="BJ152">
            <v>54025</v>
          </cell>
          <cell r="BK152">
            <v>54025</v>
          </cell>
          <cell r="BL152">
            <v>0</v>
          </cell>
          <cell r="BM152">
            <v>0</v>
          </cell>
          <cell r="BN152">
            <v>0</v>
          </cell>
          <cell r="BO152">
            <v>142037</v>
          </cell>
          <cell r="BP152">
            <v>36372.199999999997</v>
          </cell>
          <cell r="BQ152">
            <v>65523.255813953503</v>
          </cell>
          <cell r="BR152">
            <v>0</v>
          </cell>
          <cell r="BS152">
            <v>0</v>
          </cell>
          <cell r="BT152">
            <v>107494</v>
          </cell>
          <cell r="BU152"/>
          <cell r="BV152"/>
          <cell r="BW152"/>
          <cell r="BX152"/>
          <cell r="BY152">
            <v>0</v>
          </cell>
          <cell r="BZ152">
            <v>0</v>
          </cell>
          <cell r="CA152">
            <v>0</v>
          </cell>
          <cell r="CB152">
            <v>0</v>
          </cell>
          <cell r="CC152">
            <v>3815616</v>
          </cell>
          <cell r="CD152">
            <v>19942424</v>
          </cell>
          <cell r="CE152">
            <v>1338578</v>
          </cell>
          <cell r="CF152">
            <v>0</v>
          </cell>
          <cell r="CG152">
            <v>1338578</v>
          </cell>
          <cell r="CH152">
            <v>1338578</v>
          </cell>
          <cell r="CI152">
            <v>1338578</v>
          </cell>
          <cell r="CJ152">
            <v>1338578</v>
          </cell>
          <cell r="CK152">
            <v>0</v>
          </cell>
          <cell r="CL152">
            <v>0</v>
          </cell>
          <cell r="CM152">
            <v>0</v>
          </cell>
          <cell r="CN152">
            <v>0</v>
          </cell>
          <cell r="CO152">
            <v>0</v>
          </cell>
          <cell r="CP152">
            <v>0</v>
          </cell>
          <cell r="CQ152">
            <v>3270587</v>
          </cell>
          <cell r="CR152">
            <v>3120043</v>
          </cell>
          <cell r="CS152">
            <v>3067347</v>
          </cell>
          <cell r="CT152">
            <v>2992035</v>
          </cell>
          <cell r="CU152">
            <v>2939784</v>
          </cell>
          <cell r="CV152">
            <v>14011</v>
          </cell>
          <cell r="CW152">
            <v>0</v>
          </cell>
          <cell r="CX152">
            <v>0</v>
          </cell>
          <cell r="CY152">
            <v>0</v>
          </cell>
          <cell r="CZ152">
            <v>0</v>
          </cell>
          <cell r="DA152">
            <v>0</v>
          </cell>
          <cell r="DB152"/>
          <cell r="DC152">
            <v>200000</v>
          </cell>
          <cell r="DD152">
            <v>0</v>
          </cell>
          <cell r="DE152">
            <v>0</v>
          </cell>
          <cell r="DF152">
            <v>0</v>
          </cell>
          <cell r="DG152">
            <v>0</v>
          </cell>
          <cell r="DH152">
            <v>0</v>
          </cell>
          <cell r="DI152">
            <v>0</v>
          </cell>
          <cell r="DJ152">
            <v>0</v>
          </cell>
          <cell r="DK152">
            <v>0</v>
          </cell>
          <cell r="DL152">
            <v>0</v>
          </cell>
          <cell r="DM152"/>
          <cell r="DN152"/>
          <cell r="DO152"/>
          <cell r="DP152"/>
        </row>
        <row r="153">
          <cell r="A153">
            <v>344</v>
          </cell>
          <cell r="B153" t="str">
            <v>Utrecht</v>
          </cell>
          <cell r="C153">
            <v>6</v>
          </cell>
          <cell r="D153">
            <v>609254</v>
          </cell>
          <cell r="E153">
            <v>304627</v>
          </cell>
          <cell r="F153">
            <v>0</v>
          </cell>
          <cell r="G153">
            <v>0</v>
          </cell>
          <cell r="H153">
            <v>-186740</v>
          </cell>
          <cell r="I153">
            <v>-125250</v>
          </cell>
          <cell r="J153"/>
          <cell r="K153">
            <v>7773</v>
          </cell>
          <cell r="L153">
            <v>1826585</v>
          </cell>
          <cell r="M153">
            <v>1925821</v>
          </cell>
          <cell r="N153">
            <v>0</v>
          </cell>
          <cell r="O153">
            <v>0</v>
          </cell>
          <cell r="P153">
            <v>951227</v>
          </cell>
          <cell r="Q153">
            <v>0</v>
          </cell>
          <cell r="R153">
            <v>0</v>
          </cell>
          <cell r="S153">
            <v>5789530</v>
          </cell>
          <cell r="T153">
            <v>4811154</v>
          </cell>
          <cell r="U153">
            <v>5289530</v>
          </cell>
          <cell r="V153">
            <v>9000</v>
          </cell>
          <cell r="W153">
            <v>980832</v>
          </cell>
          <cell r="X153">
            <v>0</v>
          </cell>
          <cell r="Y153"/>
          <cell r="Z153">
            <v>0</v>
          </cell>
          <cell r="AA153">
            <v>40000</v>
          </cell>
          <cell r="AB153">
            <v>0</v>
          </cell>
          <cell r="AC153"/>
          <cell r="AD153">
            <v>479122</v>
          </cell>
          <cell r="AE153">
            <v>0</v>
          </cell>
          <cell r="AF153">
            <v>0</v>
          </cell>
          <cell r="AG153">
            <v>0</v>
          </cell>
          <cell r="AH153">
            <v>0</v>
          </cell>
          <cell r="AI153">
            <v>0</v>
          </cell>
          <cell r="AJ153">
            <v>0</v>
          </cell>
          <cell r="AK153">
            <v>907524</v>
          </cell>
          <cell r="AL153"/>
          <cell r="AM153">
            <v>0</v>
          </cell>
          <cell r="AN153">
            <v>0</v>
          </cell>
          <cell r="AO153">
            <v>0</v>
          </cell>
          <cell r="AP153">
            <v>0</v>
          </cell>
          <cell r="AQ153">
            <v>0</v>
          </cell>
          <cell r="AR153">
            <v>0</v>
          </cell>
          <cell r="AS153">
            <v>0</v>
          </cell>
          <cell r="AT153">
            <v>50000</v>
          </cell>
          <cell r="AU153">
            <v>18960</v>
          </cell>
          <cell r="AV153">
            <v>24048457.5636383</v>
          </cell>
          <cell r="AW153">
            <v>111543</v>
          </cell>
          <cell r="AX153">
            <v>333333</v>
          </cell>
          <cell r="AY153"/>
          <cell r="AZ153"/>
          <cell r="BA153">
            <v>0</v>
          </cell>
          <cell r="BB153"/>
          <cell r="BC153">
            <v>0</v>
          </cell>
          <cell r="BD153">
            <v>120419</v>
          </cell>
          <cell r="BE153"/>
          <cell r="BF153">
            <v>0</v>
          </cell>
          <cell r="BG153">
            <v>0</v>
          </cell>
          <cell r="BH153">
            <v>0</v>
          </cell>
          <cell r="BI153">
            <v>536021</v>
          </cell>
          <cell r="BJ153">
            <v>441225</v>
          </cell>
          <cell r="BK153">
            <v>441225</v>
          </cell>
          <cell r="BL153">
            <v>0</v>
          </cell>
          <cell r="BM153">
            <v>85760</v>
          </cell>
          <cell r="BN153">
            <v>546700</v>
          </cell>
          <cell r="BO153">
            <v>430002</v>
          </cell>
          <cell r="BP153">
            <v>110698</v>
          </cell>
          <cell r="BQ153">
            <v>199418.60465116301</v>
          </cell>
          <cell r="BR153">
            <v>817710</v>
          </cell>
          <cell r="BS153">
            <v>0</v>
          </cell>
          <cell r="BT153">
            <v>567558</v>
          </cell>
          <cell r="BU153"/>
          <cell r="BV153"/>
          <cell r="BW153"/>
          <cell r="BX153"/>
          <cell r="BY153">
            <v>6957998.0822187299</v>
          </cell>
          <cell r="BZ153">
            <v>8318397.2181683304</v>
          </cell>
          <cell r="CA153">
            <v>8408984.0790283494</v>
          </cell>
          <cell r="CB153">
            <v>8664758.7449860405</v>
          </cell>
          <cell r="CC153">
            <v>16209594</v>
          </cell>
          <cell r="CD153">
            <v>219043986</v>
          </cell>
          <cell r="CE153">
            <v>12838055</v>
          </cell>
          <cell r="CF153">
            <v>-37936</v>
          </cell>
          <cell r="CG153">
            <v>12723055</v>
          </cell>
          <cell r="CH153">
            <v>12723055</v>
          </cell>
          <cell r="CI153">
            <v>12723055</v>
          </cell>
          <cell r="CJ153">
            <v>12723055</v>
          </cell>
          <cell r="CK153">
            <v>92265896</v>
          </cell>
          <cell r="CL153">
            <v>92221334</v>
          </cell>
          <cell r="CM153">
            <v>92220613</v>
          </cell>
          <cell r="CN153">
            <v>92219028</v>
          </cell>
          <cell r="CO153">
            <v>92221225</v>
          </cell>
          <cell r="CP153">
            <v>-38764</v>
          </cell>
          <cell r="CQ153">
            <v>19838116</v>
          </cell>
          <cell r="CR153">
            <v>18901464</v>
          </cell>
          <cell r="CS153">
            <v>18254331</v>
          </cell>
          <cell r="CT153">
            <v>17821158</v>
          </cell>
          <cell r="CU153">
            <v>17303834</v>
          </cell>
          <cell r="CV153">
            <v>-1750777</v>
          </cell>
          <cell r="CW153">
            <v>0</v>
          </cell>
          <cell r="CX153">
            <v>0</v>
          </cell>
          <cell r="CY153">
            <v>0</v>
          </cell>
          <cell r="CZ153">
            <v>0</v>
          </cell>
          <cell r="DA153">
            <v>80000</v>
          </cell>
          <cell r="DB153"/>
          <cell r="DC153">
            <v>0</v>
          </cell>
          <cell r="DD153">
            <v>0</v>
          </cell>
          <cell r="DE153">
            <v>0</v>
          </cell>
          <cell r="DF153">
            <v>0</v>
          </cell>
          <cell r="DG153">
            <v>0</v>
          </cell>
          <cell r="DH153">
            <v>0</v>
          </cell>
          <cell r="DI153">
            <v>0</v>
          </cell>
          <cell r="DJ153">
            <v>0</v>
          </cell>
          <cell r="DK153">
            <v>0</v>
          </cell>
          <cell r="DL153">
            <v>0</v>
          </cell>
          <cell r="DM153"/>
          <cell r="DN153"/>
          <cell r="DO153"/>
          <cell r="DP153"/>
        </row>
        <row r="154">
          <cell r="A154">
            <v>1581</v>
          </cell>
          <cell r="B154" t="str">
            <v>Utrechtse Heuvelrug</v>
          </cell>
          <cell r="C154">
            <v>6</v>
          </cell>
          <cell r="D154">
            <v>-2804</v>
          </cell>
          <cell r="E154">
            <v>-1402</v>
          </cell>
          <cell r="F154">
            <v>0</v>
          </cell>
          <cell r="G154">
            <v>0</v>
          </cell>
          <cell r="H154">
            <v>0</v>
          </cell>
          <cell r="I154">
            <v>0</v>
          </cell>
          <cell r="J154"/>
          <cell r="K154">
            <v>0</v>
          </cell>
          <cell r="L154">
            <v>147749</v>
          </cell>
          <cell r="M154">
            <v>143225</v>
          </cell>
          <cell r="N154">
            <v>0</v>
          </cell>
          <cell r="O154">
            <v>0</v>
          </cell>
          <cell r="P154">
            <v>0</v>
          </cell>
          <cell r="Q154">
            <v>0</v>
          </cell>
          <cell r="R154">
            <v>0</v>
          </cell>
          <cell r="S154">
            <v>0</v>
          </cell>
          <cell r="T154">
            <v>0</v>
          </cell>
          <cell r="U154">
            <v>0</v>
          </cell>
          <cell r="V154">
            <v>0</v>
          </cell>
          <cell r="W154">
            <v>195156</v>
          </cell>
          <cell r="X154">
            <v>0</v>
          </cell>
          <cell r="Y154"/>
          <cell r="Z154">
            <v>0</v>
          </cell>
          <cell r="AA154">
            <v>0</v>
          </cell>
          <cell r="AB154">
            <v>0</v>
          </cell>
          <cell r="AC154"/>
          <cell r="AD154">
            <v>0</v>
          </cell>
          <cell r="AE154">
            <v>0</v>
          </cell>
          <cell r="AF154">
            <v>0</v>
          </cell>
          <cell r="AG154">
            <v>0</v>
          </cell>
          <cell r="AH154">
            <v>0</v>
          </cell>
          <cell r="AI154">
            <v>0</v>
          </cell>
          <cell r="AJ154">
            <v>0</v>
          </cell>
          <cell r="AK154">
            <v>0</v>
          </cell>
          <cell r="AL154"/>
          <cell r="AM154">
            <v>0</v>
          </cell>
          <cell r="AN154">
            <v>0</v>
          </cell>
          <cell r="AO154">
            <v>0</v>
          </cell>
          <cell r="AP154">
            <v>0</v>
          </cell>
          <cell r="AQ154">
            <v>0</v>
          </cell>
          <cell r="AR154">
            <v>0</v>
          </cell>
          <cell r="AS154">
            <v>0</v>
          </cell>
          <cell r="AT154">
            <v>0</v>
          </cell>
          <cell r="AU154">
            <v>0</v>
          </cell>
          <cell r="AV154">
            <v>0</v>
          </cell>
          <cell r="AW154">
            <v>0</v>
          </cell>
          <cell r="AX154">
            <v>0</v>
          </cell>
          <cell r="AY154"/>
          <cell r="AZ154"/>
          <cell r="BA154">
            <v>0</v>
          </cell>
          <cell r="BB154"/>
          <cell r="BC154">
            <v>0</v>
          </cell>
          <cell r="BD154">
            <v>17213</v>
          </cell>
          <cell r="BE154"/>
          <cell r="BF154">
            <v>0</v>
          </cell>
          <cell r="BG154">
            <v>0</v>
          </cell>
          <cell r="BH154">
            <v>0</v>
          </cell>
          <cell r="BI154">
            <v>50322</v>
          </cell>
          <cell r="BJ154">
            <v>41423</v>
          </cell>
          <cell r="BK154">
            <v>41423</v>
          </cell>
          <cell r="BL154">
            <v>0</v>
          </cell>
          <cell r="BM154">
            <v>0</v>
          </cell>
          <cell r="BN154">
            <v>0</v>
          </cell>
          <cell r="BO154">
            <v>127444</v>
          </cell>
          <cell r="BP154">
            <v>23721</v>
          </cell>
          <cell r="BQ154">
            <v>42732.5581395349</v>
          </cell>
          <cell r="BR154">
            <v>0</v>
          </cell>
          <cell r="BS154">
            <v>0</v>
          </cell>
          <cell r="BT154">
            <v>81767</v>
          </cell>
          <cell r="BU154"/>
          <cell r="BV154"/>
          <cell r="BW154"/>
          <cell r="BX154"/>
          <cell r="BY154">
            <v>0</v>
          </cell>
          <cell r="BZ154">
            <v>0</v>
          </cell>
          <cell r="CA154">
            <v>0</v>
          </cell>
          <cell r="CB154">
            <v>0</v>
          </cell>
          <cell r="CC154">
            <v>3589355</v>
          </cell>
          <cell r="CD154">
            <v>18379826</v>
          </cell>
          <cell r="CE154">
            <v>3667717</v>
          </cell>
          <cell r="CF154">
            <v>0</v>
          </cell>
          <cell r="CG154">
            <v>3667717</v>
          </cell>
          <cell r="CH154">
            <v>3667717</v>
          </cell>
          <cell r="CI154">
            <v>3667717</v>
          </cell>
          <cell r="CJ154">
            <v>3667717</v>
          </cell>
          <cell r="CK154">
            <v>0</v>
          </cell>
          <cell r="CL154">
            <v>0</v>
          </cell>
          <cell r="CM154">
            <v>0</v>
          </cell>
          <cell r="CN154">
            <v>0</v>
          </cell>
          <cell r="CO154">
            <v>0</v>
          </cell>
          <cell r="CP154">
            <v>0</v>
          </cell>
          <cell r="CQ154">
            <v>1686291</v>
          </cell>
          <cell r="CR154">
            <v>1617318</v>
          </cell>
          <cell r="CS154">
            <v>1571070</v>
          </cell>
          <cell r="CT154">
            <v>1551175</v>
          </cell>
          <cell r="CU154">
            <v>1516651</v>
          </cell>
          <cell r="CV154">
            <v>19894</v>
          </cell>
          <cell r="CW154">
            <v>0</v>
          </cell>
          <cell r="CX154">
            <v>0</v>
          </cell>
          <cell r="CY154">
            <v>0</v>
          </cell>
          <cell r="CZ154">
            <v>0</v>
          </cell>
          <cell r="DA154">
            <v>0</v>
          </cell>
          <cell r="DB154"/>
          <cell r="DC154">
            <v>0</v>
          </cell>
          <cell r="DD154">
            <v>0</v>
          </cell>
          <cell r="DE154">
            <v>0</v>
          </cell>
          <cell r="DF154">
            <v>0</v>
          </cell>
          <cell r="DG154">
            <v>0</v>
          </cell>
          <cell r="DH154">
            <v>0</v>
          </cell>
          <cell r="DI154">
            <v>0</v>
          </cell>
          <cell r="DJ154">
            <v>0</v>
          </cell>
          <cell r="DK154">
            <v>0</v>
          </cell>
          <cell r="DL154">
            <v>0</v>
          </cell>
          <cell r="DM154"/>
          <cell r="DN154"/>
          <cell r="DO154"/>
          <cell r="DP154"/>
        </row>
        <row r="155">
          <cell r="A155">
            <v>345</v>
          </cell>
          <cell r="B155" t="str">
            <v>Veenendaal</v>
          </cell>
          <cell r="C155">
            <v>6</v>
          </cell>
          <cell r="D155">
            <v>-26765</v>
          </cell>
          <cell r="E155">
            <v>-13383</v>
          </cell>
          <cell r="F155">
            <v>0</v>
          </cell>
          <cell r="G155">
            <v>247081</v>
          </cell>
          <cell r="H155">
            <v>0</v>
          </cell>
          <cell r="I155">
            <v>0</v>
          </cell>
          <cell r="J155"/>
          <cell r="K155">
            <v>0</v>
          </cell>
          <cell r="L155">
            <v>331768</v>
          </cell>
          <cell r="M155">
            <v>340635</v>
          </cell>
          <cell r="N155">
            <v>0</v>
          </cell>
          <cell r="O155">
            <v>0</v>
          </cell>
          <cell r="P155">
            <v>0</v>
          </cell>
          <cell r="Q155">
            <v>0</v>
          </cell>
          <cell r="R155">
            <v>0</v>
          </cell>
          <cell r="S155">
            <v>0</v>
          </cell>
          <cell r="T155">
            <v>0</v>
          </cell>
          <cell r="U155">
            <v>0</v>
          </cell>
          <cell r="V155">
            <v>15000</v>
          </cell>
          <cell r="W155">
            <v>167690</v>
          </cell>
          <cell r="X155">
            <v>0</v>
          </cell>
          <cell r="Y155"/>
          <cell r="Z155">
            <v>0</v>
          </cell>
          <cell r="AA155">
            <v>0</v>
          </cell>
          <cell r="AB155">
            <v>0</v>
          </cell>
          <cell r="AC155"/>
          <cell r="AD155">
            <v>44001</v>
          </cell>
          <cell r="AE155">
            <v>0</v>
          </cell>
          <cell r="AF155">
            <v>0</v>
          </cell>
          <cell r="AG155">
            <v>0</v>
          </cell>
          <cell r="AH155">
            <v>0</v>
          </cell>
          <cell r="AI155">
            <v>0</v>
          </cell>
          <cell r="AJ155">
            <v>0</v>
          </cell>
          <cell r="AK155">
            <v>0</v>
          </cell>
          <cell r="AL155"/>
          <cell r="AM155">
            <v>0</v>
          </cell>
          <cell r="AN155">
            <v>0</v>
          </cell>
          <cell r="AO155">
            <v>0</v>
          </cell>
          <cell r="AP155">
            <v>0</v>
          </cell>
          <cell r="AQ155">
            <v>0</v>
          </cell>
          <cell r="AR155">
            <v>0</v>
          </cell>
          <cell r="AS155">
            <v>0</v>
          </cell>
          <cell r="AT155">
            <v>0</v>
          </cell>
          <cell r="AU155">
            <v>9480</v>
          </cell>
          <cell r="AV155">
            <v>0</v>
          </cell>
          <cell r="AW155">
            <v>0</v>
          </cell>
          <cell r="AX155">
            <v>0</v>
          </cell>
          <cell r="AY155"/>
          <cell r="AZ155"/>
          <cell r="BA155">
            <v>0</v>
          </cell>
          <cell r="BB155"/>
          <cell r="BC155">
            <v>0</v>
          </cell>
          <cell r="BD155">
            <v>22564</v>
          </cell>
          <cell r="BE155"/>
          <cell r="BF155">
            <v>0</v>
          </cell>
          <cell r="BG155">
            <v>0</v>
          </cell>
          <cell r="BH155">
            <v>0</v>
          </cell>
          <cell r="BI155">
            <v>91439</v>
          </cell>
          <cell r="BJ155">
            <v>75268</v>
          </cell>
          <cell r="BK155">
            <v>75268</v>
          </cell>
          <cell r="BL155">
            <v>0</v>
          </cell>
          <cell r="BM155">
            <v>0</v>
          </cell>
          <cell r="BN155">
            <v>0</v>
          </cell>
          <cell r="BO155">
            <v>81233</v>
          </cell>
          <cell r="BP155">
            <v>41116.400000000001</v>
          </cell>
          <cell r="BQ155">
            <v>74069.767441860502</v>
          </cell>
          <cell r="BR155">
            <v>0</v>
          </cell>
          <cell r="BS155">
            <v>0</v>
          </cell>
          <cell r="BT155">
            <v>108827</v>
          </cell>
          <cell r="BU155"/>
          <cell r="BV155"/>
          <cell r="BW155"/>
          <cell r="BX155"/>
          <cell r="BY155">
            <v>0</v>
          </cell>
          <cell r="BZ155">
            <v>0</v>
          </cell>
          <cell r="CA155">
            <v>0</v>
          </cell>
          <cell r="CB155">
            <v>0</v>
          </cell>
          <cell r="CC155">
            <v>4752675</v>
          </cell>
          <cell r="CD155">
            <v>32550096</v>
          </cell>
          <cell r="CE155">
            <v>2070282</v>
          </cell>
          <cell r="CF155">
            <v>0</v>
          </cell>
          <cell r="CG155">
            <v>2070282</v>
          </cell>
          <cell r="CH155">
            <v>2070282</v>
          </cell>
          <cell r="CI155">
            <v>2070282</v>
          </cell>
          <cell r="CJ155">
            <v>2070282</v>
          </cell>
          <cell r="CK155">
            <v>0</v>
          </cell>
          <cell r="CL155">
            <v>0</v>
          </cell>
          <cell r="CM155">
            <v>0</v>
          </cell>
          <cell r="CN155">
            <v>0</v>
          </cell>
          <cell r="CO155">
            <v>0</v>
          </cell>
          <cell r="CP155">
            <v>0</v>
          </cell>
          <cell r="CQ155">
            <v>7174448</v>
          </cell>
          <cell r="CR155">
            <v>6866246</v>
          </cell>
          <cell r="CS155">
            <v>6714532</v>
          </cell>
          <cell r="CT155">
            <v>6510876</v>
          </cell>
          <cell r="CU155">
            <v>6434483</v>
          </cell>
          <cell r="CV155">
            <v>-81317</v>
          </cell>
          <cell r="CW155">
            <v>0</v>
          </cell>
          <cell r="CX155">
            <v>0</v>
          </cell>
          <cell r="CY155">
            <v>0</v>
          </cell>
          <cell r="CZ155">
            <v>0</v>
          </cell>
          <cell r="DA155">
            <v>0</v>
          </cell>
          <cell r="DB155"/>
          <cell r="DC155">
            <v>0</v>
          </cell>
          <cell r="DD155">
            <v>0</v>
          </cell>
          <cell r="DE155">
            <v>0</v>
          </cell>
          <cell r="DF155">
            <v>0</v>
          </cell>
          <cell r="DG155">
            <v>0</v>
          </cell>
          <cell r="DH155">
            <v>0</v>
          </cell>
          <cell r="DI155">
            <v>0</v>
          </cell>
          <cell r="DJ155">
            <v>0</v>
          </cell>
          <cell r="DK155">
            <v>0</v>
          </cell>
          <cell r="DL155">
            <v>0</v>
          </cell>
          <cell r="DM155"/>
          <cell r="DN155"/>
          <cell r="DO155"/>
          <cell r="DP155"/>
        </row>
        <row r="156">
          <cell r="A156">
            <v>620</v>
          </cell>
          <cell r="B156" t="str">
            <v>Vianen</v>
          </cell>
          <cell r="C156">
            <v>6</v>
          </cell>
          <cell r="D156">
            <v>-51022</v>
          </cell>
          <cell r="E156">
            <v>-25511</v>
          </cell>
          <cell r="F156">
            <v>0</v>
          </cell>
          <cell r="G156">
            <v>0</v>
          </cell>
          <cell r="H156">
            <v>-12331</v>
          </cell>
          <cell r="I156">
            <v>-6828</v>
          </cell>
          <cell r="J156"/>
          <cell r="K156">
            <v>0</v>
          </cell>
          <cell r="L156">
            <v>76680</v>
          </cell>
          <cell r="M156">
            <v>77112</v>
          </cell>
          <cell r="N156">
            <v>0</v>
          </cell>
          <cell r="O156">
            <v>0</v>
          </cell>
          <cell r="P156">
            <v>0</v>
          </cell>
          <cell r="Q156">
            <v>0</v>
          </cell>
          <cell r="R156">
            <v>0</v>
          </cell>
          <cell r="S156">
            <v>0</v>
          </cell>
          <cell r="T156">
            <v>0</v>
          </cell>
          <cell r="U156">
            <v>0</v>
          </cell>
          <cell r="V156">
            <v>0</v>
          </cell>
          <cell r="W156">
            <v>82999</v>
          </cell>
          <cell r="X156">
            <v>0</v>
          </cell>
          <cell r="Y156"/>
          <cell r="Z156">
            <v>0</v>
          </cell>
          <cell r="AA156">
            <v>0</v>
          </cell>
          <cell r="AB156">
            <v>0</v>
          </cell>
          <cell r="AC156"/>
          <cell r="AD156">
            <v>20000</v>
          </cell>
          <cell r="AE156">
            <v>0</v>
          </cell>
          <cell r="AF156">
            <v>0</v>
          </cell>
          <cell r="AG156">
            <v>0</v>
          </cell>
          <cell r="AH156">
            <v>0</v>
          </cell>
          <cell r="AI156">
            <v>0</v>
          </cell>
          <cell r="AJ156">
            <v>0</v>
          </cell>
          <cell r="AK156">
            <v>0</v>
          </cell>
          <cell r="AL156"/>
          <cell r="AM156">
            <v>33161</v>
          </cell>
          <cell r="AN156">
            <v>33924</v>
          </cell>
          <cell r="AO156">
            <v>34704</v>
          </cell>
          <cell r="AP156">
            <v>35503</v>
          </cell>
          <cell r="AQ156">
            <v>36319</v>
          </cell>
          <cell r="AR156">
            <v>37154</v>
          </cell>
          <cell r="AS156">
            <v>0</v>
          </cell>
          <cell r="AT156">
            <v>0</v>
          </cell>
          <cell r="AU156">
            <v>0</v>
          </cell>
          <cell r="AV156">
            <v>0</v>
          </cell>
          <cell r="AW156">
            <v>0</v>
          </cell>
          <cell r="AX156">
            <v>0</v>
          </cell>
          <cell r="AY156"/>
          <cell r="AZ156"/>
          <cell r="BA156">
            <v>0</v>
          </cell>
          <cell r="BB156"/>
          <cell r="BC156">
            <v>0</v>
          </cell>
          <cell r="BD156">
            <v>34587</v>
          </cell>
          <cell r="BE156"/>
          <cell r="BF156">
            <v>0</v>
          </cell>
          <cell r="BG156">
            <v>0</v>
          </cell>
          <cell r="BH156">
            <v>0</v>
          </cell>
          <cell r="BI156">
            <v>23768</v>
          </cell>
          <cell r="BJ156">
            <v>19565</v>
          </cell>
          <cell r="BK156">
            <v>19565</v>
          </cell>
          <cell r="BL156">
            <v>0</v>
          </cell>
          <cell r="BM156">
            <v>0</v>
          </cell>
          <cell r="BN156">
            <v>0</v>
          </cell>
          <cell r="BO156">
            <v>105555</v>
          </cell>
          <cell r="BP156">
            <v>11069.8</v>
          </cell>
          <cell r="BQ156">
            <v>19941.8604651163</v>
          </cell>
          <cell r="BR156">
            <v>0</v>
          </cell>
          <cell r="BS156">
            <v>0</v>
          </cell>
          <cell r="BT156">
            <v>32045</v>
          </cell>
          <cell r="BU156"/>
          <cell r="BV156"/>
          <cell r="BW156"/>
          <cell r="BX156"/>
          <cell r="BY156">
            <v>0</v>
          </cell>
          <cell r="BZ156">
            <v>0</v>
          </cell>
          <cell r="CA156">
            <v>0</v>
          </cell>
          <cell r="CB156">
            <v>0</v>
          </cell>
          <cell r="CC156">
            <v>1350657</v>
          </cell>
          <cell r="CD156">
            <v>6535623</v>
          </cell>
          <cell r="CE156">
            <v>328753</v>
          </cell>
          <cell r="CF156">
            <v>-6796</v>
          </cell>
          <cell r="CG156">
            <v>328753</v>
          </cell>
          <cell r="CH156">
            <v>328753</v>
          </cell>
          <cell r="CI156">
            <v>328753</v>
          </cell>
          <cell r="CJ156">
            <v>328753</v>
          </cell>
          <cell r="CK156">
            <v>0</v>
          </cell>
          <cell r="CL156">
            <v>0</v>
          </cell>
          <cell r="CM156">
            <v>0</v>
          </cell>
          <cell r="CN156">
            <v>0</v>
          </cell>
          <cell r="CO156">
            <v>0</v>
          </cell>
          <cell r="CP156">
            <v>-1447</v>
          </cell>
          <cell r="CQ156">
            <v>660293</v>
          </cell>
          <cell r="CR156">
            <v>648586</v>
          </cell>
          <cell r="CS156">
            <v>648807</v>
          </cell>
          <cell r="CT156">
            <v>636244</v>
          </cell>
          <cell r="CU156">
            <v>640925</v>
          </cell>
          <cell r="CV156">
            <v>-183</v>
          </cell>
          <cell r="CW156">
            <v>0</v>
          </cell>
          <cell r="CX156">
            <v>0</v>
          </cell>
          <cell r="CY156">
            <v>0</v>
          </cell>
          <cell r="CZ156">
            <v>0</v>
          </cell>
          <cell r="DA156">
            <v>0</v>
          </cell>
          <cell r="DB156"/>
          <cell r="DC156">
            <v>0</v>
          </cell>
          <cell r="DD156">
            <v>0</v>
          </cell>
          <cell r="DE156">
            <v>0</v>
          </cell>
          <cell r="DF156">
            <v>0</v>
          </cell>
          <cell r="DG156">
            <v>0</v>
          </cell>
          <cell r="DH156">
            <v>0</v>
          </cell>
          <cell r="DI156">
            <v>0</v>
          </cell>
          <cell r="DJ156">
            <v>0</v>
          </cell>
          <cell r="DK156">
            <v>0</v>
          </cell>
          <cell r="DL156">
            <v>0</v>
          </cell>
          <cell r="DM156"/>
          <cell r="DN156"/>
          <cell r="DO156"/>
          <cell r="DP156"/>
        </row>
        <row r="157">
          <cell r="A157">
            <v>352</v>
          </cell>
          <cell r="B157" t="str">
            <v>Wijk bij Duurstede</v>
          </cell>
          <cell r="C157">
            <v>6</v>
          </cell>
          <cell r="D157">
            <v>9505</v>
          </cell>
          <cell r="E157">
            <v>4752</v>
          </cell>
          <cell r="F157">
            <v>0</v>
          </cell>
          <cell r="G157">
            <v>0</v>
          </cell>
          <cell r="H157">
            <v>0</v>
          </cell>
          <cell r="I157">
            <v>0</v>
          </cell>
          <cell r="J157"/>
          <cell r="K157">
            <v>0</v>
          </cell>
          <cell r="L157">
            <v>71168</v>
          </cell>
          <cell r="M157">
            <v>71160</v>
          </cell>
          <cell r="N157">
            <v>0</v>
          </cell>
          <cell r="O157">
            <v>0</v>
          </cell>
          <cell r="P157">
            <v>0</v>
          </cell>
          <cell r="Q157">
            <v>0</v>
          </cell>
          <cell r="R157">
            <v>0</v>
          </cell>
          <cell r="S157">
            <v>0</v>
          </cell>
          <cell r="T157">
            <v>0</v>
          </cell>
          <cell r="U157">
            <v>0</v>
          </cell>
          <cell r="V157">
            <v>0</v>
          </cell>
          <cell r="W157">
            <v>62631</v>
          </cell>
          <cell r="X157">
            <v>0</v>
          </cell>
          <cell r="Y157"/>
          <cell r="Z157">
            <v>0</v>
          </cell>
          <cell r="AA157">
            <v>0</v>
          </cell>
          <cell r="AB157">
            <v>0</v>
          </cell>
          <cell r="AC157"/>
          <cell r="AD157">
            <v>0</v>
          </cell>
          <cell r="AE157">
            <v>0</v>
          </cell>
          <cell r="AF157">
            <v>0</v>
          </cell>
          <cell r="AG157">
            <v>0</v>
          </cell>
          <cell r="AH157">
            <v>0</v>
          </cell>
          <cell r="AI157">
            <v>0</v>
          </cell>
          <cell r="AJ157">
            <v>0</v>
          </cell>
          <cell r="AK157">
            <v>0</v>
          </cell>
          <cell r="AL157"/>
          <cell r="AM157">
            <v>0</v>
          </cell>
          <cell r="AN157">
            <v>0</v>
          </cell>
          <cell r="AO157">
            <v>0</v>
          </cell>
          <cell r="AP157">
            <v>0</v>
          </cell>
          <cell r="AQ157">
            <v>0</v>
          </cell>
          <cell r="AR157">
            <v>0</v>
          </cell>
          <cell r="AS157">
            <v>0</v>
          </cell>
          <cell r="AT157">
            <v>0</v>
          </cell>
          <cell r="AU157">
            <v>0</v>
          </cell>
          <cell r="AV157">
            <v>0</v>
          </cell>
          <cell r="AW157">
            <v>0</v>
          </cell>
          <cell r="AX157">
            <v>0</v>
          </cell>
          <cell r="AY157"/>
          <cell r="AZ157"/>
          <cell r="BA157">
            <v>0</v>
          </cell>
          <cell r="BB157"/>
          <cell r="BC157">
            <v>0</v>
          </cell>
          <cell r="BD157">
            <v>8250</v>
          </cell>
          <cell r="BE157"/>
          <cell r="BF157">
            <v>0</v>
          </cell>
          <cell r="BG157">
            <v>0</v>
          </cell>
          <cell r="BH157">
            <v>0</v>
          </cell>
          <cell r="BI157">
            <v>21249</v>
          </cell>
          <cell r="BJ157">
            <v>17491</v>
          </cell>
          <cell r="BK157">
            <v>17491</v>
          </cell>
          <cell r="BL157">
            <v>0</v>
          </cell>
          <cell r="BM157">
            <v>0</v>
          </cell>
          <cell r="BN157">
            <v>0</v>
          </cell>
          <cell r="BO157">
            <v>42806</v>
          </cell>
          <cell r="BP157">
            <v>11069.8</v>
          </cell>
          <cell r="BQ157">
            <v>19941.8604651163</v>
          </cell>
          <cell r="BR157">
            <v>0</v>
          </cell>
          <cell r="BS157">
            <v>0</v>
          </cell>
          <cell r="BT157">
            <v>35421</v>
          </cell>
          <cell r="BU157"/>
          <cell r="BV157"/>
          <cell r="BW157"/>
          <cell r="BX157"/>
          <cell r="BY157">
            <v>0</v>
          </cell>
          <cell r="BZ157">
            <v>0</v>
          </cell>
          <cell r="CA157">
            <v>0</v>
          </cell>
          <cell r="CB157">
            <v>0</v>
          </cell>
          <cell r="CC157">
            <v>1359034</v>
          </cell>
          <cell r="CD157">
            <v>8478542</v>
          </cell>
          <cell r="CE157">
            <v>639051</v>
          </cell>
          <cell r="CF157">
            <v>0</v>
          </cell>
          <cell r="CG157">
            <v>639051</v>
          </cell>
          <cell r="CH157">
            <v>639051</v>
          </cell>
          <cell r="CI157">
            <v>639051</v>
          </cell>
          <cell r="CJ157">
            <v>639051</v>
          </cell>
          <cell r="CK157">
            <v>0</v>
          </cell>
          <cell r="CL157">
            <v>0</v>
          </cell>
          <cell r="CM157">
            <v>0</v>
          </cell>
          <cell r="CN157">
            <v>0</v>
          </cell>
          <cell r="CO157">
            <v>0</v>
          </cell>
          <cell r="CP157">
            <v>0</v>
          </cell>
          <cell r="CQ157">
            <v>1361990</v>
          </cell>
          <cell r="CR157">
            <v>1308019</v>
          </cell>
          <cell r="CS157">
            <v>1288879</v>
          </cell>
          <cell r="CT157">
            <v>1274090</v>
          </cell>
          <cell r="CU157">
            <v>1248683</v>
          </cell>
          <cell r="CV157">
            <v>34047</v>
          </cell>
          <cell r="CW157">
            <v>0</v>
          </cell>
          <cell r="CX157">
            <v>0</v>
          </cell>
          <cell r="CY157">
            <v>0</v>
          </cell>
          <cell r="CZ157">
            <v>0</v>
          </cell>
          <cell r="DA157">
            <v>0</v>
          </cell>
          <cell r="DB157"/>
          <cell r="DC157">
            <v>0</v>
          </cell>
          <cell r="DD157">
            <v>0</v>
          </cell>
          <cell r="DE157">
            <v>0</v>
          </cell>
          <cell r="DF157">
            <v>0</v>
          </cell>
          <cell r="DG157">
            <v>0</v>
          </cell>
          <cell r="DH157">
            <v>0</v>
          </cell>
          <cell r="DI157">
            <v>0</v>
          </cell>
          <cell r="DJ157">
            <v>0</v>
          </cell>
          <cell r="DK157">
            <v>0</v>
          </cell>
          <cell r="DL157">
            <v>0</v>
          </cell>
          <cell r="DM157"/>
          <cell r="DN157"/>
          <cell r="DO157"/>
          <cell r="DP157"/>
        </row>
        <row r="158">
          <cell r="A158">
            <v>632</v>
          </cell>
          <cell r="B158" t="str">
            <v>Woerden</v>
          </cell>
          <cell r="C158">
            <v>6</v>
          </cell>
          <cell r="D158">
            <v>44328</v>
          </cell>
          <cell r="E158">
            <v>22164</v>
          </cell>
          <cell r="F158">
            <v>0</v>
          </cell>
          <cell r="G158">
            <v>0</v>
          </cell>
          <cell r="H158">
            <v>0</v>
          </cell>
          <cell r="I158">
            <v>-8454</v>
          </cell>
          <cell r="J158"/>
          <cell r="K158">
            <v>0</v>
          </cell>
          <cell r="L158">
            <v>167844</v>
          </cell>
          <cell r="M158">
            <v>162842</v>
          </cell>
          <cell r="N158">
            <v>0</v>
          </cell>
          <cell r="O158">
            <v>0</v>
          </cell>
          <cell r="P158">
            <v>0</v>
          </cell>
          <cell r="Q158">
            <v>0</v>
          </cell>
          <cell r="R158">
            <v>0</v>
          </cell>
          <cell r="S158">
            <v>0</v>
          </cell>
          <cell r="T158">
            <v>0</v>
          </cell>
          <cell r="U158">
            <v>0</v>
          </cell>
          <cell r="V158">
            <v>6000</v>
          </cell>
          <cell r="W158">
            <v>190116</v>
          </cell>
          <cell r="X158">
            <v>0</v>
          </cell>
          <cell r="Y158"/>
          <cell r="Z158">
            <v>0</v>
          </cell>
          <cell r="AA158">
            <v>0</v>
          </cell>
          <cell r="AB158">
            <v>0</v>
          </cell>
          <cell r="AC158"/>
          <cell r="AD158">
            <v>0</v>
          </cell>
          <cell r="AE158">
            <v>0</v>
          </cell>
          <cell r="AF158">
            <v>0</v>
          </cell>
          <cell r="AG158">
            <v>0</v>
          </cell>
          <cell r="AH158">
            <v>0</v>
          </cell>
          <cell r="AI158">
            <v>0</v>
          </cell>
          <cell r="AJ158">
            <v>0</v>
          </cell>
          <cell r="AK158">
            <v>0</v>
          </cell>
          <cell r="AL158"/>
          <cell r="AM158">
            <v>0</v>
          </cell>
          <cell r="AN158">
            <v>0</v>
          </cell>
          <cell r="AO158">
            <v>0</v>
          </cell>
          <cell r="AP158">
            <v>0</v>
          </cell>
          <cell r="AQ158">
            <v>0</v>
          </cell>
          <cell r="AR158">
            <v>0</v>
          </cell>
          <cell r="AS158">
            <v>0</v>
          </cell>
          <cell r="AT158">
            <v>0</v>
          </cell>
          <cell r="AU158">
            <v>7110</v>
          </cell>
          <cell r="AV158">
            <v>0</v>
          </cell>
          <cell r="AW158">
            <v>0</v>
          </cell>
          <cell r="AX158">
            <v>0</v>
          </cell>
          <cell r="AY158"/>
          <cell r="AZ158"/>
          <cell r="BA158">
            <v>0</v>
          </cell>
          <cell r="BB158"/>
          <cell r="BC158">
            <v>0</v>
          </cell>
          <cell r="BD158">
            <v>18083</v>
          </cell>
          <cell r="BE158"/>
          <cell r="BF158">
            <v>0</v>
          </cell>
          <cell r="BG158">
            <v>0</v>
          </cell>
          <cell r="BH158">
            <v>0</v>
          </cell>
          <cell r="BI158">
            <v>52321</v>
          </cell>
          <cell r="BJ158">
            <v>43068</v>
          </cell>
          <cell r="BK158">
            <v>43068</v>
          </cell>
          <cell r="BL158">
            <v>0</v>
          </cell>
          <cell r="BM158">
            <v>0</v>
          </cell>
          <cell r="BN158">
            <v>0</v>
          </cell>
          <cell r="BO158">
            <v>76856</v>
          </cell>
          <cell r="BP158">
            <v>22139.599999999999</v>
          </cell>
          <cell r="BQ158">
            <v>39883.720930232601</v>
          </cell>
          <cell r="BR158">
            <v>0</v>
          </cell>
          <cell r="BS158">
            <v>0</v>
          </cell>
          <cell r="BT158">
            <v>82809</v>
          </cell>
          <cell r="BU158"/>
          <cell r="BV158"/>
          <cell r="BW158"/>
          <cell r="BX158"/>
          <cell r="BY158">
            <v>0</v>
          </cell>
          <cell r="BZ158">
            <v>0</v>
          </cell>
          <cell r="CA158">
            <v>0</v>
          </cell>
          <cell r="CB158">
            <v>0</v>
          </cell>
          <cell r="CC158">
            <v>3109929</v>
          </cell>
          <cell r="CD158">
            <v>20402476</v>
          </cell>
          <cell r="CE158">
            <v>676484</v>
          </cell>
          <cell r="CF158">
            <v>-2923</v>
          </cell>
          <cell r="CG158">
            <v>676484</v>
          </cell>
          <cell r="CH158">
            <v>676484</v>
          </cell>
          <cell r="CI158">
            <v>676484</v>
          </cell>
          <cell r="CJ158">
            <v>676484</v>
          </cell>
          <cell r="CK158">
            <v>0</v>
          </cell>
          <cell r="CL158">
            <v>0</v>
          </cell>
          <cell r="CM158">
            <v>0</v>
          </cell>
          <cell r="CN158">
            <v>0</v>
          </cell>
          <cell r="CO158">
            <v>0</v>
          </cell>
          <cell r="CP158">
            <v>-2614</v>
          </cell>
          <cell r="CQ158">
            <v>5564581</v>
          </cell>
          <cell r="CR158">
            <v>5350329</v>
          </cell>
          <cell r="CS158">
            <v>5226667</v>
          </cell>
          <cell r="CT158">
            <v>5126729</v>
          </cell>
          <cell r="CU158">
            <v>5017560</v>
          </cell>
          <cell r="CV158">
            <v>1827</v>
          </cell>
          <cell r="CW158">
            <v>0</v>
          </cell>
          <cell r="CX158">
            <v>0</v>
          </cell>
          <cell r="CY158">
            <v>0</v>
          </cell>
          <cell r="CZ158">
            <v>0</v>
          </cell>
          <cell r="DA158">
            <v>0</v>
          </cell>
          <cell r="DB158"/>
          <cell r="DC158">
            <v>250000</v>
          </cell>
          <cell r="DD158">
            <v>0</v>
          </cell>
          <cell r="DE158">
            <v>0</v>
          </cell>
          <cell r="DF158">
            <v>0</v>
          </cell>
          <cell r="DG158">
            <v>0</v>
          </cell>
          <cell r="DH158">
            <v>0</v>
          </cell>
          <cell r="DI158">
            <v>0</v>
          </cell>
          <cell r="DJ158">
            <v>0</v>
          </cell>
          <cell r="DK158">
            <v>0</v>
          </cell>
          <cell r="DL158">
            <v>0</v>
          </cell>
          <cell r="DM158"/>
          <cell r="DN158"/>
          <cell r="DO158"/>
          <cell r="DP158"/>
        </row>
        <row r="159">
          <cell r="A159">
            <v>351</v>
          </cell>
          <cell r="B159" t="str">
            <v>Woudenberg</v>
          </cell>
          <cell r="C159">
            <v>6</v>
          </cell>
          <cell r="D159">
            <v>9627</v>
          </cell>
          <cell r="E159">
            <v>4813</v>
          </cell>
          <cell r="F159">
            <v>0</v>
          </cell>
          <cell r="G159">
            <v>0</v>
          </cell>
          <cell r="H159">
            <v>-5763</v>
          </cell>
          <cell r="I159">
            <v>-4083</v>
          </cell>
          <cell r="J159"/>
          <cell r="K159">
            <v>0</v>
          </cell>
          <cell r="L159">
            <v>39394</v>
          </cell>
          <cell r="M159">
            <v>37139</v>
          </cell>
          <cell r="N159">
            <v>0</v>
          </cell>
          <cell r="O159">
            <v>0</v>
          </cell>
          <cell r="P159">
            <v>0</v>
          </cell>
          <cell r="Q159">
            <v>0</v>
          </cell>
          <cell r="R159">
            <v>0</v>
          </cell>
          <cell r="S159">
            <v>0</v>
          </cell>
          <cell r="T159">
            <v>0</v>
          </cell>
          <cell r="U159">
            <v>0</v>
          </cell>
          <cell r="V159">
            <v>0</v>
          </cell>
          <cell r="W159">
            <v>53065</v>
          </cell>
          <cell r="X159">
            <v>0</v>
          </cell>
          <cell r="Y159"/>
          <cell r="Z159">
            <v>0</v>
          </cell>
          <cell r="AA159">
            <v>0</v>
          </cell>
          <cell r="AB159">
            <v>0</v>
          </cell>
          <cell r="AC159"/>
          <cell r="AD159">
            <v>0</v>
          </cell>
          <cell r="AE159">
            <v>0</v>
          </cell>
          <cell r="AF159">
            <v>0</v>
          </cell>
          <cell r="AG159">
            <v>0</v>
          </cell>
          <cell r="AH159">
            <v>0</v>
          </cell>
          <cell r="AI159">
            <v>0</v>
          </cell>
          <cell r="AJ159">
            <v>0</v>
          </cell>
          <cell r="AK159">
            <v>0</v>
          </cell>
          <cell r="AL159"/>
          <cell r="AM159">
            <v>0</v>
          </cell>
          <cell r="AN159">
            <v>0</v>
          </cell>
          <cell r="AO159">
            <v>0</v>
          </cell>
          <cell r="AP159">
            <v>0</v>
          </cell>
          <cell r="AQ159">
            <v>0</v>
          </cell>
          <cell r="AR159">
            <v>0</v>
          </cell>
          <cell r="AS159">
            <v>0</v>
          </cell>
          <cell r="AT159">
            <v>0</v>
          </cell>
          <cell r="AU159">
            <v>4740</v>
          </cell>
          <cell r="AV159">
            <v>0</v>
          </cell>
          <cell r="AW159">
            <v>0</v>
          </cell>
          <cell r="AX159">
            <v>0</v>
          </cell>
          <cell r="AY159"/>
          <cell r="AZ159"/>
          <cell r="BA159">
            <v>0</v>
          </cell>
          <cell r="BB159"/>
          <cell r="BC159">
            <v>0</v>
          </cell>
          <cell r="BD159">
            <v>4459</v>
          </cell>
          <cell r="BE159"/>
          <cell r="BF159">
            <v>0</v>
          </cell>
          <cell r="BG159">
            <v>0</v>
          </cell>
          <cell r="BH159">
            <v>0</v>
          </cell>
          <cell r="BI159">
            <v>10377</v>
          </cell>
          <cell r="BJ159">
            <v>8542</v>
          </cell>
          <cell r="BK159">
            <v>8542</v>
          </cell>
          <cell r="BL159">
            <v>0</v>
          </cell>
          <cell r="BM159">
            <v>0</v>
          </cell>
          <cell r="BN159">
            <v>0</v>
          </cell>
          <cell r="BO159">
            <v>44265</v>
          </cell>
          <cell r="BP159">
            <v>1581.4</v>
          </cell>
          <cell r="BQ159">
            <v>2848.8372093023299</v>
          </cell>
          <cell r="BR159">
            <v>0</v>
          </cell>
          <cell r="BS159">
            <v>0</v>
          </cell>
          <cell r="BT159">
            <v>19711</v>
          </cell>
          <cell r="BU159"/>
          <cell r="BV159"/>
          <cell r="BW159"/>
          <cell r="BX159"/>
          <cell r="BY159">
            <v>0</v>
          </cell>
          <cell r="BZ159">
            <v>0</v>
          </cell>
          <cell r="CA159">
            <v>0</v>
          </cell>
          <cell r="CB159">
            <v>0</v>
          </cell>
          <cell r="CC159">
            <v>850593</v>
          </cell>
          <cell r="CD159">
            <v>4460161</v>
          </cell>
          <cell r="CE159">
            <v>443939</v>
          </cell>
          <cell r="CF159">
            <v>0</v>
          </cell>
          <cell r="CG159">
            <v>443939</v>
          </cell>
          <cell r="CH159">
            <v>443939</v>
          </cell>
          <cell r="CI159">
            <v>443939</v>
          </cell>
          <cell r="CJ159">
            <v>443939</v>
          </cell>
          <cell r="CK159">
            <v>0</v>
          </cell>
          <cell r="CL159">
            <v>0</v>
          </cell>
          <cell r="CM159">
            <v>0</v>
          </cell>
          <cell r="CN159">
            <v>0</v>
          </cell>
          <cell r="CO159">
            <v>0</v>
          </cell>
          <cell r="CP159">
            <v>-1467</v>
          </cell>
          <cell r="CQ159">
            <v>361187</v>
          </cell>
          <cell r="CR159">
            <v>346924</v>
          </cell>
          <cell r="CS159">
            <v>340275</v>
          </cell>
          <cell r="CT159">
            <v>341462</v>
          </cell>
          <cell r="CU159">
            <v>343025</v>
          </cell>
          <cell r="CV159">
            <v>-23237</v>
          </cell>
          <cell r="CW159">
            <v>0</v>
          </cell>
          <cell r="CX159">
            <v>0</v>
          </cell>
          <cell r="CY159">
            <v>0</v>
          </cell>
          <cell r="CZ159">
            <v>0</v>
          </cell>
          <cell r="DA159">
            <v>0</v>
          </cell>
          <cell r="DB159"/>
          <cell r="DC159">
            <v>0</v>
          </cell>
          <cell r="DD159">
            <v>0</v>
          </cell>
          <cell r="DE159">
            <v>0</v>
          </cell>
          <cell r="DF159">
            <v>0</v>
          </cell>
          <cell r="DG159">
            <v>0</v>
          </cell>
          <cell r="DH159">
            <v>0</v>
          </cell>
          <cell r="DI159">
            <v>0</v>
          </cell>
          <cell r="DJ159">
            <v>0</v>
          </cell>
          <cell r="DK159">
            <v>0</v>
          </cell>
          <cell r="DL159">
            <v>0</v>
          </cell>
          <cell r="DM159"/>
          <cell r="DN159"/>
          <cell r="DO159"/>
          <cell r="DP159"/>
        </row>
        <row r="160">
          <cell r="A160">
            <v>355</v>
          </cell>
          <cell r="B160" t="str">
            <v>Zeist</v>
          </cell>
          <cell r="C160">
            <v>6</v>
          </cell>
          <cell r="D160">
            <v>-67637</v>
          </cell>
          <cell r="E160">
            <v>-33819</v>
          </cell>
          <cell r="F160">
            <v>0</v>
          </cell>
          <cell r="G160">
            <v>0</v>
          </cell>
          <cell r="H160">
            <v>-9415</v>
          </cell>
          <cell r="I160">
            <v>-10078</v>
          </cell>
          <cell r="J160"/>
          <cell r="K160">
            <v>0</v>
          </cell>
          <cell r="L160">
            <v>290981</v>
          </cell>
          <cell r="M160">
            <v>323970</v>
          </cell>
          <cell r="N160">
            <v>0</v>
          </cell>
          <cell r="O160">
            <v>0</v>
          </cell>
          <cell r="P160">
            <v>0</v>
          </cell>
          <cell r="Q160">
            <v>0</v>
          </cell>
          <cell r="R160">
            <v>0</v>
          </cell>
          <cell r="S160">
            <v>0</v>
          </cell>
          <cell r="T160">
            <v>0</v>
          </cell>
          <cell r="U160">
            <v>0</v>
          </cell>
          <cell r="V160">
            <v>12000</v>
          </cell>
          <cell r="W160">
            <v>234809</v>
          </cell>
          <cell r="X160">
            <v>0</v>
          </cell>
          <cell r="Y160"/>
          <cell r="Z160">
            <v>0</v>
          </cell>
          <cell r="AA160">
            <v>0</v>
          </cell>
          <cell r="AB160">
            <v>0</v>
          </cell>
          <cell r="AC160"/>
          <cell r="AD160">
            <v>44978</v>
          </cell>
          <cell r="AE160">
            <v>0</v>
          </cell>
          <cell r="AF160">
            <v>0</v>
          </cell>
          <cell r="AG160">
            <v>0</v>
          </cell>
          <cell r="AH160">
            <v>0</v>
          </cell>
          <cell r="AI160">
            <v>0</v>
          </cell>
          <cell r="AJ160">
            <v>0</v>
          </cell>
          <cell r="AK160">
            <v>0</v>
          </cell>
          <cell r="AL160"/>
          <cell r="AM160">
            <v>0</v>
          </cell>
          <cell r="AN160">
            <v>0</v>
          </cell>
          <cell r="AO160">
            <v>0</v>
          </cell>
          <cell r="AP160">
            <v>0</v>
          </cell>
          <cell r="AQ160">
            <v>0</v>
          </cell>
          <cell r="AR160">
            <v>0</v>
          </cell>
          <cell r="AS160">
            <v>0</v>
          </cell>
          <cell r="AT160">
            <v>0</v>
          </cell>
          <cell r="AU160">
            <v>9480</v>
          </cell>
          <cell r="AV160">
            <v>0</v>
          </cell>
          <cell r="AW160">
            <v>0</v>
          </cell>
          <cell r="AX160">
            <v>0</v>
          </cell>
          <cell r="AY160"/>
          <cell r="AZ160"/>
          <cell r="BA160">
            <v>0</v>
          </cell>
          <cell r="BB160"/>
          <cell r="BC160">
            <v>0</v>
          </cell>
          <cell r="BD160">
            <v>22056</v>
          </cell>
          <cell r="BE160"/>
          <cell r="BF160">
            <v>0</v>
          </cell>
          <cell r="BG160">
            <v>0</v>
          </cell>
          <cell r="BH160">
            <v>0</v>
          </cell>
          <cell r="BI160">
            <v>95718</v>
          </cell>
          <cell r="BJ160">
            <v>78790</v>
          </cell>
          <cell r="BK160">
            <v>78790</v>
          </cell>
          <cell r="BL160">
            <v>0</v>
          </cell>
          <cell r="BM160">
            <v>0</v>
          </cell>
          <cell r="BN160">
            <v>0</v>
          </cell>
          <cell r="BO160">
            <v>154198</v>
          </cell>
          <cell r="BP160">
            <v>12651.2</v>
          </cell>
          <cell r="BQ160">
            <v>22790.697674418599</v>
          </cell>
          <cell r="BR160">
            <v>0</v>
          </cell>
          <cell r="BS160">
            <v>0</v>
          </cell>
          <cell r="BT160">
            <v>99796</v>
          </cell>
          <cell r="BU160"/>
          <cell r="BV160"/>
          <cell r="BW160"/>
          <cell r="BX160"/>
          <cell r="BY160">
            <v>0</v>
          </cell>
          <cell r="BZ160">
            <v>0</v>
          </cell>
          <cell r="CA160">
            <v>0</v>
          </cell>
          <cell r="CB160">
            <v>0</v>
          </cell>
          <cell r="CC160">
            <v>4947676</v>
          </cell>
          <cell r="CD160">
            <v>34291910</v>
          </cell>
          <cell r="CE160">
            <v>5235783</v>
          </cell>
          <cell r="CF160">
            <v>0</v>
          </cell>
          <cell r="CG160">
            <v>5235783</v>
          </cell>
          <cell r="CH160">
            <v>5235783</v>
          </cell>
          <cell r="CI160">
            <v>5235783</v>
          </cell>
          <cell r="CJ160">
            <v>5235783</v>
          </cell>
          <cell r="CK160">
            <v>0</v>
          </cell>
          <cell r="CL160">
            <v>0</v>
          </cell>
          <cell r="CM160">
            <v>0</v>
          </cell>
          <cell r="CN160">
            <v>0</v>
          </cell>
          <cell r="CO160">
            <v>0</v>
          </cell>
          <cell r="CP160">
            <v>-3618</v>
          </cell>
          <cell r="CQ160">
            <v>5130814</v>
          </cell>
          <cell r="CR160">
            <v>4936594</v>
          </cell>
          <cell r="CS160">
            <v>4877689</v>
          </cell>
          <cell r="CT160">
            <v>4864275</v>
          </cell>
          <cell r="CU160">
            <v>4760130</v>
          </cell>
          <cell r="CV160">
            <v>-73057</v>
          </cell>
          <cell r="CW160">
            <v>0</v>
          </cell>
          <cell r="CX160">
            <v>0</v>
          </cell>
          <cell r="CY160">
            <v>0</v>
          </cell>
          <cell r="CZ160">
            <v>0</v>
          </cell>
          <cell r="DA160">
            <v>0</v>
          </cell>
          <cell r="DB160"/>
          <cell r="DC160">
            <v>0</v>
          </cell>
          <cell r="DD160">
            <v>0</v>
          </cell>
          <cell r="DE160">
            <v>0</v>
          </cell>
          <cell r="DF160">
            <v>0</v>
          </cell>
          <cell r="DG160">
            <v>0</v>
          </cell>
          <cell r="DH160">
            <v>0</v>
          </cell>
          <cell r="DI160">
            <v>0</v>
          </cell>
          <cell r="DJ160">
            <v>0</v>
          </cell>
          <cell r="DK160">
            <v>0</v>
          </cell>
          <cell r="DL160">
            <v>0</v>
          </cell>
          <cell r="DM160"/>
          <cell r="DN160"/>
          <cell r="DO160"/>
          <cell r="DP160"/>
        </row>
        <row r="161">
          <cell r="A161">
            <v>358</v>
          </cell>
          <cell r="B161" t="str">
            <v>Aalsmeer</v>
          </cell>
          <cell r="C161">
            <v>7</v>
          </cell>
          <cell r="D161">
            <v>28532</v>
          </cell>
          <cell r="E161">
            <v>14266</v>
          </cell>
          <cell r="F161">
            <v>0</v>
          </cell>
          <cell r="G161">
            <v>17281</v>
          </cell>
          <cell r="H161">
            <v>-15341</v>
          </cell>
          <cell r="I161">
            <v>-9527</v>
          </cell>
          <cell r="J161"/>
          <cell r="K161">
            <v>0</v>
          </cell>
          <cell r="L161">
            <v>89135</v>
          </cell>
          <cell r="M161">
            <v>81659</v>
          </cell>
          <cell r="N161">
            <v>0</v>
          </cell>
          <cell r="O161">
            <v>0</v>
          </cell>
          <cell r="P161">
            <v>0</v>
          </cell>
          <cell r="Q161">
            <v>0</v>
          </cell>
          <cell r="R161">
            <v>0</v>
          </cell>
          <cell r="S161">
            <v>0</v>
          </cell>
          <cell r="T161">
            <v>0</v>
          </cell>
          <cell r="U161">
            <v>0</v>
          </cell>
          <cell r="V161">
            <v>6000</v>
          </cell>
          <cell r="W161">
            <v>88896</v>
          </cell>
          <cell r="X161">
            <v>0</v>
          </cell>
          <cell r="Y161"/>
          <cell r="Z161">
            <v>0</v>
          </cell>
          <cell r="AA161">
            <v>0</v>
          </cell>
          <cell r="AB161">
            <v>0</v>
          </cell>
          <cell r="AC161"/>
          <cell r="AD161">
            <v>0</v>
          </cell>
          <cell r="AE161">
            <v>0</v>
          </cell>
          <cell r="AF161">
            <v>0</v>
          </cell>
          <cell r="AG161">
            <v>0</v>
          </cell>
          <cell r="AH161">
            <v>0</v>
          </cell>
          <cell r="AI161">
            <v>0</v>
          </cell>
          <cell r="AJ161">
            <v>0</v>
          </cell>
          <cell r="AK161">
            <v>0</v>
          </cell>
          <cell r="AL161"/>
          <cell r="AM161">
            <v>0</v>
          </cell>
          <cell r="AN161">
            <v>0</v>
          </cell>
          <cell r="AO161">
            <v>0</v>
          </cell>
          <cell r="AP161">
            <v>0</v>
          </cell>
          <cell r="AQ161">
            <v>0</v>
          </cell>
          <cell r="AR161">
            <v>0</v>
          </cell>
          <cell r="AS161">
            <v>0</v>
          </cell>
          <cell r="AT161">
            <v>0</v>
          </cell>
          <cell r="AU161">
            <v>0</v>
          </cell>
          <cell r="AV161">
            <v>0</v>
          </cell>
          <cell r="AW161">
            <v>0</v>
          </cell>
          <cell r="AX161">
            <v>0</v>
          </cell>
          <cell r="AY161"/>
          <cell r="AZ161"/>
          <cell r="BA161">
            <v>0</v>
          </cell>
          <cell r="BB161"/>
          <cell r="BC161">
            <v>0</v>
          </cell>
          <cell r="BD161">
            <v>11013</v>
          </cell>
          <cell r="BE161"/>
          <cell r="BF161">
            <v>0</v>
          </cell>
          <cell r="BG161">
            <v>0</v>
          </cell>
          <cell r="BH161">
            <v>0</v>
          </cell>
          <cell r="BI161">
            <v>32075</v>
          </cell>
          <cell r="BJ161">
            <v>26402</v>
          </cell>
          <cell r="BK161">
            <v>26402</v>
          </cell>
          <cell r="BL161">
            <v>0</v>
          </cell>
          <cell r="BM161">
            <v>0</v>
          </cell>
          <cell r="BN161">
            <v>0</v>
          </cell>
          <cell r="BO161">
            <v>139605</v>
          </cell>
          <cell r="BP161">
            <v>34790.800000000003</v>
          </cell>
          <cell r="BQ161">
            <v>62674.418604651197</v>
          </cell>
          <cell r="BR161">
            <v>0</v>
          </cell>
          <cell r="BS161">
            <v>0</v>
          </cell>
          <cell r="BT161">
            <v>46220</v>
          </cell>
          <cell r="BU161"/>
          <cell r="BV161"/>
          <cell r="BW161"/>
          <cell r="BX161"/>
          <cell r="BY161">
            <v>0</v>
          </cell>
          <cell r="BZ161">
            <v>0</v>
          </cell>
          <cell r="CA161">
            <v>0</v>
          </cell>
          <cell r="CB161">
            <v>0</v>
          </cell>
          <cell r="CC161">
            <v>1847175</v>
          </cell>
          <cell r="CD161">
            <v>7812053</v>
          </cell>
          <cell r="CE161">
            <v>416477</v>
          </cell>
          <cell r="CF161">
            <v>0</v>
          </cell>
          <cell r="CG161">
            <v>416477</v>
          </cell>
          <cell r="CH161">
            <v>416477</v>
          </cell>
          <cell r="CI161">
            <v>416477</v>
          </cell>
          <cell r="CJ161">
            <v>416477</v>
          </cell>
          <cell r="CK161">
            <v>0</v>
          </cell>
          <cell r="CL161">
            <v>0</v>
          </cell>
          <cell r="CM161">
            <v>0</v>
          </cell>
          <cell r="CN161">
            <v>0</v>
          </cell>
          <cell r="CO161">
            <v>0</v>
          </cell>
          <cell r="CP161">
            <v>-3406</v>
          </cell>
          <cell r="CQ161">
            <v>930206</v>
          </cell>
          <cell r="CR161">
            <v>893237</v>
          </cell>
          <cell r="CS161">
            <v>893455</v>
          </cell>
          <cell r="CT161">
            <v>878298</v>
          </cell>
          <cell r="CU161">
            <v>865429</v>
          </cell>
          <cell r="CV161">
            <v>-92323</v>
          </cell>
          <cell r="CW161">
            <v>0</v>
          </cell>
          <cell r="CX161">
            <v>0</v>
          </cell>
          <cell r="CY161">
            <v>0</v>
          </cell>
          <cell r="CZ161">
            <v>0</v>
          </cell>
          <cell r="DA161">
            <v>0</v>
          </cell>
          <cell r="DB161"/>
          <cell r="DC161">
            <v>0</v>
          </cell>
          <cell r="DD161">
            <v>0</v>
          </cell>
          <cell r="DE161">
            <v>0</v>
          </cell>
          <cell r="DF161">
            <v>0</v>
          </cell>
          <cell r="DG161">
            <v>0</v>
          </cell>
          <cell r="DH161">
            <v>0</v>
          </cell>
          <cell r="DI161">
            <v>0</v>
          </cell>
          <cell r="DJ161">
            <v>0</v>
          </cell>
          <cell r="DK161">
            <v>0</v>
          </cell>
          <cell r="DL161">
            <v>0</v>
          </cell>
          <cell r="DM161"/>
          <cell r="DN161"/>
          <cell r="DO161"/>
          <cell r="DP161"/>
        </row>
        <row r="162">
          <cell r="A162">
            <v>361</v>
          </cell>
          <cell r="B162" t="str">
            <v>Alkmaar</v>
          </cell>
          <cell r="C162">
            <v>7</v>
          </cell>
          <cell r="D162">
            <v>18308</v>
          </cell>
          <cell r="E162">
            <v>9154</v>
          </cell>
          <cell r="F162">
            <v>0</v>
          </cell>
          <cell r="G162">
            <v>0</v>
          </cell>
          <cell r="H162">
            <v>-66117</v>
          </cell>
          <cell r="I162">
            <v>-45343</v>
          </cell>
          <cell r="J162"/>
          <cell r="K162">
            <v>0</v>
          </cell>
          <cell r="L162">
            <v>490320</v>
          </cell>
          <cell r="M162">
            <v>485717</v>
          </cell>
          <cell r="N162">
            <v>0</v>
          </cell>
          <cell r="O162">
            <v>0</v>
          </cell>
          <cell r="P162">
            <v>150000</v>
          </cell>
          <cell r="Q162">
            <v>0</v>
          </cell>
          <cell r="R162">
            <v>0</v>
          </cell>
          <cell r="S162">
            <v>684545</v>
          </cell>
          <cell r="T162">
            <v>684545</v>
          </cell>
          <cell r="U162">
            <v>684545</v>
          </cell>
          <cell r="V162">
            <v>69000</v>
          </cell>
          <cell r="W162">
            <v>401196</v>
          </cell>
          <cell r="X162">
            <v>0</v>
          </cell>
          <cell r="Y162"/>
          <cell r="Z162">
            <v>0</v>
          </cell>
          <cell r="AA162">
            <v>37000</v>
          </cell>
          <cell r="AB162">
            <v>0</v>
          </cell>
          <cell r="AC162"/>
          <cell r="AD162">
            <v>25000</v>
          </cell>
          <cell r="AE162">
            <v>0</v>
          </cell>
          <cell r="AF162">
            <v>0</v>
          </cell>
          <cell r="AG162">
            <v>0</v>
          </cell>
          <cell r="AH162">
            <v>0</v>
          </cell>
          <cell r="AI162">
            <v>0</v>
          </cell>
          <cell r="AJ162">
            <v>0</v>
          </cell>
          <cell r="AK162">
            <v>165775</v>
          </cell>
          <cell r="AL162"/>
          <cell r="AM162">
            <v>69213</v>
          </cell>
          <cell r="AN162">
            <v>70804</v>
          </cell>
          <cell r="AO162">
            <v>72433</v>
          </cell>
          <cell r="AP162">
            <v>74098</v>
          </cell>
          <cell r="AQ162">
            <v>75803</v>
          </cell>
          <cell r="AR162">
            <v>77546</v>
          </cell>
          <cell r="AS162">
            <v>0</v>
          </cell>
          <cell r="AT162">
            <v>20000</v>
          </cell>
          <cell r="AU162">
            <v>7110</v>
          </cell>
          <cell r="AV162">
            <v>3465757.3341347598</v>
          </cell>
          <cell r="AW162">
            <v>95772</v>
          </cell>
          <cell r="AX162">
            <v>0</v>
          </cell>
          <cell r="AY162"/>
          <cell r="AZ162"/>
          <cell r="BA162">
            <v>0</v>
          </cell>
          <cell r="BB162"/>
          <cell r="BC162">
            <v>0</v>
          </cell>
          <cell r="BD162">
            <v>38043</v>
          </cell>
          <cell r="BE162"/>
          <cell r="BF162">
            <v>0</v>
          </cell>
          <cell r="BG162">
            <v>0</v>
          </cell>
          <cell r="BH162">
            <v>0</v>
          </cell>
          <cell r="BI162">
            <v>197252</v>
          </cell>
          <cell r="BJ162">
            <v>162368</v>
          </cell>
          <cell r="BK162">
            <v>162368</v>
          </cell>
          <cell r="BL162">
            <v>0</v>
          </cell>
          <cell r="BM162">
            <v>0</v>
          </cell>
          <cell r="BN162">
            <v>251790</v>
          </cell>
          <cell r="BO162">
            <v>151766</v>
          </cell>
          <cell r="BP162">
            <v>36372.199999999997</v>
          </cell>
          <cell r="BQ162">
            <v>65523.255813953503</v>
          </cell>
          <cell r="BR162">
            <v>0</v>
          </cell>
          <cell r="BS162">
            <v>0</v>
          </cell>
          <cell r="BT162">
            <v>173009</v>
          </cell>
          <cell r="BU162"/>
          <cell r="BV162"/>
          <cell r="BW162"/>
          <cell r="BX162"/>
          <cell r="BY162">
            <v>3085878.7405357198</v>
          </cell>
          <cell r="BZ162">
            <v>3571892.8463839199</v>
          </cell>
          <cell r="CA162">
            <v>3613411.6393458298</v>
          </cell>
          <cell r="CB162">
            <v>3730641.1724147401</v>
          </cell>
          <cell r="CC162">
            <v>8279801</v>
          </cell>
          <cell r="CD162">
            <v>75576602</v>
          </cell>
          <cell r="CE162">
            <v>4007828</v>
          </cell>
          <cell r="CF162">
            <v>-98821</v>
          </cell>
          <cell r="CG162">
            <v>4007828</v>
          </cell>
          <cell r="CH162">
            <v>4007828</v>
          </cell>
          <cell r="CI162">
            <v>4007828</v>
          </cell>
          <cell r="CJ162">
            <v>4007828</v>
          </cell>
          <cell r="CK162">
            <v>21952145</v>
          </cell>
          <cell r="CL162">
            <v>21941157</v>
          </cell>
          <cell r="CM162">
            <v>21940979</v>
          </cell>
          <cell r="CN162">
            <v>21940589</v>
          </cell>
          <cell r="CO162">
            <v>21941130</v>
          </cell>
          <cell r="CP162">
            <v>-1578</v>
          </cell>
          <cell r="CQ162">
            <v>11934362</v>
          </cell>
          <cell r="CR162">
            <v>11478742</v>
          </cell>
          <cell r="CS162">
            <v>11225390</v>
          </cell>
          <cell r="CT162">
            <v>11068131</v>
          </cell>
          <cell r="CU162">
            <v>10859450</v>
          </cell>
          <cell r="CV162">
            <v>-108727</v>
          </cell>
          <cell r="CW162">
            <v>0</v>
          </cell>
          <cell r="CX162">
            <v>0</v>
          </cell>
          <cell r="CY162">
            <v>0</v>
          </cell>
          <cell r="CZ162">
            <v>0</v>
          </cell>
          <cell r="DA162">
            <v>0</v>
          </cell>
          <cell r="DB162"/>
          <cell r="DC162">
            <v>0</v>
          </cell>
          <cell r="DD162">
            <v>0</v>
          </cell>
          <cell r="DE162">
            <v>0</v>
          </cell>
          <cell r="DF162">
            <v>0</v>
          </cell>
          <cell r="DG162">
            <v>0</v>
          </cell>
          <cell r="DH162">
            <v>0</v>
          </cell>
          <cell r="DI162">
            <v>0</v>
          </cell>
          <cell r="DJ162">
            <v>0</v>
          </cell>
          <cell r="DK162">
            <v>0</v>
          </cell>
          <cell r="DL162">
            <v>0</v>
          </cell>
          <cell r="DM162"/>
          <cell r="DN162"/>
          <cell r="DO162"/>
          <cell r="DP162"/>
        </row>
        <row r="163">
          <cell r="A163">
            <v>362</v>
          </cell>
          <cell r="B163" t="str">
            <v>Amstelveen</v>
          </cell>
          <cell r="C163">
            <v>7</v>
          </cell>
          <cell r="D163">
            <v>-25528</v>
          </cell>
          <cell r="E163">
            <v>-12764</v>
          </cell>
          <cell r="F163">
            <v>0</v>
          </cell>
          <cell r="G163">
            <v>0</v>
          </cell>
          <cell r="H163">
            <v>0</v>
          </cell>
          <cell r="I163">
            <v>-1781</v>
          </cell>
          <cell r="J163"/>
          <cell r="K163">
            <v>0</v>
          </cell>
          <cell r="L163">
            <v>295716</v>
          </cell>
          <cell r="M163">
            <v>273594</v>
          </cell>
          <cell r="N163">
            <v>0</v>
          </cell>
          <cell r="O163">
            <v>0</v>
          </cell>
          <cell r="P163">
            <v>0</v>
          </cell>
          <cell r="Q163">
            <v>0</v>
          </cell>
          <cell r="R163">
            <v>0</v>
          </cell>
          <cell r="S163">
            <v>0</v>
          </cell>
          <cell r="T163">
            <v>0</v>
          </cell>
          <cell r="U163">
            <v>0</v>
          </cell>
          <cell r="V163">
            <v>9000</v>
          </cell>
          <cell r="W163">
            <v>168296</v>
          </cell>
          <cell r="X163">
            <v>0</v>
          </cell>
          <cell r="Y163"/>
          <cell r="Z163">
            <v>0</v>
          </cell>
          <cell r="AA163">
            <v>0</v>
          </cell>
          <cell r="AB163">
            <v>0</v>
          </cell>
          <cell r="AC163"/>
          <cell r="AD163">
            <v>62579</v>
          </cell>
          <cell r="AE163">
            <v>0</v>
          </cell>
          <cell r="AF163">
            <v>0</v>
          </cell>
          <cell r="AG163">
            <v>0</v>
          </cell>
          <cell r="AH163">
            <v>0</v>
          </cell>
          <cell r="AI163">
            <v>148777</v>
          </cell>
          <cell r="AJ163">
            <v>0</v>
          </cell>
          <cell r="AK163">
            <v>0</v>
          </cell>
          <cell r="AL163"/>
          <cell r="AM163">
            <v>0</v>
          </cell>
          <cell r="AN163">
            <v>0</v>
          </cell>
          <cell r="AO163">
            <v>0</v>
          </cell>
          <cell r="AP163">
            <v>0</v>
          </cell>
          <cell r="AQ163">
            <v>0</v>
          </cell>
          <cell r="AR163">
            <v>0</v>
          </cell>
          <cell r="AS163">
            <v>0</v>
          </cell>
          <cell r="AT163">
            <v>0</v>
          </cell>
          <cell r="AU163">
            <v>2370</v>
          </cell>
          <cell r="AV163">
            <v>0</v>
          </cell>
          <cell r="AW163">
            <v>0</v>
          </cell>
          <cell r="AX163">
            <v>0</v>
          </cell>
          <cell r="AY163"/>
          <cell r="AZ163"/>
          <cell r="BA163">
            <v>0</v>
          </cell>
          <cell r="BB163"/>
          <cell r="BC163">
            <v>0</v>
          </cell>
          <cell r="BD163">
            <v>31345</v>
          </cell>
          <cell r="BE163"/>
          <cell r="BF163">
            <v>0</v>
          </cell>
          <cell r="BG163">
            <v>0</v>
          </cell>
          <cell r="BH163">
            <v>0</v>
          </cell>
          <cell r="BI163">
            <v>105968</v>
          </cell>
          <cell r="BJ163">
            <v>87227</v>
          </cell>
          <cell r="BK163">
            <v>87227</v>
          </cell>
          <cell r="BL163">
            <v>0</v>
          </cell>
          <cell r="BM163">
            <v>0</v>
          </cell>
          <cell r="BN163">
            <v>0</v>
          </cell>
          <cell r="BO163">
            <v>99231</v>
          </cell>
          <cell r="BP163">
            <v>15814</v>
          </cell>
          <cell r="BQ163">
            <v>28488.372093023299</v>
          </cell>
          <cell r="BR163">
            <v>0</v>
          </cell>
          <cell r="BS163">
            <v>0</v>
          </cell>
          <cell r="BT163">
            <v>122304</v>
          </cell>
          <cell r="BU163"/>
          <cell r="BV163"/>
          <cell r="BW163"/>
          <cell r="BX163"/>
          <cell r="BY163">
            <v>0</v>
          </cell>
          <cell r="BZ163">
            <v>0</v>
          </cell>
          <cell r="CA163">
            <v>0</v>
          </cell>
          <cell r="CB163">
            <v>0</v>
          </cell>
          <cell r="CC163">
            <v>5665901</v>
          </cell>
          <cell r="CD163">
            <v>21959525</v>
          </cell>
          <cell r="CE163">
            <v>1299360</v>
          </cell>
          <cell r="CF163">
            <v>0</v>
          </cell>
          <cell r="CG163">
            <v>1299360</v>
          </cell>
          <cell r="CH163">
            <v>1299360</v>
          </cell>
          <cell r="CI163">
            <v>1299360</v>
          </cell>
          <cell r="CJ163">
            <v>1299360</v>
          </cell>
          <cell r="CK163">
            <v>0</v>
          </cell>
          <cell r="CL163">
            <v>0</v>
          </cell>
          <cell r="CM163">
            <v>0</v>
          </cell>
          <cell r="CN163">
            <v>0</v>
          </cell>
          <cell r="CO163">
            <v>0</v>
          </cell>
          <cell r="CP163">
            <v>-628</v>
          </cell>
          <cell r="CQ163">
            <v>2265071</v>
          </cell>
          <cell r="CR163">
            <v>2232189</v>
          </cell>
          <cell r="CS163">
            <v>2189894</v>
          </cell>
          <cell r="CT163">
            <v>2202832</v>
          </cell>
          <cell r="CU163">
            <v>2210346</v>
          </cell>
          <cell r="CV163">
            <v>90237</v>
          </cell>
          <cell r="CW163">
            <v>0</v>
          </cell>
          <cell r="CX163">
            <v>0</v>
          </cell>
          <cell r="CY163">
            <v>0</v>
          </cell>
          <cell r="CZ163">
            <v>250000</v>
          </cell>
          <cell r="DA163">
            <v>0</v>
          </cell>
          <cell r="DB163"/>
          <cell r="DC163">
            <v>0</v>
          </cell>
          <cell r="DD163">
            <v>0</v>
          </cell>
          <cell r="DE163">
            <v>0</v>
          </cell>
          <cell r="DF163">
            <v>0</v>
          </cell>
          <cell r="DG163">
            <v>0</v>
          </cell>
          <cell r="DH163">
            <v>0</v>
          </cell>
          <cell r="DI163">
            <v>0</v>
          </cell>
          <cell r="DJ163">
            <v>0</v>
          </cell>
          <cell r="DK163">
            <v>0</v>
          </cell>
          <cell r="DL163">
            <v>0</v>
          </cell>
          <cell r="DM163"/>
          <cell r="DN163"/>
          <cell r="DO163"/>
          <cell r="DP163"/>
        </row>
        <row r="164">
          <cell r="A164">
            <v>363</v>
          </cell>
          <cell r="B164" t="str">
            <v>Amsterdam</v>
          </cell>
          <cell r="C164">
            <v>7</v>
          </cell>
          <cell r="D164">
            <v>-1272654</v>
          </cell>
          <cell r="E164">
            <v>-636327</v>
          </cell>
          <cell r="F164">
            <v>0</v>
          </cell>
          <cell r="G164">
            <v>884722</v>
          </cell>
          <cell r="H164">
            <v>528909</v>
          </cell>
          <cell r="I164">
            <v>-78575</v>
          </cell>
          <cell r="J164"/>
          <cell r="K164">
            <v>7278</v>
          </cell>
          <cell r="L164">
            <v>6764130</v>
          </cell>
          <cell r="M164">
            <v>7165502</v>
          </cell>
          <cell r="N164">
            <v>0</v>
          </cell>
          <cell r="O164">
            <v>0</v>
          </cell>
          <cell r="P164">
            <v>2605874</v>
          </cell>
          <cell r="Q164">
            <v>0</v>
          </cell>
          <cell r="R164">
            <v>0</v>
          </cell>
          <cell r="S164">
            <v>12053718</v>
          </cell>
          <cell r="T164">
            <v>10867677</v>
          </cell>
          <cell r="U164">
            <v>7291594</v>
          </cell>
          <cell r="V164">
            <v>219000</v>
          </cell>
          <cell r="W164">
            <v>2511170</v>
          </cell>
          <cell r="X164">
            <v>0</v>
          </cell>
          <cell r="Y164"/>
          <cell r="Z164">
            <v>0</v>
          </cell>
          <cell r="AA164">
            <v>33000</v>
          </cell>
          <cell r="AB164">
            <v>0</v>
          </cell>
          <cell r="AC164"/>
          <cell r="AD164">
            <v>2103247</v>
          </cell>
          <cell r="AE164">
            <v>0</v>
          </cell>
          <cell r="AF164">
            <v>0</v>
          </cell>
          <cell r="AG164">
            <v>0</v>
          </cell>
          <cell r="AH164">
            <v>310000</v>
          </cell>
          <cell r="AI164">
            <v>0</v>
          </cell>
          <cell r="AJ164">
            <v>23750</v>
          </cell>
          <cell r="AK164">
            <v>4209153</v>
          </cell>
          <cell r="AL164"/>
          <cell r="AM164">
            <v>47971</v>
          </cell>
          <cell r="AN164">
            <v>49074</v>
          </cell>
          <cell r="AO164">
            <v>50203</v>
          </cell>
          <cell r="AP164">
            <v>51357</v>
          </cell>
          <cell r="AQ164">
            <v>52539</v>
          </cell>
          <cell r="AR164">
            <v>53747</v>
          </cell>
          <cell r="AS164">
            <v>0</v>
          </cell>
          <cell r="AT164">
            <v>47000</v>
          </cell>
          <cell r="AU164">
            <v>56880</v>
          </cell>
          <cell r="AV164">
            <v>64466461.6525876</v>
          </cell>
          <cell r="AW164">
            <v>50469</v>
          </cell>
          <cell r="AX164">
            <v>333333</v>
          </cell>
          <cell r="AY164"/>
          <cell r="AZ164"/>
          <cell r="BA164">
            <v>4540</v>
          </cell>
          <cell r="BB164"/>
          <cell r="BC164">
            <v>0</v>
          </cell>
          <cell r="BD164">
            <v>296606</v>
          </cell>
          <cell r="BE164"/>
          <cell r="BF164">
            <v>0</v>
          </cell>
          <cell r="BG164">
            <v>0</v>
          </cell>
          <cell r="BH164">
            <v>0</v>
          </cell>
          <cell r="BI164">
            <v>1850860</v>
          </cell>
          <cell r="BJ164">
            <v>1523532</v>
          </cell>
          <cell r="BK164">
            <v>1523532</v>
          </cell>
          <cell r="BL164">
            <v>0</v>
          </cell>
          <cell r="BM164">
            <v>211237</v>
          </cell>
          <cell r="BN164">
            <v>676830</v>
          </cell>
          <cell r="BO164">
            <v>406167</v>
          </cell>
          <cell r="BP164">
            <v>493396.8</v>
          </cell>
          <cell r="BQ164">
            <v>888837.20930232597</v>
          </cell>
          <cell r="BR164">
            <v>244000</v>
          </cell>
          <cell r="BS164">
            <v>0</v>
          </cell>
          <cell r="BT164">
            <v>1619715</v>
          </cell>
          <cell r="BU164"/>
          <cell r="BV164"/>
          <cell r="BW164"/>
          <cell r="BX164"/>
          <cell r="BY164">
            <v>13542438.7667643</v>
          </cell>
          <cell r="BZ164">
            <v>15646159.2843662</v>
          </cell>
          <cell r="CA164">
            <v>15825874.1024528</v>
          </cell>
          <cell r="CB164">
            <v>16333304.177050199</v>
          </cell>
          <cell r="CC164">
            <v>48455057</v>
          </cell>
          <cell r="CD164">
            <v>519254454</v>
          </cell>
          <cell r="CE164">
            <v>31393709</v>
          </cell>
          <cell r="CF164">
            <v>-187488</v>
          </cell>
          <cell r="CG164">
            <v>31393709</v>
          </cell>
          <cell r="CH164">
            <v>31393709</v>
          </cell>
          <cell r="CI164">
            <v>31393709</v>
          </cell>
          <cell r="CJ164">
            <v>31393709</v>
          </cell>
          <cell r="CK164">
            <v>131255076</v>
          </cell>
          <cell r="CL164">
            <v>131189711</v>
          </cell>
          <cell r="CM164">
            <v>131188653</v>
          </cell>
          <cell r="CN164">
            <v>131186328</v>
          </cell>
          <cell r="CO164">
            <v>131189551</v>
          </cell>
          <cell r="CP164">
            <v>0</v>
          </cell>
          <cell r="CQ164">
            <v>77400039</v>
          </cell>
          <cell r="CR164">
            <v>73878475</v>
          </cell>
          <cell r="CS164">
            <v>71807551</v>
          </cell>
          <cell r="CT164">
            <v>69972173</v>
          </cell>
          <cell r="CU164">
            <v>68104813</v>
          </cell>
          <cell r="CV164">
            <v>-1738719</v>
          </cell>
          <cell r="CW164">
            <v>0</v>
          </cell>
          <cell r="CX164">
            <v>100000</v>
          </cell>
          <cell r="CY164">
            <v>600000</v>
          </cell>
          <cell r="CZ164">
            <v>250000</v>
          </cell>
          <cell r="DA164">
            <v>0</v>
          </cell>
          <cell r="DB164"/>
          <cell r="DC164">
            <v>400000</v>
          </cell>
          <cell r="DD164">
            <v>0</v>
          </cell>
          <cell r="DE164">
            <v>0</v>
          </cell>
          <cell r="DF164">
            <v>0</v>
          </cell>
          <cell r="DG164">
            <v>0</v>
          </cell>
          <cell r="DH164">
            <v>0</v>
          </cell>
          <cell r="DI164">
            <v>0</v>
          </cell>
          <cell r="DJ164">
            <v>310000</v>
          </cell>
          <cell r="DK164">
            <v>310000</v>
          </cell>
          <cell r="DL164">
            <v>310000</v>
          </cell>
          <cell r="DM164"/>
          <cell r="DN164"/>
          <cell r="DO164"/>
          <cell r="DP164"/>
        </row>
        <row r="165">
          <cell r="A165">
            <v>370</v>
          </cell>
          <cell r="B165" t="str">
            <v>Beemster</v>
          </cell>
          <cell r="C165">
            <v>7</v>
          </cell>
          <cell r="D165">
            <v>-596</v>
          </cell>
          <cell r="E165">
            <v>-298</v>
          </cell>
          <cell r="F165">
            <v>0</v>
          </cell>
          <cell r="G165">
            <v>0</v>
          </cell>
          <cell r="H165">
            <v>-7286</v>
          </cell>
          <cell r="I165">
            <v>-4549</v>
          </cell>
          <cell r="J165"/>
          <cell r="K165">
            <v>0</v>
          </cell>
          <cell r="L165">
            <v>25029</v>
          </cell>
          <cell r="M165">
            <v>27926</v>
          </cell>
          <cell r="N165">
            <v>0</v>
          </cell>
          <cell r="O165">
            <v>0</v>
          </cell>
          <cell r="P165">
            <v>0</v>
          </cell>
          <cell r="Q165">
            <v>0</v>
          </cell>
          <cell r="R165">
            <v>0</v>
          </cell>
          <cell r="S165">
            <v>0</v>
          </cell>
          <cell r="T165">
            <v>0</v>
          </cell>
          <cell r="U165">
            <v>0</v>
          </cell>
          <cell r="V165">
            <v>0</v>
          </cell>
          <cell r="W165">
            <v>31114</v>
          </cell>
          <cell r="X165">
            <v>0</v>
          </cell>
          <cell r="Y165"/>
          <cell r="Z165">
            <v>0</v>
          </cell>
          <cell r="AA165">
            <v>0</v>
          </cell>
          <cell r="AB165">
            <v>0</v>
          </cell>
          <cell r="AC165"/>
          <cell r="AD165">
            <v>0</v>
          </cell>
          <cell r="AE165">
            <v>0</v>
          </cell>
          <cell r="AF165">
            <v>0</v>
          </cell>
          <cell r="AG165">
            <v>0</v>
          </cell>
          <cell r="AH165">
            <v>0</v>
          </cell>
          <cell r="AI165">
            <v>0</v>
          </cell>
          <cell r="AJ165">
            <v>0</v>
          </cell>
          <cell r="AK165">
            <v>0</v>
          </cell>
          <cell r="AL165"/>
          <cell r="AM165">
            <v>57548</v>
          </cell>
          <cell r="AN165">
            <v>58872</v>
          </cell>
          <cell r="AO165">
            <v>60226</v>
          </cell>
          <cell r="AP165">
            <v>61611</v>
          </cell>
          <cell r="AQ165">
            <v>63028</v>
          </cell>
          <cell r="AR165">
            <v>64477</v>
          </cell>
          <cell r="AS165">
            <v>0</v>
          </cell>
          <cell r="AT165">
            <v>0</v>
          </cell>
          <cell r="AU165">
            <v>2370</v>
          </cell>
          <cell r="AV165">
            <v>0</v>
          </cell>
          <cell r="AW165">
            <v>0</v>
          </cell>
          <cell r="AX165">
            <v>0</v>
          </cell>
          <cell r="AY165"/>
          <cell r="AZ165"/>
          <cell r="BA165">
            <v>0</v>
          </cell>
          <cell r="BB165"/>
          <cell r="BC165">
            <v>0</v>
          </cell>
          <cell r="BD165">
            <v>3231</v>
          </cell>
          <cell r="BE165"/>
          <cell r="BF165">
            <v>0</v>
          </cell>
          <cell r="BG165">
            <v>0</v>
          </cell>
          <cell r="BH165">
            <v>0</v>
          </cell>
          <cell r="BI165">
            <v>9171</v>
          </cell>
          <cell r="BJ165">
            <v>7549</v>
          </cell>
          <cell r="BK165">
            <v>7549</v>
          </cell>
          <cell r="BL165">
            <v>0</v>
          </cell>
          <cell r="BM165">
            <v>0</v>
          </cell>
          <cell r="BN165">
            <v>0</v>
          </cell>
          <cell r="BO165">
            <v>58858</v>
          </cell>
          <cell r="BP165">
            <v>7907</v>
          </cell>
          <cell r="BQ165">
            <v>14244.186046511601</v>
          </cell>
          <cell r="BR165">
            <v>0</v>
          </cell>
          <cell r="BS165">
            <v>0</v>
          </cell>
          <cell r="BT165">
            <v>15256</v>
          </cell>
          <cell r="BU165"/>
          <cell r="BV165"/>
          <cell r="BW165"/>
          <cell r="BX165"/>
          <cell r="BY165">
            <v>0</v>
          </cell>
          <cell r="BZ165">
            <v>0</v>
          </cell>
          <cell r="CA165">
            <v>0</v>
          </cell>
          <cell r="CB165">
            <v>0</v>
          </cell>
          <cell r="CC165">
            <v>592410</v>
          </cell>
          <cell r="CD165">
            <v>2631692</v>
          </cell>
          <cell r="CE165">
            <v>259103</v>
          </cell>
          <cell r="CF165">
            <v>0</v>
          </cell>
          <cell r="CG165">
            <v>259103</v>
          </cell>
          <cell r="CH165">
            <v>259103</v>
          </cell>
          <cell r="CI165">
            <v>259103</v>
          </cell>
          <cell r="CJ165">
            <v>259103</v>
          </cell>
          <cell r="CK165">
            <v>0</v>
          </cell>
          <cell r="CL165">
            <v>0</v>
          </cell>
          <cell r="CM165">
            <v>0</v>
          </cell>
          <cell r="CN165">
            <v>0</v>
          </cell>
          <cell r="CO165">
            <v>0</v>
          </cell>
          <cell r="CP165">
            <v>-1645</v>
          </cell>
          <cell r="CQ165">
            <v>54465</v>
          </cell>
          <cell r="CR165">
            <v>59958</v>
          </cell>
          <cell r="CS165">
            <v>61711</v>
          </cell>
          <cell r="CT165">
            <v>66818</v>
          </cell>
          <cell r="CU165">
            <v>71562</v>
          </cell>
          <cell r="CV165">
            <v>-833</v>
          </cell>
          <cell r="CW165">
            <v>0</v>
          </cell>
          <cell r="CX165">
            <v>0</v>
          </cell>
          <cell r="CY165">
            <v>0</v>
          </cell>
          <cell r="CZ165">
            <v>0</v>
          </cell>
          <cell r="DA165">
            <v>0</v>
          </cell>
          <cell r="DB165"/>
          <cell r="DC165">
            <v>0</v>
          </cell>
          <cell r="DD165">
            <v>0</v>
          </cell>
          <cell r="DE165">
            <v>0</v>
          </cell>
          <cell r="DF165">
            <v>0</v>
          </cell>
          <cell r="DG165">
            <v>0</v>
          </cell>
          <cell r="DH165">
            <v>0</v>
          </cell>
          <cell r="DI165">
            <v>0</v>
          </cell>
          <cell r="DJ165">
            <v>0</v>
          </cell>
          <cell r="DK165">
            <v>0</v>
          </cell>
          <cell r="DL165">
            <v>0</v>
          </cell>
          <cell r="DM165"/>
          <cell r="DN165"/>
          <cell r="DO165"/>
          <cell r="DP165"/>
        </row>
        <row r="166">
          <cell r="A166">
            <v>373</v>
          </cell>
          <cell r="B166" t="str">
            <v>Bergen NH</v>
          </cell>
          <cell r="C166">
            <v>7</v>
          </cell>
          <cell r="D166">
            <v>-30491</v>
          </cell>
          <cell r="E166">
            <v>-15246</v>
          </cell>
          <cell r="F166">
            <v>0</v>
          </cell>
          <cell r="G166">
            <v>0</v>
          </cell>
          <cell r="H166">
            <v>-48131</v>
          </cell>
          <cell r="I166">
            <v>-42876</v>
          </cell>
          <cell r="J166"/>
          <cell r="K166">
            <v>0</v>
          </cell>
          <cell r="L166">
            <v>85792</v>
          </cell>
          <cell r="M166">
            <v>78159</v>
          </cell>
          <cell r="N166">
            <v>0</v>
          </cell>
          <cell r="O166">
            <v>0</v>
          </cell>
          <cell r="P166">
            <v>0</v>
          </cell>
          <cell r="Q166">
            <v>0</v>
          </cell>
          <cell r="R166">
            <v>0</v>
          </cell>
          <cell r="S166">
            <v>0</v>
          </cell>
          <cell r="T166">
            <v>0</v>
          </cell>
          <cell r="U166">
            <v>0</v>
          </cell>
          <cell r="V166">
            <v>3000</v>
          </cell>
          <cell r="W166">
            <v>82229</v>
          </cell>
          <cell r="X166">
            <v>0</v>
          </cell>
          <cell r="Y166"/>
          <cell r="Z166">
            <v>0</v>
          </cell>
          <cell r="AA166">
            <v>0</v>
          </cell>
          <cell r="AB166">
            <v>0</v>
          </cell>
          <cell r="AC166"/>
          <cell r="AD166">
            <v>0</v>
          </cell>
          <cell r="AE166">
            <v>0</v>
          </cell>
          <cell r="AF166">
            <v>0</v>
          </cell>
          <cell r="AG166">
            <v>0</v>
          </cell>
          <cell r="AH166">
            <v>0</v>
          </cell>
          <cell r="AI166">
            <v>0</v>
          </cell>
          <cell r="AJ166">
            <v>0</v>
          </cell>
          <cell r="AK166">
            <v>0</v>
          </cell>
          <cell r="AL166"/>
          <cell r="AM166">
            <v>39080</v>
          </cell>
          <cell r="AN166">
            <v>39979</v>
          </cell>
          <cell r="AO166">
            <v>40898</v>
          </cell>
          <cell r="AP166">
            <v>41839</v>
          </cell>
          <cell r="AQ166">
            <v>42801</v>
          </cell>
          <cell r="AR166">
            <v>43786</v>
          </cell>
          <cell r="AS166">
            <v>0</v>
          </cell>
          <cell r="AT166">
            <v>0</v>
          </cell>
          <cell r="AU166">
            <v>4740</v>
          </cell>
          <cell r="AV166">
            <v>0</v>
          </cell>
          <cell r="AW166">
            <v>0</v>
          </cell>
          <cell r="AX166">
            <v>0</v>
          </cell>
          <cell r="AY166"/>
          <cell r="AZ166"/>
          <cell r="BA166">
            <v>0</v>
          </cell>
          <cell r="BB166"/>
          <cell r="BC166">
            <v>0</v>
          </cell>
          <cell r="BD166">
            <v>10476</v>
          </cell>
          <cell r="BE166"/>
          <cell r="BF166">
            <v>0</v>
          </cell>
          <cell r="BG166">
            <v>0</v>
          </cell>
          <cell r="BH166">
            <v>0</v>
          </cell>
          <cell r="BI166">
            <v>35414</v>
          </cell>
          <cell r="BJ166">
            <v>29151</v>
          </cell>
          <cell r="BK166">
            <v>29151</v>
          </cell>
          <cell r="BL166">
            <v>0</v>
          </cell>
          <cell r="BM166">
            <v>0</v>
          </cell>
          <cell r="BN166">
            <v>0</v>
          </cell>
          <cell r="BO166">
            <v>39887</v>
          </cell>
          <cell r="BP166">
            <v>17395.400000000001</v>
          </cell>
          <cell r="BQ166">
            <v>31337.209302325598</v>
          </cell>
          <cell r="BR166">
            <v>0</v>
          </cell>
          <cell r="BS166">
            <v>0</v>
          </cell>
          <cell r="BT166">
            <v>39375</v>
          </cell>
          <cell r="BU166"/>
          <cell r="BV166"/>
          <cell r="BW166"/>
          <cell r="BX166"/>
          <cell r="BY166">
            <v>0</v>
          </cell>
          <cell r="BZ166">
            <v>0</v>
          </cell>
          <cell r="CA166">
            <v>0</v>
          </cell>
          <cell r="CB166">
            <v>0</v>
          </cell>
          <cell r="CC166">
            <v>2387405</v>
          </cell>
          <cell r="CD166">
            <v>9808665</v>
          </cell>
          <cell r="CE166">
            <v>737951</v>
          </cell>
          <cell r="CF166">
            <v>-50413</v>
          </cell>
          <cell r="CG166">
            <v>737951</v>
          </cell>
          <cell r="CH166">
            <v>737951</v>
          </cell>
          <cell r="CI166">
            <v>737951</v>
          </cell>
          <cell r="CJ166">
            <v>737951</v>
          </cell>
          <cell r="CK166">
            <v>0</v>
          </cell>
          <cell r="CL166">
            <v>0</v>
          </cell>
          <cell r="CM166">
            <v>0</v>
          </cell>
          <cell r="CN166">
            <v>0</v>
          </cell>
          <cell r="CO166">
            <v>0</v>
          </cell>
          <cell r="CP166">
            <v>-7994</v>
          </cell>
          <cell r="CQ166">
            <v>1456759</v>
          </cell>
          <cell r="CR166">
            <v>1409562</v>
          </cell>
          <cell r="CS166">
            <v>1395440</v>
          </cell>
          <cell r="CT166">
            <v>1362411</v>
          </cell>
          <cell r="CU166">
            <v>1322264</v>
          </cell>
          <cell r="CV166">
            <v>48820</v>
          </cell>
          <cell r="CW166">
            <v>0</v>
          </cell>
          <cell r="CX166">
            <v>0</v>
          </cell>
          <cell r="CY166">
            <v>0</v>
          </cell>
          <cell r="CZ166">
            <v>0</v>
          </cell>
          <cell r="DA166">
            <v>0</v>
          </cell>
          <cell r="DB166"/>
          <cell r="DC166">
            <v>0</v>
          </cell>
          <cell r="DD166">
            <v>0</v>
          </cell>
          <cell r="DE166">
            <v>0</v>
          </cell>
          <cell r="DF166">
            <v>0</v>
          </cell>
          <cell r="DG166">
            <v>0</v>
          </cell>
          <cell r="DH166">
            <v>0</v>
          </cell>
          <cell r="DI166">
            <v>0</v>
          </cell>
          <cell r="DJ166">
            <v>0</v>
          </cell>
          <cell r="DK166">
            <v>0</v>
          </cell>
          <cell r="DL166">
            <v>0</v>
          </cell>
          <cell r="DM166"/>
          <cell r="DN166"/>
          <cell r="DO166"/>
          <cell r="DP166"/>
        </row>
        <row r="167">
          <cell r="A167">
            <v>375</v>
          </cell>
          <cell r="B167" t="str">
            <v>Beverwijk</v>
          </cell>
          <cell r="C167">
            <v>7</v>
          </cell>
          <cell r="D167">
            <v>8072</v>
          </cell>
          <cell r="E167">
            <v>4036</v>
          </cell>
          <cell r="F167">
            <v>0</v>
          </cell>
          <cell r="G167">
            <v>0</v>
          </cell>
          <cell r="H167">
            <v>-47220</v>
          </cell>
          <cell r="I167">
            <v>-37974</v>
          </cell>
          <cell r="J167"/>
          <cell r="K167">
            <v>0</v>
          </cell>
          <cell r="L167">
            <v>213764</v>
          </cell>
          <cell r="M167">
            <v>220051</v>
          </cell>
          <cell r="N167">
            <v>0</v>
          </cell>
          <cell r="O167">
            <v>0</v>
          </cell>
          <cell r="P167">
            <v>0</v>
          </cell>
          <cell r="Q167">
            <v>0</v>
          </cell>
          <cell r="R167">
            <v>0</v>
          </cell>
          <cell r="S167">
            <v>0</v>
          </cell>
          <cell r="T167">
            <v>0</v>
          </cell>
          <cell r="U167">
            <v>0</v>
          </cell>
          <cell r="V167">
            <v>3000</v>
          </cell>
          <cell r="W167">
            <v>139952</v>
          </cell>
          <cell r="X167">
            <v>0</v>
          </cell>
          <cell r="Y167"/>
          <cell r="Z167">
            <v>0</v>
          </cell>
          <cell r="AA167">
            <v>0</v>
          </cell>
          <cell r="AB167">
            <v>0</v>
          </cell>
          <cell r="AC167"/>
          <cell r="AD167">
            <v>20533</v>
          </cell>
          <cell r="AE167">
            <v>0</v>
          </cell>
          <cell r="AF167">
            <v>0</v>
          </cell>
          <cell r="AG167">
            <v>0</v>
          </cell>
          <cell r="AH167">
            <v>0</v>
          </cell>
          <cell r="AI167">
            <v>0</v>
          </cell>
          <cell r="AJ167">
            <v>0</v>
          </cell>
          <cell r="AK167">
            <v>0</v>
          </cell>
          <cell r="AL167"/>
          <cell r="AM167">
            <v>0</v>
          </cell>
          <cell r="AN167">
            <v>0</v>
          </cell>
          <cell r="AO167">
            <v>0</v>
          </cell>
          <cell r="AP167">
            <v>0</v>
          </cell>
          <cell r="AQ167">
            <v>0</v>
          </cell>
          <cell r="AR167">
            <v>0</v>
          </cell>
          <cell r="AS167">
            <v>0</v>
          </cell>
          <cell r="AT167">
            <v>0</v>
          </cell>
          <cell r="AU167">
            <v>2370</v>
          </cell>
          <cell r="AV167">
            <v>0</v>
          </cell>
          <cell r="AW167">
            <v>0</v>
          </cell>
          <cell r="AX167">
            <v>0</v>
          </cell>
          <cell r="AY167"/>
          <cell r="AZ167"/>
          <cell r="BA167">
            <v>0</v>
          </cell>
          <cell r="BB167"/>
          <cell r="BC167">
            <v>0</v>
          </cell>
          <cell r="BD167">
            <v>14290</v>
          </cell>
          <cell r="BE167"/>
          <cell r="BF167">
            <v>0</v>
          </cell>
          <cell r="BG167">
            <v>0</v>
          </cell>
          <cell r="BH167">
            <v>0</v>
          </cell>
          <cell r="BI167">
            <v>74274</v>
          </cell>
          <cell r="BJ167">
            <v>61139</v>
          </cell>
          <cell r="BK167">
            <v>61139</v>
          </cell>
          <cell r="BL167">
            <v>0</v>
          </cell>
          <cell r="BM167">
            <v>0</v>
          </cell>
          <cell r="BN167">
            <v>0</v>
          </cell>
          <cell r="BO167">
            <v>70532</v>
          </cell>
          <cell r="BP167">
            <v>14232.6</v>
          </cell>
          <cell r="BQ167">
            <v>25639.534883720899</v>
          </cell>
          <cell r="BR167">
            <v>0</v>
          </cell>
          <cell r="BS167">
            <v>0</v>
          </cell>
          <cell r="BT167">
            <v>65760</v>
          </cell>
          <cell r="BU167"/>
          <cell r="BV167"/>
          <cell r="BW167"/>
          <cell r="BX167"/>
          <cell r="BY167">
            <v>0</v>
          </cell>
          <cell r="BZ167">
            <v>0</v>
          </cell>
          <cell r="CA167">
            <v>0</v>
          </cell>
          <cell r="CB167">
            <v>0</v>
          </cell>
          <cell r="CC167">
            <v>3281580</v>
          </cell>
          <cell r="CD167">
            <v>20277148</v>
          </cell>
          <cell r="CE167">
            <v>747458</v>
          </cell>
          <cell r="CF167">
            <v>-57934</v>
          </cell>
          <cell r="CG167">
            <v>747458</v>
          </cell>
          <cell r="CH167">
            <v>747458</v>
          </cell>
          <cell r="CI167">
            <v>747458</v>
          </cell>
          <cell r="CJ167">
            <v>747458</v>
          </cell>
          <cell r="CK167">
            <v>0</v>
          </cell>
          <cell r="CL167">
            <v>0</v>
          </cell>
          <cell r="CM167">
            <v>0</v>
          </cell>
          <cell r="CN167">
            <v>0</v>
          </cell>
          <cell r="CO167">
            <v>0</v>
          </cell>
          <cell r="CP167">
            <v>-5032</v>
          </cell>
          <cell r="CQ167">
            <v>4668292</v>
          </cell>
          <cell r="CR167">
            <v>4492284</v>
          </cell>
          <cell r="CS167">
            <v>4448234</v>
          </cell>
          <cell r="CT167">
            <v>4380259</v>
          </cell>
          <cell r="CU167">
            <v>4266439</v>
          </cell>
          <cell r="CV167">
            <v>21059</v>
          </cell>
          <cell r="CW167">
            <v>0</v>
          </cell>
          <cell r="CX167">
            <v>0</v>
          </cell>
          <cell r="CY167">
            <v>0</v>
          </cell>
          <cell r="CZ167">
            <v>0</v>
          </cell>
          <cell r="DA167">
            <v>0</v>
          </cell>
          <cell r="DB167"/>
          <cell r="DC167">
            <v>0</v>
          </cell>
          <cell r="DD167">
            <v>0</v>
          </cell>
          <cell r="DE167">
            <v>0</v>
          </cell>
          <cell r="DF167">
            <v>0</v>
          </cell>
          <cell r="DG167">
            <v>0</v>
          </cell>
          <cell r="DH167">
            <v>0</v>
          </cell>
          <cell r="DI167">
            <v>0</v>
          </cell>
          <cell r="DJ167">
            <v>0</v>
          </cell>
          <cell r="DK167">
            <v>0</v>
          </cell>
          <cell r="DL167">
            <v>0</v>
          </cell>
          <cell r="DM167"/>
          <cell r="DN167"/>
          <cell r="DO167"/>
          <cell r="DP167"/>
        </row>
        <row r="168">
          <cell r="A168">
            <v>376</v>
          </cell>
          <cell r="B168" t="str">
            <v>Blaricum</v>
          </cell>
          <cell r="C168">
            <v>7</v>
          </cell>
          <cell r="D168">
            <v>54655</v>
          </cell>
          <cell r="E168">
            <v>27328</v>
          </cell>
          <cell r="F168">
            <v>0</v>
          </cell>
          <cell r="G168">
            <v>0</v>
          </cell>
          <cell r="H168">
            <v>-1682</v>
          </cell>
          <cell r="I168">
            <v>0</v>
          </cell>
          <cell r="J168"/>
          <cell r="K168">
            <v>0</v>
          </cell>
          <cell r="L168">
            <v>38320</v>
          </cell>
          <cell r="M168">
            <v>35997</v>
          </cell>
          <cell r="N168">
            <v>0</v>
          </cell>
          <cell r="O168">
            <v>0</v>
          </cell>
          <cell r="P168">
            <v>0</v>
          </cell>
          <cell r="Q168">
            <v>0</v>
          </cell>
          <cell r="R168">
            <v>0</v>
          </cell>
          <cell r="S168">
            <v>0</v>
          </cell>
          <cell r="T168">
            <v>0</v>
          </cell>
          <cell r="U168">
            <v>0</v>
          </cell>
          <cell r="V168">
            <v>0</v>
          </cell>
          <cell r="W168">
            <v>25255</v>
          </cell>
          <cell r="X168">
            <v>0</v>
          </cell>
          <cell r="Y168"/>
          <cell r="Z168">
            <v>0</v>
          </cell>
          <cell r="AA168">
            <v>0</v>
          </cell>
          <cell r="AB168">
            <v>0</v>
          </cell>
          <cell r="AC168"/>
          <cell r="AD168">
            <v>0</v>
          </cell>
          <cell r="AE168">
            <v>0</v>
          </cell>
          <cell r="AF168">
            <v>0</v>
          </cell>
          <cell r="AG168">
            <v>0</v>
          </cell>
          <cell r="AH168">
            <v>0</v>
          </cell>
          <cell r="AI168">
            <v>0</v>
          </cell>
          <cell r="AJ168">
            <v>0</v>
          </cell>
          <cell r="AK168">
            <v>0</v>
          </cell>
          <cell r="AL168"/>
          <cell r="AM168">
            <v>0</v>
          </cell>
          <cell r="AN168">
            <v>0</v>
          </cell>
          <cell r="AO168">
            <v>0</v>
          </cell>
          <cell r="AP168">
            <v>0</v>
          </cell>
          <cell r="AQ168">
            <v>0</v>
          </cell>
          <cell r="AR168">
            <v>0</v>
          </cell>
          <cell r="AS168">
            <v>0</v>
          </cell>
          <cell r="AT168">
            <v>0</v>
          </cell>
          <cell r="AU168">
            <v>0</v>
          </cell>
          <cell r="AV168">
            <v>0</v>
          </cell>
          <cell r="AW168">
            <v>0</v>
          </cell>
          <cell r="AX168">
            <v>0</v>
          </cell>
          <cell r="AY168"/>
          <cell r="AZ168"/>
          <cell r="BA168">
            <v>0</v>
          </cell>
          <cell r="BB168"/>
          <cell r="BC168">
            <v>0</v>
          </cell>
          <cell r="BD168">
            <v>3581</v>
          </cell>
          <cell r="BE168"/>
          <cell r="BF168">
            <v>0</v>
          </cell>
          <cell r="BG168">
            <v>0</v>
          </cell>
          <cell r="BH168">
            <v>0</v>
          </cell>
          <cell r="BI168">
            <v>8319</v>
          </cell>
          <cell r="BJ168">
            <v>6847</v>
          </cell>
          <cell r="BK168">
            <v>6847</v>
          </cell>
          <cell r="BL168">
            <v>0</v>
          </cell>
          <cell r="BM168">
            <v>0</v>
          </cell>
          <cell r="BN168">
            <v>0</v>
          </cell>
          <cell r="BO168">
            <v>0</v>
          </cell>
          <cell r="BP168">
            <v>0</v>
          </cell>
          <cell r="BQ168">
            <v>0</v>
          </cell>
          <cell r="BR168">
            <v>0</v>
          </cell>
          <cell r="BS168">
            <v>0</v>
          </cell>
          <cell r="BT168">
            <v>14813</v>
          </cell>
          <cell r="BU168"/>
          <cell r="BV168"/>
          <cell r="BW168"/>
          <cell r="BX168"/>
          <cell r="BY168">
            <v>0</v>
          </cell>
          <cell r="BZ168">
            <v>0</v>
          </cell>
          <cell r="CA168">
            <v>0</v>
          </cell>
          <cell r="CB168">
            <v>0</v>
          </cell>
          <cell r="CC168">
            <v>535612</v>
          </cell>
          <cell r="CD168">
            <v>2137707</v>
          </cell>
          <cell r="CE168">
            <v>141256</v>
          </cell>
          <cell r="CF168">
            <v>0</v>
          </cell>
          <cell r="CG168">
            <v>141256</v>
          </cell>
          <cell r="CH168">
            <v>141256</v>
          </cell>
          <cell r="CI168">
            <v>141256</v>
          </cell>
          <cell r="CJ168">
            <v>141256</v>
          </cell>
          <cell r="CK168">
            <v>0</v>
          </cell>
          <cell r="CL168">
            <v>0</v>
          </cell>
          <cell r="CM168">
            <v>0</v>
          </cell>
          <cell r="CN168">
            <v>0</v>
          </cell>
          <cell r="CO168">
            <v>0</v>
          </cell>
          <cell r="CP168">
            <v>0</v>
          </cell>
          <cell r="CQ168">
            <v>173335</v>
          </cell>
          <cell r="CR168">
            <v>158919</v>
          </cell>
          <cell r="CS168">
            <v>157271</v>
          </cell>
          <cell r="CT168">
            <v>140277</v>
          </cell>
          <cell r="CU168">
            <v>140848</v>
          </cell>
          <cell r="CV168">
            <v>5688</v>
          </cell>
          <cell r="CW168">
            <v>0</v>
          </cell>
          <cell r="CX168">
            <v>0</v>
          </cell>
          <cell r="CY168">
            <v>0</v>
          </cell>
          <cell r="CZ168">
            <v>0</v>
          </cell>
          <cell r="DA168">
            <v>0</v>
          </cell>
          <cell r="DB168"/>
          <cell r="DC168">
            <v>0</v>
          </cell>
          <cell r="DD168">
            <v>0</v>
          </cell>
          <cell r="DE168">
            <v>0</v>
          </cell>
          <cell r="DF168">
            <v>0</v>
          </cell>
          <cell r="DG168">
            <v>0</v>
          </cell>
          <cell r="DH168">
            <v>0</v>
          </cell>
          <cell r="DI168">
            <v>0</v>
          </cell>
          <cell r="DJ168">
            <v>0</v>
          </cell>
          <cell r="DK168">
            <v>0</v>
          </cell>
          <cell r="DL168">
            <v>0</v>
          </cell>
          <cell r="DM168"/>
          <cell r="DN168"/>
          <cell r="DO168"/>
          <cell r="DP168"/>
        </row>
        <row r="169">
          <cell r="A169">
            <v>377</v>
          </cell>
          <cell r="B169" t="str">
            <v>Bloemendaal</v>
          </cell>
          <cell r="C169">
            <v>7</v>
          </cell>
          <cell r="D169">
            <v>97657</v>
          </cell>
          <cell r="E169">
            <v>48829</v>
          </cell>
          <cell r="F169">
            <v>0</v>
          </cell>
          <cell r="G169">
            <v>0</v>
          </cell>
          <cell r="H169">
            <v>-4477</v>
          </cell>
          <cell r="I169">
            <v>-10856</v>
          </cell>
          <cell r="J169"/>
          <cell r="K169">
            <v>0</v>
          </cell>
          <cell r="L169">
            <v>64941</v>
          </cell>
          <cell r="M169">
            <v>61709</v>
          </cell>
          <cell r="N169">
            <v>0</v>
          </cell>
          <cell r="O169">
            <v>0</v>
          </cell>
          <cell r="P169">
            <v>0</v>
          </cell>
          <cell r="Q169">
            <v>0</v>
          </cell>
          <cell r="R169">
            <v>0</v>
          </cell>
          <cell r="S169">
            <v>0</v>
          </cell>
          <cell r="T169">
            <v>0</v>
          </cell>
          <cell r="U169">
            <v>0</v>
          </cell>
          <cell r="V169">
            <v>0</v>
          </cell>
          <cell r="W169">
            <v>91746</v>
          </cell>
          <cell r="X169">
            <v>0</v>
          </cell>
          <cell r="Y169"/>
          <cell r="Z169">
            <v>0</v>
          </cell>
          <cell r="AA169">
            <v>0</v>
          </cell>
          <cell r="AB169">
            <v>0</v>
          </cell>
          <cell r="AC169"/>
          <cell r="AD169">
            <v>0</v>
          </cell>
          <cell r="AE169">
            <v>0</v>
          </cell>
          <cell r="AF169">
            <v>0</v>
          </cell>
          <cell r="AG169">
            <v>0</v>
          </cell>
          <cell r="AH169">
            <v>0</v>
          </cell>
          <cell r="AI169">
            <v>0</v>
          </cell>
          <cell r="AJ169">
            <v>0</v>
          </cell>
          <cell r="AK169">
            <v>0</v>
          </cell>
          <cell r="AL169"/>
          <cell r="AM169">
            <v>0</v>
          </cell>
          <cell r="AN169">
            <v>0</v>
          </cell>
          <cell r="AO169">
            <v>0</v>
          </cell>
          <cell r="AP169">
            <v>0</v>
          </cell>
          <cell r="AQ169">
            <v>0</v>
          </cell>
          <cell r="AR169">
            <v>0</v>
          </cell>
          <cell r="AS169">
            <v>0</v>
          </cell>
          <cell r="AT169">
            <v>0</v>
          </cell>
          <cell r="AU169">
            <v>2370</v>
          </cell>
          <cell r="AV169">
            <v>0</v>
          </cell>
          <cell r="AW169">
            <v>0</v>
          </cell>
          <cell r="AX169">
            <v>0</v>
          </cell>
          <cell r="AY169"/>
          <cell r="AZ169"/>
          <cell r="BA169">
            <v>0</v>
          </cell>
          <cell r="BB169"/>
          <cell r="BC169">
            <v>0</v>
          </cell>
          <cell r="BD169">
            <v>8013</v>
          </cell>
          <cell r="BE169"/>
          <cell r="BF169">
            <v>0</v>
          </cell>
          <cell r="BG169">
            <v>0</v>
          </cell>
          <cell r="BH169">
            <v>0</v>
          </cell>
          <cell r="BI169">
            <v>15570</v>
          </cell>
          <cell r="BJ169">
            <v>12816</v>
          </cell>
          <cell r="BK169">
            <v>12816</v>
          </cell>
          <cell r="BL169">
            <v>0</v>
          </cell>
          <cell r="BM169">
            <v>0</v>
          </cell>
          <cell r="BN169">
            <v>0</v>
          </cell>
          <cell r="BO169">
            <v>10215</v>
          </cell>
          <cell r="BP169">
            <v>6325.6</v>
          </cell>
          <cell r="BQ169">
            <v>11395.3488372093</v>
          </cell>
          <cell r="BR169">
            <v>0</v>
          </cell>
          <cell r="BS169">
            <v>0</v>
          </cell>
          <cell r="BT169">
            <v>35300</v>
          </cell>
          <cell r="BU169"/>
          <cell r="BV169"/>
          <cell r="BW169"/>
          <cell r="BX169"/>
          <cell r="BY169">
            <v>0</v>
          </cell>
          <cell r="BZ169">
            <v>0</v>
          </cell>
          <cell r="CA169">
            <v>0</v>
          </cell>
          <cell r="CB169">
            <v>0</v>
          </cell>
          <cell r="CC169">
            <v>1137675</v>
          </cell>
          <cell r="CD169">
            <v>5279212</v>
          </cell>
          <cell r="CE169">
            <v>172667</v>
          </cell>
          <cell r="CF169">
            <v>-14025</v>
          </cell>
          <cell r="CG169">
            <v>172667</v>
          </cell>
          <cell r="CH169">
            <v>172667</v>
          </cell>
          <cell r="CI169">
            <v>172667</v>
          </cell>
          <cell r="CJ169">
            <v>172667</v>
          </cell>
          <cell r="CK169">
            <v>0</v>
          </cell>
          <cell r="CL169">
            <v>0</v>
          </cell>
          <cell r="CM169">
            <v>0</v>
          </cell>
          <cell r="CN169">
            <v>0</v>
          </cell>
          <cell r="CO169">
            <v>0</v>
          </cell>
          <cell r="CP169">
            <v>-1791</v>
          </cell>
          <cell r="CQ169">
            <v>824854</v>
          </cell>
          <cell r="CR169">
            <v>803750</v>
          </cell>
          <cell r="CS169">
            <v>792618</v>
          </cell>
          <cell r="CT169">
            <v>786879</v>
          </cell>
          <cell r="CU169">
            <v>747753</v>
          </cell>
          <cell r="CV169">
            <v>-42060</v>
          </cell>
          <cell r="CW169">
            <v>0</v>
          </cell>
          <cell r="CX169">
            <v>0</v>
          </cell>
          <cell r="CY169">
            <v>0</v>
          </cell>
          <cell r="CZ169">
            <v>0</v>
          </cell>
          <cell r="DA169">
            <v>0</v>
          </cell>
          <cell r="DB169"/>
          <cell r="DC169">
            <v>0</v>
          </cell>
          <cell r="DD169">
            <v>0</v>
          </cell>
          <cell r="DE169">
            <v>0</v>
          </cell>
          <cell r="DF169">
            <v>0</v>
          </cell>
          <cell r="DG169">
            <v>0</v>
          </cell>
          <cell r="DH169">
            <v>0</v>
          </cell>
          <cell r="DI169">
            <v>0</v>
          </cell>
          <cell r="DJ169">
            <v>0</v>
          </cell>
          <cell r="DK169">
            <v>0</v>
          </cell>
          <cell r="DL169">
            <v>0</v>
          </cell>
          <cell r="DM169"/>
          <cell r="DN169"/>
          <cell r="DO169"/>
          <cell r="DP169"/>
        </row>
        <row r="170">
          <cell r="A170">
            <v>383</v>
          </cell>
          <cell r="B170" t="str">
            <v>Castricum</v>
          </cell>
          <cell r="C170">
            <v>7</v>
          </cell>
          <cell r="D170">
            <v>84261</v>
          </cell>
          <cell r="E170">
            <v>42130</v>
          </cell>
          <cell r="F170">
            <v>0</v>
          </cell>
          <cell r="G170">
            <v>0</v>
          </cell>
          <cell r="H170">
            <v>-26495</v>
          </cell>
          <cell r="I170">
            <v>-26604</v>
          </cell>
          <cell r="J170"/>
          <cell r="K170">
            <v>0</v>
          </cell>
          <cell r="L170">
            <v>78888</v>
          </cell>
          <cell r="M170">
            <v>71184</v>
          </cell>
          <cell r="N170">
            <v>0</v>
          </cell>
          <cell r="O170">
            <v>0</v>
          </cell>
          <cell r="P170">
            <v>0</v>
          </cell>
          <cell r="Q170">
            <v>0</v>
          </cell>
          <cell r="R170">
            <v>0</v>
          </cell>
          <cell r="S170">
            <v>0</v>
          </cell>
          <cell r="T170">
            <v>0</v>
          </cell>
          <cell r="U170">
            <v>0</v>
          </cell>
          <cell r="V170">
            <v>0</v>
          </cell>
          <cell r="W170">
            <v>107079</v>
          </cell>
          <cell r="X170">
            <v>0</v>
          </cell>
          <cell r="Y170"/>
          <cell r="Z170">
            <v>0</v>
          </cell>
          <cell r="AA170">
            <v>0</v>
          </cell>
          <cell r="AB170">
            <v>0</v>
          </cell>
          <cell r="AC170"/>
          <cell r="AD170">
            <v>0</v>
          </cell>
          <cell r="AE170">
            <v>0</v>
          </cell>
          <cell r="AF170">
            <v>0</v>
          </cell>
          <cell r="AG170">
            <v>0</v>
          </cell>
          <cell r="AH170">
            <v>0</v>
          </cell>
          <cell r="AI170">
            <v>148777</v>
          </cell>
          <cell r="AJ170">
            <v>0</v>
          </cell>
          <cell r="AK170">
            <v>0</v>
          </cell>
          <cell r="AL170"/>
          <cell r="AM170">
            <v>18180</v>
          </cell>
          <cell r="AN170">
            <v>18598</v>
          </cell>
          <cell r="AO170">
            <v>19026</v>
          </cell>
          <cell r="AP170">
            <v>19463</v>
          </cell>
          <cell r="AQ170">
            <v>19911</v>
          </cell>
          <cell r="AR170">
            <v>20369</v>
          </cell>
          <cell r="AS170">
            <v>0</v>
          </cell>
          <cell r="AT170">
            <v>0</v>
          </cell>
          <cell r="AU170">
            <v>9480</v>
          </cell>
          <cell r="AV170">
            <v>0</v>
          </cell>
          <cell r="AW170">
            <v>0</v>
          </cell>
          <cell r="AX170">
            <v>0</v>
          </cell>
          <cell r="AY170"/>
          <cell r="AZ170"/>
          <cell r="BA170">
            <v>0</v>
          </cell>
          <cell r="BB170"/>
          <cell r="BC170">
            <v>0</v>
          </cell>
          <cell r="BD170">
            <v>12362</v>
          </cell>
          <cell r="BE170"/>
          <cell r="BF170">
            <v>0</v>
          </cell>
          <cell r="BG170">
            <v>0</v>
          </cell>
          <cell r="BH170">
            <v>0</v>
          </cell>
          <cell r="BI170">
            <v>34298</v>
          </cell>
          <cell r="BJ170">
            <v>28233</v>
          </cell>
          <cell r="BK170">
            <v>28233</v>
          </cell>
          <cell r="BL170">
            <v>0</v>
          </cell>
          <cell r="BM170">
            <v>0</v>
          </cell>
          <cell r="BN170">
            <v>0</v>
          </cell>
          <cell r="BO170">
            <v>66154</v>
          </cell>
          <cell r="BP170">
            <v>6325.6</v>
          </cell>
          <cell r="BQ170">
            <v>11395.3488372093</v>
          </cell>
          <cell r="BR170">
            <v>0</v>
          </cell>
          <cell r="BS170">
            <v>0</v>
          </cell>
          <cell r="BT170">
            <v>49390</v>
          </cell>
          <cell r="BU170"/>
          <cell r="BV170"/>
          <cell r="BW170"/>
          <cell r="BX170"/>
          <cell r="BY170">
            <v>0</v>
          </cell>
          <cell r="BZ170">
            <v>0</v>
          </cell>
          <cell r="CA170">
            <v>0</v>
          </cell>
          <cell r="CB170">
            <v>0</v>
          </cell>
          <cell r="CC170">
            <v>2425183</v>
          </cell>
          <cell r="CD170">
            <v>9386138</v>
          </cell>
          <cell r="CE170">
            <v>529046</v>
          </cell>
          <cell r="CF170">
            <v>-33691</v>
          </cell>
          <cell r="CG170">
            <v>529046</v>
          </cell>
          <cell r="CH170">
            <v>529046</v>
          </cell>
          <cell r="CI170">
            <v>529046</v>
          </cell>
          <cell r="CJ170">
            <v>529046</v>
          </cell>
          <cell r="CK170">
            <v>0</v>
          </cell>
          <cell r="CL170">
            <v>0</v>
          </cell>
          <cell r="CM170">
            <v>0</v>
          </cell>
          <cell r="CN170">
            <v>0</v>
          </cell>
          <cell r="CO170">
            <v>0</v>
          </cell>
          <cell r="CP170">
            <v>-4557</v>
          </cell>
          <cell r="CQ170">
            <v>781498</v>
          </cell>
          <cell r="CR170">
            <v>778435</v>
          </cell>
          <cell r="CS170">
            <v>773183</v>
          </cell>
          <cell r="CT170">
            <v>780010</v>
          </cell>
          <cell r="CU170">
            <v>787190</v>
          </cell>
          <cell r="CV170">
            <v>68294</v>
          </cell>
          <cell r="CW170">
            <v>0</v>
          </cell>
          <cell r="CX170">
            <v>0</v>
          </cell>
          <cell r="CY170">
            <v>0</v>
          </cell>
          <cell r="CZ170">
            <v>0</v>
          </cell>
          <cell r="DA170">
            <v>0</v>
          </cell>
          <cell r="DB170"/>
          <cell r="DC170">
            <v>0</v>
          </cell>
          <cell r="DD170">
            <v>0</v>
          </cell>
          <cell r="DE170">
            <v>0</v>
          </cell>
          <cell r="DF170">
            <v>0</v>
          </cell>
          <cell r="DG170">
            <v>0</v>
          </cell>
          <cell r="DH170">
            <v>0</v>
          </cell>
          <cell r="DI170">
            <v>0</v>
          </cell>
          <cell r="DJ170">
            <v>0</v>
          </cell>
          <cell r="DK170">
            <v>0</v>
          </cell>
          <cell r="DL170">
            <v>0</v>
          </cell>
          <cell r="DM170"/>
          <cell r="DN170"/>
          <cell r="DO170"/>
          <cell r="DP170"/>
        </row>
        <row r="171">
          <cell r="A171">
            <v>400</v>
          </cell>
          <cell r="B171" t="str">
            <v>Den Helder</v>
          </cell>
          <cell r="C171">
            <v>7</v>
          </cell>
          <cell r="D171">
            <v>47818</v>
          </cell>
          <cell r="E171">
            <v>23909</v>
          </cell>
          <cell r="F171">
            <v>0</v>
          </cell>
          <cell r="G171">
            <v>416959</v>
          </cell>
          <cell r="H171">
            <v>403490</v>
          </cell>
          <cell r="I171">
            <v>375052</v>
          </cell>
          <cell r="J171"/>
          <cell r="K171">
            <v>0</v>
          </cell>
          <cell r="L171">
            <v>356817</v>
          </cell>
          <cell r="M171">
            <v>349968</v>
          </cell>
          <cell r="N171">
            <v>0</v>
          </cell>
          <cell r="O171">
            <v>0</v>
          </cell>
          <cell r="P171">
            <v>0</v>
          </cell>
          <cell r="Q171">
            <v>0</v>
          </cell>
          <cell r="R171">
            <v>0</v>
          </cell>
          <cell r="S171">
            <v>0</v>
          </cell>
          <cell r="T171">
            <v>0</v>
          </cell>
          <cell r="U171">
            <v>0</v>
          </cell>
          <cell r="V171">
            <v>15000</v>
          </cell>
          <cell r="W171">
            <v>215760</v>
          </cell>
          <cell r="X171">
            <v>0</v>
          </cell>
          <cell r="Y171"/>
          <cell r="Z171">
            <v>0</v>
          </cell>
          <cell r="AA171">
            <v>0</v>
          </cell>
          <cell r="AB171">
            <v>0</v>
          </cell>
          <cell r="AC171"/>
          <cell r="AD171">
            <v>63557</v>
          </cell>
          <cell r="AE171">
            <v>0</v>
          </cell>
          <cell r="AF171">
            <v>0</v>
          </cell>
          <cell r="AG171">
            <v>0</v>
          </cell>
          <cell r="AH171">
            <v>0</v>
          </cell>
          <cell r="AI171">
            <v>0</v>
          </cell>
          <cell r="AJ171">
            <v>0</v>
          </cell>
          <cell r="AK171">
            <v>0</v>
          </cell>
          <cell r="AL171"/>
          <cell r="AM171">
            <v>38135</v>
          </cell>
          <cell r="AN171">
            <v>39012</v>
          </cell>
          <cell r="AO171">
            <v>39909</v>
          </cell>
          <cell r="AP171">
            <v>40827</v>
          </cell>
          <cell r="AQ171">
            <v>41766</v>
          </cell>
          <cell r="AR171">
            <v>42727</v>
          </cell>
          <cell r="AS171">
            <v>0</v>
          </cell>
          <cell r="AT171">
            <v>0</v>
          </cell>
          <cell r="AU171">
            <v>2370</v>
          </cell>
          <cell r="AV171">
            <v>1826089.03857468</v>
          </cell>
          <cell r="AW171">
            <v>0</v>
          </cell>
          <cell r="AX171">
            <v>0</v>
          </cell>
          <cell r="AY171"/>
          <cell r="AZ171"/>
          <cell r="BA171">
            <v>0</v>
          </cell>
          <cell r="BB171"/>
          <cell r="BC171">
            <v>0</v>
          </cell>
          <cell r="BD171">
            <v>19665</v>
          </cell>
          <cell r="BE171"/>
          <cell r="BF171">
            <v>0</v>
          </cell>
          <cell r="BG171">
            <v>0</v>
          </cell>
          <cell r="BH171">
            <v>0</v>
          </cell>
          <cell r="BI171">
            <v>110707</v>
          </cell>
          <cell r="BJ171">
            <v>91128</v>
          </cell>
          <cell r="BK171">
            <v>91128</v>
          </cell>
          <cell r="BL171">
            <v>0</v>
          </cell>
          <cell r="BM171">
            <v>0</v>
          </cell>
          <cell r="BN171">
            <v>0</v>
          </cell>
          <cell r="BO171">
            <v>185815</v>
          </cell>
          <cell r="BP171">
            <v>26883.8</v>
          </cell>
          <cell r="BQ171">
            <v>48430.232558139498</v>
          </cell>
          <cell r="BR171">
            <v>0</v>
          </cell>
          <cell r="BS171">
            <v>0</v>
          </cell>
          <cell r="BT171">
            <v>93485</v>
          </cell>
          <cell r="BU171"/>
          <cell r="BV171"/>
          <cell r="BW171"/>
          <cell r="BX171"/>
          <cell r="BY171">
            <v>956346.11416790297</v>
          </cell>
          <cell r="BZ171">
            <v>1108628.51473186</v>
          </cell>
          <cell r="CA171">
            <v>1121637.5640262701</v>
          </cell>
          <cell r="CB171">
            <v>1158368.9973281301</v>
          </cell>
          <cell r="CC171">
            <v>5490039</v>
          </cell>
          <cell r="CD171">
            <v>45021867</v>
          </cell>
          <cell r="CE171">
            <v>3411172</v>
          </cell>
          <cell r="CF171">
            <v>565970</v>
          </cell>
          <cell r="CG171">
            <v>3411172</v>
          </cell>
          <cell r="CH171">
            <v>3411172</v>
          </cell>
          <cell r="CI171">
            <v>3411172</v>
          </cell>
          <cell r="CJ171">
            <v>3411172</v>
          </cell>
          <cell r="CK171">
            <v>9633830</v>
          </cell>
          <cell r="CL171">
            <v>9628995</v>
          </cell>
          <cell r="CM171">
            <v>9628917</v>
          </cell>
          <cell r="CN171">
            <v>9628745</v>
          </cell>
          <cell r="CO171">
            <v>9628983</v>
          </cell>
          <cell r="CP171">
            <v>-11282</v>
          </cell>
          <cell r="CQ171">
            <v>6707842</v>
          </cell>
          <cell r="CR171">
            <v>6502904</v>
          </cell>
          <cell r="CS171">
            <v>6400750</v>
          </cell>
          <cell r="CT171">
            <v>6345403</v>
          </cell>
          <cell r="CU171">
            <v>6274404</v>
          </cell>
          <cell r="CV171">
            <v>35045</v>
          </cell>
          <cell r="CW171">
            <v>0</v>
          </cell>
          <cell r="CX171">
            <v>0</v>
          </cell>
          <cell r="CY171">
            <v>0</v>
          </cell>
          <cell r="CZ171">
            <v>0</v>
          </cell>
          <cell r="DA171">
            <v>0</v>
          </cell>
          <cell r="DB171"/>
          <cell r="DC171">
            <v>0</v>
          </cell>
          <cell r="DD171">
            <v>0</v>
          </cell>
          <cell r="DE171">
            <v>0</v>
          </cell>
          <cell r="DF171">
            <v>0</v>
          </cell>
          <cell r="DG171">
            <v>0</v>
          </cell>
          <cell r="DH171">
            <v>0</v>
          </cell>
          <cell r="DI171">
            <v>0</v>
          </cell>
          <cell r="DJ171">
            <v>0</v>
          </cell>
          <cell r="DK171">
            <v>0</v>
          </cell>
          <cell r="DL171">
            <v>0</v>
          </cell>
          <cell r="DM171"/>
          <cell r="DN171"/>
          <cell r="DO171"/>
          <cell r="DP171"/>
        </row>
        <row r="172">
          <cell r="A172">
            <v>384</v>
          </cell>
          <cell r="B172" t="str">
            <v>Diemen</v>
          </cell>
          <cell r="C172">
            <v>7</v>
          </cell>
          <cell r="D172">
            <v>-24095</v>
          </cell>
          <cell r="E172">
            <v>-12048</v>
          </cell>
          <cell r="F172">
            <v>0</v>
          </cell>
          <cell r="G172">
            <v>0</v>
          </cell>
          <cell r="H172">
            <v>-31369</v>
          </cell>
          <cell r="I172">
            <v>-24860</v>
          </cell>
          <cell r="J172"/>
          <cell r="K172">
            <v>0</v>
          </cell>
          <cell r="L172">
            <v>142357</v>
          </cell>
          <cell r="M172">
            <v>133916</v>
          </cell>
          <cell r="N172">
            <v>0</v>
          </cell>
          <cell r="O172">
            <v>0</v>
          </cell>
          <cell r="P172">
            <v>0</v>
          </cell>
          <cell r="Q172">
            <v>0</v>
          </cell>
          <cell r="R172">
            <v>0</v>
          </cell>
          <cell r="S172">
            <v>0</v>
          </cell>
          <cell r="T172">
            <v>0</v>
          </cell>
          <cell r="U172">
            <v>0</v>
          </cell>
          <cell r="V172">
            <v>6000</v>
          </cell>
          <cell r="W172">
            <v>90580</v>
          </cell>
          <cell r="X172">
            <v>0</v>
          </cell>
          <cell r="Y172"/>
          <cell r="Z172">
            <v>0</v>
          </cell>
          <cell r="AA172">
            <v>0</v>
          </cell>
          <cell r="AB172">
            <v>0</v>
          </cell>
          <cell r="AC172"/>
          <cell r="AD172">
            <v>61601</v>
          </cell>
          <cell r="AE172">
            <v>0</v>
          </cell>
          <cell r="AF172">
            <v>0</v>
          </cell>
          <cell r="AG172">
            <v>0</v>
          </cell>
          <cell r="AH172">
            <v>0</v>
          </cell>
          <cell r="AI172">
            <v>0</v>
          </cell>
          <cell r="AJ172">
            <v>0</v>
          </cell>
          <cell r="AK172">
            <v>0</v>
          </cell>
          <cell r="AL172"/>
          <cell r="AM172">
            <v>0</v>
          </cell>
          <cell r="AN172">
            <v>0</v>
          </cell>
          <cell r="AO172">
            <v>0</v>
          </cell>
          <cell r="AP172">
            <v>0</v>
          </cell>
          <cell r="AQ172">
            <v>0</v>
          </cell>
          <cell r="AR172">
            <v>0</v>
          </cell>
          <cell r="AS172">
            <v>0</v>
          </cell>
          <cell r="AT172">
            <v>0</v>
          </cell>
          <cell r="AU172">
            <v>0</v>
          </cell>
          <cell r="AV172">
            <v>0</v>
          </cell>
          <cell r="AW172">
            <v>0</v>
          </cell>
          <cell r="AX172">
            <v>0</v>
          </cell>
          <cell r="AY172"/>
          <cell r="AZ172"/>
          <cell r="BA172">
            <v>0</v>
          </cell>
          <cell r="BB172"/>
          <cell r="BC172">
            <v>0</v>
          </cell>
          <cell r="BD172">
            <v>9573</v>
          </cell>
          <cell r="BE172"/>
          <cell r="BF172">
            <v>0</v>
          </cell>
          <cell r="BG172">
            <v>0</v>
          </cell>
          <cell r="BH172">
            <v>0</v>
          </cell>
          <cell r="BI172">
            <v>37065</v>
          </cell>
          <cell r="BJ172">
            <v>30510</v>
          </cell>
          <cell r="BK172">
            <v>30510</v>
          </cell>
          <cell r="BL172">
            <v>0</v>
          </cell>
          <cell r="BM172">
            <v>0</v>
          </cell>
          <cell r="BN172">
            <v>0</v>
          </cell>
          <cell r="BO172">
            <v>49129</v>
          </cell>
          <cell r="BP172">
            <v>17395.400000000001</v>
          </cell>
          <cell r="BQ172">
            <v>31337.209302325598</v>
          </cell>
          <cell r="BR172">
            <v>0</v>
          </cell>
          <cell r="BS172">
            <v>0</v>
          </cell>
          <cell r="BT172">
            <v>39390</v>
          </cell>
          <cell r="BU172"/>
          <cell r="BV172"/>
          <cell r="BW172"/>
          <cell r="BX172"/>
          <cell r="BY172">
            <v>0</v>
          </cell>
          <cell r="BZ172">
            <v>0</v>
          </cell>
          <cell r="CA172">
            <v>0</v>
          </cell>
          <cell r="CB172">
            <v>0</v>
          </cell>
          <cell r="CC172">
            <v>1637553</v>
          </cell>
          <cell r="CD172">
            <v>9819859</v>
          </cell>
          <cell r="CE172">
            <v>808437</v>
          </cell>
          <cell r="CF172">
            <v>-58451</v>
          </cell>
          <cell r="CG172">
            <v>808437</v>
          </cell>
          <cell r="CH172">
            <v>808437</v>
          </cell>
          <cell r="CI172">
            <v>808437</v>
          </cell>
          <cell r="CJ172">
            <v>808437</v>
          </cell>
          <cell r="CK172">
            <v>0</v>
          </cell>
          <cell r="CL172">
            <v>0</v>
          </cell>
          <cell r="CM172">
            <v>0</v>
          </cell>
          <cell r="CN172">
            <v>0</v>
          </cell>
          <cell r="CO172">
            <v>0</v>
          </cell>
          <cell r="CP172">
            <v>0</v>
          </cell>
          <cell r="CQ172">
            <v>1843995</v>
          </cell>
          <cell r="CR172">
            <v>1747710</v>
          </cell>
          <cell r="CS172">
            <v>1706685</v>
          </cell>
          <cell r="CT172">
            <v>1657423</v>
          </cell>
          <cell r="CU172">
            <v>1628102</v>
          </cell>
          <cell r="CV172">
            <v>71610</v>
          </cell>
          <cell r="CW172">
            <v>0</v>
          </cell>
          <cell r="CX172">
            <v>0</v>
          </cell>
          <cell r="CY172">
            <v>0</v>
          </cell>
          <cell r="CZ172">
            <v>0</v>
          </cell>
          <cell r="DA172">
            <v>0</v>
          </cell>
          <cell r="DB172"/>
          <cell r="DC172">
            <v>0</v>
          </cell>
          <cell r="DD172">
            <v>0</v>
          </cell>
          <cell r="DE172">
            <v>0</v>
          </cell>
          <cell r="DF172">
            <v>0</v>
          </cell>
          <cell r="DG172">
            <v>0</v>
          </cell>
          <cell r="DH172">
            <v>0</v>
          </cell>
          <cell r="DI172">
            <v>0</v>
          </cell>
          <cell r="DJ172">
            <v>0</v>
          </cell>
          <cell r="DK172">
            <v>0</v>
          </cell>
          <cell r="DL172">
            <v>0</v>
          </cell>
          <cell r="DM172"/>
          <cell r="DN172"/>
          <cell r="DO172"/>
          <cell r="DP172"/>
        </row>
        <row r="173">
          <cell r="A173">
            <v>498</v>
          </cell>
          <cell r="B173" t="str">
            <v>Drechterland</v>
          </cell>
          <cell r="C173">
            <v>7</v>
          </cell>
          <cell r="D173">
            <v>-24788</v>
          </cell>
          <cell r="E173">
            <v>-12394</v>
          </cell>
          <cell r="F173">
            <v>0</v>
          </cell>
          <cell r="G173">
            <v>0</v>
          </cell>
          <cell r="H173">
            <v>-18221</v>
          </cell>
          <cell r="I173">
            <v>-13688</v>
          </cell>
          <cell r="J173"/>
          <cell r="K173">
            <v>0</v>
          </cell>
          <cell r="L173">
            <v>59688</v>
          </cell>
          <cell r="M173">
            <v>56185</v>
          </cell>
          <cell r="N173">
            <v>0</v>
          </cell>
          <cell r="O173">
            <v>0</v>
          </cell>
          <cell r="P173">
            <v>0</v>
          </cell>
          <cell r="Q173">
            <v>0</v>
          </cell>
          <cell r="R173">
            <v>0</v>
          </cell>
          <cell r="S173">
            <v>0</v>
          </cell>
          <cell r="T173">
            <v>0</v>
          </cell>
          <cell r="U173">
            <v>0</v>
          </cell>
          <cell r="V173">
            <v>9000</v>
          </cell>
          <cell r="W173">
            <v>80278</v>
          </cell>
          <cell r="X173">
            <v>0</v>
          </cell>
          <cell r="Y173"/>
          <cell r="Z173">
            <v>0</v>
          </cell>
          <cell r="AA173">
            <v>0</v>
          </cell>
          <cell r="AB173">
            <v>0</v>
          </cell>
          <cell r="AC173"/>
          <cell r="AD173">
            <v>0</v>
          </cell>
          <cell r="AE173">
            <v>0</v>
          </cell>
          <cell r="AF173">
            <v>0</v>
          </cell>
          <cell r="AG173">
            <v>0</v>
          </cell>
          <cell r="AH173">
            <v>0</v>
          </cell>
          <cell r="AI173">
            <v>0</v>
          </cell>
          <cell r="AJ173">
            <v>0</v>
          </cell>
          <cell r="AK173">
            <v>0</v>
          </cell>
          <cell r="AL173"/>
          <cell r="AM173">
            <v>45034</v>
          </cell>
          <cell r="AN173">
            <v>46070</v>
          </cell>
          <cell r="AO173">
            <v>47129</v>
          </cell>
          <cell r="AP173">
            <v>48213</v>
          </cell>
          <cell r="AQ173">
            <v>49322</v>
          </cell>
          <cell r="AR173">
            <v>50457</v>
          </cell>
          <cell r="AS173">
            <v>0</v>
          </cell>
          <cell r="AT173">
            <v>0</v>
          </cell>
          <cell r="AU173">
            <v>0</v>
          </cell>
          <cell r="AV173">
            <v>0</v>
          </cell>
          <cell r="AW173">
            <v>0</v>
          </cell>
          <cell r="AX173">
            <v>0</v>
          </cell>
          <cell r="AY173"/>
          <cell r="AZ173"/>
          <cell r="BA173">
            <v>0</v>
          </cell>
          <cell r="BB173"/>
          <cell r="BC173">
            <v>0</v>
          </cell>
          <cell r="BD173">
            <v>6804</v>
          </cell>
          <cell r="BE173"/>
          <cell r="BF173">
            <v>0</v>
          </cell>
          <cell r="BG173">
            <v>0</v>
          </cell>
          <cell r="BH173">
            <v>0</v>
          </cell>
          <cell r="BI173">
            <v>22088</v>
          </cell>
          <cell r="BJ173">
            <v>18182</v>
          </cell>
          <cell r="BK173">
            <v>18182</v>
          </cell>
          <cell r="BL173">
            <v>0</v>
          </cell>
          <cell r="BM173">
            <v>0</v>
          </cell>
          <cell r="BN173">
            <v>0</v>
          </cell>
          <cell r="BO173">
            <v>16052</v>
          </cell>
          <cell r="BP173">
            <v>12651.2</v>
          </cell>
          <cell r="BQ173">
            <v>22790.697674418599</v>
          </cell>
          <cell r="BR173">
            <v>0</v>
          </cell>
          <cell r="BS173">
            <v>0</v>
          </cell>
          <cell r="BT173">
            <v>35071</v>
          </cell>
          <cell r="BU173"/>
          <cell r="BV173"/>
          <cell r="BW173"/>
          <cell r="BX173"/>
          <cell r="BY173">
            <v>0</v>
          </cell>
          <cell r="BZ173">
            <v>0</v>
          </cell>
          <cell r="CA173">
            <v>0</v>
          </cell>
          <cell r="CB173">
            <v>0</v>
          </cell>
          <cell r="CC173">
            <v>1127536</v>
          </cell>
          <cell r="CD173">
            <v>7094763</v>
          </cell>
          <cell r="CE173">
            <v>524128</v>
          </cell>
          <cell r="CF173">
            <v>-17802</v>
          </cell>
          <cell r="CG173">
            <v>524128</v>
          </cell>
          <cell r="CH173">
            <v>524128</v>
          </cell>
          <cell r="CI173">
            <v>524128</v>
          </cell>
          <cell r="CJ173">
            <v>524128</v>
          </cell>
          <cell r="CK173">
            <v>0</v>
          </cell>
          <cell r="CL173">
            <v>0</v>
          </cell>
          <cell r="CM173">
            <v>0</v>
          </cell>
          <cell r="CN173">
            <v>0</v>
          </cell>
          <cell r="CO173">
            <v>0</v>
          </cell>
          <cell r="CP173">
            <v>-2274</v>
          </cell>
          <cell r="CQ173">
            <v>1207296</v>
          </cell>
          <cell r="CR173">
            <v>1141865</v>
          </cell>
          <cell r="CS173">
            <v>1116401</v>
          </cell>
          <cell r="CT173">
            <v>1105075</v>
          </cell>
          <cell r="CU173">
            <v>1090356</v>
          </cell>
          <cell r="CV173">
            <v>29636</v>
          </cell>
          <cell r="CW173">
            <v>0</v>
          </cell>
          <cell r="CX173">
            <v>0</v>
          </cell>
          <cell r="CY173">
            <v>0</v>
          </cell>
          <cell r="CZ173">
            <v>0</v>
          </cell>
          <cell r="DA173">
            <v>0</v>
          </cell>
          <cell r="DB173"/>
          <cell r="DC173">
            <v>0</v>
          </cell>
          <cell r="DD173">
            <v>0</v>
          </cell>
          <cell r="DE173">
            <v>0</v>
          </cell>
          <cell r="DF173">
            <v>0</v>
          </cell>
          <cell r="DG173">
            <v>0</v>
          </cell>
          <cell r="DH173">
            <v>0</v>
          </cell>
          <cell r="DI173">
            <v>0</v>
          </cell>
          <cell r="DJ173">
            <v>0</v>
          </cell>
          <cell r="DK173">
            <v>0</v>
          </cell>
          <cell r="DL173">
            <v>0</v>
          </cell>
          <cell r="DM173"/>
          <cell r="DN173"/>
          <cell r="DO173"/>
          <cell r="DP173"/>
        </row>
        <row r="174">
          <cell r="A174">
            <v>385</v>
          </cell>
          <cell r="B174" t="str">
            <v>Edam-Volendam</v>
          </cell>
          <cell r="C174">
            <v>7</v>
          </cell>
          <cell r="D174">
            <v>-25767</v>
          </cell>
          <cell r="E174">
            <v>-12883</v>
          </cell>
          <cell r="F174">
            <v>0</v>
          </cell>
          <cell r="G174">
            <v>0</v>
          </cell>
          <cell r="H174">
            <v>-17074</v>
          </cell>
          <cell r="I174">
            <v>-26145</v>
          </cell>
          <cell r="J174"/>
          <cell r="K174">
            <v>0</v>
          </cell>
          <cell r="L174">
            <v>84280</v>
          </cell>
          <cell r="M174">
            <v>70779</v>
          </cell>
          <cell r="N174">
            <v>0</v>
          </cell>
          <cell r="O174">
            <v>0</v>
          </cell>
          <cell r="P174">
            <v>0</v>
          </cell>
          <cell r="Q174">
            <v>0</v>
          </cell>
          <cell r="R174">
            <v>0</v>
          </cell>
          <cell r="S174">
            <v>0</v>
          </cell>
          <cell r="T174">
            <v>0</v>
          </cell>
          <cell r="U174">
            <v>0</v>
          </cell>
          <cell r="V174">
            <v>0</v>
          </cell>
          <cell r="W174">
            <v>150449</v>
          </cell>
          <cell r="X174">
            <v>0</v>
          </cell>
          <cell r="Y174"/>
          <cell r="Z174">
            <v>0</v>
          </cell>
          <cell r="AA174">
            <v>0</v>
          </cell>
          <cell r="AB174">
            <v>0</v>
          </cell>
          <cell r="AC174"/>
          <cell r="AD174">
            <v>0</v>
          </cell>
          <cell r="AE174">
            <v>0</v>
          </cell>
          <cell r="AF174">
            <v>0</v>
          </cell>
          <cell r="AG174">
            <v>0</v>
          </cell>
          <cell r="AH174">
            <v>0</v>
          </cell>
          <cell r="AI174">
            <v>0</v>
          </cell>
          <cell r="AJ174">
            <v>0</v>
          </cell>
          <cell r="AK174">
            <v>0</v>
          </cell>
          <cell r="AL174"/>
          <cell r="AM174">
            <v>45199</v>
          </cell>
          <cell r="AN174">
            <v>46238</v>
          </cell>
          <cell r="AO174">
            <v>47301</v>
          </cell>
          <cell r="AP174">
            <v>48389</v>
          </cell>
          <cell r="AQ174">
            <v>49502</v>
          </cell>
          <cell r="AR174">
            <v>50640</v>
          </cell>
          <cell r="AS174">
            <v>0</v>
          </cell>
          <cell r="AT174">
            <v>0</v>
          </cell>
          <cell r="AU174">
            <v>2370</v>
          </cell>
          <cell r="AV174">
            <v>0</v>
          </cell>
          <cell r="AW174">
            <v>0</v>
          </cell>
          <cell r="AX174">
            <v>0</v>
          </cell>
          <cell r="AY174"/>
          <cell r="AZ174"/>
          <cell r="BA174">
            <v>0</v>
          </cell>
          <cell r="BB174"/>
          <cell r="BC174">
            <v>0</v>
          </cell>
          <cell r="BD174">
            <v>62809</v>
          </cell>
          <cell r="BE174"/>
          <cell r="BF174">
            <v>0</v>
          </cell>
          <cell r="BG174">
            <v>0</v>
          </cell>
          <cell r="BH174">
            <v>0</v>
          </cell>
          <cell r="BI174">
            <v>36625</v>
          </cell>
          <cell r="BJ174">
            <v>30148</v>
          </cell>
          <cell r="BK174">
            <v>30148</v>
          </cell>
          <cell r="BL174">
            <v>0</v>
          </cell>
          <cell r="BM174">
            <v>0</v>
          </cell>
          <cell r="BN174">
            <v>0</v>
          </cell>
          <cell r="BO174">
            <v>64695</v>
          </cell>
          <cell r="BP174">
            <v>17395.400000000001</v>
          </cell>
          <cell r="BQ174">
            <v>31337.209302325598</v>
          </cell>
          <cell r="BR174">
            <v>0</v>
          </cell>
          <cell r="BS174">
            <v>0</v>
          </cell>
          <cell r="BT174">
            <v>59465</v>
          </cell>
          <cell r="BU174"/>
          <cell r="BV174"/>
          <cell r="BW174"/>
          <cell r="BX174"/>
          <cell r="BY174">
            <v>0</v>
          </cell>
          <cell r="BZ174">
            <v>0</v>
          </cell>
          <cell r="CA174">
            <v>0</v>
          </cell>
          <cell r="CB174">
            <v>0</v>
          </cell>
          <cell r="CC174">
            <v>2174843</v>
          </cell>
          <cell r="CD174">
            <v>9814673</v>
          </cell>
          <cell r="CE174">
            <v>275333</v>
          </cell>
          <cell r="CF174">
            <v>-29150</v>
          </cell>
          <cell r="CG174">
            <v>275333</v>
          </cell>
          <cell r="CH174">
            <v>275333</v>
          </cell>
          <cell r="CI174">
            <v>275333</v>
          </cell>
          <cell r="CJ174">
            <v>275333</v>
          </cell>
          <cell r="CK174">
            <v>0</v>
          </cell>
          <cell r="CL174">
            <v>0</v>
          </cell>
          <cell r="CM174">
            <v>0</v>
          </cell>
          <cell r="CN174">
            <v>0</v>
          </cell>
          <cell r="CO174">
            <v>0</v>
          </cell>
          <cell r="CP174">
            <v>-5055</v>
          </cell>
          <cell r="CQ174">
            <v>1884493</v>
          </cell>
          <cell r="CR174">
            <v>1772479</v>
          </cell>
          <cell r="CS174">
            <v>1703695</v>
          </cell>
          <cell r="CT174">
            <v>1648698</v>
          </cell>
          <cell r="CU174">
            <v>1546542</v>
          </cell>
          <cell r="CV174">
            <v>-70898</v>
          </cell>
          <cell r="CW174">
            <v>0</v>
          </cell>
          <cell r="CX174">
            <v>0</v>
          </cell>
          <cell r="CY174">
            <v>0</v>
          </cell>
          <cell r="CZ174">
            <v>0</v>
          </cell>
          <cell r="DA174">
            <v>0</v>
          </cell>
          <cell r="DB174"/>
          <cell r="DC174">
            <v>0</v>
          </cell>
          <cell r="DD174">
            <v>0</v>
          </cell>
          <cell r="DE174">
            <v>0</v>
          </cell>
          <cell r="DF174">
            <v>0</v>
          </cell>
          <cell r="DG174">
            <v>0</v>
          </cell>
          <cell r="DH174">
            <v>0</v>
          </cell>
          <cell r="DI174">
            <v>0</v>
          </cell>
          <cell r="DJ174">
            <v>0</v>
          </cell>
          <cell r="DK174">
            <v>0</v>
          </cell>
          <cell r="DL174">
            <v>0</v>
          </cell>
          <cell r="DM174"/>
          <cell r="DN174"/>
          <cell r="DO174"/>
          <cell r="DP174"/>
        </row>
        <row r="175">
          <cell r="A175">
            <v>388</v>
          </cell>
          <cell r="B175" t="str">
            <v>Enkhuizen</v>
          </cell>
          <cell r="C175">
            <v>7</v>
          </cell>
          <cell r="D175">
            <v>55085</v>
          </cell>
          <cell r="E175">
            <v>27543</v>
          </cell>
          <cell r="F175">
            <v>0</v>
          </cell>
          <cell r="G175">
            <v>0</v>
          </cell>
          <cell r="H175">
            <v>-46702</v>
          </cell>
          <cell r="I175">
            <v>-27175</v>
          </cell>
          <cell r="J175"/>
          <cell r="K175">
            <v>0</v>
          </cell>
          <cell r="L175">
            <v>89135</v>
          </cell>
          <cell r="M175">
            <v>84159</v>
          </cell>
          <cell r="N175">
            <v>0</v>
          </cell>
          <cell r="O175">
            <v>0</v>
          </cell>
          <cell r="P175">
            <v>0</v>
          </cell>
          <cell r="Q175">
            <v>0</v>
          </cell>
          <cell r="R175">
            <v>0</v>
          </cell>
          <cell r="S175">
            <v>0</v>
          </cell>
          <cell r="T175">
            <v>0</v>
          </cell>
          <cell r="U175">
            <v>0</v>
          </cell>
          <cell r="V175">
            <v>3000</v>
          </cell>
          <cell r="W175">
            <v>69587</v>
          </cell>
          <cell r="X175">
            <v>0</v>
          </cell>
          <cell r="Y175"/>
          <cell r="Z175">
            <v>0</v>
          </cell>
          <cell r="AA175">
            <v>0</v>
          </cell>
          <cell r="AB175">
            <v>0</v>
          </cell>
          <cell r="AC175"/>
          <cell r="AD175">
            <v>0</v>
          </cell>
          <cell r="AE175">
            <v>0</v>
          </cell>
          <cell r="AF175">
            <v>0</v>
          </cell>
          <cell r="AG175">
            <v>0</v>
          </cell>
          <cell r="AH175">
            <v>0</v>
          </cell>
          <cell r="AI175">
            <v>0</v>
          </cell>
          <cell r="AJ175">
            <v>0</v>
          </cell>
          <cell r="AK175">
            <v>0</v>
          </cell>
          <cell r="AL175"/>
          <cell r="AM175">
            <v>9942</v>
          </cell>
          <cell r="AN175">
            <v>10171</v>
          </cell>
          <cell r="AO175">
            <v>10405</v>
          </cell>
          <cell r="AP175">
            <v>10644</v>
          </cell>
          <cell r="AQ175">
            <v>10889</v>
          </cell>
          <cell r="AR175">
            <v>11139</v>
          </cell>
          <cell r="AS175">
            <v>0</v>
          </cell>
          <cell r="AT175">
            <v>0</v>
          </cell>
          <cell r="AU175">
            <v>0</v>
          </cell>
          <cell r="AV175">
            <v>0</v>
          </cell>
          <cell r="AW175">
            <v>0</v>
          </cell>
          <cell r="AX175">
            <v>0</v>
          </cell>
          <cell r="AY175"/>
          <cell r="AZ175"/>
          <cell r="BA175">
            <v>0</v>
          </cell>
          <cell r="BB175"/>
          <cell r="BC175">
            <v>0</v>
          </cell>
          <cell r="BD175">
            <v>6487</v>
          </cell>
          <cell r="BE175"/>
          <cell r="BF175">
            <v>0</v>
          </cell>
          <cell r="BG175">
            <v>0</v>
          </cell>
          <cell r="BH175">
            <v>0</v>
          </cell>
          <cell r="BI175">
            <v>35611</v>
          </cell>
          <cell r="BJ175">
            <v>29313</v>
          </cell>
          <cell r="BK175">
            <v>29313</v>
          </cell>
          <cell r="BL175">
            <v>0</v>
          </cell>
          <cell r="BM175">
            <v>0</v>
          </cell>
          <cell r="BN175">
            <v>0</v>
          </cell>
          <cell r="BO175">
            <v>83179</v>
          </cell>
          <cell r="BP175">
            <v>7907</v>
          </cell>
          <cell r="BQ175">
            <v>14244.186046511601</v>
          </cell>
          <cell r="BR175">
            <v>0</v>
          </cell>
          <cell r="BS175">
            <v>0</v>
          </cell>
          <cell r="BT175">
            <v>27876</v>
          </cell>
          <cell r="BU175"/>
          <cell r="BV175"/>
          <cell r="BW175"/>
          <cell r="BX175"/>
          <cell r="BY175">
            <v>0</v>
          </cell>
          <cell r="BZ175">
            <v>0</v>
          </cell>
          <cell r="CA175">
            <v>0</v>
          </cell>
          <cell r="CB175">
            <v>0</v>
          </cell>
          <cell r="CC175">
            <v>1493959</v>
          </cell>
          <cell r="CD175">
            <v>9371751</v>
          </cell>
          <cell r="CE175">
            <v>658725</v>
          </cell>
          <cell r="CF175">
            <v>-53106</v>
          </cell>
          <cell r="CG175">
            <v>658725</v>
          </cell>
          <cell r="CH175">
            <v>658725</v>
          </cell>
          <cell r="CI175">
            <v>658725</v>
          </cell>
          <cell r="CJ175">
            <v>658725</v>
          </cell>
          <cell r="CK175">
            <v>0</v>
          </cell>
          <cell r="CL175">
            <v>0</v>
          </cell>
          <cell r="CM175">
            <v>0</v>
          </cell>
          <cell r="CN175">
            <v>0</v>
          </cell>
          <cell r="CO175">
            <v>0</v>
          </cell>
          <cell r="CP175">
            <v>-1899</v>
          </cell>
          <cell r="CQ175">
            <v>1684776</v>
          </cell>
          <cell r="CR175">
            <v>1634953</v>
          </cell>
          <cell r="CS175">
            <v>1601908</v>
          </cell>
          <cell r="CT175">
            <v>1571777</v>
          </cell>
          <cell r="CU175">
            <v>1529528</v>
          </cell>
          <cell r="CV175">
            <v>-32950</v>
          </cell>
          <cell r="CW175">
            <v>0</v>
          </cell>
          <cell r="CX175">
            <v>0</v>
          </cell>
          <cell r="CY175">
            <v>0</v>
          </cell>
          <cell r="CZ175">
            <v>0</v>
          </cell>
          <cell r="DA175">
            <v>0</v>
          </cell>
          <cell r="DB175"/>
          <cell r="DC175">
            <v>0</v>
          </cell>
          <cell r="DD175">
            <v>0</v>
          </cell>
          <cell r="DE175">
            <v>0</v>
          </cell>
          <cell r="DF175">
            <v>0</v>
          </cell>
          <cell r="DG175">
            <v>0</v>
          </cell>
          <cell r="DH175">
            <v>0</v>
          </cell>
          <cell r="DI175">
            <v>0</v>
          </cell>
          <cell r="DJ175">
            <v>0</v>
          </cell>
          <cell r="DK175">
            <v>0</v>
          </cell>
          <cell r="DL175">
            <v>0</v>
          </cell>
          <cell r="DM175"/>
          <cell r="DN175"/>
          <cell r="DO175"/>
          <cell r="DP175"/>
        </row>
        <row r="176">
          <cell r="A176">
            <v>1942</v>
          </cell>
          <cell r="B176" t="str">
            <v>Gooise Meren</v>
          </cell>
          <cell r="C176">
            <v>7</v>
          </cell>
          <cell r="D176">
            <v>-184841</v>
          </cell>
          <cell r="E176">
            <v>-92421</v>
          </cell>
          <cell r="F176">
            <v>0</v>
          </cell>
          <cell r="G176">
            <v>891812</v>
          </cell>
          <cell r="H176">
            <v>0</v>
          </cell>
          <cell r="I176">
            <v>-14752</v>
          </cell>
          <cell r="J176"/>
          <cell r="K176">
            <v>0</v>
          </cell>
          <cell r="L176">
            <v>196677</v>
          </cell>
          <cell r="M176">
            <v>183948</v>
          </cell>
          <cell r="N176">
            <v>0</v>
          </cell>
          <cell r="O176">
            <v>0</v>
          </cell>
          <cell r="P176">
            <v>0</v>
          </cell>
          <cell r="Q176">
            <v>0</v>
          </cell>
          <cell r="R176">
            <v>0</v>
          </cell>
          <cell r="S176">
            <v>0</v>
          </cell>
          <cell r="T176">
            <v>0</v>
          </cell>
          <cell r="U176">
            <v>0</v>
          </cell>
          <cell r="V176">
            <v>0</v>
          </cell>
          <cell r="W176">
            <v>234614</v>
          </cell>
          <cell r="X176">
            <v>0</v>
          </cell>
          <cell r="Y176"/>
          <cell r="Z176">
            <v>0</v>
          </cell>
          <cell r="AA176">
            <v>0</v>
          </cell>
          <cell r="AB176">
            <v>0</v>
          </cell>
          <cell r="AC176"/>
          <cell r="AD176">
            <v>0</v>
          </cell>
          <cell r="AE176">
            <v>0</v>
          </cell>
          <cell r="AF176">
            <v>0</v>
          </cell>
          <cell r="AG176">
            <v>0</v>
          </cell>
          <cell r="AH176">
            <v>0</v>
          </cell>
          <cell r="AI176">
            <v>0</v>
          </cell>
          <cell r="AJ176">
            <v>0</v>
          </cell>
          <cell r="AK176">
            <v>0</v>
          </cell>
          <cell r="AL176"/>
          <cell r="AM176">
            <v>0</v>
          </cell>
          <cell r="AN176">
            <v>0</v>
          </cell>
          <cell r="AO176">
            <v>0</v>
          </cell>
          <cell r="AP176">
            <v>0</v>
          </cell>
          <cell r="AQ176">
            <v>0</v>
          </cell>
          <cell r="AR176">
            <v>0</v>
          </cell>
          <cell r="AS176">
            <v>0</v>
          </cell>
          <cell r="AT176">
            <v>0</v>
          </cell>
          <cell r="AU176">
            <v>4740</v>
          </cell>
          <cell r="AV176">
            <v>0</v>
          </cell>
          <cell r="AW176">
            <v>0</v>
          </cell>
          <cell r="AX176">
            <v>0</v>
          </cell>
          <cell r="AY176"/>
          <cell r="AZ176"/>
          <cell r="BA176">
            <v>0</v>
          </cell>
          <cell r="BB176"/>
          <cell r="BC176">
            <v>0</v>
          </cell>
          <cell r="BD176">
            <v>19986</v>
          </cell>
          <cell r="BE176"/>
          <cell r="BF176">
            <v>0</v>
          </cell>
          <cell r="BG176">
            <v>0</v>
          </cell>
          <cell r="BH176">
            <v>0</v>
          </cell>
          <cell r="BI176">
            <v>75515</v>
          </cell>
          <cell r="BJ176">
            <v>62160</v>
          </cell>
          <cell r="BK176">
            <v>62160</v>
          </cell>
          <cell r="BL176">
            <v>0</v>
          </cell>
          <cell r="BM176">
            <v>0</v>
          </cell>
          <cell r="BN176">
            <v>0</v>
          </cell>
          <cell r="BO176">
            <v>85611</v>
          </cell>
          <cell r="BP176">
            <v>17395.400000000001</v>
          </cell>
          <cell r="BQ176">
            <v>31337.209302325598</v>
          </cell>
          <cell r="BR176">
            <v>0</v>
          </cell>
          <cell r="BS176">
            <v>0</v>
          </cell>
          <cell r="BT176">
            <v>95222</v>
          </cell>
          <cell r="BU176"/>
          <cell r="BV176"/>
          <cell r="BW176"/>
          <cell r="BX176"/>
          <cell r="BY176">
            <v>0</v>
          </cell>
          <cell r="BZ176">
            <v>0</v>
          </cell>
          <cell r="CA176">
            <v>0</v>
          </cell>
          <cell r="CB176">
            <v>0</v>
          </cell>
          <cell r="CC176">
            <v>3444543</v>
          </cell>
          <cell r="CD176">
            <v>15742382</v>
          </cell>
          <cell r="CE176">
            <v>1509653</v>
          </cell>
          <cell r="CF176">
            <v>-28084</v>
          </cell>
          <cell r="CG176">
            <v>1509653</v>
          </cell>
          <cell r="CH176">
            <v>1509653</v>
          </cell>
          <cell r="CI176">
            <v>1509653</v>
          </cell>
          <cell r="CJ176">
            <v>1509653</v>
          </cell>
          <cell r="CK176">
            <v>0</v>
          </cell>
          <cell r="CL176">
            <v>0</v>
          </cell>
          <cell r="CM176">
            <v>0</v>
          </cell>
          <cell r="CN176">
            <v>0</v>
          </cell>
          <cell r="CO176">
            <v>0</v>
          </cell>
          <cell r="CP176">
            <v>-1114</v>
          </cell>
          <cell r="CQ176">
            <v>1992008</v>
          </cell>
          <cell r="CR176">
            <v>1887988</v>
          </cell>
          <cell r="CS176">
            <v>1840356</v>
          </cell>
          <cell r="CT176">
            <v>1744999</v>
          </cell>
          <cell r="CU176">
            <v>1657003</v>
          </cell>
          <cell r="CV176">
            <v>-88788</v>
          </cell>
          <cell r="CW176">
            <v>0</v>
          </cell>
          <cell r="CX176">
            <v>0</v>
          </cell>
          <cell r="CY176">
            <v>0</v>
          </cell>
          <cell r="CZ176">
            <v>0</v>
          </cell>
          <cell r="DA176">
            <v>0</v>
          </cell>
          <cell r="DB176"/>
          <cell r="DC176">
            <v>0</v>
          </cell>
          <cell r="DD176">
            <v>0</v>
          </cell>
          <cell r="DE176">
            <v>0</v>
          </cell>
          <cell r="DF176">
            <v>0</v>
          </cell>
          <cell r="DG176">
            <v>0</v>
          </cell>
          <cell r="DH176">
            <v>0</v>
          </cell>
          <cell r="DI176">
            <v>0</v>
          </cell>
          <cell r="DJ176">
            <v>0</v>
          </cell>
          <cell r="DK176">
            <v>0</v>
          </cell>
          <cell r="DL176">
            <v>0</v>
          </cell>
          <cell r="DM176"/>
          <cell r="DN176"/>
          <cell r="DO176"/>
          <cell r="DP176"/>
        </row>
        <row r="177">
          <cell r="A177">
            <v>392</v>
          </cell>
          <cell r="B177" t="str">
            <v>Haarlem</v>
          </cell>
          <cell r="C177">
            <v>7</v>
          </cell>
          <cell r="D177">
            <v>5962</v>
          </cell>
          <cell r="E177">
            <v>2981</v>
          </cell>
          <cell r="F177">
            <v>0</v>
          </cell>
          <cell r="G177">
            <v>0</v>
          </cell>
          <cell r="H177">
            <v>-40641</v>
          </cell>
          <cell r="I177">
            <v>-56168</v>
          </cell>
          <cell r="J177"/>
          <cell r="K177">
            <v>7646</v>
          </cell>
          <cell r="L177">
            <v>751079</v>
          </cell>
          <cell r="M177">
            <v>764643</v>
          </cell>
          <cell r="N177">
            <v>0</v>
          </cell>
          <cell r="O177">
            <v>0</v>
          </cell>
          <cell r="P177">
            <v>150000</v>
          </cell>
          <cell r="Q177">
            <v>1500000</v>
          </cell>
          <cell r="R177">
            <v>0</v>
          </cell>
          <cell r="S177">
            <v>1375319</v>
          </cell>
          <cell r="T177">
            <v>1375319</v>
          </cell>
          <cell r="U177">
            <v>1375319</v>
          </cell>
          <cell r="V177">
            <v>42000</v>
          </cell>
          <cell r="W177">
            <v>524432</v>
          </cell>
          <cell r="X177">
            <v>0</v>
          </cell>
          <cell r="Y177"/>
          <cell r="Z177">
            <v>0</v>
          </cell>
          <cell r="AA177">
            <v>15000</v>
          </cell>
          <cell r="AB177">
            <v>0</v>
          </cell>
          <cell r="AC177"/>
          <cell r="AD177">
            <v>135914</v>
          </cell>
          <cell r="AE177">
            <v>0</v>
          </cell>
          <cell r="AF177">
            <v>0</v>
          </cell>
          <cell r="AG177">
            <v>0</v>
          </cell>
          <cell r="AH177">
            <v>0</v>
          </cell>
          <cell r="AI177">
            <v>0</v>
          </cell>
          <cell r="AJ177">
            <v>0</v>
          </cell>
          <cell r="AK177">
            <v>313817</v>
          </cell>
          <cell r="AL177"/>
          <cell r="AM177">
            <v>0</v>
          </cell>
          <cell r="AN177">
            <v>0</v>
          </cell>
          <cell r="AO177">
            <v>0</v>
          </cell>
          <cell r="AP177">
            <v>0</v>
          </cell>
          <cell r="AQ177">
            <v>0</v>
          </cell>
          <cell r="AR177">
            <v>0</v>
          </cell>
          <cell r="AS177">
            <v>0</v>
          </cell>
          <cell r="AT177">
            <v>20000</v>
          </cell>
          <cell r="AU177">
            <v>21330</v>
          </cell>
          <cell r="AV177">
            <v>7526255.2413367396</v>
          </cell>
          <cell r="AW177">
            <v>80000</v>
          </cell>
          <cell r="AX177">
            <v>0</v>
          </cell>
          <cell r="AY177"/>
          <cell r="AZ177"/>
          <cell r="BA177">
            <v>86492</v>
          </cell>
          <cell r="BB177"/>
          <cell r="BC177">
            <v>0</v>
          </cell>
          <cell r="BD177">
            <v>55895</v>
          </cell>
          <cell r="BE177"/>
          <cell r="BF177">
            <v>0</v>
          </cell>
          <cell r="BG177">
            <v>0</v>
          </cell>
          <cell r="BH177">
            <v>0</v>
          </cell>
          <cell r="BI177">
            <v>295028</v>
          </cell>
          <cell r="BJ177">
            <v>242852</v>
          </cell>
          <cell r="BK177">
            <v>242852</v>
          </cell>
          <cell r="BL177">
            <v>0</v>
          </cell>
          <cell r="BM177">
            <v>0</v>
          </cell>
          <cell r="BN177">
            <v>219450</v>
          </cell>
          <cell r="BO177">
            <v>88043</v>
          </cell>
          <cell r="BP177">
            <v>28465.200000000001</v>
          </cell>
          <cell r="BQ177">
            <v>51279.069767441899</v>
          </cell>
          <cell r="BR177">
            <v>0</v>
          </cell>
          <cell r="BS177">
            <v>0</v>
          </cell>
          <cell r="BT177">
            <v>238243</v>
          </cell>
          <cell r="BU177"/>
          <cell r="BV177"/>
          <cell r="BW177"/>
          <cell r="BX177"/>
          <cell r="BY177">
            <v>3760484.6534836902</v>
          </cell>
          <cell r="BZ177">
            <v>4350127.9232007898</v>
          </cell>
          <cell r="CA177">
            <v>4400499.4588047601</v>
          </cell>
          <cell r="CB177">
            <v>4542724.9710983299</v>
          </cell>
          <cell r="CC177">
            <v>10794349</v>
          </cell>
          <cell r="CD177">
            <v>110068949</v>
          </cell>
          <cell r="CE177">
            <v>2700845</v>
          </cell>
          <cell r="CF177">
            <v>-134512</v>
          </cell>
          <cell r="CG177">
            <v>2700845</v>
          </cell>
          <cell r="CH177">
            <v>2700845</v>
          </cell>
          <cell r="CI177">
            <v>2700845</v>
          </cell>
          <cell r="CJ177">
            <v>2700845</v>
          </cell>
          <cell r="CK177">
            <v>43762543</v>
          </cell>
          <cell r="CL177">
            <v>43740579</v>
          </cell>
          <cell r="CM177">
            <v>43740224</v>
          </cell>
          <cell r="CN177">
            <v>43739442</v>
          </cell>
          <cell r="CO177">
            <v>43740525</v>
          </cell>
          <cell r="CP177">
            <v>0</v>
          </cell>
          <cell r="CQ177">
            <v>16391563</v>
          </cell>
          <cell r="CR177">
            <v>15691625</v>
          </cell>
          <cell r="CS177">
            <v>15316015</v>
          </cell>
          <cell r="CT177">
            <v>14965980</v>
          </cell>
          <cell r="CU177">
            <v>14640789</v>
          </cell>
          <cell r="CV177">
            <v>-418284</v>
          </cell>
          <cell r="CW177">
            <v>0</v>
          </cell>
          <cell r="CX177">
            <v>0</v>
          </cell>
          <cell r="CY177">
            <v>0</v>
          </cell>
          <cell r="CZ177">
            <v>0</v>
          </cell>
          <cell r="DA177">
            <v>20000</v>
          </cell>
          <cell r="DB177"/>
          <cell r="DC177">
            <v>0</v>
          </cell>
          <cell r="DD177">
            <v>0</v>
          </cell>
          <cell r="DE177">
            <v>0</v>
          </cell>
          <cell r="DF177">
            <v>0</v>
          </cell>
          <cell r="DG177">
            <v>0</v>
          </cell>
          <cell r="DH177">
            <v>0</v>
          </cell>
          <cell r="DI177">
            <v>0</v>
          </cell>
          <cell r="DJ177">
            <v>0</v>
          </cell>
          <cell r="DK177">
            <v>0</v>
          </cell>
          <cell r="DL177">
            <v>0</v>
          </cell>
          <cell r="DM177"/>
          <cell r="DN177"/>
          <cell r="DO177"/>
          <cell r="DP177"/>
        </row>
        <row r="178">
          <cell r="A178">
            <v>393</v>
          </cell>
          <cell r="B178" t="str">
            <v>Haarlemmerliede Spaarnw</v>
          </cell>
          <cell r="C178">
            <v>7</v>
          </cell>
          <cell r="D178">
            <v>3281</v>
          </cell>
          <cell r="E178">
            <v>1640</v>
          </cell>
          <cell r="F178">
            <v>0</v>
          </cell>
          <cell r="G178">
            <v>0</v>
          </cell>
          <cell r="H178">
            <v>-2220</v>
          </cell>
          <cell r="I178">
            <v>-3802</v>
          </cell>
          <cell r="J178"/>
          <cell r="K178">
            <v>0</v>
          </cell>
          <cell r="L178">
            <v>17946</v>
          </cell>
          <cell r="M178">
            <v>16498</v>
          </cell>
          <cell r="N178">
            <v>0</v>
          </cell>
          <cell r="O178">
            <v>0</v>
          </cell>
          <cell r="P178">
            <v>0</v>
          </cell>
          <cell r="Q178">
            <v>0</v>
          </cell>
          <cell r="R178">
            <v>0</v>
          </cell>
          <cell r="S178">
            <v>0</v>
          </cell>
          <cell r="T178">
            <v>0</v>
          </cell>
          <cell r="U178">
            <v>0</v>
          </cell>
          <cell r="V178">
            <v>0</v>
          </cell>
          <cell r="W178">
            <v>23131</v>
          </cell>
          <cell r="X178">
            <v>0</v>
          </cell>
          <cell r="Y178"/>
          <cell r="Z178">
            <v>0</v>
          </cell>
          <cell r="AA178">
            <v>0</v>
          </cell>
          <cell r="AB178">
            <v>0</v>
          </cell>
          <cell r="AC178"/>
          <cell r="AD178">
            <v>0</v>
          </cell>
          <cell r="AE178">
            <v>0</v>
          </cell>
          <cell r="AF178">
            <v>0</v>
          </cell>
          <cell r="AG178">
            <v>0</v>
          </cell>
          <cell r="AH178">
            <v>0</v>
          </cell>
          <cell r="AI178">
            <v>0</v>
          </cell>
          <cell r="AJ178">
            <v>0</v>
          </cell>
          <cell r="AK178">
            <v>0</v>
          </cell>
          <cell r="AL178"/>
          <cell r="AM178">
            <v>0</v>
          </cell>
          <cell r="AN178">
            <v>0</v>
          </cell>
          <cell r="AO178">
            <v>0</v>
          </cell>
          <cell r="AP178">
            <v>0</v>
          </cell>
          <cell r="AQ178">
            <v>0</v>
          </cell>
          <cell r="AR178">
            <v>0</v>
          </cell>
          <cell r="AS178">
            <v>0</v>
          </cell>
          <cell r="AT178">
            <v>0</v>
          </cell>
          <cell r="AU178">
            <v>0</v>
          </cell>
          <cell r="AV178">
            <v>0</v>
          </cell>
          <cell r="AW178">
            <v>0</v>
          </cell>
          <cell r="AX178">
            <v>0</v>
          </cell>
          <cell r="AY178"/>
          <cell r="AZ178"/>
          <cell r="BA178">
            <v>0</v>
          </cell>
          <cell r="BB178"/>
          <cell r="BC178">
            <v>0</v>
          </cell>
          <cell r="BD178">
            <v>9939</v>
          </cell>
          <cell r="BE178"/>
          <cell r="BF178">
            <v>0</v>
          </cell>
          <cell r="BG178">
            <v>0</v>
          </cell>
          <cell r="BH178">
            <v>0</v>
          </cell>
          <cell r="BI178">
            <v>4265</v>
          </cell>
          <cell r="BJ178">
            <v>3511</v>
          </cell>
          <cell r="BK178">
            <v>3511</v>
          </cell>
          <cell r="BL178">
            <v>0</v>
          </cell>
          <cell r="BM178">
            <v>0</v>
          </cell>
          <cell r="BN178">
            <v>0</v>
          </cell>
          <cell r="BO178">
            <v>24321</v>
          </cell>
          <cell r="BP178">
            <v>0</v>
          </cell>
          <cell r="BQ178">
            <v>0</v>
          </cell>
          <cell r="BR178">
            <v>0</v>
          </cell>
          <cell r="BS178">
            <v>0</v>
          </cell>
          <cell r="BT178">
            <v>12036</v>
          </cell>
          <cell r="BU178"/>
          <cell r="BV178"/>
          <cell r="BW178"/>
          <cell r="BX178"/>
          <cell r="BY178">
            <v>0</v>
          </cell>
          <cell r="BZ178">
            <v>0</v>
          </cell>
          <cell r="CA178">
            <v>0</v>
          </cell>
          <cell r="CB178">
            <v>0</v>
          </cell>
          <cell r="CC178">
            <v>326633</v>
          </cell>
          <cell r="CD178">
            <v>1549981</v>
          </cell>
          <cell r="CE178">
            <v>154598</v>
          </cell>
          <cell r="CF178">
            <v>-4479</v>
          </cell>
          <cell r="CG178">
            <v>154598</v>
          </cell>
          <cell r="CH178">
            <v>154598</v>
          </cell>
          <cell r="CI178">
            <v>154598</v>
          </cell>
          <cell r="CJ178">
            <v>154598</v>
          </cell>
          <cell r="CK178">
            <v>0</v>
          </cell>
          <cell r="CL178">
            <v>0</v>
          </cell>
          <cell r="CM178">
            <v>0</v>
          </cell>
          <cell r="CN178">
            <v>0</v>
          </cell>
          <cell r="CO178">
            <v>0</v>
          </cell>
          <cell r="CP178">
            <v>-695</v>
          </cell>
          <cell r="CQ178">
            <v>157753</v>
          </cell>
          <cell r="CR178">
            <v>144952</v>
          </cell>
          <cell r="CS178">
            <v>135029</v>
          </cell>
          <cell r="CT178">
            <v>122633</v>
          </cell>
          <cell r="CU178">
            <v>118121</v>
          </cell>
          <cell r="CV178">
            <v>-5023</v>
          </cell>
          <cell r="CW178">
            <v>0</v>
          </cell>
          <cell r="CX178">
            <v>0</v>
          </cell>
          <cell r="CY178">
            <v>0</v>
          </cell>
          <cell r="CZ178">
            <v>0</v>
          </cell>
          <cell r="DA178">
            <v>0</v>
          </cell>
          <cell r="DB178"/>
          <cell r="DC178">
            <v>0</v>
          </cell>
          <cell r="DD178">
            <v>0</v>
          </cell>
          <cell r="DE178">
            <v>0</v>
          </cell>
          <cell r="DF178">
            <v>0</v>
          </cell>
          <cell r="DG178">
            <v>0</v>
          </cell>
          <cell r="DH178">
            <v>0</v>
          </cell>
          <cell r="DI178">
            <v>0</v>
          </cell>
          <cell r="DJ178">
            <v>0</v>
          </cell>
          <cell r="DK178">
            <v>0</v>
          </cell>
          <cell r="DL178">
            <v>0</v>
          </cell>
          <cell r="DM178"/>
          <cell r="DN178"/>
          <cell r="DO178"/>
          <cell r="DP178"/>
        </row>
        <row r="179">
          <cell r="A179">
            <v>394</v>
          </cell>
          <cell r="B179" t="str">
            <v>Haarlemmermeer</v>
          </cell>
          <cell r="C179">
            <v>7</v>
          </cell>
          <cell r="D179">
            <v>301823</v>
          </cell>
          <cell r="E179">
            <v>150911</v>
          </cell>
          <cell r="F179">
            <v>0</v>
          </cell>
          <cell r="G179">
            <v>2289950</v>
          </cell>
          <cell r="H179">
            <v>0</v>
          </cell>
          <cell r="I179">
            <v>-14730</v>
          </cell>
          <cell r="J179"/>
          <cell r="K179">
            <v>0</v>
          </cell>
          <cell r="L179">
            <v>512485</v>
          </cell>
          <cell r="M179">
            <v>461814</v>
          </cell>
          <cell r="N179">
            <v>0</v>
          </cell>
          <cell r="O179">
            <v>0</v>
          </cell>
          <cell r="P179">
            <v>150000</v>
          </cell>
          <cell r="Q179">
            <v>0</v>
          </cell>
          <cell r="R179">
            <v>0</v>
          </cell>
          <cell r="S179">
            <v>0</v>
          </cell>
          <cell r="T179">
            <v>0</v>
          </cell>
          <cell r="U179">
            <v>0</v>
          </cell>
          <cell r="V179">
            <v>28250</v>
          </cell>
          <cell r="W179">
            <v>607431</v>
          </cell>
          <cell r="X179">
            <v>91000</v>
          </cell>
          <cell r="Y179"/>
          <cell r="Z179">
            <v>0</v>
          </cell>
          <cell r="AA179">
            <v>0</v>
          </cell>
          <cell r="AB179">
            <v>0</v>
          </cell>
          <cell r="AC179"/>
          <cell r="AD179">
            <v>0</v>
          </cell>
          <cell r="AE179">
            <v>0</v>
          </cell>
          <cell r="AF179">
            <v>0</v>
          </cell>
          <cell r="AG179">
            <v>0</v>
          </cell>
          <cell r="AH179">
            <v>0</v>
          </cell>
          <cell r="AI179">
            <v>0</v>
          </cell>
          <cell r="AJ179">
            <v>0</v>
          </cell>
          <cell r="AK179">
            <v>0</v>
          </cell>
          <cell r="AL179"/>
          <cell r="AM179">
            <v>0</v>
          </cell>
          <cell r="AN179">
            <v>0</v>
          </cell>
          <cell r="AO179">
            <v>0</v>
          </cell>
          <cell r="AP179">
            <v>0</v>
          </cell>
          <cell r="AQ179">
            <v>0</v>
          </cell>
          <cell r="AR179">
            <v>0</v>
          </cell>
          <cell r="AS179">
            <v>0</v>
          </cell>
          <cell r="AT179">
            <v>0</v>
          </cell>
          <cell r="AU179">
            <v>7110</v>
          </cell>
          <cell r="AV179">
            <v>0</v>
          </cell>
          <cell r="AW179">
            <v>0</v>
          </cell>
          <cell r="AX179">
            <v>0</v>
          </cell>
          <cell r="AY179"/>
          <cell r="AZ179"/>
          <cell r="BA179">
            <v>0</v>
          </cell>
          <cell r="BB179"/>
          <cell r="BC179">
            <v>0</v>
          </cell>
          <cell r="BD179">
            <v>256152</v>
          </cell>
          <cell r="BE179"/>
          <cell r="BF179">
            <v>0</v>
          </cell>
          <cell r="BG179">
            <v>0</v>
          </cell>
          <cell r="BH179">
            <v>0</v>
          </cell>
          <cell r="BI179">
            <v>135099</v>
          </cell>
          <cell r="BJ179">
            <v>111206</v>
          </cell>
          <cell r="BK179">
            <v>111206</v>
          </cell>
          <cell r="BL179">
            <v>0</v>
          </cell>
          <cell r="BM179">
            <v>0</v>
          </cell>
          <cell r="BN179">
            <v>0</v>
          </cell>
          <cell r="BO179">
            <v>1110029</v>
          </cell>
          <cell r="BP179">
            <v>113860.8</v>
          </cell>
          <cell r="BQ179">
            <v>205116.27906976701</v>
          </cell>
          <cell r="BR179">
            <v>165060</v>
          </cell>
          <cell r="BS179">
            <v>0</v>
          </cell>
          <cell r="BT179">
            <v>240747</v>
          </cell>
          <cell r="BU179"/>
          <cell r="BV179"/>
          <cell r="BW179"/>
          <cell r="BX179"/>
          <cell r="BY179">
            <v>0</v>
          </cell>
          <cell r="BZ179">
            <v>0</v>
          </cell>
          <cell r="CA179">
            <v>0</v>
          </cell>
          <cell r="CB179">
            <v>0</v>
          </cell>
          <cell r="CC179">
            <v>8172995</v>
          </cell>
          <cell r="CD179">
            <v>46568533</v>
          </cell>
          <cell r="CE179">
            <v>4390966</v>
          </cell>
          <cell r="CF179">
            <v>0</v>
          </cell>
          <cell r="CG179">
            <v>4390966</v>
          </cell>
          <cell r="CH179">
            <v>4390966</v>
          </cell>
          <cell r="CI179">
            <v>4390966</v>
          </cell>
          <cell r="CJ179">
            <v>4390966</v>
          </cell>
          <cell r="CK179">
            <v>0</v>
          </cell>
          <cell r="CL179">
            <v>0</v>
          </cell>
          <cell r="CM179">
            <v>0</v>
          </cell>
          <cell r="CN179">
            <v>0</v>
          </cell>
          <cell r="CO179">
            <v>0</v>
          </cell>
          <cell r="CP179">
            <v>-5318</v>
          </cell>
          <cell r="CQ179">
            <v>5991245</v>
          </cell>
          <cell r="CR179">
            <v>5735790</v>
          </cell>
          <cell r="CS179">
            <v>5605693</v>
          </cell>
          <cell r="CT179">
            <v>5572122</v>
          </cell>
          <cell r="CU179">
            <v>5518077</v>
          </cell>
          <cell r="CV179">
            <v>74366</v>
          </cell>
          <cell r="CW179">
            <v>0</v>
          </cell>
          <cell r="CX179">
            <v>0</v>
          </cell>
          <cell r="CY179">
            <v>0</v>
          </cell>
          <cell r="CZ179">
            <v>0</v>
          </cell>
          <cell r="DA179">
            <v>0</v>
          </cell>
          <cell r="DB179"/>
          <cell r="DC179">
            <v>0</v>
          </cell>
          <cell r="DD179">
            <v>0</v>
          </cell>
          <cell r="DE179">
            <v>0</v>
          </cell>
          <cell r="DF179">
            <v>0</v>
          </cell>
          <cell r="DG179">
            <v>0</v>
          </cell>
          <cell r="DH179">
            <v>0</v>
          </cell>
          <cell r="DI179">
            <v>0</v>
          </cell>
          <cell r="DJ179">
            <v>0</v>
          </cell>
          <cell r="DK179">
            <v>0</v>
          </cell>
          <cell r="DL179">
            <v>0</v>
          </cell>
          <cell r="DM179"/>
          <cell r="DN179"/>
          <cell r="DO179"/>
          <cell r="DP179"/>
        </row>
        <row r="180">
          <cell r="A180">
            <v>396</v>
          </cell>
          <cell r="B180" t="str">
            <v>Heemskerk</v>
          </cell>
          <cell r="C180">
            <v>7</v>
          </cell>
          <cell r="D180">
            <v>-11566</v>
          </cell>
          <cell r="E180">
            <v>-5783</v>
          </cell>
          <cell r="F180">
            <v>0</v>
          </cell>
          <cell r="G180">
            <v>0</v>
          </cell>
          <cell r="H180">
            <v>0</v>
          </cell>
          <cell r="I180">
            <v>-17597</v>
          </cell>
          <cell r="J180"/>
          <cell r="K180">
            <v>0</v>
          </cell>
          <cell r="L180">
            <v>187362</v>
          </cell>
          <cell r="M180">
            <v>182483</v>
          </cell>
          <cell r="N180">
            <v>0</v>
          </cell>
          <cell r="O180">
            <v>0</v>
          </cell>
          <cell r="P180">
            <v>0</v>
          </cell>
          <cell r="Q180">
            <v>0</v>
          </cell>
          <cell r="R180">
            <v>0</v>
          </cell>
          <cell r="S180">
            <v>0</v>
          </cell>
          <cell r="T180">
            <v>0</v>
          </cell>
          <cell r="U180">
            <v>0</v>
          </cell>
          <cell r="V180">
            <v>0</v>
          </cell>
          <cell r="W180">
            <v>152587</v>
          </cell>
          <cell r="X180">
            <v>0</v>
          </cell>
          <cell r="Y180"/>
          <cell r="Z180">
            <v>0</v>
          </cell>
          <cell r="AA180">
            <v>0</v>
          </cell>
          <cell r="AB180">
            <v>0</v>
          </cell>
          <cell r="AC180"/>
          <cell r="AD180">
            <v>58668</v>
          </cell>
          <cell r="AE180">
            <v>0</v>
          </cell>
          <cell r="AF180">
            <v>0</v>
          </cell>
          <cell r="AG180">
            <v>0</v>
          </cell>
          <cell r="AH180">
            <v>0</v>
          </cell>
          <cell r="AI180">
            <v>0</v>
          </cell>
          <cell r="AJ180">
            <v>0</v>
          </cell>
          <cell r="AK180">
            <v>0</v>
          </cell>
          <cell r="AL180"/>
          <cell r="AM180">
            <v>0</v>
          </cell>
          <cell r="AN180">
            <v>0</v>
          </cell>
          <cell r="AO180">
            <v>0</v>
          </cell>
          <cell r="AP180">
            <v>0</v>
          </cell>
          <cell r="AQ180">
            <v>0</v>
          </cell>
          <cell r="AR180">
            <v>0</v>
          </cell>
          <cell r="AS180">
            <v>0</v>
          </cell>
          <cell r="AT180">
            <v>0</v>
          </cell>
          <cell r="AU180">
            <v>4740</v>
          </cell>
          <cell r="AV180">
            <v>0</v>
          </cell>
          <cell r="AW180">
            <v>0</v>
          </cell>
          <cell r="AX180">
            <v>0</v>
          </cell>
          <cell r="AY180"/>
          <cell r="AZ180"/>
          <cell r="BA180">
            <v>0</v>
          </cell>
          <cell r="BB180"/>
          <cell r="BC180">
            <v>0</v>
          </cell>
          <cell r="BD180">
            <v>13750</v>
          </cell>
          <cell r="BE180"/>
          <cell r="BF180">
            <v>0</v>
          </cell>
          <cell r="BG180">
            <v>0</v>
          </cell>
          <cell r="BH180">
            <v>0</v>
          </cell>
          <cell r="BI180">
            <v>56443</v>
          </cell>
          <cell r="BJ180">
            <v>46461</v>
          </cell>
          <cell r="BK180">
            <v>46461</v>
          </cell>
          <cell r="BL180">
            <v>0</v>
          </cell>
          <cell r="BM180">
            <v>0</v>
          </cell>
          <cell r="BN180">
            <v>0</v>
          </cell>
          <cell r="BO180">
            <v>10215</v>
          </cell>
          <cell r="BP180">
            <v>4744.2</v>
          </cell>
          <cell r="BQ180">
            <v>8546.5116279069807</v>
          </cell>
          <cell r="BR180">
            <v>0</v>
          </cell>
          <cell r="BS180">
            <v>0</v>
          </cell>
          <cell r="BT180">
            <v>60465</v>
          </cell>
          <cell r="BU180"/>
          <cell r="BV180"/>
          <cell r="BW180"/>
          <cell r="BX180"/>
          <cell r="BY180">
            <v>0</v>
          </cell>
          <cell r="BZ180">
            <v>0</v>
          </cell>
          <cell r="CA180">
            <v>0</v>
          </cell>
          <cell r="CB180">
            <v>0</v>
          </cell>
          <cell r="CC180">
            <v>3323438</v>
          </cell>
          <cell r="CD180">
            <v>17026475</v>
          </cell>
          <cell r="CE180">
            <v>585826</v>
          </cell>
          <cell r="CF180">
            <v>0</v>
          </cell>
          <cell r="CG180">
            <v>585826</v>
          </cell>
          <cell r="CH180">
            <v>585826</v>
          </cell>
          <cell r="CI180">
            <v>585826</v>
          </cell>
          <cell r="CJ180">
            <v>585826</v>
          </cell>
          <cell r="CK180">
            <v>0</v>
          </cell>
          <cell r="CL180">
            <v>0</v>
          </cell>
          <cell r="CM180">
            <v>0</v>
          </cell>
          <cell r="CN180">
            <v>0</v>
          </cell>
          <cell r="CO180">
            <v>0</v>
          </cell>
          <cell r="CP180">
            <v>-6349</v>
          </cell>
          <cell r="CQ180">
            <v>3882056</v>
          </cell>
          <cell r="CR180">
            <v>3705432</v>
          </cell>
          <cell r="CS180">
            <v>3657036</v>
          </cell>
          <cell r="CT180">
            <v>3596533</v>
          </cell>
          <cell r="CU180">
            <v>3512358</v>
          </cell>
          <cell r="CV180">
            <v>46768</v>
          </cell>
          <cell r="CW180">
            <v>0</v>
          </cell>
          <cell r="CX180">
            <v>0</v>
          </cell>
          <cell r="CY180">
            <v>0</v>
          </cell>
          <cell r="CZ180">
            <v>0</v>
          </cell>
          <cell r="DA180">
            <v>0</v>
          </cell>
          <cell r="DB180"/>
          <cell r="DC180">
            <v>0</v>
          </cell>
          <cell r="DD180">
            <v>0</v>
          </cell>
          <cell r="DE180">
            <v>0</v>
          </cell>
          <cell r="DF180">
            <v>0</v>
          </cell>
          <cell r="DG180">
            <v>0</v>
          </cell>
          <cell r="DH180">
            <v>0</v>
          </cell>
          <cell r="DI180">
            <v>0</v>
          </cell>
          <cell r="DJ180">
            <v>0</v>
          </cell>
          <cell r="DK180">
            <v>0</v>
          </cell>
          <cell r="DL180">
            <v>0</v>
          </cell>
          <cell r="DM180"/>
          <cell r="DN180"/>
          <cell r="DO180"/>
          <cell r="DP180"/>
        </row>
        <row r="181">
          <cell r="A181">
            <v>397</v>
          </cell>
          <cell r="B181" t="str">
            <v>Heemstede</v>
          </cell>
          <cell r="C181">
            <v>7</v>
          </cell>
          <cell r="D181">
            <v>-15428</v>
          </cell>
          <cell r="E181">
            <v>-7714</v>
          </cell>
          <cell r="F181">
            <v>0</v>
          </cell>
          <cell r="G181">
            <v>0</v>
          </cell>
          <cell r="H181">
            <v>0</v>
          </cell>
          <cell r="I181">
            <v>-5871</v>
          </cell>
          <cell r="J181"/>
          <cell r="K181">
            <v>0</v>
          </cell>
          <cell r="L181">
            <v>64623</v>
          </cell>
          <cell r="M181">
            <v>58661</v>
          </cell>
          <cell r="N181">
            <v>0</v>
          </cell>
          <cell r="O181">
            <v>0</v>
          </cell>
          <cell r="P181">
            <v>0</v>
          </cell>
          <cell r="Q181">
            <v>0</v>
          </cell>
          <cell r="R181">
            <v>0</v>
          </cell>
          <cell r="S181">
            <v>0</v>
          </cell>
          <cell r="T181">
            <v>0</v>
          </cell>
          <cell r="U181">
            <v>0</v>
          </cell>
          <cell r="V181">
            <v>0</v>
          </cell>
          <cell r="W181">
            <v>59601</v>
          </cell>
          <cell r="X181">
            <v>0</v>
          </cell>
          <cell r="Y181"/>
          <cell r="Z181">
            <v>0</v>
          </cell>
          <cell r="AA181">
            <v>0</v>
          </cell>
          <cell r="AB181">
            <v>0</v>
          </cell>
          <cell r="AC181"/>
          <cell r="AD181">
            <v>0</v>
          </cell>
          <cell r="AE181">
            <v>0</v>
          </cell>
          <cell r="AF181">
            <v>0</v>
          </cell>
          <cell r="AG181">
            <v>0</v>
          </cell>
          <cell r="AH181">
            <v>0</v>
          </cell>
          <cell r="AI181">
            <v>0</v>
          </cell>
          <cell r="AJ181">
            <v>0</v>
          </cell>
          <cell r="AK181">
            <v>0</v>
          </cell>
          <cell r="AL181"/>
          <cell r="AM181">
            <v>0</v>
          </cell>
          <cell r="AN181">
            <v>0</v>
          </cell>
          <cell r="AO181">
            <v>0</v>
          </cell>
          <cell r="AP181">
            <v>0</v>
          </cell>
          <cell r="AQ181">
            <v>0</v>
          </cell>
          <cell r="AR181">
            <v>0</v>
          </cell>
          <cell r="AS181">
            <v>0</v>
          </cell>
          <cell r="AT181">
            <v>0</v>
          </cell>
          <cell r="AU181">
            <v>2370</v>
          </cell>
          <cell r="AV181">
            <v>0</v>
          </cell>
          <cell r="AW181">
            <v>0</v>
          </cell>
          <cell r="AX181">
            <v>0</v>
          </cell>
          <cell r="AY181"/>
          <cell r="AZ181"/>
          <cell r="BA181">
            <v>0</v>
          </cell>
          <cell r="BB181"/>
          <cell r="BC181">
            <v>0</v>
          </cell>
          <cell r="BD181">
            <v>9455</v>
          </cell>
          <cell r="BE181"/>
          <cell r="BF181">
            <v>0</v>
          </cell>
          <cell r="BG181">
            <v>0</v>
          </cell>
          <cell r="BH181">
            <v>0</v>
          </cell>
          <cell r="BI181">
            <v>28442</v>
          </cell>
          <cell r="BJ181">
            <v>23412</v>
          </cell>
          <cell r="BK181">
            <v>23412</v>
          </cell>
          <cell r="BL181">
            <v>0</v>
          </cell>
          <cell r="BM181">
            <v>0</v>
          </cell>
          <cell r="BN181">
            <v>0</v>
          </cell>
          <cell r="BO181">
            <v>10215</v>
          </cell>
          <cell r="BP181">
            <v>7907</v>
          </cell>
          <cell r="BQ181">
            <v>14244.186046511601</v>
          </cell>
          <cell r="BR181">
            <v>0</v>
          </cell>
          <cell r="BS181">
            <v>0</v>
          </cell>
          <cell r="BT181">
            <v>36601</v>
          </cell>
          <cell r="BU181"/>
          <cell r="BV181"/>
          <cell r="BW181"/>
          <cell r="BX181"/>
          <cell r="BY181">
            <v>0</v>
          </cell>
          <cell r="BZ181">
            <v>0</v>
          </cell>
          <cell r="CA181">
            <v>0</v>
          </cell>
          <cell r="CB181">
            <v>0</v>
          </cell>
          <cell r="CC181">
            <v>1998193</v>
          </cell>
          <cell r="CD181">
            <v>7868364</v>
          </cell>
          <cell r="CE181">
            <v>276334</v>
          </cell>
          <cell r="CF181">
            <v>-7619</v>
          </cell>
          <cell r="CG181">
            <v>276334</v>
          </cell>
          <cell r="CH181">
            <v>276334</v>
          </cell>
          <cell r="CI181">
            <v>276334</v>
          </cell>
          <cell r="CJ181">
            <v>276334</v>
          </cell>
          <cell r="CK181">
            <v>0</v>
          </cell>
          <cell r="CL181">
            <v>0</v>
          </cell>
          <cell r="CM181">
            <v>0</v>
          </cell>
          <cell r="CN181">
            <v>0</v>
          </cell>
          <cell r="CO181">
            <v>0</v>
          </cell>
          <cell r="CP181">
            <v>-973</v>
          </cell>
          <cell r="CQ181">
            <v>1506490</v>
          </cell>
          <cell r="CR181">
            <v>1383078</v>
          </cell>
          <cell r="CS181">
            <v>1280385</v>
          </cell>
          <cell r="CT181">
            <v>1237107</v>
          </cell>
          <cell r="CU181">
            <v>1162987</v>
          </cell>
          <cell r="CV181">
            <v>-29438</v>
          </cell>
          <cell r="CW181">
            <v>0</v>
          </cell>
          <cell r="CX181">
            <v>0</v>
          </cell>
          <cell r="CY181">
            <v>0</v>
          </cell>
          <cell r="CZ181">
            <v>0</v>
          </cell>
          <cell r="DA181">
            <v>0</v>
          </cell>
          <cell r="DB181"/>
          <cell r="DC181">
            <v>0</v>
          </cell>
          <cell r="DD181">
            <v>0</v>
          </cell>
          <cell r="DE181">
            <v>0</v>
          </cell>
          <cell r="DF181">
            <v>0</v>
          </cell>
          <cell r="DG181">
            <v>0</v>
          </cell>
          <cell r="DH181">
            <v>0</v>
          </cell>
          <cell r="DI181">
            <v>0</v>
          </cell>
          <cell r="DJ181">
            <v>0</v>
          </cell>
          <cell r="DK181">
            <v>0</v>
          </cell>
          <cell r="DL181">
            <v>0</v>
          </cell>
          <cell r="DM181"/>
          <cell r="DN181"/>
          <cell r="DO181"/>
          <cell r="DP181"/>
        </row>
        <row r="182">
          <cell r="A182">
            <v>398</v>
          </cell>
          <cell r="B182" t="str">
            <v>Heerhugowaard</v>
          </cell>
          <cell r="C182">
            <v>7</v>
          </cell>
          <cell r="D182">
            <v>34792</v>
          </cell>
          <cell r="E182">
            <v>17396</v>
          </cell>
          <cell r="F182">
            <v>0</v>
          </cell>
          <cell r="G182">
            <v>0</v>
          </cell>
          <cell r="H182">
            <v>0</v>
          </cell>
          <cell r="I182">
            <v>-8756</v>
          </cell>
          <cell r="J182"/>
          <cell r="K182">
            <v>0</v>
          </cell>
          <cell r="L182">
            <v>243529</v>
          </cell>
          <cell r="M182">
            <v>214266</v>
          </cell>
          <cell r="N182">
            <v>0</v>
          </cell>
          <cell r="O182">
            <v>0</v>
          </cell>
          <cell r="P182">
            <v>0</v>
          </cell>
          <cell r="Q182">
            <v>0</v>
          </cell>
          <cell r="R182">
            <v>0</v>
          </cell>
          <cell r="S182">
            <v>0</v>
          </cell>
          <cell r="T182">
            <v>0</v>
          </cell>
          <cell r="U182">
            <v>0</v>
          </cell>
          <cell r="V182">
            <v>24000</v>
          </cell>
          <cell r="W182">
            <v>194359</v>
          </cell>
          <cell r="X182">
            <v>0</v>
          </cell>
          <cell r="Y182"/>
          <cell r="Z182">
            <v>0</v>
          </cell>
          <cell r="AA182">
            <v>0</v>
          </cell>
          <cell r="AB182">
            <v>0</v>
          </cell>
          <cell r="AC182"/>
          <cell r="AD182">
            <v>0</v>
          </cell>
          <cell r="AE182">
            <v>0</v>
          </cell>
          <cell r="AF182">
            <v>0</v>
          </cell>
          <cell r="AG182">
            <v>0</v>
          </cell>
          <cell r="AH182">
            <v>0</v>
          </cell>
          <cell r="AI182">
            <v>0</v>
          </cell>
          <cell r="AJ182">
            <v>0</v>
          </cell>
          <cell r="AK182">
            <v>0</v>
          </cell>
          <cell r="AL182"/>
          <cell r="AM182">
            <v>0</v>
          </cell>
          <cell r="AN182">
            <v>0</v>
          </cell>
          <cell r="AO182">
            <v>0</v>
          </cell>
          <cell r="AP182">
            <v>0</v>
          </cell>
          <cell r="AQ182">
            <v>0</v>
          </cell>
          <cell r="AR182">
            <v>0</v>
          </cell>
          <cell r="AS182">
            <v>0</v>
          </cell>
          <cell r="AT182">
            <v>0</v>
          </cell>
          <cell r="AU182">
            <v>4740</v>
          </cell>
          <cell r="AV182">
            <v>0</v>
          </cell>
          <cell r="AW182">
            <v>0</v>
          </cell>
          <cell r="AX182">
            <v>0</v>
          </cell>
          <cell r="AY182"/>
          <cell r="AZ182"/>
          <cell r="BA182">
            <v>0</v>
          </cell>
          <cell r="BB182"/>
          <cell r="BC182">
            <v>0</v>
          </cell>
          <cell r="BD182">
            <v>19289</v>
          </cell>
          <cell r="BE182"/>
          <cell r="BF182">
            <v>0</v>
          </cell>
          <cell r="BG182">
            <v>0</v>
          </cell>
          <cell r="BH182">
            <v>0</v>
          </cell>
          <cell r="BI182">
            <v>63114</v>
          </cell>
          <cell r="BJ182">
            <v>51952</v>
          </cell>
          <cell r="BK182">
            <v>51952</v>
          </cell>
          <cell r="BL182">
            <v>0</v>
          </cell>
          <cell r="BM182">
            <v>0</v>
          </cell>
          <cell r="BN182">
            <v>0</v>
          </cell>
          <cell r="BO182">
            <v>215974</v>
          </cell>
          <cell r="BP182">
            <v>25302.400000000001</v>
          </cell>
          <cell r="BQ182">
            <v>45581.395348837199</v>
          </cell>
          <cell r="BR182">
            <v>0</v>
          </cell>
          <cell r="BS182">
            <v>0</v>
          </cell>
          <cell r="BT182">
            <v>86874</v>
          </cell>
          <cell r="BU182"/>
          <cell r="BV182"/>
          <cell r="BW182"/>
          <cell r="BX182"/>
          <cell r="BY182">
            <v>0</v>
          </cell>
          <cell r="BZ182">
            <v>0</v>
          </cell>
          <cell r="CA182">
            <v>0</v>
          </cell>
          <cell r="CB182">
            <v>0</v>
          </cell>
          <cell r="CC182">
            <v>3707169</v>
          </cell>
          <cell r="CD182">
            <v>28437105</v>
          </cell>
          <cell r="CE182">
            <v>4873051</v>
          </cell>
          <cell r="CF182">
            <v>0</v>
          </cell>
          <cell r="CG182">
            <v>4873051</v>
          </cell>
          <cell r="CH182">
            <v>4873051</v>
          </cell>
          <cell r="CI182">
            <v>4873051</v>
          </cell>
          <cell r="CJ182">
            <v>4873051</v>
          </cell>
          <cell r="CK182">
            <v>0</v>
          </cell>
          <cell r="CL182">
            <v>0</v>
          </cell>
          <cell r="CM182">
            <v>0</v>
          </cell>
          <cell r="CN182">
            <v>0</v>
          </cell>
          <cell r="CO182">
            <v>0</v>
          </cell>
          <cell r="CP182">
            <v>-3148</v>
          </cell>
          <cell r="CQ182">
            <v>4253790</v>
          </cell>
          <cell r="CR182">
            <v>4141131</v>
          </cell>
          <cell r="CS182">
            <v>4114769</v>
          </cell>
          <cell r="CT182">
            <v>4106110</v>
          </cell>
          <cell r="CU182">
            <v>4083711</v>
          </cell>
          <cell r="CV182">
            <v>56168</v>
          </cell>
          <cell r="CW182">
            <v>0</v>
          </cell>
          <cell r="CX182">
            <v>0</v>
          </cell>
          <cell r="CY182">
            <v>0</v>
          </cell>
          <cell r="CZ182">
            <v>0</v>
          </cell>
          <cell r="DA182">
            <v>0</v>
          </cell>
          <cell r="DB182"/>
          <cell r="DC182">
            <v>0</v>
          </cell>
          <cell r="DD182">
            <v>0</v>
          </cell>
          <cell r="DE182">
            <v>0</v>
          </cell>
          <cell r="DF182">
            <v>0</v>
          </cell>
          <cell r="DG182">
            <v>0</v>
          </cell>
          <cell r="DH182">
            <v>0</v>
          </cell>
          <cell r="DI182">
            <v>0</v>
          </cell>
          <cell r="DJ182">
            <v>0</v>
          </cell>
          <cell r="DK182">
            <v>0</v>
          </cell>
          <cell r="DL182">
            <v>0</v>
          </cell>
          <cell r="DM182"/>
          <cell r="DN182"/>
          <cell r="DO182"/>
          <cell r="DP182"/>
        </row>
        <row r="183">
          <cell r="A183">
            <v>399</v>
          </cell>
          <cell r="B183" t="str">
            <v>Heiloo</v>
          </cell>
          <cell r="C183">
            <v>7</v>
          </cell>
          <cell r="D183">
            <v>-67674</v>
          </cell>
          <cell r="E183">
            <v>-33837</v>
          </cell>
          <cell r="F183">
            <v>0</v>
          </cell>
          <cell r="G183">
            <v>0</v>
          </cell>
          <cell r="H183">
            <v>-10585</v>
          </cell>
          <cell r="I183">
            <v>-7461</v>
          </cell>
          <cell r="J183"/>
          <cell r="K183">
            <v>0</v>
          </cell>
          <cell r="L183">
            <v>53401</v>
          </cell>
          <cell r="M183">
            <v>43996</v>
          </cell>
          <cell r="N183">
            <v>0</v>
          </cell>
          <cell r="O183">
            <v>0</v>
          </cell>
          <cell r="P183">
            <v>0</v>
          </cell>
          <cell r="Q183">
            <v>0</v>
          </cell>
          <cell r="R183">
            <v>0</v>
          </cell>
          <cell r="S183">
            <v>0</v>
          </cell>
          <cell r="T183">
            <v>0</v>
          </cell>
          <cell r="U183">
            <v>0</v>
          </cell>
          <cell r="V183">
            <v>6000</v>
          </cell>
          <cell r="W183">
            <v>65056</v>
          </cell>
          <cell r="X183">
            <v>0</v>
          </cell>
          <cell r="Y183"/>
          <cell r="Z183">
            <v>0</v>
          </cell>
          <cell r="AA183">
            <v>0</v>
          </cell>
          <cell r="AB183">
            <v>0</v>
          </cell>
          <cell r="AC183"/>
          <cell r="AD183">
            <v>0</v>
          </cell>
          <cell r="AE183">
            <v>0</v>
          </cell>
          <cell r="AF183">
            <v>0</v>
          </cell>
          <cell r="AG183">
            <v>0</v>
          </cell>
          <cell r="AH183">
            <v>0</v>
          </cell>
          <cell r="AI183">
            <v>0</v>
          </cell>
          <cell r="AJ183">
            <v>0</v>
          </cell>
          <cell r="AK183">
            <v>0</v>
          </cell>
          <cell r="AL183"/>
          <cell r="AM183">
            <v>0</v>
          </cell>
          <cell r="AN183">
            <v>0</v>
          </cell>
          <cell r="AO183">
            <v>0</v>
          </cell>
          <cell r="AP183">
            <v>0</v>
          </cell>
          <cell r="AQ183">
            <v>0</v>
          </cell>
          <cell r="AR183">
            <v>0</v>
          </cell>
          <cell r="AS183">
            <v>0</v>
          </cell>
          <cell r="AT183">
            <v>0</v>
          </cell>
          <cell r="AU183">
            <v>0</v>
          </cell>
          <cell r="AV183">
            <v>0</v>
          </cell>
          <cell r="AW183">
            <v>0</v>
          </cell>
          <cell r="AX183">
            <v>0</v>
          </cell>
          <cell r="AY183"/>
          <cell r="AZ183"/>
          <cell r="BA183">
            <v>0</v>
          </cell>
          <cell r="BB183"/>
          <cell r="BC183">
            <v>0</v>
          </cell>
          <cell r="BD183">
            <v>8024</v>
          </cell>
          <cell r="BE183"/>
          <cell r="BF183">
            <v>0</v>
          </cell>
          <cell r="BG183">
            <v>0</v>
          </cell>
          <cell r="BH183">
            <v>0</v>
          </cell>
          <cell r="BI183">
            <v>23827</v>
          </cell>
          <cell r="BJ183">
            <v>19613</v>
          </cell>
          <cell r="BK183">
            <v>19613</v>
          </cell>
          <cell r="BL183">
            <v>0</v>
          </cell>
          <cell r="BM183">
            <v>0</v>
          </cell>
          <cell r="BN183">
            <v>0</v>
          </cell>
          <cell r="BO183">
            <v>10215</v>
          </cell>
          <cell r="BP183">
            <v>1581.4</v>
          </cell>
          <cell r="BQ183">
            <v>2848.8372093023299</v>
          </cell>
          <cell r="BR183">
            <v>0</v>
          </cell>
          <cell r="BS183">
            <v>0</v>
          </cell>
          <cell r="BT183">
            <v>31884</v>
          </cell>
          <cell r="BU183"/>
          <cell r="BV183"/>
          <cell r="BW183"/>
          <cell r="BX183"/>
          <cell r="BY183">
            <v>0</v>
          </cell>
          <cell r="BZ183">
            <v>0</v>
          </cell>
          <cell r="CA183">
            <v>0</v>
          </cell>
          <cell r="CB183">
            <v>0</v>
          </cell>
          <cell r="CC183">
            <v>1748563</v>
          </cell>
          <cell r="CD183">
            <v>7079573</v>
          </cell>
          <cell r="CE183">
            <v>337457</v>
          </cell>
          <cell r="CF183">
            <v>-9158</v>
          </cell>
          <cell r="CG183">
            <v>337457</v>
          </cell>
          <cell r="CH183">
            <v>337457</v>
          </cell>
          <cell r="CI183">
            <v>337457</v>
          </cell>
          <cell r="CJ183">
            <v>337457</v>
          </cell>
          <cell r="CK183">
            <v>0</v>
          </cell>
          <cell r="CL183">
            <v>0</v>
          </cell>
          <cell r="CM183">
            <v>0</v>
          </cell>
          <cell r="CN183">
            <v>0</v>
          </cell>
          <cell r="CO183">
            <v>0</v>
          </cell>
          <cell r="CP183">
            <v>-1337</v>
          </cell>
          <cell r="CQ183">
            <v>1131603</v>
          </cell>
          <cell r="CR183">
            <v>1103245</v>
          </cell>
          <cell r="CS183">
            <v>1089572</v>
          </cell>
          <cell r="CT183">
            <v>1062251</v>
          </cell>
          <cell r="CU183">
            <v>1075348</v>
          </cell>
          <cell r="CV183">
            <v>12380</v>
          </cell>
          <cell r="CW183">
            <v>0</v>
          </cell>
          <cell r="CX183">
            <v>0</v>
          </cell>
          <cell r="CY183">
            <v>0</v>
          </cell>
          <cell r="CZ183">
            <v>0</v>
          </cell>
          <cell r="DA183">
            <v>0</v>
          </cell>
          <cell r="DB183"/>
          <cell r="DC183">
            <v>0</v>
          </cell>
          <cell r="DD183">
            <v>0</v>
          </cell>
          <cell r="DE183">
            <v>0</v>
          </cell>
          <cell r="DF183">
            <v>0</v>
          </cell>
          <cell r="DG183">
            <v>0</v>
          </cell>
          <cell r="DH183">
            <v>0</v>
          </cell>
          <cell r="DI183">
            <v>0</v>
          </cell>
          <cell r="DJ183">
            <v>0</v>
          </cell>
          <cell r="DK183">
            <v>0</v>
          </cell>
          <cell r="DL183">
            <v>0</v>
          </cell>
          <cell r="DM183"/>
          <cell r="DN183"/>
          <cell r="DO183"/>
          <cell r="DP183"/>
        </row>
        <row r="184">
          <cell r="A184">
            <v>402</v>
          </cell>
          <cell r="B184" t="str">
            <v>Hilversum</v>
          </cell>
          <cell r="C184">
            <v>7</v>
          </cell>
          <cell r="D184">
            <v>20700</v>
          </cell>
          <cell r="E184">
            <v>10350</v>
          </cell>
          <cell r="F184">
            <v>0</v>
          </cell>
          <cell r="G184">
            <v>0</v>
          </cell>
          <cell r="H184">
            <v>-38912</v>
          </cell>
          <cell r="I184">
            <v>-37504</v>
          </cell>
          <cell r="J184"/>
          <cell r="K184">
            <v>7500</v>
          </cell>
          <cell r="L184">
            <v>402499</v>
          </cell>
          <cell r="M184">
            <v>398963</v>
          </cell>
          <cell r="N184">
            <v>0</v>
          </cell>
          <cell r="O184">
            <v>0</v>
          </cell>
          <cell r="P184">
            <v>0</v>
          </cell>
          <cell r="Q184">
            <v>0</v>
          </cell>
          <cell r="R184">
            <v>0</v>
          </cell>
          <cell r="S184">
            <v>0</v>
          </cell>
          <cell r="T184">
            <v>0</v>
          </cell>
          <cell r="U184">
            <v>0</v>
          </cell>
          <cell r="V184">
            <v>15000</v>
          </cell>
          <cell r="W184">
            <v>136981</v>
          </cell>
          <cell r="X184">
            <v>0</v>
          </cell>
          <cell r="Y184"/>
          <cell r="Z184">
            <v>0</v>
          </cell>
          <cell r="AA184">
            <v>0</v>
          </cell>
          <cell r="AB184">
            <v>0</v>
          </cell>
          <cell r="AC184"/>
          <cell r="AD184">
            <v>19556</v>
          </cell>
          <cell r="AE184">
            <v>0</v>
          </cell>
          <cell r="AF184">
            <v>0</v>
          </cell>
          <cell r="AG184">
            <v>0</v>
          </cell>
          <cell r="AH184">
            <v>0</v>
          </cell>
          <cell r="AI184">
            <v>0</v>
          </cell>
          <cell r="AJ184">
            <v>0</v>
          </cell>
          <cell r="AK184">
            <v>0</v>
          </cell>
          <cell r="AL184"/>
          <cell r="AM184">
            <v>0</v>
          </cell>
          <cell r="AN184">
            <v>0</v>
          </cell>
          <cell r="AO184">
            <v>0</v>
          </cell>
          <cell r="AP184">
            <v>0</v>
          </cell>
          <cell r="AQ184">
            <v>0</v>
          </cell>
          <cell r="AR184">
            <v>0</v>
          </cell>
          <cell r="AS184">
            <v>0</v>
          </cell>
          <cell r="AT184">
            <v>0</v>
          </cell>
          <cell r="AU184">
            <v>4740</v>
          </cell>
          <cell r="AV184">
            <v>2532362.4222930102</v>
          </cell>
          <cell r="AW184">
            <v>113745</v>
          </cell>
          <cell r="AX184">
            <v>0</v>
          </cell>
          <cell r="AY184"/>
          <cell r="AZ184"/>
          <cell r="BA184">
            <v>0</v>
          </cell>
          <cell r="BB184"/>
          <cell r="BC184">
            <v>0</v>
          </cell>
          <cell r="BD184">
            <v>31203</v>
          </cell>
          <cell r="BE184"/>
          <cell r="BF184">
            <v>0</v>
          </cell>
          <cell r="BG184">
            <v>0</v>
          </cell>
          <cell r="BH184">
            <v>0</v>
          </cell>
          <cell r="BI184">
            <v>160563</v>
          </cell>
          <cell r="BJ184">
            <v>132167</v>
          </cell>
          <cell r="BK184">
            <v>132167</v>
          </cell>
          <cell r="BL184">
            <v>0</v>
          </cell>
          <cell r="BM184">
            <v>0</v>
          </cell>
          <cell r="BN184">
            <v>98560</v>
          </cell>
          <cell r="BO184">
            <v>71991</v>
          </cell>
          <cell r="BP184">
            <v>34790.800000000003</v>
          </cell>
          <cell r="BQ184">
            <v>62674.418604651197</v>
          </cell>
          <cell r="BR184">
            <v>0</v>
          </cell>
          <cell r="BS184">
            <v>0</v>
          </cell>
          <cell r="BT184">
            <v>139915</v>
          </cell>
          <cell r="BU184"/>
          <cell r="BV184"/>
          <cell r="BW184"/>
          <cell r="BX184"/>
          <cell r="BY184">
            <v>1730009.7167111801</v>
          </cell>
          <cell r="BZ184">
            <v>2005485.33035862</v>
          </cell>
          <cell r="CA184">
            <v>2029018.42298176</v>
          </cell>
          <cell r="CB184">
            <v>2095464.8021530099</v>
          </cell>
          <cell r="CC184">
            <v>6480401</v>
          </cell>
          <cell r="CD184">
            <v>50541501</v>
          </cell>
          <cell r="CE184">
            <v>2228541</v>
          </cell>
          <cell r="CF184">
            <v>-89917</v>
          </cell>
          <cell r="CG184">
            <v>2228541</v>
          </cell>
          <cell r="CH184">
            <v>2228541</v>
          </cell>
          <cell r="CI184">
            <v>2228541</v>
          </cell>
          <cell r="CJ184">
            <v>2228541</v>
          </cell>
          <cell r="CK184">
            <v>15956896</v>
          </cell>
          <cell r="CL184">
            <v>15948947</v>
          </cell>
          <cell r="CM184">
            <v>15948818</v>
          </cell>
          <cell r="CN184">
            <v>15948536</v>
          </cell>
          <cell r="CO184">
            <v>15948928</v>
          </cell>
          <cell r="CP184">
            <v>0</v>
          </cell>
          <cell r="CQ184">
            <v>7402611</v>
          </cell>
          <cell r="CR184">
            <v>7029092</v>
          </cell>
          <cell r="CS184">
            <v>6834420</v>
          </cell>
          <cell r="CT184">
            <v>6626339</v>
          </cell>
          <cell r="CU184">
            <v>6460565</v>
          </cell>
          <cell r="CV184">
            <v>-136302</v>
          </cell>
          <cell r="CW184">
            <v>0</v>
          </cell>
          <cell r="CX184">
            <v>0</v>
          </cell>
          <cell r="CY184">
            <v>0</v>
          </cell>
          <cell r="CZ184">
            <v>0</v>
          </cell>
          <cell r="DA184">
            <v>0</v>
          </cell>
          <cell r="DB184"/>
          <cell r="DC184">
            <v>0</v>
          </cell>
          <cell r="DD184">
            <v>0</v>
          </cell>
          <cell r="DE184">
            <v>0</v>
          </cell>
          <cell r="DF184">
            <v>0</v>
          </cell>
          <cell r="DG184">
            <v>0</v>
          </cell>
          <cell r="DH184">
            <v>0</v>
          </cell>
          <cell r="DI184">
            <v>0</v>
          </cell>
          <cell r="DJ184">
            <v>0</v>
          </cell>
          <cell r="DK184">
            <v>0</v>
          </cell>
          <cell r="DL184">
            <v>0</v>
          </cell>
          <cell r="DM184"/>
          <cell r="DN184"/>
          <cell r="DO184"/>
          <cell r="DP184"/>
        </row>
        <row r="185">
          <cell r="A185">
            <v>1911</v>
          </cell>
          <cell r="B185" t="str">
            <v>Hollands Kroon</v>
          </cell>
          <cell r="C185">
            <v>7</v>
          </cell>
          <cell r="D185">
            <v>17470</v>
          </cell>
          <cell r="E185">
            <v>8735</v>
          </cell>
          <cell r="F185">
            <v>0</v>
          </cell>
          <cell r="G185">
            <v>99989</v>
          </cell>
          <cell r="H185">
            <v>-57727</v>
          </cell>
          <cell r="I185">
            <v>-40387</v>
          </cell>
          <cell r="J185"/>
          <cell r="K185">
            <v>0</v>
          </cell>
          <cell r="L185">
            <v>181333</v>
          </cell>
          <cell r="M185">
            <v>170318</v>
          </cell>
          <cell r="N185">
            <v>0</v>
          </cell>
          <cell r="O185">
            <v>0</v>
          </cell>
          <cell r="P185">
            <v>0</v>
          </cell>
          <cell r="Q185">
            <v>0</v>
          </cell>
          <cell r="R185">
            <v>0</v>
          </cell>
          <cell r="S185">
            <v>0</v>
          </cell>
          <cell r="T185">
            <v>0</v>
          </cell>
          <cell r="U185">
            <v>0</v>
          </cell>
          <cell r="V185">
            <v>17500</v>
          </cell>
          <cell r="W185">
            <v>201570</v>
          </cell>
          <cell r="X185">
            <v>0</v>
          </cell>
          <cell r="Y185"/>
          <cell r="Z185">
            <v>0</v>
          </cell>
          <cell r="AA185">
            <v>0</v>
          </cell>
          <cell r="AB185">
            <v>0</v>
          </cell>
          <cell r="AC185"/>
          <cell r="AD185">
            <v>0</v>
          </cell>
          <cell r="AE185">
            <v>0</v>
          </cell>
          <cell r="AF185">
            <v>0</v>
          </cell>
          <cell r="AG185">
            <v>0</v>
          </cell>
          <cell r="AH185">
            <v>0</v>
          </cell>
          <cell r="AI185">
            <v>0</v>
          </cell>
          <cell r="AJ185">
            <v>0</v>
          </cell>
          <cell r="AK185">
            <v>0</v>
          </cell>
          <cell r="AL185"/>
          <cell r="AM185">
            <v>47462</v>
          </cell>
          <cell r="AN185">
            <v>48553</v>
          </cell>
          <cell r="AO185">
            <v>49670</v>
          </cell>
          <cell r="AP185">
            <v>50812</v>
          </cell>
          <cell r="AQ185">
            <v>51981</v>
          </cell>
          <cell r="AR185">
            <v>53177</v>
          </cell>
          <cell r="AS185">
            <v>0</v>
          </cell>
          <cell r="AT185">
            <v>0</v>
          </cell>
          <cell r="AU185">
            <v>4740</v>
          </cell>
          <cell r="AV185">
            <v>0</v>
          </cell>
          <cell r="AW185">
            <v>0</v>
          </cell>
          <cell r="AX185">
            <v>0</v>
          </cell>
          <cell r="AY185"/>
          <cell r="AZ185"/>
          <cell r="BA185">
            <v>0</v>
          </cell>
          <cell r="BB185"/>
          <cell r="BC185">
            <v>0</v>
          </cell>
          <cell r="BD185">
            <v>16709</v>
          </cell>
          <cell r="BE185"/>
          <cell r="BF185">
            <v>0</v>
          </cell>
          <cell r="BG185">
            <v>0</v>
          </cell>
          <cell r="BH185">
            <v>0</v>
          </cell>
          <cell r="BI185">
            <v>62828</v>
          </cell>
          <cell r="BJ185">
            <v>51717</v>
          </cell>
          <cell r="BK185">
            <v>51717</v>
          </cell>
          <cell r="BL185">
            <v>0</v>
          </cell>
          <cell r="BM185">
            <v>0</v>
          </cell>
          <cell r="BN185">
            <v>0</v>
          </cell>
          <cell r="BO185">
            <v>489346</v>
          </cell>
          <cell r="BP185">
            <v>14232.6</v>
          </cell>
          <cell r="BQ185">
            <v>25639.534883720899</v>
          </cell>
          <cell r="BR185">
            <v>0</v>
          </cell>
          <cell r="BS185">
            <v>0</v>
          </cell>
          <cell r="BT185">
            <v>92437</v>
          </cell>
          <cell r="BU185"/>
          <cell r="BV185"/>
          <cell r="BW185"/>
          <cell r="BX185"/>
          <cell r="BY185">
            <v>0</v>
          </cell>
          <cell r="BZ185">
            <v>0</v>
          </cell>
          <cell r="CA185">
            <v>0</v>
          </cell>
          <cell r="CB185">
            <v>0</v>
          </cell>
          <cell r="CC185">
            <v>3197547</v>
          </cell>
          <cell r="CD185">
            <v>17747718</v>
          </cell>
          <cell r="CE185">
            <v>1308289</v>
          </cell>
          <cell r="CF185">
            <v>-57658</v>
          </cell>
          <cell r="CG185">
            <v>1308289</v>
          </cell>
          <cell r="CH185">
            <v>1308289</v>
          </cell>
          <cell r="CI185">
            <v>1308289</v>
          </cell>
          <cell r="CJ185">
            <v>1308289</v>
          </cell>
          <cell r="CK185">
            <v>0</v>
          </cell>
          <cell r="CL185">
            <v>0</v>
          </cell>
          <cell r="CM185">
            <v>0</v>
          </cell>
          <cell r="CN185">
            <v>0</v>
          </cell>
          <cell r="CO185">
            <v>0</v>
          </cell>
          <cell r="CP185">
            <v>-5962</v>
          </cell>
          <cell r="CQ185">
            <v>3105127</v>
          </cell>
          <cell r="CR185">
            <v>3005863</v>
          </cell>
          <cell r="CS185">
            <v>2930929</v>
          </cell>
          <cell r="CT185">
            <v>2878359</v>
          </cell>
          <cell r="CU185">
            <v>2836750</v>
          </cell>
          <cell r="CV185">
            <v>-17990</v>
          </cell>
          <cell r="CW185">
            <v>0</v>
          </cell>
          <cell r="CX185">
            <v>0</v>
          </cell>
          <cell r="CY185">
            <v>0</v>
          </cell>
          <cell r="CZ185">
            <v>0</v>
          </cell>
          <cell r="DA185">
            <v>0</v>
          </cell>
          <cell r="DB185"/>
          <cell r="DC185">
            <v>0</v>
          </cell>
          <cell r="DD185">
            <v>0</v>
          </cell>
          <cell r="DE185">
            <v>0</v>
          </cell>
          <cell r="DF185">
            <v>0</v>
          </cell>
          <cell r="DG185">
            <v>0</v>
          </cell>
          <cell r="DH185">
            <v>0</v>
          </cell>
          <cell r="DI185">
            <v>0</v>
          </cell>
          <cell r="DJ185">
            <v>0</v>
          </cell>
          <cell r="DK185">
            <v>0</v>
          </cell>
          <cell r="DL185">
            <v>0</v>
          </cell>
          <cell r="DM185"/>
          <cell r="DN185"/>
          <cell r="DO185"/>
          <cell r="DP185"/>
        </row>
        <row r="186">
          <cell r="A186">
            <v>405</v>
          </cell>
          <cell r="B186" t="str">
            <v>Hoorn</v>
          </cell>
          <cell r="C186">
            <v>7</v>
          </cell>
          <cell r="D186">
            <v>14494</v>
          </cell>
          <cell r="E186">
            <v>7247</v>
          </cell>
          <cell r="F186">
            <v>0</v>
          </cell>
          <cell r="G186">
            <v>0</v>
          </cell>
          <cell r="H186">
            <v>-70246</v>
          </cell>
          <cell r="I186">
            <v>-44675</v>
          </cell>
          <cell r="J186"/>
          <cell r="K186">
            <v>0</v>
          </cell>
          <cell r="L186">
            <v>415033</v>
          </cell>
          <cell r="M186">
            <v>407938</v>
          </cell>
          <cell r="N186">
            <v>0</v>
          </cell>
          <cell r="O186">
            <v>0</v>
          </cell>
          <cell r="P186">
            <v>0</v>
          </cell>
          <cell r="Q186">
            <v>0</v>
          </cell>
          <cell r="R186">
            <v>0</v>
          </cell>
          <cell r="S186">
            <v>0</v>
          </cell>
          <cell r="T186">
            <v>0</v>
          </cell>
          <cell r="U186">
            <v>0</v>
          </cell>
          <cell r="V186">
            <v>36000</v>
          </cell>
          <cell r="W186">
            <v>280488</v>
          </cell>
          <cell r="X186">
            <v>0</v>
          </cell>
          <cell r="Y186"/>
          <cell r="Z186">
            <v>0</v>
          </cell>
          <cell r="AA186">
            <v>0</v>
          </cell>
          <cell r="AB186">
            <v>0</v>
          </cell>
          <cell r="AC186"/>
          <cell r="AD186">
            <v>39112</v>
          </cell>
          <cell r="AE186">
            <v>0</v>
          </cell>
          <cell r="AF186">
            <v>0</v>
          </cell>
          <cell r="AG186">
            <v>0</v>
          </cell>
          <cell r="AH186">
            <v>0</v>
          </cell>
          <cell r="AI186">
            <v>0</v>
          </cell>
          <cell r="AJ186">
            <v>0</v>
          </cell>
          <cell r="AK186">
            <v>0</v>
          </cell>
          <cell r="AL186"/>
          <cell r="AM186">
            <v>12683</v>
          </cell>
          <cell r="AN186">
            <v>12975</v>
          </cell>
          <cell r="AO186">
            <v>13273</v>
          </cell>
          <cell r="AP186">
            <v>13578</v>
          </cell>
          <cell r="AQ186">
            <v>13891</v>
          </cell>
          <cell r="AR186">
            <v>14210</v>
          </cell>
          <cell r="AS186">
            <v>0</v>
          </cell>
          <cell r="AT186">
            <v>20000</v>
          </cell>
          <cell r="AU186">
            <v>9480</v>
          </cell>
          <cell r="AV186">
            <v>2321655.0755222701</v>
          </cell>
          <cell r="AW186">
            <v>0</v>
          </cell>
          <cell r="AX186">
            <v>0</v>
          </cell>
          <cell r="AY186"/>
          <cell r="AZ186"/>
          <cell r="BA186">
            <v>0</v>
          </cell>
          <cell r="BB186"/>
          <cell r="BC186">
            <v>0</v>
          </cell>
          <cell r="BD186">
            <v>25448</v>
          </cell>
          <cell r="BE186"/>
          <cell r="BF186">
            <v>0</v>
          </cell>
          <cell r="BG186">
            <v>0</v>
          </cell>
          <cell r="BH186">
            <v>0</v>
          </cell>
          <cell r="BI186">
            <v>123292</v>
          </cell>
          <cell r="BJ186">
            <v>101488</v>
          </cell>
          <cell r="BK186">
            <v>101488</v>
          </cell>
          <cell r="BL186">
            <v>0</v>
          </cell>
          <cell r="BM186">
            <v>0</v>
          </cell>
          <cell r="BN186">
            <v>0</v>
          </cell>
          <cell r="BO186">
            <v>104582</v>
          </cell>
          <cell r="BP186">
            <v>39535</v>
          </cell>
          <cell r="BQ186">
            <v>71220.930232558094</v>
          </cell>
          <cell r="BR186">
            <v>0</v>
          </cell>
          <cell r="BS186">
            <v>0</v>
          </cell>
          <cell r="BT186">
            <v>115541</v>
          </cell>
          <cell r="BU186"/>
          <cell r="BV186"/>
          <cell r="BW186"/>
          <cell r="BX186"/>
          <cell r="BY186">
            <v>0</v>
          </cell>
          <cell r="BZ186">
            <v>0</v>
          </cell>
          <cell r="CA186">
            <v>0</v>
          </cell>
          <cell r="CB186">
            <v>0</v>
          </cell>
          <cell r="CC186">
            <v>5203660</v>
          </cell>
          <cell r="CD186">
            <v>48379262</v>
          </cell>
          <cell r="CE186">
            <v>1985456</v>
          </cell>
          <cell r="CF186">
            <v>-107755</v>
          </cell>
          <cell r="CG186">
            <v>1985456</v>
          </cell>
          <cell r="CH186">
            <v>1985456</v>
          </cell>
          <cell r="CI186">
            <v>1985456</v>
          </cell>
          <cell r="CJ186">
            <v>1985456</v>
          </cell>
          <cell r="CK186">
            <v>11513686</v>
          </cell>
          <cell r="CL186">
            <v>11507907</v>
          </cell>
          <cell r="CM186">
            <v>11507814</v>
          </cell>
          <cell r="CN186">
            <v>11507608</v>
          </cell>
          <cell r="CO186">
            <v>11507893</v>
          </cell>
          <cell r="CP186">
            <v>0</v>
          </cell>
          <cell r="CQ186">
            <v>6130239</v>
          </cell>
          <cell r="CR186">
            <v>5983182</v>
          </cell>
          <cell r="CS186">
            <v>5921913</v>
          </cell>
          <cell r="CT186">
            <v>5887717</v>
          </cell>
          <cell r="CU186">
            <v>5816961</v>
          </cell>
          <cell r="CV186">
            <v>-39108</v>
          </cell>
          <cell r="CW186">
            <v>0</v>
          </cell>
          <cell r="CX186">
            <v>0</v>
          </cell>
          <cell r="CY186">
            <v>0</v>
          </cell>
          <cell r="CZ186">
            <v>0</v>
          </cell>
          <cell r="DA186">
            <v>0</v>
          </cell>
          <cell r="DB186"/>
          <cell r="DC186">
            <v>0</v>
          </cell>
          <cell r="DD186">
            <v>0</v>
          </cell>
          <cell r="DE186">
            <v>0</v>
          </cell>
          <cell r="DF186">
            <v>0</v>
          </cell>
          <cell r="DG186">
            <v>0</v>
          </cell>
          <cell r="DH186">
            <v>0</v>
          </cell>
          <cell r="DI186">
            <v>0</v>
          </cell>
          <cell r="DJ186">
            <v>0</v>
          </cell>
          <cell r="DK186">
            <v>0</v>
          </cell>
          <cell r="DL186">
            <v>0</v>
          </cell>
          <cell r="DM186"/>
          <cell r="DN186"/>
          <cell r="DO186"/>
          <cell r="DP186"/>
        </row>
        <row r="187">
          <cell r="A187">
            <v>406</v>
          </cell>
          <cell r="B187" t="str">
            <v>Huizen</v>
          </cell>
          <cell r="C187">
            <v>7</v>
          </cell>
          <cell r="D187">
            <v>-145659</v>
          </cell>
          <cell r="E187">
            <v>-72829</v>
          </cell>
          <cell r="F187">
            <v>0</v>
          </cell>
          <cell r="G187">
            <v>0</v>
          </cell>
          <cell r="H187">
            <v>0</v>
          </cell>
          <cell r="I187">
            <v>-5926</v>
          </cell>
          <cell r="J187"/>
          <cell r="K187">
            <v>0</v>
          </cell>
          <cell r="L187">
            <v>164382</v>
          </cell>
          <cell r="M187">
            <v>152343</v>
          </cell>
          <cell r="N187">
            <v>0</v>
          </cell>
          <cell r="O187">
            <v>0</v>
          </cell>
          <cell r="P187">
            <v>0</v>
          </cell>
          <cell r="Q187">
            <v>0</v>
          </cell>
          <cell r="R187">
            <v>0</v>
          </cell>
          <cell r="S187">
            <v>0</v>
          </cell>
          <cell r="T187">
            <v>0</v>
          </cell>
          <cell r="U187">
            <v>0</v>
          </cell>
          <cell r="V187">
            <v>3000</v>
          </cell>
          <cell r="W187">
            <v>173385</v>
          </cell>
          <cell r="X187">
            <v>0</v>
          </cell>
          <cell r="Y187"/>
          <cell r="Z187">
            <v>0</v>
          </cell>
          <cell r="AA187">
            <v>0</v>
          </cell>
          <cell r="AB187">
            <v>0</v>
          </cell>
          <cell r="AC187"/>
          <cell r="AD187">
            <v>0</v>
          </cell>
          <cell r="AE187">
            <v>0</v>
          </cell>
          <cell r="AF187">
            <v>0</v>
          </cell>
          <cell r="AG187">
            <v>0</v>
          </cell>
          <cell r="AH187">
            <v>0</v>
          </cell>
          <cell r="AI187">
            <v>0</v>
          </cell>
          <cell r="AJ187">
            <v>0</v>
          </cell>
          <cell r="AK187">
            <v>0</v>
          </cell>
          <cell r="AL187"/>
          <cell r="AM187">
            <v>0</v>
          </cell>
          <cell r="AN187">
            <v>0</v>
          </cell>
          <cell r="AO187">
            <v>0</v>
          </cell>
          <cell r="AP187">
            <v>0</v>
          </cell>
          <cell r="AQ187">
            <v>0</v>
          </cell>
          <cell r="AR187">
            <v>0</v>
          </cell>
          <cell r="AS187">
            <v>0</v>
          </cell>
          <cell r="AT187">
            <v>0</v>
          </cell>
          <cell r="AU187">
            <v>2370</v>
          </cell>
          <cell r="AV187">
            <v>0</v>
          </cell>
          <cell r="AW187">
            <v>0</v>
          </cell>
          <cell r="AX187">
            <v>0</v>
          </cell>
          <cell r="AY187"/>
          <cell r="AZ187"/>
          <cell r="BA187">
            <v>0</v>
          </cell>
          <cell r="BB187"/>
          <cell r="BC187">
            <v>0</v>
          </cell>
          <cell r="BD187">
            <v>14527</v>
          </cell>
          <cell r="BE187"/>
          <cell r="BF187">
            <v>0</v>
          </cell>
          <cell r="BG187">
            <v>0</v>
          </cell>
          <cell r="BH187">
            <v>0</v>
          </cell>
          <cell r="BI187">
            <v>56185</v>
          </cell>
          <cell r="BJ187">
            <v>46249</v>
          </cell>
          <cell r="BK187">
            <v>46249</v>
          </cell>
          <cell r="BL187">
            <v>0</v>
          </cell>
          <cell r="BM187">
            <v>0</v>
          </cell>
          <cell r="BN187">
            <v>0</v>
          </cell>
          <cell r="BO187">
            <v>25781</v>
          </cell>
          <cell r="BP187">
            <v>20558.2</v>
          </cell>
          <cell r="BQ187">
            <v>37034.8837209302</v>
          </cell>
          <cell r="BR187">
            <v>134000</v>
          </cell>
          <cell r="BS187">
            <v>0</v>
          </cell>
          <cell r="BT187">
            <v>64557</v>
          </cell>
          <cell r="BU187"/>
          <cell r="BV187"/>
          <cell r="BW187"/>
          <cell r="BX187"/>
          <cell r="BY187">
            <v>0</v>
          </cell>
          <cell r="BZ187">
            <v>0</v>
          </cell>
          <cell r="CA187">
            <v>0</v>
          </cell>
          <cell r="CB187">
            <v>0</v>
          </cell>
          <cell r="CC187">
            <v>2951861</v>
          </cell>
          <cell r="CD187">
            <v>14737365</v>
          </cell>
          <cell r="CE187">
            <v>1040597</v>
          </cell>
          <cell r="CF187">
            <v>-14304</v>
          </cell>
          <cell r="CG187">
            <v>1040597</v>
          </cell>
          <cell r="CH187">
            <v>1040597</v>
          </cell>
          <cell r="CI187">
            <v>1040597</v>
          </cell>
          <cell r="CJ187">
            <v>1040597</v>
          </cell>
          <cell r="CK187">
            <v>0</v>
          </cell>
          <cell r="CL187">
            <v>0</v>
          </cell>
          <cell r="CM187">
            <v>0</v>
          </cell>
          <cell r="CN187">
            <v>0</v>
          </cell>
          <cell r="CO187">
            <v>0</v>
          </cell>
          <cell r="CP187">
            <v>0</v>
          </cell>
          <cell r="CQ187">
            <v>2001179</v>
          </cell>
          <cell r="CR187">
            <v>1944169</v>
          </cell>
          <cell r="CS187">
            <v>1902947</v>
          </cell>
          <cell r="CT187">
            <v>1844598</v>
          </cell>
          <cell r="CU187">
            <v>1797470</v>
          </cell>
          <cell r="CV187">
            <v>-6862</v>
          </cell>
          <cell r="CW187">
            <v>0</v>
          </cell>
          <cell r="CX187">
            <v>0</v>
          </cell>
          <cell r="CY187">
            <v>0</v>
          </cell>
          <cell r="CZ187">
            <v>0</v>
          </cell>
          <cell r="DA187">
            <v>0</v>
          </cell>
          <cell r="DB187"/>
          <cell r="DC187">
            <v>0</v>
          </cell>
          <cell r="DD187">
            <v>0</v>
          </cell>
          <cell r="DE187">
            <v>0</v>
          </cell>
          <cell r="DF187">
            <v>0</v>
          </cell>
          <cell r="DG187">
            <v>0</v>
          </cell>
          <cell r="DH187">
            <v>0</v>
          </cell>
          <cell r="DI187">
            <v>0</v>
          </cell>
          <cell r="DJ187">
            <v>0</v>
          </cell>
          <cell r="DK187">
            <v>0</v>
          </cell>
          <cell r="DL187">
            <v>0</v>
          </cell>
          <cell r="DM187"/>
          <cell r="DN187"/>
          <cell r="DO187"/>
          <cell r="DP187"/>
        </row>
        <row r="188">
          <cell r="A188">
            <v>1598</v>
          </cell>
          <cell r="B188" t="str">
            <v>Koggenland</v>
          </cell>
          <cell r="C188">
            <v>7</v>
          </cell>
          <cell r="D188">
            <v>-53978</v>
          </cell>
          <cell r="E188">
            <v>-26989</v>
          </cell>
          <cell r="F188">
            <v>0</v>
          </cell>
          <cell r="G188">
            <v>0</v>
          </cell>
          <cell r="H188">
            <v>-2614</v>
          </cell>
          <cell r="I188">
            <v>-458</v>
          </cell>
          <cell r="J188"/>
          <cell r="K188">
            <v>0</v>
          </cell>
          <cell r="L188">
            <v>71168</v>
          </cell>
          <cell r="M188">
            <v>54828</v>
          </cell>
          <cell r="N188">
            <v>0</v>
          </cell>
          <cell r="O188">
            <v>0</v>
          </cell>
          <cell r="P188">
            <v>0</v>
          </cell>
          <cell r="Q188">
            <v>0</v>
          </cell>
          <cell r="R188">
            <v>0</v>
          </cell>
          <cell r="S188">
            <v>0</v>
          </cell>
          <cell r="T188">
            <v>0</v>
          </cell>
          <cell r="U188">
            <v>0</v>
          </cell>
          <cell r="V188">
            <v>3000</v>
          </cell>
          <cell r="W188">
            <v>84855</v>
          </cell>
          <cell r="X188">
            <v>0</v>
          </cell>
          <cell r="Y188"/>
          <cell r="Z188">
            <v>0</v>
          </cell>
          <cell r="AA188">
            <v>0</v>
          </cell>
          <cell r="AB188">
            <v>0</v>
          </cell>
          <cell r="AC188"/>
          <cell r="AD188">
            <v>0</v>
          </cell>
          <cell r="AE188">
            <v>0</v>
          </cell>
          <cell r="AF188">
            <v>0</v>
          </cell>
          <cell r="AG188">
            <v>0</v>
          </cell>
          <cell r="AH188">
            <v>0</v>
          </cell>
          <cell r="AI188">
            <v>0</v>
          </cell>
          <cell r="AJ188">
            <v>0</v>
          </cell>
          <cell r="AK188">
            <v>0</v>
          </cell>
          <cell r="AL188"/>
          <cell r="AM188">
            <v>59627</v>
          </cell>
          <cell r="AN188">
            <v>60999</v>
          </cell>
          <cell r="AO188">
            <v>62402</v>
          </cell>
          <cell r="AP188">
            <v>63837</v>
          </cell>
          <cell r="AQ188">
            <v>65305</v>
          </cell>
          <cell r="AR188">
            <v>66807</v>
          </cell>
          <cell r="AS188">
            <v>0</v>
          </cell>
          <cell r="AT188">
            <v>0</v>
          </cell>
          <cell r="AU188">
            <v>7110</v>
          </cell>
          <cell r="AV188">
            <v>0</v>
          </cell>
          <cell r="AW188">
            <v>0</v>
          </cell>
          <cell r="AX188">
            <v>0</v>
          </cell>
          <cell r="AY188"/>
          <cell r="AZ188"/>
          <cell r="BA188">
            <v>0</v>
          </cell>
          <cell r="BB188"/>
          <cell r="BC188">
            <v>0</v>
          </cell>
          <cell r="BD188">
            <v>7906</v>
          </cell>
          <cell r="BE188"/>
          <cell r="BF188">
            <v>0</v>
          </cell>
          <cell r="BG188">
            <v>0</v>
          </cell>
          <cell r="BH188">
            <v>0</v>
          </cell>
          <cell r="BI188">
            <v>25679</v>
          </cell>
          <cell r="BJ188">
            <v>21138</v>
          </cell>
          <cell r="BK188">
            <v>21138</v>
          </cell>
          <cell r="BL188">
            <v>0</v>
          </cell>
          <cell r="BM188">
            <v>0</v>
          </cell>
          <cell r="BN188">
            <v>0</v>
          </cell>
          <cell r="BO188">
            <v>58371</v>
          </cell>
          <cell r="BP188">
            <v>14232.6</v>
          </cell>
          <cell r="BQ188">
            <v>25639.534883720899</v>
          </cell>
          <cell r="BR188">
            <v>0</v>
          </cell>
          <cell r="BS188">
            <v>0</v>
          </cell>
          <cell r="BT188">
            <v>47002</v>
          </cell>
          <cell r="BU188"/>
          <cell r="BV188"/>
          <cell r="BW188"/>
          <cell r="BX188"/>
          <cell r="BY188">
            <v>0</v>
          </cell>
          <cell r="BZ188">
            <v>0</v>
          </cell>
          <cell r="CA188">
            <v>0</v>
          </cell>
          <cell r="CB188">
            <v>0</v>
          </cell>
          <cell r="CC188">
            <v>1308794</v>
          </cell>
          <cell r="CD188">
            <v>6794198</v>
          </cell>
          <cell r="CE188">
            <v>664925</v>
          </cell>
          <cell r="CF188">
            <v>0</v>
          </cell>
          <cell r="CG188">
            <v>664925</v>
          </cell>
          <cell r="CH188">
            <v>664925</v>
          </cell>
          <cell r="CI188">
            <v>664925</v>
          </cell>
          <cell r="CJ188">
            <v>664925</v>
          </cell>
          <cell r="CK188">
            <v>0</v>
          </cell>
          <cell r="CL188">
            <v>0</v>
          </cell>
          <cell r="CM188">
            <v>0</v>
          </cell>
          <cell r="CN188">
            <v>0</v>
          </cell>
          <cell r="CO188">
            <v>0</v>
          </cell>
          <cell r="CP188">
            <v>-166</v>
          </cell>
          <cell r="CQ188">
            <v>822881</v>
          </cell>
          <cell r="CR188">
            <v>812308</v>
          </cell>
          <cell r="CS188">
            <v>790463</v>
          </cell>
          <cell r="CT188">
            <v>778716</v>
          </cell>
          <cell r="CU188">
            <v>788869</v>
          </cell>
          <cell r="CV188">
            <v>45288</v>
          </cell>
          <cell r="CW188">
            <v>0</v>
          </cell>
          <cell r="CX188">
            <v>0</v>
          </cell>
          <cell r="CY188">
            <v>0</v>
          </cell>
          <cell r="CZ188">
            <v>0</v>
          </cell>
          <cell r="DA188">
            <v>0</v>
          </cell>
          <cell r="DB188"/>
          <cell r="DC188">
            <v>0</v>
          </cell>
          <cell r="DD188">
            <v>0</v>
          </cell>
          <cell r="DE188">
            <v>0</v>
          </cell>
          <cell r="DF188">
            <v>0</v>
          </cell>
          <cell r="DG188">
            <v>0</v>
          </cell>
          <cell r="DH188">
            <v>0</v>
          </cell>
          <cell r="DI188">
            <v>0</v>
          </cell>
          <cell r="DJ188">
            <v>0</v>
          </cell>
          <cell r="DK188">
            <v>0</v>
          </cell>
          <cell r="DL188">
            <v>0</v>
          </cell>
          <cell r="DM188"/>
          <cell r="DN188"/>
          <cell r="DO188"/>
          <cell r="DP188"/>
        </row>
        <row r="189">
          <cell r="A189">
            <v>415</v>
          </cell>
          <cell r="B189" t="str">
            <v>Landsmeer</v>
          </cell>
          <cell r="C189">
            <v>7</v>
          </cell>
          <cell r="D189">
            <v>20370</v>
          </cell>
          <cell r="E189">
            <v>10185</v>
          </cell>
          <cell r="F189">
            <v>0</v>
          </cell>
          <cell r="G189">
            <v>0</v>
          </cell>
          <cell r="H189">
            <v>0</v>
          </cell>
          <cell r="I189">
            <v>-5530</v>
          </cell>
          <cell r="J189"/>
          <cell r="K189">
            <v>0</v>
          </cell>
          <cell r="L189">
            <v>32172</v>
          </cell>
          <cell r="M189">
            <v>28497</v>
          </cell>
          <cell r="N189">
            <v>0</v>
          </cell>
          <cell r="O189">
            <v>0</v>
          </cell>
          <cell r="P189">
            <v>0</v>
          </cell>
          <cell r="Q189">
            <v>0</v>
          </cell>
          <cell r="R189">
            <v>0</v>
          </cell>
          <cell r="S189">
            <v>0</v>
          </cell>
          <cell r="T189">
            <v>0</v>
          </cell>
          <cell r="U189">
            <v>0</v>
          </cell>
          <cell r="V189">
            <v>0</v>
          </cell>
          <cell r="W189">
            <v>17981</v>
          </cell>
          <cell r="X189">
            <v>0</v>
          </cell>
          <cell r="Y189"/>
          <cell r="Z189">
            <v>0</v>
          </cell>
          <cell r="AA189">
            <v>0</v>
          </cell>
          <cell r="AB189">
            <v>0</v>
          </cell>
          <cell r="AC189"/>
          <cell r="AD189">
            <v>0</v>
          </cell>
          <cell r="AE189">
            <v>0</v>
          </cell>
          <cell r="AF189">
            <v>0</v>
          </cell>
          <cell r="AG189">
            <v>0</v>
          </cell>
          <cell r="AH189">
            <v>0</v>
          </cell>
          <cell r="AI189">
            <v>0</v>
          </cell>
          <cell r="AJ189">
            <v>0</v>
          </cell>
          <cell r="AK189">
            <v>0</v>
          </cell>
          <cell r="AL189"/>
          <cell r="AM189">
            <v>22227</v>
          </cell>
          <cell r="AN189">
            <v>22738</v>
          </cell>
          <cell r="AO189">
            <v>23261</v>
          </cell>
          <cell r="AP189">
            <v>23796</v>
          </cell>
          <cell r="AQ189">
            <v>24344</v>
          </cell>
          <cell r="AR189">
            <v>24904</v>
          </cell>
          <cell r="AS189">
            <v>0</v>
          </cell>
          <cell r="AT189">
            <v>0</v>
          </cell>
          <cell r="AU189">
            <v>0</v>
          </cell>
          <cell r="AV189">
            <v>0</v>
          </cell>
          <cell r="AW189">
            <v>0</v>
          </cell>
          <cell r="AX189">
            <v>0</v>
          </cell>
          <cell r="AY189"/>
          <cell r="AZ189"/>
          <cell r="BA189">
            <v>0</v>
          </cell>
          <cell r="BB189"/>
          <cell r="BC189">
            <v>0</v>
          </cell>
          <cell r="BD189">
            <v>3958</v>
          </cell>
          <cell r="BE189"/>
          <cell r="BF189">
            <v>0</v>
          </cell>
          <cell r="BG189">
            <v>0</v>
          </cell>
          <cell r="BH189">
            <v>0</v>
          </cell>
          <cell r="BI189">
            <v>11001</v>
          </cell>
          <cell r="BJ189">
            <v>9055</v>
          </cell>
          <cell r="BK189">
            <v>9055</v>
          </cell>
          <cell r="BL189">
            <v>0</v>
          </cell>
          <cell r="BM189">
            <v>0</v>
          </cell>
          <cell r="BN189">
            <v>0</v>
          </cell>
          <cell r="BO189">
            <v>26267</v>
          </cell>
          <cell r="BP189">
            <v>0</v>
          </cell>
          <cell r="BQ189">
            <v>0</v>
          </cell>
          <cell r="BR189">
            <v>0</v>
          </cell>
          <cell r="BS189">
            <v>0</v>
          </cell>
          <cell r="BT189">
            <v>19501</v>
          </cell>
          <cell r="BU189"/>
          <cell r="BV189"/>
          <cell r="BW189"/>
          <cell r="BX189"/>
          <cell r="BY189">
            <v>0</v>
          </cell>
          <cell r="BZ189">
            <v>0</v>
          </cell>
          <cell r="CA189">
            <v>0</v>
          </cell>
          <cell r="CB189">
            <v>0</v>
          </cell>
          <cell r="CC189">
            <v>695621</v>
          </cell>
          <cell r="CD189">
            <v>2886394</v>
          </cell>
          <cell r="CE189">
            <v>233554</v>
          </cell>
          <cell r="CF189">
            <v>0</v>
          </cell>
          <cell r="CG189">
            <v>233554</v>
          </cell>
          <cell r="CH189">
            <v>233554</v>
          </cell>
          <cell r="CI189">
            <v>233554</v>
          </cell>
          <cell r="CJ189">
            <v>233554</v>
          </cell>
          <cell r="CK189">
            <v>0</v>
          </cell>
          <cell r="CL189">
            <v>0</v>
          </cell>
          <cell r="CM189">
            <v>0</v>
          </cell>
          <cell r="CN189">
            <v>0</v>
          </cell>
          <cell r="CO189">
            <v>0</v>
          </cell>
          <cell r="CP189">
            <v>-1928</v>
          </cell>
          <cell r="CQ189">
            <v>241077</v>
          </cell>
          <cell r="CR189">
            <v>240807</v>
          </cell>
          <cell r="CS189">
            <v>241872</v>
          </cell>
          <cell r="CT189">
            <v>236173</v>
          </cell>
          <cell r="CU189">
            <v>236701</v>
          </cell>
          <cell r="CV189">
            <v>32259</v>
          </cell>
          <cell r="CW189">
            <v>0</v>
          </cell>
          <cell r="CX189">
            <v>0</v>
          </cell>
          <cell r="CY189">
            <v>0</v>
          </cell>
          <cell r="CZ189">
            <v>0</v>
          </cell>
          <cell r="DA189">
            <v>0</v>
          </cell>
          <cell r="DB189"/>
          <cell r="DC189">
            <v>0</v>
          </cell>
          <cell r="DD189">
            <v>0</v>
          </cell>
          <cell r="DE189">
            <v>0</v>
          </cell>
          <cell r="DF189">
            <v>0</v>
          </cell>
          <cell r="DG189">
            <v>0</v>
          </cell>
          <cell r="DH189">
            <v>0</v>
          </cell>
          <cell r="DI189">
            <v>0</v>
          </cell>
          <cell r="DJ189">
            <v>0</v>
          </cell>
          <cell r="DK189">
            <v>0</v>
          </cell>
          <cell r="DL189">
            <v>0</v>
          </cell>
          <cell r="DM189"/>
          <cell r="DN189"/>
          <cell r="DO189"/>
          <cell r="DP189"/>
        </row>
        <row r="190">
          <cell r="A190">
            <v>416</v>
          </cell>
          <cell r="B190" t="str">
            <v>Langedijk</v>
          </cell>
          <cell r="C190">
            <v>7</v>
          </cell>
          <cell r="D190">
            <v>-23342</v>
          </cell>
          <cell r="E190">
            <v>-11671</v>
          </cell>
          <cell r="F190">
            <v>0</v>
          </cell>
          <cell r="G190">
            <v>0</v>
          </cell>
          <cell r="H190">
            <v>-3842</v>
          </cell>
          <cell r="I190">
            <v>0</v>
          </cell>
          <cell r="J190"/>
          <cell r="K190">
            <v>0</v>
          </cell>
          <cell r="L190">
            <v>111518</v>
          </cell>
          <cell r="M190">
            <v>102538</v>
          </cell>
          <cell r="N190">
            <v>0</v>
          </cell>
          <cell r="O190">
            <v>0</v>
          </cell>
          <cell r="P190">
            <v>0</v>
          </cell>
          <cell r="Q190">
            <v>0</v>
          </cell>
          <cell r="R190">
            <v>0</v>
          </cell>
          <cell r="S190">
            <v>0</v>
          </cell>
          <cell r="T190">
            <v>0</v>
          </cell>
          <cell r="U190">
            <v>0</v>
          </cell>
          <cell r="V190">
            <v>6000</v>
          </cell>
          <cell r="W190">
            <v>117793</v>
          </cell>
          <cell r="X190">
            <v>0</v>
          </cell>
          <cell r="Y190"/>
          <cell r="Z190">
            <v>0</v>
          </cell>
          <cell r="AA190">
            <v>0</v>
          </cell>
          <cell r="AB190">
            <v>0</v>
          </cell>
          <cell r="AC190"/>
          <cell r="AD190">
            <v>0</v>
          </cell>
          <cell r="AE190">
            <v>0</v>
          </cell>
          <cell r="AF190">
            <v>0</v>
          </cell>
          <cell r="AG190">
            <v>0</v>
          </cell>
          <cell r="AH190">
            <v>0</v>
          </cell>
          <cell r="AI190">
            <v>0</v>
          </cell>
          <cell r="AJ190">
            <v>0</v>
          </cell>
          <cell r="AK190">
            <v>0</v>
          </cell>
          <cell r="AL190"/>
          <cell r="AM190">
            <v>0</v>
          </cell>
          <cell r="AN190">
            <v>0</v>
          </cell>
          <cell r="AO190">
            <v>0</v>
          </cell>
          <cell r="AP190">
            <v>0</v>
          </cell>
          <cell r="AQ190">
            <v>0</v>
          </cell>
          <cell r="AR190">
            <v>0</v>
          </cell>
          <cell r="AS190">
            <v>0</v>
          </cell>
          <cell r="AT190">
            <v>0</v>
          </cell>
          <cell r="AU190">
            <v>4740</v>
          </cell>
          <cell r="AV190">
            <v>0</v>
          </cell>
          <cell r="AW190">
            <v>0</v>
          </cell>
          <cell r="AX190">
            <v>0</v>
          </cell>
          <cell r="AY190"/>
          <cell r="AZ190"/>
          <cell r="BA190">
            <v>0</v>
          </cell>
          <cell r="BB190"/>
          <cell r="BC190">
            <v>0</v>
          </cell>
          <cell r="BD190">
            <v>9691</v>
          </cell>
          <cell r="BE190"/>
          <cell r="BF190">
            <v>0</v>
          </cell>
          <cell r="BG190">
            <v>0</v>
          </cell>
          <cell r="BH190">
            <v>0</v>
          </cell>
          <cell r="BI190">
            <v>29193</v>
          </cell>
          <cell r="BJ190">
            <v>24030</v>
          </cell>
          <cell r="BK190">
            <v>24030</v>
          </cell>
          <cell r="BL190">
            <v>0</v>
          </cell>
          <cell r="BM190">
            <v>0</v>
          </cell>
          <cell r="BN190">
            <v>0</v>
          </cell>
          <cell r="BO190">
            <v>51561</v>
          </cell>
          <cell r="BP190">
            <v>18976.8</v>
          </cell>
          <cell r="BQ190">
            <v>34186.046511627901</v>
          </cell>
          <cell r="BR190">
            <v>0</v>
          </cell>
          <cell r="BS190">
            <v>0</v>
          </cell>
          <cell r="BT190">
            <v>44680</v>
          </cell>
          <cell r="BU190"/>
          <cell r="BV190"/>
          <cell r="BW190"/>
          <cell r="BX190"/>
          <cell r="BY190">
            <v>0</v>
          </cell>
          <cell r="BZ190">
            <v>0</v>
          </cell>
          <cell r="CA190">
            <v>0</v>
          </cell>
          <cell r="CB190">
            <v>0</v>
          </cell>
          <cell r="CC190">
            <v>1638790</v>
          </cell>
          <cell r="CD190">
            <v>10262945</v>
          </cell>
          <cell r="CE190">
            <v>931067</v>
          </cell>
          <cell r="CF190">
            <v>0</v>
          </cell>
          <cell r="CG190">
            <v>931067</v>
          </cell>
          <cell r="CH190">
            <v>931067</v>
          </cell>
          <cell r="CI190">
            <v>931067</v>
          </cell>
          <cell r="CJ190">
            <v>931067</v>
          </cell>
          <cell r="CK190">
            <v>0</v>
          </cell>
          <cell r="CL190">
            <v>0</v>
          </cell>
          <cell r="CM190">
            <v>0</v>
          </cell>
          <cell r="CN190">
            <v>0</v>
          </cell>
          <cell r="CO190">
            <v>0</v>
          </cell>
          <cell r="CP190">
            <v>0</v>
          </cell>
          <cell r="CQ190">
            <v>1508830</v>
          </cell>
          <cell r="CR190">
            <v>1471971</v>
          </cell>
          <cell r="CS190">
            <v>1457793</v>
          </cell>
          <cell r="CT190">
            <v>1451668</v>
          </cell>
          <cell r="CU190">
            <v>1446488</v>
          </cell>
          <cell r="CV190">
            <v>63421</v>
          </cell>
          <cell r="CW190">
            <v>0</v>
          </cell>
          <cell r="CX190">
            <v>0</v>
          </cell>
          <cell r="CY190">
            <v>0</v>
          </cell>
          <cell r="CZ190">
            <v>0</v>
          </cell>
          <cell r="DA190">
            <v>0</v>
          </cell>
          <cell r="DB190"/>
          <cell r="DC190">
            <v>0</v>
          </cell>
          <cell r="DD190">
            <v>0</v>
          </cell>
          <cell r="DE190">
            <v>0</v>
          </cell>
          <cell r="DF190">
            <v>0</v>
          </cell>
          <cell r="DG190">
            <v>0</v>
          </cell>
          <cell r="DH190">
            <v>0</v>
          </cell>
          <cell r="DI190">
            <v>0</v>
          </cell>
          <cell r="DJ190">
            <v>0</v>
          </cell>
          <cell r="DK190">
            <v>0</v>
          </cell>
          <cell r="DL190">
            <v>0</v>
          </cell>
          <cell r="DM190"/>
          <cell r="DN190"/>
          <cell r="DO190"/>
          <cell r="DP190"/>
        </row>
        <row r="191">
          <cell r="A191">
            <v>417</v>
          </cell>
          <cell r="B191" t="str">
            <v>Laren</v>
          </cell>
          <cell r="C191">
            <v>7</v>
          </cell>
          <cell r="D191">
            <v>-25967</v>
          </cell>
          <cell r="E191">
            <v>-12984</v>
          </cell>
          <cell r="F191">
            <v>0</v>
          </cell>
          <cell r="G191">
            <v>0</v>
          </cell>
          <cell r="H191">
            <v>0</v>
          </cell>
          <cell r="I191">
            <v>-2369</v>
          </cell>
          <cell r="J191"/>
          <cell r="K191">
            <v>0</v>
          </cell>
          <cell r="L191">
            <v>41782</v>
          </cell>
          <cell r="M191">
            <v>39996</v>
          </cell>
          <cell r="N191">
            <v>0</v>
          </cell>
          <cell r="O191">
            <v>0</v>
          </cell>
          <cell r="P191">
            <v>0</v>
          </cell>
          <cell r="Q191">
            <v>0</v>
          </cell>
          <cell r="R191">
            <v>0</v>
          </cell>
          <cell r="S191">
            <v>0</v>
          </cell>
          <cell r="T191">
            <v>0</v>
          </cell>
          <cell r="U191">
            <v>0</v>
          </cell>
          <cell r="V191">
            <v>0</v>
          </cell>
          <cell r="W191">
            <v>23032</v>
          </cell>
          <cell r="X191">
            <v>0</v>
          </cell>
          <cell r="Y191"/>
          <cell r="Z191">
            <v>0</v>
          </cell>
          <cell r="AA191">
            <v>0</v>
          </cell>
          <cell r="AB191">
            <v>0</v>
          </cell>
          <cell r="AC191"/>
          <cell r="AD191">
            <v>0</v>
          </cell>
          <cell r="AE191">
            <v>0</v>
          </cell>
          <cell r="AF191">
            <v>0</v>
          </cell>
          <cell r="AG191">
            <v>0</v>
          </cell>
          <cell r="AH191">
            <v>0</v>
          </cell>
          <cell r="AI191">
            <v>0</v>
          </cell>
          <cell r="AJ191">
            <v>0</v>
          </cell>
          <cell r="AK191">
            <v>0</v>
          </cell>
          <cell r="AL191"/>
          <cell r="AM191">
            <v>0</v>
          </cell>
          <cell r="AN191">
            <v>0</v>
          </cell>
          <cell r="AO191">
            <v>0</v>
          </cell>
          <cell r="AP191">
            <v>0</v>
          </cell>
          <cell r="AQ191">
            <v>0</v>
          </cell>
          <cell r="AR191">
            <v>0</v>
          </cell>
          <cell r="AS191">
            <v>0</v>
          </cell>
          <cell r="AT191">
            <v>0</v>
          </cell>
          <cell r="AU191">
            <v>2370</v>
          </cell>
          <cell r="AV191">
            <v>0</v>
          </cell>
          <cell r="AW191">
            <v>0</v>
          </cell>
          <cell r="AX191">
            <v>0</v>
          </cell>
          <cell r="AY191"/>
          <cell r="AZ191"/>
          <cell r="BA191">
            <v>0</v>
          </cell>
          <cell r="BB191"/>
          <cell r="BC191">
            <v>0</v>
          </cell>
          <cell r="BD191">
            <v>3892</v>
          </cell>
          <cell r="BE191"/>
          <cell r="BF191">
            <v>0</v>
          </cell>
          <cell r="BG191">
            <v>0</v>
          </cell>
          <cell r="BH191">
            <v>0</v>
          </cell>
          <cell r="BI191">
            <v>12833</v>
          </cell>
          <cell r="BJ191">
            <v>10563</v>
          </cell>
          <cell r="BK191">
            <v>10563</v>
          </cell>
          <cell r="BL191">
            <v>0</v>
          </cell>
          <cell r="BM191">
            <v>0</v>
          </cell>
          <cell r="BN191">
            <v>0</v>
          </cell>
          <cell r="BO191">
            <v>0</v>
          </cell>
          <cell r="BP191">
            <v>11069.8</v>
          </cell>
          <cell r="BQ191">
            <v>19941.8604651163</v>
          </cell>
          <cell r="BR191">
            <v>0</v>
          </cell>
          <cell r="BS191">
            <v>0</v>
          </cell>
          <cell r="BT191">
            <v>14040</v>
          </cell>
          <cell r="BU191"/>
          <cell r="BV191"/>
          <cell r="BW191"/>
          <cell r="BX191"/>
          <cell r="BY191">
            <v>0</v>
          </cell>
          <cell r="BZ191">
            <v>0</v>
          </cell>
          <cell r="CA191">
            <v>0</v>
          </cell>
          <cell r="CB191">
            <v>0</v>
          </cell>
          <cell r="CC191">
            <v>731707</v>
          </cell>
          <cell r="CD191">
            <v>2781832</v>
          </cell>
          <cell r="CE191">
            <v>71405</v>
          </cell>
          <cell r="CF191">
            <v>-2511</v>
          </cell>
          <cell r="CG191">
            <v>71405</v>
          </cell>
          <cell r="CH191">
            <v>71405</v>
          </cell>
          <cell r="CI191">
            <v>71405</v>
          </cell>
          <cell r="CJ191">
            <v>71405</v>
          </cell>
          <cell r="CK191">
            <v>0</v>
          </cell>
          <cell r="CL191">
            <v>0</v>
          </cell>
          <cell r="CM191">
            <v>0</v>
          </cell>
          <cell r="CN191">
            <v>0</v>
          </cell>
          <cell r="CO191">
            <v>0</v>
          </cell>
          <cell r="CP191">
            <v>-481</v>
          </cell>
          <cell r="CQ191">
            <v>319038</v>
          </cell>
          <cell r="CR191">
            <v>311005</v>
          </cell>
          <cell r="CS191">
            <v>309452</v>
          </cell>
          <cell r="CT191">
            <v>299972</v>
          </cell>
          <cell r="CU191">
            <v>269189</v>
          </cell>
          <cell r="CV191">
            <v>3611</v>
          </cell>
          <cell r="CW191">
            <v>0</v>
          </cell>
          <cell r="CX191">
            <v>0</v>
          </cell>
          <cell r="CY191">
            <v>0</v>
          </cell>
          <cell r="CZ191">
            <v>0</v>
          </cell>
          <cell r="DA191">
            <v>0</v>
          </cell>
          <cell r="DB191"/>
          <cell r="DC191">
            <v>0</v>
          </cell>
          <cell r="DD191">
            <v>0</v>
          </cell>
          <cell r="DE191">
            <v>0</v>
          </cell>
          <cell r="DF191">
            <v>0</v>
          </cell>
          <cell r="DG191">
            <v>0</v>
          </cell>
          <cell r="DH191">
            <v>0</v>
          </cell>
          <cell r="DI191">
            <v>0</v>
          </cell>
          <cell r="DJ191">
            <v>0</v>
          </cell>
          <cell r="DK191">
            <v>0</v>
          </cell>
          <cell r="DL191">
            <v>0</v>
          </cell>
          <cell r="DM191"/>
          <cell r="DN191"/>
          <cell r="DO191"/>
          <cell r="DP191"/>
        </row>
        <row r="192">
          <cell r="A192">
            <v>420</v>
          </cell>
          <cell r="B192" t="str">
            <v>Medemblik</v>
          </cell>
          <cell r="C192">
            <v>7</v>
          </cell>
          <cell r="D192">
            <v>-34601</v>
          </cell>
          <cell r="E192">
            <v>-17301</v>
          </cell>
          <cell r="F192">
            <v>0</v>
          </cell>
          <cell r="G192">
            <v>0</v>
          </cell>
          <cell r="H192">
            <v>-67561</v>
          </cell>
          <cell r="I192">
            <v>-46268</v>
          </cell>
          <cell r="J192"/>
          <cell r="K192">
            <v>0</v>
          </cell>
          <cell r="L192">
            <v>164760</v>
          </cell>
          <cell r="M192">
            <v>145153</v>
          </cell>
          <cell r="N192">
            <v>0</v>
          </cell>
          <cell r="O192">
            <v>0</v>
          </cell>
          <cell r="P192">
            <v>0</v>
          </cell>
          <cell r="Q192">
            <v>0</v>
          </cell>
          <cell r="R192">
            <v>0</v>
          </cell>
          <cell r="S192">
            <v>0</v>
          </cell>
          <cell r="T192">
            <v>0</v>
          </cell>
          <cell r="U192">
            <v>0</v>
          </cell>
          <cell r="V192">
            <v>24000</v>
          </cell>
          <cell r="W192">
            <v>180772</v>
          </cell>
          <cell r="X192">
            <v>0</v>
          </cell>
          <cell r="Y192"/>
          <cell r="Z192">
            <v>0</v>
          </cell>
          <cell r="AA192">
            <v>0</v>
          </cell>
          <cell r="AB192">
            <v>0</v>
          </cell>
          <cell r="AC192"/>
          <cell r="AD192">
            <v>0</v>
          </cell>
          <cell r="AE192">
            <v>0</v>
          </cell>
          <cell r="AF192">
            <v>0</v>
          </cell>
          <cell r="AG192">
            <v>0</v>
          </cell>
          <cell r="AH192">
            <v>0</v>
          </cell>
          <cell r="AI192">
            <v>0</v>
          </cell>
          <cell r="AJ192">
            <v>0</v>
          </cell>
          <cell r="AK192">
            <v>0</v>
          </cell>
          <cell r="AL192"/>
          <cell r="AM192">
            <v>100151</v>
          </cell>
          <cell r="AN192">
            <v>102455</v>
          </cell>
          <cell r="AO192">
            <v>104812</v>
          </cell>
          <cell r="AP192">
            <v>107222</v>
          </cell>
          <cell r="AQ192">
            <v>109688</v>
          </cell>
          <cell r="AR192">
            <v>112211</v>
          </cell>
          <cell r="AS192">
            <v>0</v>
          </cell>
          <cell r="AT192">
            <v>0</v>
          </cell>
          <cell r="AU192">
            <v>9480</v>
          </cell>
          <cell r="AV192">
            <v>0</v>
          </cell>
          <cell r="AW192">
            <v>0</v>
          </cell>
          <cell r="AX192">
            <v>0</v>
          </cell>
          <cell r="AY192"/>
          <cell r="AZ192"/>
          <cell r="BA192">
            <v>0</v>
          </cell>
          <cell r="BB192"/>
          <cell r="BC192">
            <v>0</v>
          </cell>
          <cell r="BD192">
            <v>15466</v>
          </cell>
          <cell r="BE192"/>
          <cell r="BF192">
            <v>0</v>
          </cell>
          <cell r="BG192">
            <v>0</v>
          </cell>
          <cell r="BH192">
            <v>0</v>
          </cell>
          <cell r="BI192">
            <v>58938</v>
          </cell>
          <cell r="BJ192">
            <v>48515</v>
          </cell>
          <cell r="BK192">
            <v>48515</v>
          </cell>
          <cell r="BL192">
            <v>0</v>
          </cell>
          <cell r="BM192">
            <v>0</v>
          </cell>
          <cell r="BN192">
            <v>0</v>
          </cell>
          <cell r="BO192">
            <v>116256</v>
          </cell>
          <cell r="BP192">
            <v>98046.8</v>
          </cell>
          <cell r="BQ192">
            <v>176627.90697674401</v>
          </cell>
          <cell r="BR192">
            <v>0</v>
          </cell>
          <cell r="BS192">
            <v>0</v>
          </cell>
          <cell r="BT192">
            <v>82127</v>
          </cell>
          <cell r="BU192"/>
          <cell r="BV192"/>
          <cell r="BW192"/>
          <cell r="BX192"/>
          <cell r="BY192">
            <v>0</v>
          </cell>
          <cell r="BZ192">
            <v>0</v>
          </cell>
          <cell r="CA192">
            <v>0</v>
          </cell>
          <cell r="CB192">
            <v>0</v>
          </cell>
          <cell r="CC192">
            <v>2989100</v>
          </cell>
          <cell r="CD192">
            <v>18212143</v>
          </cell>
          <cell r="CE192">
            <v>1957576</v>
          </cell>
          <cell r="CF192">
            <v>-72613</v>
          </cell>
          <cell r="CG192">
            <v>1957576</v>
          </cell>
          <cell r="CH192">
            <v>1957576</v>
          </cell>
          <cell r="CI192">
            <v>1957576</v>
          </cell>
          <cell r="CJ192">
            <v>1957576</v>
          </cell>
          <cell r="CK192">
            <v>0</v>
          </cell>
          <cell r="CL192">
            <v>0</v>
          </cell>
          <cell r="CM192">
            <v>0</v>
          </cell>
          <cell r="CN192">
            <v>0</v>
          </cell>
          <cell r="CO192">
            <v>0</v>
          </cell>
          <cell r="CP192">
            <v>-5757</v>
          </cell>
          <cell r="CQ192">
            <v>2557683</v>
          </cell>
          <cell r="CR192">
            <v>2457873</v>
          </cell>
          <cell r="CS192">
            <v>2453631</v>
          </cell>
          <cell r="CT192">
            <v>2405647</v>
          </cell>
          <cell r="CU192">
            <v>2354990</v>
          </cell>
          <cell r="CV192">
            <v>-408</v>
          </cell>
          <cell r="CW192">
            <v>0</v>
          </cell>
          <cell r="CX192">
            <v>0</v>
          </cell>
          <cell r="CY192">
            <v>0</v>
          </cell>
          <cell r="CZ192">
            <v>0</v>
          </cell>
          <cell r="DA192">
            <v>0</v>
          </cell>
          <cell r="DB192"/>
          <cell r="DC192">
            <v>0</v>
          </cell>
          <cell r="DD192">
            <v>0</v>
          </cell>
          <cell r="DE192">
            <v>0</v>
          </cell>
          <cell r="DF192">
            <v>0</v>
          </cell>
          <cell r="DG192">
            <v>0</v>
          </cell>
          <cell r="DH192">
            <v>0</v>
          </cell>
          <cell r="DI192">
            <v>0</v>
          </cell>
          <cell r="DJ192">
            <v>0</v>
          </cell>
          <cell r="DK192">
            <v>0</v>
          </cell>
          <cell r="DL192">
            <v>0</v>
          </cell>
          <cell r="DM192"/>
          <cell r="DN192"/>
          <cell r="DO192"/>
          <cell r="DP192"/>
        </row>
        <row r="193">
          <cell r="A193">
            <v>431</v>
          </cell>
          <cell r="B193" t="str">
            <v>Oostzaan</v>
          </cell>
          <cell r="C193">
            <v>7</v>
          </cell>
          <cell r="D193">
            <v>4977</v>
          </cell>
          <cell r="E193">
            <v>2489</v>
          </cell>
          <cell r="F193">
            <v>0</v>
          </cell>
          <cell r="G193">
            <v>0</v>
          </cell>
          <cell r="H193">
            <v>-7150</v>
          </cell>
          <cell r="I193">
            <v>-10177</v>
          </cell>
          <cell r="J193"/>
          <cell r="K193">
            <v>0</v>
          </cell>
          <cell r="L193">
            <v>24353</v>
          </cell>
          <cell r="M193">
            <v>22712</v>
          </cell>
          <cell r="N193">
            <v>0</v>
          </cell>
          <cell r="O193">
            <v>0</v>
          </cell>
          <cell r="P193">
            <v>0</v>
          </cell>
          <cell r="Q193">
            <v>0</v>
          </cell>
          <cell r="R193">
            <v>0</v>
          </cell>
          <cell r="S193">
            <v>0</v>
          </cell>
          <cell r="T193">
            <v>0</v>
          </cell>
          <cell r="U193">
            <v>0</v>
          </cell>
          <cell r="V193">
            <v>0</v>
          </cell>
          <cell r="W193">
            <v>29093</v>
          </cell>
          <cell r="X193">
            <v>0</v>
          </cell>
          <cell r="Y193"/>
          <cell r="Z193">
            <v>0</v>
          </cell>
          <cell r="AA193">
            <v>0</v>
          </cell>
          <cell r="AB193">
            <v>0</v>
          </cell>
          <cell r="AC193"/>
          <cell r="AD193">
            <v>0</v>
          </cell>
          <cell r="AE193">
            <v>0</v>
          </cell>
          <cell r="AF193">
            <v>0</v>
          </cell>
          <cell r="AG193">
            <v>0</v>
          </cell>
          <cell r="AH193">
            <v>0</v>
          </cell>
          <cell r="AI193">
            <v>0</v>
          </cell>
          <cell r="AJ193">
            <v>0</v>
          </cell>
          <cell r="AK193">
            <v>0</v>
          </cell>
          <cell r="AL193"/>
          <cell r="AM193">
            <v>12870</v>
          </cell>
          <cell r="AN193">
            <v>13166</v>
          </cell>
          <cell r="AO193">
            <v>13469</v>
          </cell>
          <cell r="AP193">
            <v>13779</v>
          </cell>
          <cell r="AQ193">
            <v>14096</v>
          </cell>
          <cell r="AR193">
            <v>14420</v>
          </cell>
          <cell r="AS193">
            <v>0</v>
          </cell>
          <cell r="AT193">
            <v>0</v>
          </cell>
          <cell r="AU193">
            <v>0</v>
          </cell>
          <cell r="AV193">
            <v>0</v>
          </cell>
          <cell r="AW193">
            <v>0</v>
          </cell>
          <cell r="AX193">
            <v>0</v>
          </cell>
          <cell r="AY193"/>
          <cell r="AZ193"/>
          <cell r="BA193">
            <v>0</v>
          </cell>
          <cell r="BB193"/>
          <cell r="BC193">
            <v>0</v>
          </cell>
          <cell r="BD193">
            <v>3388</v>
          </cell>
          <cell r="BE193"/>
          <cell r="BF193">
            <v>0</v>
          </cell>
          <cell r="BG193">
            <v>0</v>
          </cell>
          <cell r="BH193">
            <v>0</v>
          </cell>
          <cell r="BI193">
            <v>11022</v>
          </cell>
          <cell r="BJ193">
            <v>9072</v>
          </cell>
          <cell r="BK193">
            <v>9072</v>
          </cell>
          <cell r="BL193">
            <v>0</v>
          </cell>
          <cell r="BM193">
            <v>0</v>
          </cell>
          <cell r="BN193">
            <v>0</v>
          </cell>
          <cell r="BO193">
            <v>29672</v>
          </cell>
          <cell r="BP193">
            <v>4744.2</v>
          </cell>
          <cell r="BQ193">
            <v>8546.5116279069807</v>
          </cell>
          <cell r="BR193">
            <v>0</v>
          </cell>
          <cell r="BS193">
            <v>0</v>
          </cell>
          <cell r="BT193">
            <v>14855</v>
          </cell>
          <cell r="BU193"/>
          <cell r="BV193"/>
          <cell r="BW193"/>
          <cell r="BX193"/>
          <cell r="BY193">
            <v>0</v>
          </cell>
          <cell r="BZ193">
            <v>0</v>
          </cell>
          <cell r="CA193">
            <v>0</v>
          </cell>
          <cell r="CB193">
            <v>0</v>
          </cell>
          <cell r="CC193">
            <v>598841</v>
          </cell>
          <cell r="CD193">
            <v>2381841</v>
          </cell>
          <cell r="CE193">
            <v>119697</v>
          </cell>
          <cell r="CF193">
            <v>-6867</v>
          </cell>
          <cell r="CG193">
            <v>119697</v>
          </cell>
          <cell r="CH193">
            <v>119697</v>
          </cell>
          <cell r="CI193">
            <v>119697</v>
          </cell>
          <cell r="CJ193">
            <v>119697</v>
          </cell>
          <cell r="CK193">
            <v>0</v>
          </cell>
          <cell r="CL193">
            <v>0</v>
          </cell>
          <cell r="CM193">
            <v>0</v>
          </cell>
          <cell r="CN193">
            <v>0</v>
          </cell>
          <cell r="CO193">
            <v>0</v>
          </cell>
          <cell r="CP193">
            <v>-2631</v>
          </cell>
          <cell r="CQ193">
            <v>218354</v>
          </cell>
          <cell r="CR193">
            <v>215285</v>
          </cell>
          <cell r="CS193">
            <v>204006</v>
          </cell>
          <cell r="CT193">
            <v>201089</v>
          </cell>
          <cell r="CU193">
            <v>203167</v>
          </cell>
          <cell r="CV193">
            <v>23171</v>
          </cell>
          <cell r="CW193">
            <v>0</v>
          </cell>
          <cell r="CX193">
            <v>0</v>
          </cell>
          <cell r="CY193">
            <v>0</v>
          </cell>
          <cell r="CZ193">
            <v>0</v>
          </cell>
          <cell r="DA193">
            <v>0</v>
          </cell>
          <cell r="DB193"/>
          <cell r="DC193">
            <v>0</v>
          </cell>
          <cell r="DD193">
            <v>0</v>
          </cell>
          <cell r="DE193">
            <v>0</v>
          </cell>
          <cell r="DF193">
            <v>0</v>
          </cell>
          <cell r="DG193">
            <v>0</v>
          </cell>
          <cell r="DH193">
            <v>0</v>
          </cell>
          <cell r="DI193">
            <v>0</v>
          </cell>
          <cell r="DJ193">
            <v>0</v>
          </cell>
          <cell r="DK193">
            <v>0</v>
          </cell>
          <cell r="DL193">
            <v>0</v>
          </cell>
          <cell r="DM193"/>
          <cell r="DN193"/>
          <cell r="DO193"/>
          <cell r="DP193"/>
        </row>
        <row r="194">
          <cell r="A194">
            <v>432</v>
          </cell>
          <cell r="B194" t="str">
            <v>Opmeer</v>
          </cell>
          <cell r="C194">
            <v>7</v>
          </cell>
          <cell r="D194">
            <v>-8981</v>
          </cell>
          <cell r="E194">
            <v>-4490</v>
          </cell>
          <cell r="F194">
            <v>0</v>
          </cell>
          <cell r="G194">
            <v>0</v>
          </cell>
          <cell r="H194">
            <v>-2374</v>
          </cell>
          <cell r="I194">
            <v>0</v>
          </cell>
          <cell r="J194"/>
          <cell r="K194">
            <v>0</v>
          </cell>
          <cell r="L194">
            <v>31993</v>
          </cell>
          <cell r="M194">
            <v>34854</v>
          </cell>
          <cell r="N194">
            <v>0</v>
          </cell>
          <cell r="O194">
            <v>0</v>
          </cell>
          <cell r="P194">
            <v>0</v>
          </cell>
          <cell r="Q194">
            <v>0</v>
          </cell>
          <cell r="R194">
            <v>0</v>
          </cell>
          <cell r="S194">
            <v>0</v>
          </cell>
          <cell r="T194">
            <v>0</v>
          </cell>
          <cell r="U194">
            <v>0</v>
          </cell>
          <cell r="V194">
            <v>6000</v>
          </cell>
          <cell r="W194">
            <v>46468</v>
          </cell>
          <cell r="X194">
            <v>0</v>
          </cell>
          <cell r="Y194"/>
          <cell r="Z194">
            <v>0</v>
          </cell>
          <cell r="AA194">
            <v>0</v>
          </cell>
          <cell r="AB194">
            <v>0</v>
          </cell>
          <cell r="AC194"/>
          <cell r="AD194">
            <v>0</v>
          </cell>
          <cell r="AE194">
            <v>0</v>
          </cell>
          <cell r="AF194">
            <v>0</v>
          </cell>
          <cell r="AG194">
            <v>0</v>
          </cell>
          <cell r="AH194">
            <v>0</v>
          </cell>
          <cell r="AI194">
            <v>0</v>
          </cell>
          <cell r="AJ194">
            <v>0</v>
          </cell>
          <cell r="AK194">
            <v>0</v>
          </cell>
          <cell r="AL194"/>
          <cell r="AM194">
            <v>30909</v>
          </cell>
          <cell r="AN194">
            <v>31620</v>
          </cell>
          <cell r="AO194">
            <v>32347</v>
          </cell>
          <cell r="AP194">
            <v>33091</v>
          </cell>
          <cell r="AQ194">
            <v>33852</v>
          </cell>
          <cell r="AR194">
            <v>34631</v>
          </cell>
          <cell r="AS194">
            <v>0</v>
          </cell>
          <cell r="AT194">
            <v>0</v>
          </cell>
          <cell r="AU194">
            <v>0</v>
          </cell>
          <cell r="AV194">
            <v>0</v>
          </cell>
          <cell r="AW194">
            <v>0</v>
          </cell>
          <cell r="AX194">
            <v>0</v>
          </cell>
          <cell r="AY194"/>
          <cell r="AZ194"/>
          <cell r="BA194">
            <v>0</v>
          </cell>
          <cell r="BB194"/>
          <cell r="BC194">
            <v>0</v>
          </cell>
          <cell r="BD194">
            <v>4009</v>
          </cell>
          <cell r="BE194"/>
          <cell r="BF194">
            <v>0</v>
          </cell>
          <cell r="BG194">
            <v>0</v>
          </cell>
          <cell r="BH194">
            <v>0</v>
          </cell>
          <cell r="BI194">
            <v>14431</v>
          </cell>
          <cell r="BJ194">
            <v>11879</v>
          </cell>
          <cell r="BK194">
            <v>11879</v>
          </cell>
          <cell r="BL194">
            <v>0</v>
          </cell>
          <cell r="BM194">
            <v>0</v>
          </cell>
          <cell r="BN194">
            <v>0</v>
          </cell>
          <cell r="BO194">
            <v>0</v>
          </cell>
          <cell r="BP194">
            <v>0</v>
          </cell>
          <cell r="BQ194">
            <v>0</v>
          </cell>
          <cell r="BR194">
            <v>0</v>
          </cell>
          <cell r="BS194">
            <v>0</v>
          </cell>
          <cell r="BT194">
            <v>21168</v>
          </cell>
          <cell r="BU194"/>
          <cell r="BV194"/>
          <cell r="BW194"/>
          <cell r="BX194"/>
          <cell r="BY194">
            <v>0</v>
          </cell>
          <cell r="BZ194">
            <v>0</v>
          </cell>
          <cell r="CA194">
            <v>0</v>
          </cell>
          <cell r="CB194">
            <v>0</v>
          </cell>
          <cell r="CC194">
            <v>748820</v>
          </cell>
          <cell r="CD194">
            <v>3785523</v>
          </cell>
          <cell r="CE194">
            <v>467883</v>
          </cell>
          <cell r="CF194">
            <v>0</v>
          </cell>
          <cell r="CG194">
            <v>467883</v>
          </cell>
          <cell r="CH194">
            <v>467883</v>
          </cell>
          <cell r="CI194">
            <v>467883</v>
          </cell>
          <cell r="CJ194">
            <v>467883</v>
          </cell>
          <cell r="CK194">
            <v>0</v>
          </cell>
          <cell r="CL194">
            <v>0</v>
          </cell>
          <cell r="CM194">
            <v>0</v>
          </cell>
          <cell r="CN194">
            <v>0</v>
          </cell>
          <cell r="CO194">
            <v>0</v>
          </cell>
          <cell r="CP194">
            <v>0</v>
          </cell>
          <cell r="CQ194">
            <v>455280</v>
          </cell>
          <cell r="CR194">
            <v>439257</v>
          </cell>
          <cell r="CS194">
            <v>397890</v>
          </cell>
          <cell r="CT194">
            <v>377666</v>
          </cell>
          <cell r="CU194">
            <v>361053</v>
          </cell>
          <cell r="CV194">
            <v>1245</v>
          </cell>
          <cell r="CW194">
            <v>0</v>
          </cell>
          <cell r="CX194">
            <v>0</v>
          </cell>
          <cell r="CY194">
            <v>0</v>
          </cell>
          <cell r="CZ194">
            <v>0</v>
          </cell>
          <cell r="DA194">
            <v>0</v>
          </cell>
          <cell r="DB194"/>
          <cell r="DC194">
            <v>0</v>
          </cell>
          <cell r="DD194">
            <v>0</v>
          </cell>
          <cell r="DE194">
            <v>0</v>
          </cell>
          <cell r="DF194">
            <v>0</v>
          </cell>
          <cell r="DG194">
            <v>0</v>
          </cell>
          <cell r="DH194">
            <v>0</v>
          </cell>
          <cell r="DI194">
            <v>0</v>
          </cell>
          <cell r="DJ194">
            <v>0</v>
          </cell>
          <cell r="DK194">
            <v>0</v>
          </cell>
          <cell r="DL194">
            <v>0</v>
          </cell>
          <cell r="DM194"/>
          <cell r="DN194"/>
          <cell r="DO194"/>
          <cell r="DP194"/>
        </row>
        <row r="195">
          <cell r="A195">
            <v>437</v>
          </cell>
          <cell r="B195" t="str">
            <v>Ouder-Amstel</v>
          </cell>
          <cell r="C195">
            <v>7</v>
          </cell>
          <cell r="D195">
            <v>-12105</v>
          </cell>
          <cell r="E195">
            <v>-6052</v>
          </cell>
          <cell r="F195">
            <v>0</v>
          </cell>
          <cell r="G195">
            <v>0</v>
          </cell>
          <cell r="H195">
            <v>-3649</v>
          </cell>
          <cell r="I195">
            <v>-7876</v>
          </cell>
          <cell r="J195"/>
          <cell r="K195">
            <v>0</v>
          </cell>
          <cell r="L195">
            <v>44567</v>
          </cell>
          <cell r="M195">
            <v>42663</v>
          </cell>
          <cell r="N195">
            <v>0</v>
          </cell>
          <cell r="O195">
            <v>0</v>
          </cell>
          <cell r="P195">
            <v>0</v>
          </cell>
          <cell r="Q195">
            <v>0</v>
          </cell>
          <cell r="R195">
            <v>0</v>
          </cell>
          <cell r="S195">
            <v>0</v>
          </cell>
          <cell r="T195">
            <v>0</v>
          </cell>
          <cell r="U195">
            <v>0</v>
          </cell>
          <cell r="V195">
            <v>0</v>
          </cell>
          <cell r="W195">
            <v>53260</v>
          </cell>
          <cell r="X195">
            <v>0</v>
          </cell>
          <cell r="Y195"/>
          <cell r="Z195">
            <v>0</v>
          </cell>
          <cell r="AA195">
            <v>0</v>
          </cell>
          <cell r="AB195">
            <v>0</v>
          </cell>
          <cell r="AC195"/>
          <cell r="AD195">
            <v>0</v>
          </cell>
          <cell r="AE195">
            <v>0</v>
          </cell>
          <cell r="AF195">
            <v>0</v>
          </cell>
          <cell r="AG195">
            <v>0</v>
          </cell>
          <cell r="AH195">
            <v>0</v>
          </cell>
          <cell r="AI195">
            <v>0</v>
          </cell>
          <cell r="AJ195">
            <v>0</v>
          </cell>
          <cell r="AK195">
            <v>0</v>
          </cell>
          <cell r="AL195"/>
          <cell r="AM195">
            <v>0</v>
          </cell>
          <cell r="AN195">
            <v>0</v>
          </cell>
          <cell r="AO195">
            <v>0</v>
          </cell>
          <cell r="AP195">
            <v>0</v>
          </cell>
          <cell r="AQ195">
            <v>0</v>
          </cell>
          <cell r="AR195">
            <v>0</v>
          </cell>
          <cell r="AS195">
            <v>0</v>
          </cell>
          <cell r="AT195">
            <v>0</v>
          </cell>
          <cell r="AU195">
            <v>2370</v>
          </cell>
          <cell r="AV195">
            <v>0</v>
          </cell>
          <cell r="AW195">
            <v>0</v>
          </cell>
          <cell r="AX195">
            <v>0</v>
          </cell>
          <cell r="AY195"/>
          <cell r="AZ195"/>
          <cell r="BA195">
            <v>0</v>
          </cell>
          <cell r="BB195"/>
          <cell r="BC195">
            <v>0</v>
          </cell>
          <cell r="BD195">
            <v>4711</v>
          </cell>
          <cell r="BE195"/>
          <cell r="BF195">
            <v>0</v>
          </cell>
          <cell r="BG195">
            <v>0</v>
          </cell>
          <cell r="BH195">
            <v>0</v>
          </cell>
          <cell r="BI195">
            <v>15704</v>
          </cell>
          <cell r="BJ195">
            <v>12927</v>
          </cell>
          <cell r="BK195">
            <v>12927</v>
          </cell>
          <cell r="BL195">
            <v>0</v>
          </cell>
          <cell r="BM195">
            <v>0</v>
          </cell>
          <cell r="BN195">
            <v>0</v>
          </cell>
          <cell r="BO195">
            <v>79774</v>
          </cell>
          <cell r="BP195">
            <v>4744.2</v>
          </cell>
          <cell r="BQ195">
            <v>8546.5116279069807</v>
          </cell>
          <cell r="BR195">
            <v>0</v>
          </cell>
          <cell r="BS195">
            <v>0</v>
          </cell>
          <cell r="BT195">
            <v>21543</v>
          </cell>
          <cell r="BU195"/>
          <cell r="BV195"/>
          <cell r="BW195"/>
          <cell r="BX195"/>
          <cell r="BY195">
            <v>0</v>
          </cell>
          <cell r="BZ195">
            <v>0</v>
          </cell>
          <cell r="CA195">
            <v>0</v>
          </cell>
          <cell r="CB195">
            <v>0</v>
          </cell>
          <cell r="CC195">
            <v>780856</v>
          </cell>
          <cell r="CD195">
            <v>3466125</v>
          </cell>
          <cell r="CE195">
            <v>498537</v>
          </cell>
          <cell r="CF195">
            <v>0</v>
          </cell>
          <cell r="CG195">
            <v>498537</v>
          </cell>
          <cell r="CH195">
            <v>498537</v>
          </cell>
          <cell r="CI195">
            <v>498537</v>
          </cell>
          <cell r="CJ195">
            <v>498537</v>
          </cell>
          <cell r="CK195">
            <v>0</v>
          </cell>
          <cell r="CL195">
            <v>0</v>
          </cell>
          <cell r="CM195">
            <v>0</v>
          </cell>
          <cell r="CN195">
            <v>0</v>
          </cell>
          <cell r="CO195">
            <v>0</v>
          </cell>
          <cell r="CP195">
            <v>-2841</v>
          </cell>
          <cell r="CQ195">
            <v>210422</v>
          </cell>
          <cell r="CR195">
            <v>208916</v>
          </cell>
          <cell r="CS195">
            <v>207367</v>
          </cell>
          <cell r="CT195">
            <v>203413</v>
          </cell>
          <cell r="CU195">
            <v>206685</v>
          </cell>
          <cell r="CV195">
            <v>-15155</v>
          </cell>
          <cell r="CW195">
            <v>0</v>
          </cell>
          <cell r="CX195">
            <v>0</v>
          </cell>
          <cell r="CY195">
            <v>0</v>
          </cell>
          <cell r="CZ195">
            <v>0</v>
          </cell>
          <cell r="DA195">
            <v>0</v>
          </cell>
          <cell r="DB195"/>
          <cell r="DC195">
            <v>0</v>
          </cell>
          <cell r="DD195">
            <v>0</v>
          </cell>
          <cell r="DE195">
            <v>0</v>
          </cell>
          <cell r="DF195">
            <v>0</v>
          </cell>
          <cell r="DG195">
            <v>0</v>
          </cell>
          <cell r="DH195">
            <v>0</v>
          </cell>
          <cell r="DI195">
            <v>0</v>
          </cell>
          <cell r="DJ195">
            <v>0</v>
          </cell>
          <cell r="DK195">
            <v>0</v>
          </cell>
          <cell r="DL195">
            <v>0</v>
          </cell>
          <cell r="DM195"/>
          <cell r="DN195"/>
          <cell r="DO195"/>
          <cell r="DP195"/>
        </row>
        <row r="196">
          <cell r="A196">
            <v>439</v>
          </cell>
          <cell r="B196" t="str">
            <v>Purmerend</v>
          </cell>
          <cell r="C196">
            <v>7</v>
          </cell>
          <cell r="D196">
            <v>36673</v>
          </cell>
          <cell r="E196">
            <v>18337</v>
          </cell>
          <cell r="F196">
            <v>0</v>
          </cell>
          <cell r="G196">
            <v>0</v>
          </cell>
          <cell r="H196">
            <v>-30566</v>
          </cell>
          <cell r="I196">
            <v>-43160</v>
          </cell>
          <cell r="J196"/>
          <cell r="K196">
            <v>0</v>
          </cell>
          <cell r="L196">
            <v>379021</v>
          </cell>
          <cell r="M196">
            <v>371394</v>
          </cell>
          <cell r="N196">
            <v>0</v>
          </cell>
          <cell r="O196">
            <v>0</v>
          </cell>
          <cell r="P196">
            <v>0</v>
          </cell>
          <cell r="Q196">
            <v>0</v>
          </cell>
          <cell r="R196">
            <v>0</v>
          </cell>
          <cell r="S196">
            <v>0</v>
          </cell>
          <cell r="T196">
            <v>0</v>
          </cell>
          <cell r="U196">
            <v>0</v>
          </cell>
          <cell r="V196">
            <v>0</v>
          </cell>
          <cell r="W196">
            <v>314115</v>
          </cell>
          <cell r="X196">
            <v>0</v>
          </cell>
          <cell r="Y196"/>
          <cell r="Z196">
            <v>0</v>
          </cell>
          <cell r="AA196">
            <v>0</v>
          </cell>
          <cell r="AB196">
            <v>0</v>
          </cell>
          <cell r="AC196"/>
          <cell r="AD196">
            <v>33245</v>
          </cell>
          <cell r="AE196">
            <v>0</v>
          </cell>
          <cell r="AF196">
            <v>0</v>
          </cell>
          <cell r="AG196">
            <v>0</v>
          </cell>
          <cell r="AH196">
            <v>0</v>
          </cell>
          <cell r="AI196">
            <v>297554</v>
          </cell>
          <cell r="AJ196">
            <v>0</v>
          </cell>
          <cell r="AK196">
            <v>0</v>
          </cell>
          <cell r="AL196"/>
          <cell r="AM196">
            <v>12044</v>
          </cell>
          <cell r="AN196">
            <v>12321</v>
          </cell>
          <cell r="AO196">
            <v>12605</v>
          </cell>
          <cell r="AP196">
            <v>12895</v>
          </cell>
          <cell r="AQ196">
            <v>13191</v>
          </cell>
          <cell r="AR196">
            <v>13495</v>
          </cell>
          <cell r="AS196">
            <v>0</v>
          </cell>
          <cell r="AT196">
            <v>20000</v>
          </cell>
          <cell r="AU196">
            <v>4740</v>
          </cell>
          <cell r="AV196">
            <v>1494083.09906424</v>
          </cell>
          <cell r="AW196">
            <v>0</v>
          </cell>
          <cell r="AX196">
            <v>0</v>
          </cell>
          <cell r="AY196"/>
          <cell r="AZ196"/>
          <cell r="BA196">
            <v>0</v>
          </cell>
          <cell r="BB196"/>
          <cell r="BC196">
            <v>0</v>
          </cell>
          <cell r="BD196">
            <v>28058</v>
          </cell>
          <cell r="BE196"/>
          <cell r="BF196">
            <v>0</v>
          </cell>
          <cell r="BG196">
            <v>0</v>
          </cell>
          <cell r="BH196">
            <v>0</v>
          </cell>
          <cell r="BI196">
            <v>127543</v>
          </cell>
          <cell r="BJ196">
            <v>104987</v>
          </cell>
          <cell r="BK196">
            <v>104987</v>
          </cell>
          <cell r="BL196">
            <v>0</v>
          </cell>
          <cell r="BM196">
            <v>0</v>
          </cell>
          <cell r="BN196">
            <v>0</v>
          </cell>
          <cell r="BO196">
            <v>67613</v>
          </cell>
          <cell r="BP196">
            <v>17395.400000000001</v>
          </cell>
          <cell r="BQ196">
            <v>31337.209302325598</v>
          </cell>
          <cell r="BR196">
            <v>0</v>
          </cell>
          <cell r="BS196">
            <v>0</v>
          </cell>
          <cell r="BT196">
            <v>118062</v>
          </cell>
          <cell r="BU196"/>
          <cell r="BV196"/>
          <cell r="BW196"/>
          <cell r="BX196"/>
          <cell r="BY196">
            <v>0</v>
          </cell>
          <cell r="BZ196">
            <v>0</v>
          </cell>
          <cell r="CA196">
            <v>0</v>
          </cell>
          <cell r="CB196">
            <v>0</v>
          </cell>
          <cell r="CC196">
            <v>6915314</v>
          </cell>
          <cell r="CD196">
            <v>45106900</v>
          </cell>
          <cell r="CE196">
            <v>1185515</v>
          </cell>
          <cell r="CF196">
            <v>-41395</v>
          </cell>
          <cell r="CG196">
            <v>1185515</v>
          </cell>
          <cell r="CH196">
            <v>1185515</v>
          </cell>
          <cell r="CI196">
            <v>1185515</v>
          </cell>
          <cell r="CJ196">
            <v>1185515</v>
          </cell>
          <cell r="CK196">
            <v>6720073</v>
          </cell>
          <cell r="CL196">
            <v>6716881</v>
          </cell>
          <cell r="CM196">
            <v>6716829</v>
          </cell>
          <cell r="CN196">
            <v>6716716</v>
          </cell>
          <cell r="CO196">
            <v>6716873</v>
          </cell>
          <cell r="CP196">
            <v>-9400</v>
          </cell>
          <cell r="CQ196">
            <v>6478561</v>
          </cell>
          <cell r="CR196">
            <v>6287636</v>
          </cell>
          <cell r="CS196">
            <v>6163406</v>
          </cell>
          <cell r="CT196">
            <v>6009794</v>
          </cell>
          <cell r="CU196">
            <v>5946725</v>
          </cell>
          <cell r="CV196">
            <v>113357</v>
          </cell>
          <cell r="CW196">
            <v>0</v>
          </cell>
          <cell r="CX196">
            <v>0</v>
          </cell>
          <cell r="CY196">
            <v>0</v>
          </cell>
          <cell r="CZ196">
            <v>0</v>
          </cell>
          <cell r="DA196">
            <v>0</v>
          </cell>
          <cell r="DB196"/>
          <cell r="DC196">
            <v>0</v>
          </cell>
          <cell r="DD196">
            <v>0</v>
          </cell>
          <cell r="DE196">
            <v>0</v>
          </cell>
          <cell r="DF196">
            <v>0</v>
          </cell>
          <cell r="DG196">
            <v>0</v>
          </cell>
          <cell r="DH196">
            <v>0</v>
          </cell>
          <cell r="DI196">
            <v>0</v>
          </cell>
          <cell r="DJ196">
            <v>0</v>
          </cell>
          <cell r="DK196">
            <v>0</v>
          </cell>
          <cell r="DL196">
            <v>0</v>
          </cell>
          <cell r="DM196"/>
          <cell r="DN196"/>
          <cell r="DO196"/>
          <cell r="DP196"/>
        </row>
        <row r="197">
          <cell r="A197">
            <v>441</v>
          </cell>
          <cell r="B197" t="str">
            <v>Schagen</v>
          </cell>
          <cell r="C197">
            <v>7</v>
          </cell>
          <cell r="D197">
            <v>11263</v>
          </cell>
          <cell r="E197">
            <v>5632</v>
          </cell>
          <cell r="F197">
            <v>0</v>
          </cell>
          <cell r="G197">
            <v>0</v>
          </cell>
          <cell r="H197">
            <v>-46863</v>
          </cell>
          <cell r="I197">
            <v>-33373</v>
          </cell>
          <cell r="J197"/>
          <cell r="K197">
            <v>0</v>
          </cell>
          <cell r="L197">
            <v>151927</v>
          </cell>
          <cell r="M197">
            <v>129226</v>
          </cell>
          <cell r="N197">
            <v>0</v>
          </cell>
          <cell r="O197">
            <v>0</v>
          </cell>
          <cell r="P197">
            <v>0</v>
          </cell>
          <cell r="Q197">
            <v>0</v>
          </cell>
          <cell r="R197">
            <v>0</v>
          </cell>
          <cell r="S197">
            <v>0</v>
          </cell>
          <cell r="T197">
            <v>0</v>
          </cell>
          <cell r="U197">
            <v>0</v>
          </cell>
          <cell r="V197">
            <v>21000</v>
          </cell>
          <cell r="W197">
            <v>190490</v>
          </cell>
          <cell r="X197">
            <v>0</v>
          </cell>
          <cell r="Y197"/>
          <cell r="Z197">
            <v>0</v>
          </cell>
          <cell r="AA197">
            <v>0</v>
          </cell>
          <cell r="AB197">
            <v>0</v>
          </cell>
          <cell r="AC197"/>
          <cell r="AD197">
            <v>20000</v>
          </cell>
          <cell r="AE197">
            <v>0</v>
          </cell>
          <cell r="AF197">
            <v>0</v>
          </cell>
          <cell r="AG197">
            <v>0</v>
          </cell>
          <cell r="AH197">
            <v>0</v>
          </cell>
          <cell r="AI197">
            <v>0</v>
          </cell>
          <cell r="AJ197">
            <v>0</v>
          </cell>
          <cell r="AK197">
            <v>0</v>
          </cell>
          <cell r="AL197"/>
          <cell r="AM197">
            <v>88551</v>
          </cell>
          <cell r="AN197">
            <v>90588</v>
          </cell>
          <cell r="AO197">
            <v>92671</v>
          </cell>
          <cell r="AP197">
            <v>94803</v>
          </cell>
          <cell r="AQ197">
            <v>96983</v>
          </cell>
          <cell r="AR197">
            <v>99214</v>
          </cell>
          <cell r="AS197">
            <v>0</v>
          </cell>
          <cell r="AT197">
            <v>0</v>
          </cell>
          <cell r="AU197">
            <v>2370</v>
          </cell>
          <cell r="AV197">
            <v>0</v>
          </cell>
          <cell r="AW197">
            <v>0</v>
          </cell>
          <cell r="AX197">
            <v>0</v>
          </cell>
          <cell r="AY197"/>
          <cell r="AZ197"/>
          <cell r="BA197">
            <v>0</v>
          </cell>
          <cell r="BB197"/>
          <cell r="BC197">
            <v>0</v>
          </cell>
          <cell r="BD197">
            <v>16215</v>
          </cell>
          <cell r="BE197"/>
          <cell r="BF197">
            <v>0</v>
          </cell>
          <cell r="BG197">
            <v>0</v>
          </cell>
          <cell r="BH197">
            <v>0</v>
          </cell>
          <cell r="BI197">
            <v>56276</v>
          </cell>
          <cell r="BJ197">
            <v>46324</v>
          </cell>
          <cell r="BK197">
            <v>46324</v>
          </cell>
          <cell r="BL197">
            <v>0</v>
          </cell>
          <cell r="BM197">
            <v>0</v>
          </cell>
          <cell r="BN197">
            <v>0</v>
          </cell>
          <cell r="BO197">
            <v>175114</v>
          </cell>
          <cell r="BP197">
            <v>6325.6</v>
          </cell>
          <cell r="BQ197">
            <v>11395.3488372093</v>
          </cell>
          <cell r="BR197">
            <v>0</v>
          </cell>
          <cell r="BS197">
            <v>0</v>
          </cell>
          <cell r="BT197">
            <v>84562</v>
          </cell>
          <cell r="BU197"/>
          <cell r="BV197"/>
          <cell r="BW197"/>
          <cell r="BX197"/>
          <cell r="BY197">
            <v>0</v>
          </cell>
          <cell r="BZ197">
            <v>0</v>
          </cell>
          <cell r="CA197">
            <v>0</v>
          </cell>
          <cell r="CB197">
            <v>0</v>
          </cell>
          <cell r="CC197">
            <v>3451316</v>
          </cell>
          <cell r="CD197">
            <v>19320007</v>
          </cell>
          <cell r="CE197">
            <v>1144357</v>
          </cell>
          <cell r="CF197">
            <v>-53150</v>
          </cell>
          <cell r="CG197">
            <v>1144357</v>
          </cell>
          <cell r="CH197">
            <v>1144357</v>
          </cell>
          <cell r="CI197">
            <v>1144357</v>
          </cell>
          <cell r="CJ197">
            <v>1144357</v>
          </cell>
          <cell r="CK197">
            <v>0</v>
          </cell>
          <cell r="CL197">
            <v>0</v>
          </cell>
          <cell r="CM197">
            <v>0</v>
          </cell>
          <cell r="CN197">
            <v>0</v>
          </cell>
          <cell r="CO197">
            <v>0</v>
          </cell>
          <cell r="CP197">
            <v>-4073</v>
          </cell>
          <cell r="CQ197">
            <v>4382814</v>
          </cell>
          <cell r="CR197">
            <v>4203532</v>
          </cell>
          <cell r="CS197">
            <v>4149726</v>
          </cell>
          <cell r="CT197">
            <v>4128685</v>
          </cell>
          <cell r="CU197">
            <v>4062262</v>
          </cell>
          <cell r="CV197">
            <v>-2626</v>
          </cell>
          <cell r="CW197">
            <v>0</v>
          </cell>
          <cell r="CX197">
            <v>0</v>
          </cell>
          <cell r="CY197">
            <v>0</v>
          </cell>
          <cell r="CZ197">
            <v>0</v>
          </cell>
          <cell r="DA197">
            <v>0</v>
          </cell>
          <cell r="DB197"/>
          <cell r="DC197">
            <v>0</v>
          </cell>
          <cell r="DD197">
            <v>0</v>
          </cell>
          <cell r="DE197">
            <v>0</v>
          </cell>
          <cell r="DF197">
            <v>0</v>
          </cell>
          <cell r="DG197">
            <v>0</v>
          </cell>
          <cell r="DH197">
            <v>0</v>
          </cell>
          <cell r="DI197">
            <v>0</v>
          </cell>
          <cell r="DJ197">
            <v>0</v>
          </cell>
          <cell r="DK197">
            <v>0</v>
          </cell>
          <cell r="DL197">
            <v>0</v>
          </cell>
          <cell r="DM197"/>
          <cell r="DN197"/>
          <cell r="DO197"/>
          <cell r="DP197"/>
        </row>
        <row r="198">
          <cell r="A198">
            <v>532</v>
          </cell>
          <cell r="B198" t="str">
            <v>Stede Broec</v>
          </cell>
          <cell r="C198">
            <v>7</v>
          </cell>
          <cell r="D198">
            <v>3211</v>
          </cell>
          <cell r="E198">
            <v>1605</v>
          </cell>
          <cell r="F198">
            <v>0</v>
          </cell>
          <cell r="G198">
            <v>0</v>
          </cell>
          <cell r="H198">
            <v>-5274</v>
          </cell>
          <cell r="I198">
            <v>-1757</v>
          </cell>
          <cell r="J198"/>
          <cell r="K198">
            <v>0</v>
          </cell>
          <cell r="L198">
            <v>94009</v>
          </cell>
          <cell r="M198">
            <v>88920</v>
          </cell>
          <cell r="N198">
            <v>0</v>
          </cell>
          <cell r="O198">
            <v>0</v>
          </cell>
          <cell r="P198">
            <v>0</v>
          </cell>
          <cell r="Q198">
            <v>0</v>
          </cell>
          <cell r="R198">
            <v>0</v>
          </cell>
          <cell r="S198">
            <v>0</v>
          </cell>
          <cell r="T198">
            <v>0</v>
          </cell>
          <cell r="U198">
            <v>0</v>
          </cell>
          <cell r="V198">
            <v>9000</v>
          </cell>
          <cell r="W198">
            <v>82431</v>
          </cell>
          <cell r="X198">
            <v>0</v>
          </cell>
          <cell r="Y198"/>
          <cell r="Z198">
            <v>0</v>
          </cell>
          <cell r="AA198">
            <v>0</v>
          </cell>
          <cell r="AB198">
            <v>0</v>
          </cell>
          <cell r="AC198"/>
          <cell r="AD198">
            <v>0</v>
          </cell>
          <cell r="AE198">
            <v>0</v>
          </cell>
          <cell r="AF198">
            <v>0</v>
          </cell>
          <cell r="AG198">
            <v>0</v>
          </cell>
          <cell r="AH198">
            <v>0</v>
          </cell>
          <cell r="AI198">
            <v>0</v>
          </cell>
          <cell r="AJ198">
            <v>0</v>
          </cell>
          <cell r="AK198">
            <v>0</v>
          </cell>
          <cell r="AL198"/>
          <cell r="AM198">
            <v>12471</v>
          </cell>
          <cell r="AN198">
            <v>12758</v>
          </cell>
          <cell r="AO198">
            <v>13051</v>
          </cell>
          <cell r="AP198">
            <v>13351</v>
          </cell>
          <cell r="AQ198">
            <v>13658</v>
          </cell>
          <cell r="AR198">
            <v>13972</v>
          </cell>
          <cell r="AS198">
            <v>0</v>
          </cell>
          <cell r="AT198">
            <v>0</v>
          </cell>
          <cell r="AU198">
            <v>0</v>
          </cell>
          <cell r="AV198">
            <v>0</v>
          </cell>
          <cell r="AW198">
            <v>0</v>
          </cell>
          <cell r="AX198">
            <v>0</v>
          </cell>
          <cell r="AY198"/>
          <cell r="AZ198"/>
          <cell r="BA198">
            <v>0</v>
          </cell>
          <cell r="BB198"/>
          <cell r="BC198">
            <v>0</v>
          </cell>
          <cell r="BD198">
            <v>7566</v>
          </cell>
          <cell r="BE198"/>
          <cell r="BF198">
            <v>0</v>
          </cell>
          <cell r="BG198">
            <v>0</v>
          </cell>
          <cell r="BH198">
            <v>0</v>
          </cell>
          <cell r="BI198">
            <v>27937</v>
          </cell>
          <cell r="BJ198">
            <v>22996</v>
          </cell>
          <cell r="BK198">
            <v>22996</v>
          </cell>
          <cell r="BL198">
            <v>0</v>
          </cell>
          <cell r="BM198">
            <v>0</v>
          </cell>
          <cell r="BN198">
            <v>0</v>
          </cell>
          <cell r="BO198">
            <v>21403</v>
          </cell>
          <cell r="BP198">
            <v>1581.4</v>
          </cell>
          <cell r="BQ198">
            <v>2848.8372093023299</v>
          </cell>
          <cell r="BR198">
            <v>0</v>
          </cell>
          <cell r="BS198">
            <v>0</v>
          </cell>
          <cell r="BT198">
            <v>31311</v>
          </cell>
          <cell r="BU198"/>
          <cell r="BV198"/>
          <cell r="BW198"/>
          <cell r="BX198"/>
          <cell r="BY198">
            <v>0</v>
          </cell>
          <cell r="BZ198">
            <v>0</v>
          </cell>
          <cell r="CA198">
            <v>0</v>
          </cell>
          <cell r="CB198">
            <v>0</v>
          </cell>
          <cell r="CC198">
            <v>1499365</v>
          </cell>
          <cell r="CD198">
            <v>10155842</v>
          </cell>
          <cell r="CE198">
            <v>904100</v>
          </cell>
          <cell r="CF198">
            <v>0</v>
          </cell>
          <cell r="CG198">
            <v>904100</v>
          </cell>
          <cell r="CH198">
            <v>904100</v>
          </cell>
          <cell r="CI198">
            <v>904100</v>
          </cell>
          <cell r="CJ198">
            <v>904100</v>
          </cell>
          <cell r="CK198">
            <v>0</v>
          </cell>
          <cell r="CL198">
            <v>0</v>
          </cell>
          <cell r="CM198">
            <v>0</v>
          </cell>
          <cell r="CN198">
            <v>0</v>
          </cell>
          <cell r="CO198">
            <v>0</v>
          </cell>
          <cell r="CP198">
            <v>-634</v>
          </cell>
          <cell r="CQ198">
            <v>2029567</v>
          </cell>
          <cell r="CR198">
            <v>1969665</v>
          </cell>
          <cell r="CS198">
            <v>1936962</v>
          </cell>
          <cell r="CT198">
            <v>1899256</v>
          </cell>
          <cell r="CU198">
            <v>1891574</v>
          </cell>
          <cell r="CV198">
            <v>12928</v>
          </cell>
          <cell r="CW198">
            <v>0</v>
          </cell>
          <cell r="CX198">
            <v>0</v>
          </cell>
          <cell r="CY198">
            <v>0</v>
          </cell>
          <cell r="CZ198">
            <v>0</v>
          </cell>
          <cell r="DA198">
            <v>0</v>
          </cell>
          <cell r="DB198"/>
          <cell r="DC198">
            <v>0</v>
          </cell>
          <cell r="DD198">
            <v>0</v>
          </cell>
          <cell r="DE198">
            <v>0</v>
          </cell>
          <cell r="DF198">
            <v>0</v>
          </cell>
          <cell r="DG198">
            <v>0</v>
          </cell>
          <cell r="DH198">
            <v>0</v>
          </cell>
          <cell r="DI198">
            <v>0</v>
          </cell>
          <cell r="DJ198">
            <v>0</v>
          </cell>
          <cell r="DK198">
            <v>0</v>
          </cell>
          <cell r="DL198">
            <v>0</v>
          </cell>
          <cell r="DM198"/>
          <cell r="DN198"/>
          <cell r="DO198"/>
          <cell r="DP198"/>
        </row>
        <row r="199">
          <cell r="A199">
            <v>448</v>
          </cell>
          <cell r="B199" t="str">
            <v>Texel</v>
          </cell>
          <cell r="C199">
            <v>7</v>
          </cell>
          <cell r="D199">
            <v>-62468</v>
          </cell>
          <cell r="E199">
            <v>-31234</v>
          </cell>
          <cell r="F199">
            <v>0</v>
          </cell>
          <cell r="G199">
            <v>0</v>
          </cell>
          <cell r="H199">
            <v>-27267</v>
          </cell>
          <cell r="I199">
            <v>-23873</v>
          </cell>
          <cell r="J199"/>
          <cell r="K199">
            <v>0</v>
          </cell>
          <cell r="L199">
            <v>54714</v>
          </cell>
          <cell r="M199">
            <v>44044</v>
          </cell>
          <cell r="N199">
            <v>0</v>
          </cell>
          <cell r="O199">
            <v>0</v>
          </cell>
          <cell r="P199">
            <v>0</v>
          </cell>
          <cell r="Q199">
            <v>0</v>
          </cell>
          <cell r="R199">
            <v>0</v>
          </cell>
          <cell r="S199">
            <v>0</v>
          </cell>
          <cell r="T199">
            <v>0</v>
          </cell>
          <cell r="U199">
            <v>0</v>
          </cell>
          <cell r="V199">
            <v>6000</v>
          </cell>
          <cell r="W199">
            <v>55203</v>
          </cell>
          <cell r="X199">
            <v>0</v>
          </cell>
          <cell r="Y199"/>
          <cell r="Z199">
            <v>0</v>
          </cell>
          <cell r="AA199">
            <v>0</v>
          </cell>
          <cell r="AB199">
            <v>0</v>
          </cell>
          <cell r="AC199"/>
          <cell r="AD199">
            <v>0</v>
          </cell>
          <cell r="AE199">
            <v>0</v>
          </cell>
          <cell r="AF199">
            <v>0</v>
          </cell>
          <cell r="AG199">
            <v>0</v>
          </cell>
          <cell r="AH199">
            <v>0</v>
          </cell>
          <cell r="AI199">
            <v>0</v>
          </cell>
          <cell r="AJ199">
            <v>0</v>
          </cell>
          <cell r="AK199">
            <v>0</v>
          </cell>
          <cell r="AL199"/>
          <cell r="AM199">
            <v>0</v>
          </cell>
          <cell r="AN199">
            <v>0</v>
          </cell>
          <cell r="AO199">
            <v>0</v>
          </cell>
          <cell r="AP199">
            <v>0</v>
          </cell>
          <cell r="AQ199">
            <v>0</v>
          </cell>
          <cell r="AR199">
            <v>0</v>
          </cell>
          <cell r="AS199">
            <v>0</v>
          </cell>
          <cell r="AT199">
            <v>0</v>
          </cell>
          <cell r="AU199">
            <v>0</v>
          </cell>
          <cell r="AV199">
            <v>0</v>
          </cell>
          <cell r="AW199">
            <v>0</v>
          </cell>
          <cell r="AX199">
            <v>0</v>
          </cell>
          <cell r="AY199"/>
          <cell r="AZ199"/>
          <cell r="BA199">
            <v>0</v>
          </cell>
          <cell r="BB199"/>
          <cell r="BC199">
            <v>0</v>
          </cell>
          <cell r="BD199">
            <v>4755</v>
          </cell>
          <cell r="BE199"/>
          <cell r="BF199">
            <v>0</v>
          </cell>
          <cell r="BG199">
            <v>0</v>
          </cell>
          <cell r="BH199">
            <v>0</v>
          </cell>
          <cell r="BI199">
            <v>16271</v>
          </cell>
          <cell r="BJ199">
            <v>13394</v>
          </cell>
          <cell r="BK199">
            <v>13394</v>
          </cell>
          <cell r="BL199">
            <v>0</v>
          </cell>
          <cell r="BM199">
            <v>0</v>
          </cell>
          <cell r="BN199">
            <v>0</v>
          </cell>
          <cell r="BO199">
            <v>105068</v>
          </cell>
          <cell r="BP199">
            <v>11069.8</v>
          </cell>
          <cell r="BQ199">
            <v>19941.8604651163</v>
          </cell>
          <cell r="BR199">
            <v>0</v>
          </cell>
          <cell r="BS199">
            <v>0</v>
          </cell>
          <cell r="BT199">
            <v>37480</v>
          </cell>
          <cell r="BU199"/>
          <cell r="BV199"/>
          <cell r="BW199"/>
          <cell r="BX199"/>
          <cell r="BY199">
            <v>0</v>
          </cell>
          <cell r="BZ199">
            <v>0</v>
          </cell>
          <cell r="CA199">
            <v>0</v>
          </cell>
          <cell r="CB199">
            <v>0</v>
          </cell>
          <cell r="CC199">
            <v>1039341</v>
          </cell>
          <cell r="CD199">
            <v>7204333</v>
          </cell>
          <cell r="CE199">
            <v>333938</v>
          </cell>
          <cell r="CF199">
            <v>-46215</v>
          </cell>
          <cell r="CG199">
            <v>333938</v>
          </cell>
          <cell r="CH199">
            <v>333938</v>
          </cell>
          <cell r="CI199">
            <v>333938</v>
          </cell>
          <cell r="CJ199">
            <v>333938</v>
          </cell>
          <cell r="CK199">
            <v>0</v>
          </cell>
          <cell r="CL199">
            <v>0</v>
          </cell>
          <cell r="CM199">
            <v>0</v>
          </cell>
          <cell r="CN199">
            <v>0</v>
          </cell>
          <cell r="CO199">
            <v>0</v>
          </cell>
          <cell r="CP199">
            <v>-1701</v>
          </cell>
          <cell r="CQ199">
            <v>2477645</v>
          </cell>
          <cell r="CR199">
            <v>2379159</v>
          </cell>
          <cell r="CS199">
            <v>2324354</v>
          </cell>
          <cell r="CT199">
            <v>2228121</v>
          </cell>
          <cell r="CU199">
            <v>2165704</v>
          </cell>
          <cell r="CV199">
            <v>17171</v>
          </cell>
          <cell r="CW199">
            <v>0</v>
          </cell>
          <cell r="CX199">
            <v>0</v>
          </cell>
          <cell r="CY199">
            <v>0</v>
          </cell>
          <cell r="CZ199">
            <v>0</v>
          </cell>
          <cell r="DA199">
            <v>0</v>
          </cell>
          <cell r="DB199"/>
          <cell r="DC199">
            <v>0</v>
          </cell>
          <cell r="DD199">
            <v>0</v>
          </cell>
          <cell r="DE199">
            <v>0</v>
          </cell>
          <cell r="DF199">
            <v>0</v>
          </cell>
          <cell r="DG199">
            <v>0</v>
          </cell>
          <cell r="DH199">
            <v>0</v>
          </cell>
          <cell r="DI199">
            <v>0</v>
          </cell>
          <cell r="DJ199">
            <v>0</v>
          </cell>
          <cell r="DK199">
            <v>0</v>
          </cell>
          <cell r="DL199">
            <v>0</v>
          </cell>
          <cell r="DM199"/>
          <cell r="DN199"/>
          <cell r="DO199"/>
          <cell r="DP199"/>
        </row>
        <row r="200">
          <cell r="A200">
            <v>450</v>
          </cell>
          <cell r="B200" t="str">
            <v>Uitgeest</v>
          </cell>
          <cell r="C200">
            <v>7</v>
          </cell>
          <cell r="D200">
            <v>-9592</v>
          </cell>
          <cell r="E200">
            <v>-4796</v>
          </cell>
          <cell r="F200">
            <v>0</v>
          </cell>
          <cell r="G200">
            <v>0</v>
          </cell>
          <cell r="H200">
            <v>-10928</v>
          </cell>
          <cell r="I200">
            <v>-12971</v>
          </cell>
          <cell r="J200"/>
          <cell r="K200">
            <v>0</v>
          </cell>
          <cell r="L200">
            <v>38081</v>
          </cell>
          <cell r="M200">
            <v>39996</v>
          </cell>
          <cell r="N200">
            <v>0</v>
          </cell>
          <cell r="O200">
            <v>0</v>
          </cell>
          <cell r="P200">
            <v>0</v>
          </cell>
          <cell r="Q200">
            <v>0</v>
          </cell>
          <cell r="R200">
            <v>0</v>
          </cell>
          <cell r="S200">
            <v>0</v>
          </cell>
          <cell r="T200">
            <v>0</v>
          </cell>
          <cell r="U200">
            <v>0</v>
          </cell>
          <cell r="V200">
            <v>0</v>
          </cell>
          <cell r="W200">
            <v>24042</v>
          </cell>
          <cell r="X200">
            <v>0</v>
          </cell>
          <cell r="Y200"/>
          <cell r="Z200">
            <v>0</v>
          </cell>
          <cell r="AA200">
            <v>0</v>
          </cell>
          <cell r="AB200">
            <v>0</v>
          </cell>
          <cell r="AC200"/>
          <cell r="AD200">
            <v>0</v>
          </cell>
          <cell r="AE200">
            <v>0</v>
          </cell>
          <cell r="AF200">
            <v>0</v>
          </cell>
          <cell r="AG200">
            <v>0</v>
          </cell>
          <cell r="AH200">
            <v>0</v>
          </cell>
          <cell r="AI200">
            <v>0</v>
          </cell>
          <cell r="AJ200">
            <v>0</v>
          </cell>
          <cell r="AK200">
            <v>0</v>
          </cell>
          <cell r="AL200"/>
          <cell r="AM200">
            <v>16670</v>
          </cell>
          <cell r="AN200">
            <v>17054</v>
          </cell>
          <cell r="AO200">
            <v>17446</v>
          </cell>
          <cell r="AP200">
            <v>17847</v>
          </cell>
          <cell r="AQ200">
            <v>18258</v>
          </cell>
          <cell r="AR200">
            <v>18678</v>
          </cell>
          <cell r="AS200">
            <v>0</v>
          </cell>
          <cell r="AT200">
            <v>0</v>
          </cell>
          <cell r="AU200">
            <v>0</v>
          </cell>
          <cell r="AV200">
            <v>0</v>
          </cell>
          <cell r="AW200">
            <v>0</v>
          </cell>
          <cell r="AX200">
            <v>0</v>
          </cell>
          <cell r="AY200"/>
          <cell r="AZ200"/>
          <cell r="BA200">
            <v>0</v>
          </cell>
          <cell r="BB200"/>
          <cell r="BC200">
            <v>0</v>
          </cell>
          <cell r="BD200">
            <v>4727</v>
          </cell>
          <cell r="BE200"/>
          <cell r="BF200">
            <v>0</v>
          </cell>
          <cell r="BG200">
            <v>0</v>
          </cell>
          <cell r="BH200">
            <v>0</v>
          </cell>
          <cell r="BI200">
            <v>11044</v>
          </cell>
          <cell r="BJ200">
            <v>9091</v>
          </cell>
          <cell r="BK200">
            <v>9091</v>
          </cell>
          <cell r="BL200">
            <v>0</v>
          </cell>
          <cell r="BM200">
            <v>0</v>
          </cell>
          <cell r="BN200">
            <v>0</v>
          </cell>
          <cell r="BO200">
            <v>10215</v>
          </cell>
          <cell r="BP200">
            <v>3162.8</v>
          </cell>
          <cell r="BQ200">
            <v>5697.6744186046499</v>
          </cell>
          <cell r="BR200">
            <v>0</v>
          </cell>
          <cell r="BS200">
            <v>0</v>
          </cell>
          <cell r="BT200">
            <v>20348</v>
          </cell>
          <cell r="BU200"/>
          <cell r="BV200"/>
          <cell r="BW200"/>
          <cell r="BX200"/>
          <cell r="BY200">
            <v>0</v>
          </cell>
          <cell r="BZ200">
            <v>0</v>
          </cell>
          <cell r="CA200">
            <v>0</v>
          </cell>
          <cell r="CB200">
            <v>0</v>
          </cell>
          <cell r="CC200">
            <v>653105</v>
          </cell>
          <cell r="CD200">
            <v>3837883</v>
          </cell>
          <cell r="CE200">
            <v>116165</v>
          </cell>
          <cell r="CF200">
            <v>-21418</v>
          </cell>
          <cell r="CG200">
            <v>116165</v>
          </cell>
          <cell r="CH200">
            <v>116165</v>
          </cell>
          <cell r="CI200">
            <v>116165</v>
          </cell>
          <cell r="CJ200">
            <v>116165</v>
          </cell>
          <cell r="CK200">
            <v>0</v>
          </cell>
          <cell r="CL200">
            <v>0</v>
          </cell>
          <cell r="CM200">
            <v>0</v>
          </cell>
          <cell r="CN200">
            <v>0</v>
          </cell>
          <cell r="CO200">
            <v>0</v>
          </cell>
          <cell r="CP200">
            <v>-1466</v>
          </cell>
          <cell r="CQ200">
            <v>769953</v>
          </cell>
          <cell r="CR200">
            <v>749233</v>
          </cell>
          <cell r="CS200">
            <v>731733</v>
          </cell>
          <cell r="CT200">
            <v>736719</v>
          </cell>
          <cell r="CU200">
            <v>739754</v>
          </cell>
          <cell r="CV200">
            <v>-919</v>
          </cell>
          <cell r="CW200">
            <v>0</v>
          </cell>
          <cell r="CX200">
            <v>0</v>
          </cell>
          <cell r="CY200">
            <v>0</v>
          </cell>
          <cell r="CZ200">
            <v>0</v>
          </cell>
          <cell r="DA200">
            <v>0</v>
          </cell>
          <cell r="DB200"/>
          <cell r="DC200">
            <v>0</v>
          </cell>
          <cell r="DD200">
            <v>0</v>
          </cell>
          <cell r="DE200">
            <v>0</v>
          </cell>
          <cell r="DF200">
            <v>0</v>
          </cell>
          <cell r="DG200">
            <v>0</v>
          </cell>
          <cell r="DH200">
            <v>0</v>
          </cell>
          <cell r="DI200">
            <v>0</v>
          </cell>
          <cell r="DJ200">
            <v>0</v>
          </cell>
          <cell r="DK200">
            <v>0</v>
          </cell>
          <cell r="DL200">
            <v>0</v>
          </cell>
          <cell r="DM200"/>
          <cell r="DN200"/>
          <cell r="DO200"/>
          <cell r="DP200"/>
        </row>
        <row r="201">
          <cell r="A201">
            <v>451</v>
          </cell>
          <cell r="B201" t="str">
            <v>Uithoorn</v>
          </cell>
          <cell r="C201">
            <v>7</v>
          </cell>
          <cell r="D201">
            <v>-8967</v>
          </cell>
          <cell r="E201">
            <v>-4484</v>
          </cell>
          <cell r="F201">
            <v>0</v>
          </cell>
          <cell r="G201">
            <v>0</v>
          </cell>
          <cell r="H201">
            <v>0</v>
          </cell>
          <cell r="I201">
            <v>-6459</v>
          </cell>
          <cell r="J201"/>
          <cell r="K201">
            <v>0</v>
          </cell>
          <cell r="L201">
            <v>134717</v>
          </cell>
          <cell r="M201">
            <v>143772</v>
          </cell>
          <cell r="N201">
            <v>0</v>
          </cell>
          <cell r="O201">
            <v>0</v>
          </cell>
          <cell r="P201">
            <v>0</v>
          </cell>
          <cell r="Q201">
            <v>0</v>
          </cell>
          <cell r="R201">
            <v>0</v>
          </cell>
          <cell r="S201">
            <v>0</v>
          </cell>
          <cell r="T201">
            <v>0</v>
          </cell>
          <cell r="U201">
            <v>0</v>
          </cell>
          <cell r="V201">
            <v>6000</v>
          </cell>
          <cell r="W201">
            <v>115461</v>
          </cell>
          <cell r="X201">
            <v>0</v>
          </cell>
          <cell r="Y201"/>
          <cell r="Z201">
            <v>0</v>
          </cell>
          <cell r="AA201">
            <v>0</v>
          </cell>
          <cell r="AB201">
            <v>0</v>
          </cell>
          <cell r="AC201"/>
          <cell r="AD201">
            <v>0</v>
          </cell>
          <cell r="AE201">
            <v>0</v>
          </cell>
          <cell r="AF201">
            <v>0</v>
          </cell>
          <cell r="AG201">
            <v>0</v>
          </cell>
          <cell r="AH201">
            <v>0</v>
          </cell>
          <cell r="AI201">
            <v>0</v>
          </cell>
          <cell r="AJ201">
            <v>0</v>
          </cell>
          <cell r="AK201">
            <v>0</v>
          </cell>
          <cell r="AL201"/>
          <cell r="AM201">
            <v>0</v>
          </cell>
          <cell r="AN201">
            <v>0</v>
          </cell>
          <cell r="AO201">
            <v>0</v>
          </cell>
          <cell r="AP201">
            <v>0</v>
          </cell>
          <cell r="AQ201">
            <v>0</v>
          </cell>
          <cell r="AR201">
            <v>0</v>
          </cell>
          <cell r="AS201">
            <v>0</v>
          </cell>
          <cell r="AT201">
            <v>0</v>
          </cell>
          <cell r="AU201">
            <v>4740</v>
          </cell>
          <cell r="AV201">
            <v>0</v>
          </cell>
          <cell r="AW201">
            <v>0</v>
          </cell>
          <cell r="AX201">
            <v>0</v>
          </cell>
          <cell r="AY201"/>
          <cell r="AZ201"/>
          <cell r="BA201">
            <v>0</v>
          </cell>
          <cell r="BB201"/>
          <cell r="BC201">
            <v>0</v>
          </cell>
          <cell r="BD201">
            <v>10251</v>
          </cell>
          <cell r="BE201"/>
          <cell r="BF201">
            <v>0</v>
          </cell>
          <cell r="BG201">
            <v>0</v>
          </cell>
          <cell r="BH201">
            <v>0</v>
          </cell>
          <cell r="BI201">
            <v>35355</v>
          </cell>
          <cell r="BJ201">
            <v>29103</v>
          </cell>
          <cell r="BK201">
            <v>29103</v>
          </cell>
          <cell r="BL201">
            <v>0</v>
          </cell>
          <cell r="BM201">
            <v>0</v>
          </cell>
          <cell r="BN201">
            <v>0</v>
          </cell>
          <cell r="BO201">
            <v>55939</v>
          </cell>
          <cell r="BP201">
            <v>20558.2</v>
          </cell>
          <cell r="BQ201">
            <v>37034.8837209302</v>
          </cell>
          <cell r="BR201">
            <v>0</v>
          </cell>
          <cell r="BS201">
            <v>0</v>
          </cell>
          <cell r="BT201">
            <v>42381</v>
          </cell>
          <cell r="BU201"/>
          <cell r="BV201"/>
          <cell r="BW201"/>
          <cell r="BX201"/>
          <cell r="BY201">
            <v>0</v>
          </cell>
          <cell r="BZ201">
            <v>0</v>
          </cell>
          <cell r="CA201">
            <v>0</v>
          </cell>
          <cell r="CB201">
            <v>0</v>
          </cell>
          <cell r="CC201">
            <v>1942248</v>
          </cell>
          <cell r="CD201">
            <v>10274921</v>
          </cell>
          <cell r="CE201">
            <v>659527</v>
          </cell>
          <cell r="CF201">
            <v>0</v>
          </cell>
          <cell r="CG201">
            <v>659527</v>
          </cell>
          <cell r="CH201">
            <v>659527</v>
          </cell>
          <cell r="CI201">
            <v>659527</v>
          </cell>
          <cell r="CJ201">
            <v>659527</v>
          </cell>
          <cell r="CK201">
            <v>0</v>
          </cell>
          <cell r="CL201">
            <v>0</v>
          </cell>
          <cell r="CM201">
            <v>0</v>
          </cell>
          <cell r="CN201">
            <v>0</v>
          </cell>
          <cell r="CO201">
            <v>0</v>
          </cell>
          <cell r="CP201">
            <v>-2308</v>
          </cell>
          <cell r="CQ201">
            <v>1371959</v>
          </cell>
          <cell r="CR201">
            <v>1314000</v>
          </cell>
          <cell r="CS201">
            <v>1302606</v>
          </cell>
          <cell r="CT201">
            <v>1267701</v>
          </cell>
          <cell r="CU201">
            <v>1239160</v>
          </cell>
          <cell r="CV201">
            <v>-10835</v>
          </cell>
          <cell r="CW201">
            <v>0</v>
          </cell>
          <cell r="CX201">
            <v>0</v>
          </cell>
          <cell r="CY201">
            <v>0</v>
          </cell>
          <cell r="CZ201">
            <v>0</v>
          </cell>
          <cell r="DA201">
            <v>0</v>
          </cell>
          <cell r="DB201"/>
          <cell r="DC201">
            <v>0</v>
          </cell>
          <cell r="DD201">
            <v>0</v>
          </cell>
          <cell r="DE201">
            <v>0</v>
          </cell>
          <cell r="DF201">
            <v>0</v>
          </cell>
          <cell r="DG201">
            <v>0</v>
          </cell>
          <cell r="DH201">
            <v>0</v>
          </cell>
          <cell r="DI201">
            <v>0</v>
          </cell>
          <cell r="DJ201">
            <v>0</v>
          </cell>
          <cell r="DK201">
            <v>0</v>
          </cell>
          <cell r="DL201">
            <v>0</v>
          </cell>
          <cell r="DM201"/>
          <cell r="DN201"/>
          <cell r="DO201"/>
          <cell r="DP201"/>
        </row>
        <row r="202">
          <cell r="A202">
            <v>453</v>
          </cell>
          <cell r="B202" t="str">
            <v>Velsen</v>
          </cell>
          <cell r="C202">
            <v>7</v>
          </cell>
          <cell r="D202">
            <v>24016</v>
          </cell>
          <cell r="E202">
            <v>12008</v>
          </cell>
          <cell r="F202">
            <v>0</v>
          </cell>
          <cell r="G202">
            <v>170896</v>
          </cell>
          <cell r="H202">
            <v>0</v>
          </cell>
          <cell r="I202">
            <v>-10981</v>
          </cell>
          <cell r="J202"/>
          <cell r="K202">
            <v>0</v>
          </cell>
          <cell r="L202">
            <v>307992</v>
          </cell>
          <cell r="M202">
            <v>306400</v>
          </cell>
          <cell r="N202">
            <v>0</v>
          </cell>
          <cell r="O202">
            <v>0</v>
          </cell>
          <cell r="P202">
            <v>0</v>
          </cell>
          <cell r="Q202">
            <v>0</v>
          </cell>
          <cell r="R202">
            <v>0</v>
          </cell>
          <cell r="S202">
            <v>0</v>
          </cell>
          <cell r="T202">
            <v>0</v>
          </cell>
          <cell r="U202">
            <v>0</v>
          </cell>
          <cell r="V202">
            <v>0</v>
          </cell>
          <cell r="W202">
            <v>247090</v>
          </cell>
          <cell r="X202">
            <v>0</v>
          </cell>
          <cell r="Y202"/>
          <cell r="Z202">
            <v>0</v>
          </cell>
          <cell r="AA202">
            <v>0</v>
          </cell>
          <cell r="AB202">
            <v>0</v>
          </cell>
          <cell r="AC202"/>
          <cell r="AD202">
            <v>39112</v>
          </cell>
          <cell r="AE202">
            <v>0</v>
          </cell>
          <cell r="AF202">
            <v>0</v>
          </cell>
          <cell r="AG202">
            <v>0</v>
          </cell>
          <cell r="AH202">
            <v>0</v>
          </cell>
          <cell r="AI202">
            <v>0</v>
          </cell>
          <cell r="AJ202">
            <v>0</v>
          </cell>
          <cell r="AK202">
            <v>0</v>
          </cell>
          <cell r="AL202"/>
          <cell r="AM202">
            <v>0</v>
          </cell>
          <cell r="AN202">
            <v>0</v>
          </cell>
          <cell r="AO202">
            <v>0</v>
          </cell>
          <cell r="AP202">
            <v>0</v>
          </cell>
          <cell r="AQ202">
            <v>0</v>
          </cell>
          <cell r="AR202">
            <v>0</v>
          </cell>
          <cell r="AS202">
            <v>0</v>
          </cell>
          <cell r="AT202">
            <v>0</v>
          </cell>
          <cell r="AU202">
            <v>4740</v>
          </cell>
          <cell r="AV202">
            <v>0</v>
          </cell>
          <cell r="AW202">
            <v>0</v>
          </cell>
          <cell r="AX202">
            <v>0</v>
          </cell>
          <cell r="AY202"/>
          <cell r="AZ202"/>
          <cell r="BA202">
            <v>0</v>
          </cell>
          <cell r="BB202"/>
          <cell r="BC202">
            <v>0</v>
          </cell>
          <cell r="BD202">
            <v>23737</v>
          </cell>
          <cell r="BE202"/>
          <cell r="BF202">
            <v>0</v>
          </cell>
          <cell r="BG202">
            <v>0</v>
          </cell>
          <cell r="BH202">
            <v>0</v>
          </cell>
          <cell r="BI202">
            <v>105184</v>
          </cell>
          <cell r="BJ202">
            <v>86582</v>
          </cell>
          <cell r="BK202">
            <v>86582</v>
          </cell>
          <cell r="BL202">
            <v>0</v>
          </cell>
          <cell r="BM202">
            <v>0</v>
          </cell>
          <cell r="BN202">
            <v>0</v>
          </cell>
          <cell r="BO202">
            <v>160035</v>
          </cell>
          <cell r="BP202">
            <v>15814</v>
          </cell>
          <cell r="BQ202">
            <v>28488.372093023299</v>
          </cell>
          <cell r="BR202">
            <v>0</v>
          </cell>
          <cell r="BS202">
            <v>0</v>
          </cell>
          <cell r="BT202">
            <v>105156</v>
          </cell>
          <cell r="BU202"/>
          <cell r="BV202"/>
          <cell r="BW202"/>
          <cell r="BX202"/>
          <cell r="BY202">
            <v>0</v>
          </cell>
          <cell r="BZ202">
            <v>0</v>
          </cell>
          <cell r="CA202">
            <v>0</v>
          </cell>
          <cell r="CB202">
            <v>0</v>
          </cell>
          <cell r="CC202">
            <v>5336739</v>
          </cell>
          <cell r="CD202">
            <v>29896448</v>
          </cell>
          <cell r="CE202">
            <v>2520185</v>
          </cell>
          <cell r="CF202">
            <v>0</v>
          </cell>
          <cell r="CG202">
            <v>2520185</v>
          </cell>
          <cell r="CH202">
            <v>2520185</v>
          </cell>
          <cell r="CI202">
            <v>2520185</v>
          </cell>
          <cell r="CJ202">
            <v>2520185</v>
          </cell>
          <cell r="CK202">
            <v>0</v>
          </cell>
          <cell r="CL202">
            <v>0</v>
          </cell>
          <cell r="CM202">
            <v>0</v>
          </cell>
          <cell r="CN202">
            <v>0</v>
          </cell>
          <cell r="CO202">
            <v>0</v>
          </cell>
          <cell r="CP202">
            <v>-3970</v>
          </cell>
          <cell r="CQ202">
            <v>5458570</v>
          </cell>
          <cell r="CR202">
            <v>5346718</v>
          </cell>
          <cell r="CS202">
            <v>5294828</v>
          </cell>
          <cell r="CT202">
            <v>5247385</v>
          </cell>
          <cell r="CU202">
            <v>5179131</v>
          </cell>
          <cell r="CV202">
            <v>100490</v>
          </cell>
          <cell r="CW202">
            <v>0</v>
          </cell>
          <cell r="CX202">
            <v>0</v>
          </cell>
          <cell r="CY202">
            <v>0</v>
          </cell>
          <cell r="CZ202">
            <v>0</v>
          </cell>
          <cell r="DA202">
            <v>0</v>
          </cell>
          <cell r="DB202"/>
          <cell r="DC202">
            <v>0</v>
          </cell>
          <cell r="DD202">
            <v>0</v>
          </cell>
          <cell r="DE202">
            <v>0</v>
          </cell>
          <cell r="DF202">
            <v>0</v>
          </cell>
          <cell r="DG202">
            <v>0</v>
          </cell>
          <cell r="DH202">
            <v>0</v>
          </cell>
          <cell r="DI202">
            <v>0</v>
          </cell>
          <cell r="DJ202">
            <v>0</v>
          </cell>
          <cell r="DK202">
            <v>0</v>
          </cell>
          <cell r="DL202">
            <v>0</v>
          </cell>
          <cell r="DM202"/>
          <cell r="DN202"/>
          <cell r="DO202"/>
          <cell r="DP202"/>
        </row>
        <row r="203">
          <cell r="A203">
            <v>852</v>
          </cell>
          <cell r="B203" t="str">
            <v>Waterland</v>
          </cell>
          <cell r="C203">
            <v>7</v>
          </cell>
          <cell r="D203">
            <v>-11668</v>
          </cell>
          <cell r="E203">
            <v>-5834</v>
          </cell>
          <cell r="F203">
            <v>0</v>
          </cell>
          <cell r="G203">
            <v>0</v>
          </cell>
          <cell r="H203">
            <v>-12023</v>
          </cell>
          <cell r="I203">
            <v>-16770</v>
          </cell>
          <cell r="J203"/>
          <cell r="K203">
            <v>0</v>
          </cell>
          <cell r="L203">
            <v>40707</v>
          </cell>
          <cell r="M203">
            <v>40068</v>
          </cell>
          <cell r="N203">
            <v>0</v>
          </cell>
          <cell r="O203">
            <v>0</v>
          </cell>
          <cell r="P203">
            <v>0</v>
          </cell>
          <cell r="Q203">
            <v>0</v>
          </cell>
          <cell r="R203">
            <v>0</v>
          </cell>
          <cell r="S203">
            <v>0</v>
          </cell>
          <cell r="T203">
            <v>0</v>
          </cell>
          <cell r="U203">
            <v>0</v>
          </cell>
          <cell r="V203">
            <v>0</v>
          </cell>
          <cell r="W203">
            <v>67838</v>
          </cell>
          <cell r="X203">
            <v>0</v>
          </cell>
          <cell r="Y203"/>
          <cell r="Z203">
            <v>0</v>
          </cell>
          <cell r="AA203">
            <v>0</v>
          </cell>
          <cell r="AB203">
            <v>0</v>
          </cell>
          <cell r="AC203"/>
          <cell r="AD203">
            <v>0</v>
          </cell>
          <cell r="AE203">
            <v>0</v>
          </cell>
          <cell r="AF203">
            <v>0</v>
          </cell>
          <cell r="AG203">
            <v>0</v>
          </cell>
          <cell r="AH203">
            <v>0</v>
          </cell>
          <cell r="AI203">
            <v>0</v>
          </cell>
          <cell r="AJ203">
            <v>0</v>
          </cell>
          <cell r="AK203">
            <v>0</v>
          </cell>
          <cell r="AL203"/>
          <cell r="AM203">
            <v>43935</v>
          </cell>
          <cell r="AN203">
            <v>44946</v>
          </cell>
          <cell r="AO203">
            <v>45980</v>
          </cell>
          <cell r="AP203">
            <v>47037</v>
          </cell>
          <cell r="AQ203">
            <v>48119</v>
          </cell>
          <cell r="AR203">
            <v>49226</v>
          </cell>
          <cell r="AS203">
            <v>0</v>
          </cell>
          <cell r="AT203">
            <v>0</v>
          </cell>
          <cell r="AU203">
            <v>0</v>
          </cell>
          <cell r="AV203">
            <v>0</v>
          </cell>
          <cell r="AW203">
            <v>0</v>
          </cell>
          <cell r="AX203">
            <v>0</v>
          </cell>
          <cell r="AY203"/>
          <cell r="AZ203"/>
          <cell r="BA203">
            <v>0</v>
          </cell>
          <cell r="BB203"/>
          <cell r="BC203">
            <v>0</v>
          </cell>
          <cell r="BD203">
            <v>6069</v>
          </cell>
          <cell r="BE203"/>
          <cell r="BF203">
            <v>0</v>
          </cell>
          <cell r="BG203">
            <v>0</v>
          </cell>
          <cell r="BH203">
            <v>0</v>
          </cell>
          <cell r="BI203">
            <v>16972</v>
          </cell>
          <cell r="BJ203">
            <v>13971</v>
          </cell>
          <cell r="BK203">
            <v>13971</v>
          </cell>
          <cell r="BL203">
            <v>0</v>
          </cell>
          <cell r="BM203">
            <v>0</v>
          </cell>
          <cell r="BN203">
            <v>0</v>
          </cell>
          <cell r="BO203">
            <v>29186</v>
          </cell>
          <cell r="BP203">
            <v>6325.6</v>
          </cell>
          <cell r="BQ203">
            <v>11395.3488372093</v>
          </cell>
          <cell r="BR203">
            <v>0</v>
          </cell>
          <cell r="BS203">
            <v>0</v>
          </cell>
          <cell r="BT203">
            <v>30725</v>
          </cell>
          <cell r="BU203"/>
          <cell r="BV203"/>
          <cell r="BW203"/>
          <cell r="BX203"/>
          <cell r="BY203">
            <v>0</v>
          </cell>
          <cell r="BZ203">
            <v>0</v>
          </cell>
          <cell r="CA203">
            <v>0</v>
          </cell>
          <cell r="CB203">
            <v>0</v>
          </cell>
          <cell r="CC203">
            <v>1135166</v>
          </cell>
          <cell r="CD203">
            <v>4817206</v>
          </cell>
          <cell r="CE203">
            <v>203619</v>
          </cell>
          <cell r="CF203">
            <v>-10894</v>
          </cell>
          <cell r="CG203">
            <v>203619</v>
          </cell>
          <cell r="CH203">
            <v>203619</v>
          </cell>
          <cell r="CI203">
            <v>203619</v>
          </cell>
          <cell r="CJ203">
            <v>203619</v>
          </cell>
          <cell r="CK203">
            <v>0</v>
          </cell>
          <cell r="CL203">
            <v>0</v>
          </cell>
          <cell r="CM203">
            <v>0</v>
          </cell>
          <cell r="CN203">
            <v>0</v>
          </cell>
          <cell r="CO203">
            <v>0</v>
          </cell>
          <cell r="CP203">
            <v>-4427</v>
          </cell>
          <cell r="CQ203">
            <v>578309</v>
          </cell>
          <cell r="CR203">
            <v>550201</v>
          </cell>
          <cell r="CS203">
            <v>550644</v>
          </cell>
          <cell r="CT203">
            <v>546513</v>
          </cell>
          <cell r="CU203">
            <v>529512</v>
          </cell>
          <cell r="CV203">
            <v>-6146</v>
          </cell>
          <cell r="CW203">
            <v>0</v>
          </cell>
          <cell r="CX203">
            <v>0</v>
          </cell>
          <cell r="CY203">
            <v>0</v>
          </cell>
          <cell r="CZ203">
            <v>0</v>
          </cell>
          <cell r="DA203">
            <v>0</v>
          </cell>
          <cell r="DB203"/>
          <cell r="DC203">
            <v>0</v>
          </cell>
          <cell r="DD203">
            <v>0</v>
          </cell>
          <cell r="DE203">
            <v>0</v>
          </cell>
          <cell r="DF203">
            <v>0</v>
          </cell>
          <cell r="DG203">
            <v>0</v>
          </cell>
          <cell r="DH203">
            <v>0</v>
          </cell>
          <cell r="DI203">
            <v>0</v>
          </cell>
          <cell r="DJ203">
            <v>0</v>
          </cell>
          <cell r="DK203">
            <v>0</v>
          </cell>
          <cell r="DL203">
            <v>0</v>
          </cell>
          <cell r="DM203"/>
          <cell r="DN203"/>
          <cell r="DO203"/>
          <cell r="DP203"/>
        </row>
        <row r="204">
          <cell r="A204">
            <v>457</v>
          </cell>
          <cell r="B204" t="str">
            <v>Weesp</v>
          </cell>
          <cell r="C204">
            <v>7</v>
          </cell>
          <cell r="D204">
            <v>-13162</v>
          </cell>
          <cell r="E204">
            <v>-6581</v>
          </cell>
          <cell r="F204">
            <v>0</v>
          </cell>
          <cell r="G204">
            <v>0</v>
          </cell>
          <cell r="H204">
            <v>-9519</v>
          </cell>
          <cell r="I204">
            <v>-6140</v>
          </cell>
          <cell r="J204"/>
          <cell r="K204">
            <v>0</v>
          </cell>
          <cell r="L204">
            <v>87281</v>
          </cell>
          <cell r="M204">
            <v>79360</v>
          </cell>
          <cell r="N204">
            <v>0</v>
          </cell>
          <cell r="O204">
            <v>0</v>
          </cell>
          <cell r="P204">
            <v>0</v>
          </cell>
          <cell r="Q204">
            <v>0</v>
          </cell>
          <cell r="R204">
            <v>0</v>
          </cell>
          <cell r="S204">
            <v>0</v>
          </cell>
          <cell r="T204">
            <v>0</v>
          </cell>
          <cell r="U204">
            <v>0</v>
          </cell>
          <cell r="V204">
            <v>3000</v>
          </cell>
          <cell r="W204">
            <v>28285</v>
          </cell>
          <cell r="X204">
            <v>0</v>
          </cell>
          <cell r="Y204"/>
          <cell r="Z204">
            <v>0</v>
          </cell>
          <cell r="AA204">
            <v>0</v>
          </cell>
          <cell r="AB204">
            <v>0</v>
          </cell>
          <cell r="AC204"/>
          <cell r="AD204">
            <v>0</v>
          </cell>
          <cell r="AE204">
            <v>0</v>
          </cell>
          <cell r="AF204">
            <v>0</v>
          </cell>
          <cell r="AG204">
            <v>0</v>
          </cell>
          <cell r="AH204">
            <v>0</v>
          </cell>
          <cell r="AI204">
            <v>0</v>
          </cell>
          <cell r="AJ204">
            <v>0</v>
          </cell>
          <cell r="AK204">
            <v>0</v>
          </cell>
          <cell r="AL204"/>
          <cell r="AM204">
            <v>0</v>
          </cell>
          <cell r="AN204">
            <v>0</v>
          </cell>
          <cell r="AO204">
            <v>0</v>
          </cell>
          <cell r="AP204">
            <v>0</v>
          </cell>
          <cell r="AQ204">
            <v>0</v>
          </cell>
          <cell r="AR204">
            <v>0</v>
          </cell>
          <cell r="AS204">
            <v>0</v>
          </cell>
          <cell r="AT204">
            <v>0</v>
          </cell>
          <cell r="AU204">
            <v>0</v>
          </cell>
          <cell r="AV204">
            <v>0</v>
          </cell>
          <cell r="AW204">
            <v>0</v>
          </cell>
          <cell r="AX204">
            <v>0</v>
          </cell>
          <cell r="AY204"/>
          <cell r="AZ204"/>
          <cell r="BA204">
            <v>0</v>
          </cell>
          <cell r="BB204"/>
          <cell r="BC204">
            <v>0</v>
          </cell>
          <cell r="BD204">
            <v>6582</v>
          </cell>
          <cell r="BE204"/>
          <cell r="BF204">
            <v>0</v>
          </cell>
          <cell r="BG204">
            <v>0</v>
          </cell>
          <cell r="BH204">
            <v>0</v>
          </cell>
          <cell r="BI204">
            <v>33175</v>
          </cell>
          <cell r="BJ204">
            <v>27308</v>
          </cell>
          <cell r="BK204">
            <v>27308</v>
          </cell>
          <cell r="BL204">
            <v>0</v>
          </cell>
          <cell r="BM204">
            <v>0</v>
          </cell>
          <cell r="BN204">
            <v>0</v>
          </cell>
          <cell r="BO204">
            <v>10215</v>
          </cell>
          <cell r="BP204">
            <v>0</v>
          </cell>
          <cell r="BQ204">
            <v>0</v>
          </cell>
          <cell r="BR204">
            <v>0</v>
          </cell>
          <cell r="BS204">
            <v>0</v>
          </cell>
          <cell r="BT204">
            <v>29849</v>
          </cell>
          <cell r="BU204"/>
          <cell r="BV204"/>
          <cell r="BW204"/>
          <cell r="BX204"/>
          <cell r="BY204">
            <v>0</v>
          </cell>
          <cell r="BZ204">
            <v>0</v>
          </cell>
          <cell r="CA204">
            <v>0</v>
          </cell>
          <cell r="CB204">
            <v>0</v>
          </cell>
          <cell r="CC204">
            <v>1419797</v>
          </cell>
          <cell r="CD204">
            <v>6590907</v>
          </cell>
          <cell r="CE204">
            <v>468849</v>
          </cell>
          <cell r="CF204">
            <v>-14705</v>
          </cell>
          <cell r="CG204">
            <v>468849</v>
          </cell>
          <cell r="CH204">
            <v>468849</v>
          </cell>
          <cell r="CI204">
            <v>468849</v>
          </cell>
          <cell r="CJ204">
            <v>468849</v>
          </cell>
          <cell r="CK204">
            <v>0</v>
          </cell>
          <cell r="CL204">
            <v>0</v>
          </cell>
          <cell r="CM204">
            <v>0</v>
          </cell>
          <cell r="CN204">
            <v>0</v>
          </cell>
          <cell r="CO204">
            <v>0</v>
          </cell>
          <cell r="CP204">
            <v>0</v>
          </cell>
          <cell r="CQ204">
            <v>754415</v>
          </cell>
          <cell r="CR204">
            <v>729403</v>
          </cell>
          <cell r="CS204">
            <v>700950</v>
          </cell>
          <cell r="CT204">
            <v>694552</v>
          </cell>
          <cell r="CU204">
            <v>681653</v>
          </cell>
          <cell r="CV204">
            <v>-65591</v>
          </cell>
          <cell r="CW204">
            <v>0</v>
          </cell>
          <cell r="CX204">
            <v>0</v>
          </cell>
          <cell r="CY204">
            <v>0</v>
          </cell>
          <cell r="CZ204">
            <v>0</v>
          </cell>
          <cell r="DA204">
            <v>0</v>
          </cell>
          <cell r="DB204"/>
          <cell r="DC204">
            <v>0</v>
          </cell>
          <cell r="DD204">
            <v>0</v>
          </cell>
          <cell r="DE204">
            <v>0</v>
          </cell>
          <cell r="DF204">
            <v>0</v>
          </cell>
          <cell r="DG204">
            <v>0</v>
          </cell>
          <cell r="DH204">
            <v>0</v>
          </cell>
          <cell r="DI204">
            <v>0</v>
          </cell>
          <cell r="DJ204">
            <v>0</v>
          </cell>
          <cell r="DK204">
            <v>0</v>
          </cell>
          <cell r="DL204">
            <v>0</v>
          </cell>
          <cell r="DM204"/>
          <cell r="DN204"/>
          <cell r="DO204"/>
          <cell r="DP204"/>
        </row>
        <row r="205">
          <cell r="A205">
            <v>1696</v>
          </cell>
          <cell r="B205" t="str">
            <v>Wijdemeren</v>
          </cell>
          <cell r="C205">
            <v>7</v>
          </cell>
          <cell r="D205">
            <v>-9525</v>
          </cell>
          <cell r="E205">
            <v>-4762</v>
          </cell>
          <cell r="F205">
            <v>0</v>
          </cell>
          <cell r="G205">
            <v>0</v>
          </cell>
          <cell r="H205">
            <v>-2103</v>
          </cell>
          <cell r="I205">
            <v>-3244</v>
          </cell>
          <cell r="J205"/>
          <cell r="K205">
            <v>0</v>
          </cell>
          <cell r="L205">
            <v>71626</v>
          </cell>
          <cell r="M205">
            <v>65351</v>
          </cell>
          <cell r="N205">
            <v>0</v>
          </cell>
          <cell r="O205">
            <v>0</v>
          </cell>
          <cell r="P205">
            <v>0</v>
          </cell>
          <cell r="Q205">
            <v>0</v>
          </cell>
          <cell r="R205">
            <v>0</v>
          </cell>
          <cell r="S205">
            <v>0</v>
          </cell>
          <cell r="T205">
            <v>0</v>
          </cell>
          <cell r="U205">
            <v>0</v>
          </cell>
          <cell r="V205">
            <v>3000</v>
          </cell>
          <cell r="W205">
            <v>69905</v>
          </cell>
          <cell r="X205">
            <v>0</v>
          </cell>
          <cell r="Y205"/>
          <cell r="Z205">
            <v>0</v>
          </cell>
          <cell r="AA205">
            <v>0</v>
          </cell>
          <cell r="AB205">
            <v>0</v>
          </cell>
          <cell r="AC205"/>
          <cell r="AD205">
            <v>0</v>
          </cell>
          <cell r="AE205">
            <v>0</v>
          </cell>
          <cell r="AF205">
            <v>0</v>
          </cell>
          <cell r="AG205">
            <v>0</v>
          </cell>
          <cell r="AH205">
            <v>0</v>
          </cell>
          <cell r="AI205">
            <v>0</v>
          </cell>
          <cell r="AJ205">
            <v>0</v>
          </cell>
          <cell r="AK205">
            <v>0</v>
          </cell>
          <cell r="AL205"/>
          <cell r="AM205">
            <v>0</v>
          </cell>
          <cell r="AN205">
            <v>0</v>
          </cell>
          <cell r="AO205">
            <v>0</v>
          </cell>
          <cell r="AP205">
            <v>0</v>
          </cell>
          <cell r="AQ205">
            <v>0</v>
          </cell>
          <cell r="AR205">
            <v>0</v>
          </cell>
          <cell r="AS205">
            <v>0</v>
          </cell>
          <cell r="AT205">
            <v>0</v>
          </cell>
          <cell r="AU205">
            <v>0</v>
          </cell>
          <cell r="AV205">
            <v>0</v>
          </cell>
          <cell r="AW205">
            <v>0</v>
          </cell>
          <cell r="AX205">
            <v>0</v>
          </cell>
          <cell r="AY205"/>
          <cell r="AZ205"/>
          <cell r="BA205">
            <v>0</v>
          </cell>
          <cell r="BB205"/>
          <cell r="BC205">
            <v>0</v>
          </cell>
          <cell r="BD205">
            <v>8231</v>
          </cell>
          <cell r="BE205"/>
          <cell r="BF205">
            <v>0</v>
          </cell>
          <cell r="BG205">
            <v>0</v>
          </cell>
          <cell r="BH205">
            <v>0</v>
          </cell>
          <cell r="BI205">
            <v>23462</v>
          </cell>
          <cell r="BJ205">
            <v>19313</v>
          </cell>
          <cell r="BK205">
            <v>19313</v>
          </cell>
          <cell r="BL205">
            <v>0</v>
          </cell>
          <cell r="BM205">
            <v>0</v>
          </cell>
          <cell r="BN205">
            <v>0</v>
          </cell>
          <cell r="BO205">
            <v>58858</v>
          </cell>
          <cell r="BP205">
            <v>0</v>
          </cell>
          <cell r="BQ205">
            <v>0</v>
          </cell>
          <cell r="BR205">
            <v>0</v>
          </cell>
          <cell r="BS205">
            <v>0</v>
          </cell>
          <cell r="BT205">
            <v>43716</v>
          </cell>
          <cell r="BU205"/>
          <cell r="BV205"/>
          <cell r="BW205"/>
          <cell r="BX205"/>
          <cell r="BY205">
            <v>0</v>
          </cell>
          <cell r="BZ205">
            <v>0</v>
          </cell>
          <cell r="CA205">
            <v>0</v>
          </cell>
          <cell r="CB205">
            <v>0</v>
          </cell>
          <cell r="CC205">
            <v>1560665</v>
          </cell>
          <cell r="CD205">
            <v>5961545</v>
          </cell>
          <cell r="CE205">
            <v>213957</v>
          </cell>
          <cell r="CF205">
            <v>-6701</v>
          </cell>
          <cell r="CG205">
            <v>213957</v>
          </cell>
          <cell r="CH205">
            <v>213957</v>
          </cell>
          <cell r="CI205">
            <v>213957</v>
          </cell>
          <cell r="CJ205">
            <v>213957</v>
          </cell>
          <cell r="CK205">
            <v>0</v>
          </cell>
          <cell r="CL205">
            <v>0</v>
          </cell>
          <cell r="CM205">
            <v>0</v>
          </cell>
          <cell r="CN205">
            <v>0</v>
          </cell>
          <cell r="CO205">
            <v>0</v>
          </cell>
          <cell r="CP205">
            <v>-171</v>
          </cell>
          <cell r="CQ205">
            <v>671454</v>
          </cell>
          <cell r="CR205">
            <v>632101</v>
          </cell>
          <cell r="CS205">
            <v>632045</v>
          </cell>
          <cell r="CT205">
            <v>633338</v>
          </cell>
          <cell r="CU205">
            <v>621246</v>
          </cell>
          <cell r="CV205">
            <v>-29487</v>
          </cell>
          <cell r="CW205">
            <v>0</v>
          </cell>
          <cell r="CX205">
            <v>0</v>
          </cell>
          <cell r="CY205">
            <v>0</v>
          </cell>
          <cell r="CZ205">
            <v>0</v>
          </cell>
          <cell r="DA205">
            <v>0</v>
          </cell>
          <cell r="DB205"/>
          <cell r="DC205">
            <v>0</v>
          </cell>
          <cell r="DD205">
            <v>0</v>
          </cell>
          <cell r="DE205">
            <v>0</v>
          </cell>
          <cell r="DF205">
            <v>0</v>
          </cell>
          <cell r="DG205">
            <v>0</v>
          </cell>
          <cell r="DH205">
            <v>0</v>
          </cell>
          <cell r="DI205">
            <v>0</v>
          </cell>
          <cell r="DJ205">
            <v>0</v>
          </cell>
          <cell r="DK205">
            <v>0</v>
          </cell>
          <cell r="DL205">
            <v>0</v>
          </cell>
          <cell r="DM205"/>
          <cell r="DN205"/>
          <cell r="DO205"/>
          <cell r="DP205"/>
        </row>
        <row r="206">
          <cell r="A206">
            <v>880</v>
          </cell>
          <cell r="B206" t="str">
            <v>Wormerland</v>
          </cell>
          <cell r="C206">
            <v>7</v>
          </cell>
          <cell r="D206">
            <v>14422</v>
          </cell>
          <cell r="E206">
            <v>7211</v>
          </cell>
          <cell r="F206">
            <v>0</v>
          </cell>
          <cell r="G206">
            <v>0</v>
          </cell>
          <cell r="H206">
            <v>-2385</v>
          </cell>
          <cell r="I206">
            <v>-8685</v>
          </cell>
          <cell r="J206"/>
          <cell r="K206">
            <v>0</v>
          </cell>
          <cell r="L206">
            <v>58495</v>
          </cell>
          <cell r="M206">
            <v>59994</v>
          </cell>
          <cell r="N206">
            <v>0</v>
          </cell>
          <cell r="O206">
            <v>0</v>
          </cell>
          <cell r="P206">
            <v>0</v>
          </cell>
          <cell r="Q206">
            <v>0</v>
          </cell>
          <cell r="R206">
            <v>0</v>
          </cell>
          <cell r="S206">
            <v>0</v>
          </cell>
          <cell r="T206">
            <v>0</v>
          </cell>
          <cell r="U206">
            <v>0</v>
          </cell>
          <cell r="V206">
            <v>0</v>
          </cell>
          <cell r="W206">
            <v>48893</v>
          </cell>
          <cell r="X206">
            <v>0</v>
          </cell>
          <cell r="Y206"/>
          <cell r="Z206">
            <v>0</v>
          </cell>
          <cell r="AA206">
            <v>0</v>
          </cell>
          <cell r="AB206">
            <v>0</v>
          </cell>
          <cell r="AC206"/>
          <cell r="AD206">
            <v>0</v>
          </cell>
          <cell r="AE206">
            <v>0</v>
          </cell>
          <cell r="AF206">
            <v>0</v>
          </cell>
          <cell r="AG206">
            <v>0</v>
          </cell>
          <cell r="AH206">
            <v>0</v>
          </cell>
          <cell r="AI206">
            <v>0</v>
          </cell>
          <cell r="AJ206">
            <v>0</v>
          </cell>
          <cell r="AK206">
            <v>0</v>
          </cell>
          <cell r="AL206"/>
          <cell r="AM206">
            <v>36039</v>
          </cell>
          <cell r="AN206">
            <v>36868</v>
          </cell>
          <cell r="AO206">
            <v>37716</v>
          </cell>
          <cell r="AP206">
            <v>38584</v>
          </cell>
          <cell r="AQ206">
            <v>39471</v>
          </cell>
          <cell r="AR206">
            <v>40379</v>
          </cell>
          <cell r="AS206">
            <v>0</v>
          </cell>
          <cell r="AT206">
            <v>0</v>
          </cell>
          <cell r="AU206">
            <v>0</v>
          </cell>
          <cell r="AV206">
            <v>0</v>
          </cell>
          <cell r="AW206">
            <v>0</v>
          </cell>
          <cell r="AX206">
            <v>0</v>
          </cell>
          <cell r="AY206"/>
          <cell r="AZ206"/>
          <cell r="BA206">
            <v>0</v>
          </cell>
          <cell r="BB206"/>
          <cell r="BC206">
            <v>0</v>
          </cell>
          <cell r="BD206">
            <v>5553</v>
          </cell>
          <cell r="BE206"/>
          <cell r="BF206">
            <v>0</v>
          </cell>
          <cell r="BG206">
            <v>0</v>
          </cell>
          <cell r="BH206">
            <v>0</v>
          </cell>
          <cell r="BI206">
            <v>21174</v>
          </cell>
          <cell r="BJ206">
            <v>17429</v>
          </cell>
          <cell r="BK206">
            <v>17429</v>
          </cell>
          <cell r="BL206">
            <v>0</v>
          </cell>
          <cell r="BM206">
            <v>0</v>
          </cell>
          <cell r="BN206">
            <v>0</v>
          </cell>
          <cell r="BO206">
            <v>65668</v>
          </cell>
          <cell r="BP206">
            <v>0</v>
          </cell>
          <cell r="BQ206">
            <v>0</v>
          </cell>
          <cell r="BR206">
            <v>0</v>
          </cell>
          <cell r="BS206">
            <v>0</v>
          </cell>
          <cell r="BT206">
            <v>28159</v>
          </cell>
          <cell r="BU206"/>
          <cell r="BV206"/>
          <cell r="BW206"/>
          <cell r="BX206"/>
          <cell r="BY206">
            <v>0</v>
          </cell>
          <cell r="BZ206">
            <v>0</v>
          </cell>
          <cell r="CA206">
            <v>0</v>
          </cell>
          <cell r="CB206">
            <v>0</v>
          </cell>
          <cell r="CC206">
            <v>1225439</v>
          </cell>
          <cell r="CD206">
            <v>5166964</v>
          </cell>
          <cell r="CE206">
            <v>240024</v>
          </cell>
          <cell r="CF206">
            <v>0</v>
          </cell>
          <cell r="CG206">
            <v>240024</v>
          </cell>
          <cell r="CH206">
            <v>240024</v>
          </cell>
          <cell r="CI206">
            <v>240024</v>
          </cell>
          <cell r="CJ206">
            <v>240024</v>
          </cell>
          <cell r="CK206">
            <v>0</v>
          </cell>
          <cell r="CL206">
            <v>0</v>
          </cell>
          <cell r="CM206">
            <v>0</v>
          </cell>
          <cell r="CN206">
            <v>0</v>
          </cell>
          <cell r="CO206">
            <v>0</v>
          </cell>
          <cell r="CP206">
            <v>-3145</v>
          </cell>
          <cell r="CQ206">
            <v>580504</v>
          </cell>
          <cell r="CR206">
            <v>575976</v>
          </cell>
          <cell r="CS206">
            <v>560432</v>
          </cell>
          <cell r="CT206">
            <v>568180</v>
          </cell>
          <cell r="CU206">
            <v>558710</v>
          </cell>
          <cell r="CV206">
            <v>23800</v>
          </cell>
          <cell r="CW206">
            <v>0</v>
          </cell>
          <cell r="CX206">
            <v>0</v>
          </cell>
          <cell r="CY206">
            <v>0</v>
          </cell>
          <cell r="CZ206">
            <v>0</v>
          </cell>
          <cell r="DA206">
            <v>0</v>
          </cell>
          <cell r="DB206"/>
          <cell r="DC206">
            <v>0</v>
          </cell>
          <cell r="DD206">
            <v>0</v>
          </cell>
          <cell r="DE206">
            <v>0</v>
          </cell>
          <cell r="DF206">
            <v>0</v>
          </cell>
          <cell r="DG206">
            <v>0</v>
          </cell>
          <cell r="DH206">
            <v>0</v>
          </cell>
          <cell r="DI206">
            <v>0</v>
          </cell>
          <cell r="DJ206">
            <v>0</v>
          </cell>
          <cell r="DK206">
            <v>0</v>
          </cell>
          <cell r="DL206">
            <v>0</v>
          </cell>
          <cell r="DM206"/>
          <cell r="DN206"/>
          <cell r="DO206"/>
          <cell r="DP206"/>
        </row>
        <row r="207">
          <cell r="A207">
            <v>479</v>
          </cell>
          <cell r="B207" t="str">
            <v>Zaanstad</v>
          </cell>
          <cell r="C207">
            <v>7</v>
          </cell>
          <cell r="D207">
            <v>197008</v>
          </cell>
          <cell r="E207">
            <v>98504</v>
          </cell>
          <cell r="F207">
            <v>0</v>
          </cell>
          <cell r="G207">
            <v>0</v>
          </cell>
          <cell r="H207">
            <v>-179908</v>
          </cell>
          <cell r="I207">
            <v>-150280</v>
          </cell>
          <cell r="J207"/>
          <cell r="K207">
            <v>0</v>
          </cell>
          <cell r="L207">
            <v>895286</v>
          </cell>
          <cell r="M207">
            <v>901702</v>
          </cell>
          <cell r="N207">
            <v>0</v>
          </cell>
          <cell r="O207">
            <v>0</v>
          </cell>
          <cell r="P207">
            <v>150000</v>
          </cell>
          <cell r="Q207">
            <v>0</v>
          </cell>
          <cell r="R207">
            <v>0</v>
          </cell>
          <cell r="S207">
            <v>4558321</v>
          </cell>
          <cell r="T207">
            <v>3689196</v>
          </cell>
          <cell r="U207">
            <v>4251278</v>
          </cell>
          <cell r="V207">
            <v>6000</v>
          </cell>
          <cell r="W207">
            <v>555727</v>
          </cell>
          <cell r="X207">
            <v>0</v>
          </cell>
          <cell r="Y207"/>
          <cell r="Z207">
            <v>0</v>
          </cell>
          <cell r="AA207">
            <v>32000</v>
          </cell>
          <cell r="AB207">
            <v>0</v>
          </cell>
          <cell r="AC207"/>
          <cell r="AD207">
            <v>151559</v>
          </cell>
          <cell r="AE207">
            <v>0</v>
          </cell>
          <cell r="AF207">
            <v>0</v>
          </cell>
          <cell r="AG207">
            <v>0</v>
          </cell>
          <cell r="AH207">
            <v>0</v>
          </cell>
          <cell r="AI207">
            <v>0</v>
          </cell>
          <cell r="AJ207">
            <v>0</v>
          </cell>
          <cell r="AK207">
            <v>256374</v>
          </cell>
          <cell r="AL207"/>
          <cell r="AM207">
            <v>0</v>
          </cell>
          <cell r="AN207">
            <v>0</v>
          </cell>
          <cell r="AO207">
            <v>0</v>
          </cell>
          <cell r="AP207">
            <v>0</v>
          </cell>
          <cell r="AQ207">
            <v>0</v>
          </cell>
          <cell r="AR207">
            <v>0</v>
          </cell>
          <cell r="AS207">
            <v>0</v>
          </cell>
          <cell r="AT207">
            <v>19000</v>
          </cell>
          <cell r="AU207">
            <v>16590</v>
          </cell>
          <cell r="AV207">
            <v>2620141.4463412901</v>
          </cell>
          <cell r="AW207">
            <v>0</v>
          </cell>
          <cell r="AX207">
            <v>0</v>
          </cell>
          <cell r="AY207"/>
          <cell r="AZ207"/>
          <cell r="BA207">
            <v>0</v>
          </cell>
          <cell r="BB207"/>
          <cell r="BC207">
            <v>0</v>
          </cell>
          <cell r="BD207">
            <v>53947</v>
          </cell>
          <cell r="BE207"/>
          <cell r="BF207">
            <v>0</v>
          </cell>
          <cell r="BG207">
            <v>0</v>
          </cell>
          <cell r="BH207">
            <v>0</v>
          </cell>
          <cell r="BI207">
            <v>261385</v>
          </cell>
          <cell r="BJ207">
            <v>215158</v>
          </cell>
          <cell r="BK207">
            <v>215158</v>
          </cell>
          <cell r="BL207">
            <v>0</v>
          </cell>
          <cell r="BM207">
            <v>0</v>
          </cell>
          <cell r="BN207">
            <v>140910</v>
          </cell>
          <cell r="BO207">
            <v>301099</v>
          </cell>
          <cell r="BP207">
            <v>23721</v>
          </cell>
          <cell r="BQ207">
            <v>42732.5581395349</v>
          </cell>
          <cell r="BR207">
            <v>0</v>
          </cell>
          <cell r="BS207">
            <v>0</v>
          </cell>
          <cell r="BT207">
            <v>254416</v>
          </cell>
          <cell r="BU207"/>
          <cell r="BV207"/>
          <cell r="BW207"/>
          <cell r="BX207"/>
          <cell r="BY207">
            <v>2431006.8324027401</v>
          </cell>
          <cell r="BZ207">
            <v>2816676.4018651</v>
          </cell>
          <cell r="CA207">
            <v>2849623.04850259</v>
          </cell>
          <cell r="CB207">
            <v>2942648.87430256</v>
          </cell>
          <cell r="CC207">
            <v>11804901</v>
          </cell>
          <cell r="CD207">
            <v>82619208</v>
          </cell>
          <cell r="CE207">
            <v>3747322</v>
          </cell>
          <cell r="CF207">
            <v>-182795</v>
          </cell>
          <cell r="CG207">
            <v>3747322</v>
          </cell>
          <cell r="CH207">
            <v>3747322</v>
          </cell>
          <cell r="CI207">
            <v>3747322</v>
          </cell>
          <cell r="CJ207">
            <v>3747322</v>
          </cell>
          <cell r="CK207">
            <v>12045734</v>
          </cell>
          <cell r="CL207">
            <v>12039808</v>
          </cell>
          <cell r="CM207">
            <v>12039713</v>
          </cell>
          <cell r="CN207">
            <v>12039502</v>
          </cell>
          <cell r="CO207">
            <v>12039794</v>
          </cell>
          <cell r="CP207">
            <v>-26684</v>
          </cell>
          <cell r="CQ207">
            <v>9455521</v>
          </cell>
          <cell r="CR207">
            <v>9173680</v>
          </cell>
          <cell r="CS207">
            <v>9016167</v>
          </cell>
          <cell r="CT207">
            <v>8961994</v>
          </cell>
          <cell r="CU207">
            <v>8780260</v>
          </cell>
          <cell r="CV207">
            <v>-240307</v>
          </cell>
          <cell r="CW207">
            <v>0</v>
          </cell>
          <cell r="CX207">
            <v>0</v>
          </cell>
          <cell r="CY207">
            <v>0</v>
          </cell>
          <cell r="CZ207">
            <v>0</v>
          </cell>
          <cell r="DA207">
            <v>0</v>
          </cell>
          <cell r="DB207"/>
          <cell r="DC207">
            <v>150000</v>
          </cell>
          <cell r="DD207">
            <v>0</v>
          </cell>
          <cell r="DE207">
            <v>0</v>
          </cell>
          <cell r="DF207">
            <v>0</v>
          </cell>
          <cell r="DG207">
            <v>0</v>
          </cell>
          <cell r="DH207">
            <v>0</v>
          </cell>
          <cell r="DI207">
            <v>0</v>
          </cell>
          <cell r="DJ207">
            <v>0</v>
          </cell>
          <cell r="DK207">
            <v>0</v>
          </cell>
          <cell r="DL207">
            <v>0</v>
          </cell>
          <cell r="DM207"/>
          <cell r="DN207"/>
          <cell r="DO207"/>
          <cell r="DP207"/>
        </row>
        <row r="208">
          <cell r="A208">
            <v>473</v>
          </cell>
          <cell r="B208" t="str">
            <v>Zandvoort</v>
          </cell>
          <cell r="C208">
            <v>7</v>
          </cell>
          <cell r="D208">
            <v>1916</v>
          </cell>
          <cell r="E208">
            <v>958</v>
          </cell>
          <cell r="F208">
            <v>0</v>
          </cell>
          <cell r="G208">
            <v>0</v>
          </cell>
          <cell r="H208">
            <v>-29010</v>
          </cell>
          <cell r="I208">
            <v>-19354</v>
          </cell>
          <cell r="J208"/>
          <cell r="K208">
            <v>0</v>
          </cell>
          <cell r="L208">
            <v>85872</v>
          </cell>
          <cell r="M208">
            <v>85421</v>
          </cell>
          <cell r="N208">
            <v>0</v>
          </cell>
          <cell r="O208">
            <v>0</v>
          </cell>
          <cell r="P208">
            <v>0</v>
          </cell>
          <cell r="Q208">
            <v>0</v>
          </cell>
          <cell r="R208">
            <v>0</v>
          </cell>
          <cell r="S208">
            <v>0</v>
          </cell>
          <cell r="T208">
            <v>0</v>
          </cell>
          <cell r="U208">
            <v>0</v>
          </cell>
          <cell r="V208">
            <v>3000</v>
          </cell>
          <cell r="W208">
            <v>52288</v>
          </cell>
          <cell r="X208">
            <v>0</v>
          </cell>
          <cell r="Y208"/>
          <cell r="Z208">
            <v>0</v>
          </cell>
          <cell r="AA208">
            <v>0</v>
          </cell>
          <cell r="AB208">
            <v>0</v>
          </cell>
          <cell r="AC208"/>
          <cell r="AD208">
            <v>0</v>
          </cell>
          <cell r="AE208">
            <v>0</v>
          </cell>
          <cell r="AF208">
            <v>0</v>
          </cell>
          <cell r="AG208">
            <v>0</v>
          </cell>
          <cell r="AH208">
            <v>0</v>
          </cell>
          <cell r="AI208">
            <v>0</v>
          </cell>
          <cell r="AJ208">
            <v>0</v>
          </cell>
          <cell r="AK208">
            <v>0</v>
          </cell>
          <cell r="AL208"/>
          <cell r="AM208">
            <v>0</v>
          </cell>
          <cell r="AN208">
            <v>0</v>
          </cell>
          <cell r="AO208">
            <v>0</v>
          </cell>
          <cell r="AP208">
            <v>0</v>
          </cell>
          <cell r="AQ208">
            <v>0</v>
          </cell>
          <cell r="AR208">
            <v>0</v>
          </cell>
          <cell r="AS208">
            <v>0</v>
          </cell>
          <cell r="AT208">
            <v>0</v>
          </cell>
          <cell r="AU208">
            <v>0</v>
          </cell>
          <cell r="AV208">
            <v>0</v>
          </cell>
          <cell r="AW208">
            <v>0</v>
          </cell>
          <cell r="AX208">
            <v>0</v>
          </cell>
          <cell r="AY208"/>
          <cell r="AZ208"/>
          <cell r="BA208">
            <v>0</v>
          </cell>
          <cell r="BB208"/>
          <cell r="BC208">
            <v>0</v>
          </cell>
          <cell r="BD208">
            <v>5932</v>
          </cell>
          <cell r="BE208"/>
          <cell r="BF208">
            <v>0</v>
          </cell>
          <cell r="BG208">
            <v>0</v>
          </cell>
          <cell r="BH208">
            <v>0</v>
          </cell>
          <cell r="BI208">
            <v>33285</v>
          </cell>
          <cell r="BJ208">
            <v>27398</v>
          </cell>
          <cell r="BK208">
            <v>27398</v>
          </cell>
          <cell r="BL208">
            <v>0</v>
          </cell>
          <cell r="BM208">
            <v>0</v>
          </cell>
          <cell r="BN208">
            <v>0</v>
          </cell>
          <cell r="BO208">
            <v>51075</v>
          </cell>
          <cell r="BP208">
            <v>0</v>
          </cell>
          <cell r="BQ208">
            <v>0</v>
          </cell>
          <cell r="BR208">
            <v>0</v>
          </cell>
          <cell r="BS208">
            <v>0</v>
          </cell>
          <cell r="BT208">
            <v>24177</v>
          </cell>
          <cell r="BU208"/>
          <cell r="BV208"/>
          <cell r="BW208"/>
          <cell r="BX208"/>
          <cell r="BY208">
            <v>0</v>
          </cell>
          <cell r="BZ208">
            <v>0</v>
          </cell>
          <cell r="CA208">
            <v>0</v>
          </cell>
          <cell r="CB208">
            <v>0</v>
          </cell>
          <cell r="CC208">
            <v>1650434</v>
          </cell>
          <cell r="CD208">
            <v>6265530</v>
          </cell>
          <cell r="CE208">
            <v>200193</v>
          </cell>
          <cell r="CF208">
            <v>-21077</v>
          </cell>
          <cell r="CG208">
            <v>200193</v>
          </cell>
          <cell r="CH208">
            <v>200193</v>
          </cell>
          <cell r="CI208">
            <v>200193</v>
          </cell>
          <cell r="CJ208">
            <v>200193</v>
          </cell>
          <cell r="CK208">
            <v>0</v>
          </cell>
          <cell r="CL208">
            <v>0</v>
          </cell>
          <cell r="CM208">
            <v>0</v>
          </cell>
          <cell r="CN208">
            <v>0</v>
          </cell>
          <cell r="CO208">
            <v>0</v>
          </cell>
          <cell r="CP208">
            <v>-3793</v>
          </cell>
          <cell r="CQ208">
            <v>655397</v>
          </cell>
          <cell r="CR208">
            <v>639509</v>
          </cell>
          <cell r="CS208">
            <v>612024</v>
          </cell>
          <cell r="CT208">
            <v>614235</v>
          </cell>
          <cell r="CU208">
            <v>619828</v>
          </cell>
          <cell r="CV208">
            <v>3475</v>
          </cell>
          <cell r="CW208">
            <v>0</v>
          </cell>
          <cell r="CX208">
            <v>0</v>
          </cell>
          <cell r="CY208">
            <v>0</v>
          </cell>
          <cell r="CZ208">
            <v>0</v>
          </cell>
          <cell r="DA208">
            <v>0</v>
          </cell>
          <cell r="DB208"/>
          <cell r="DC208">
            <v>0</v>
          </cell>
          <cell r="DD208">
            <v>0</v>
          </cell>
          <cell r="DE208">
            <v>0</v>
          </cell>
          <cell r="DF208">
            <v>0</v>
          </cell>
          <cell r="DG208">
            <v>0</v>
          </cell>
          <cell r="DH208">
            <v>0</v>
          </cell>
          <cell r="DI208">
            <v>0</v>
          </cell>
          <cell r="DJ208">
            <v>0</v>
          </cell>
          <cell r="DK208">
            <v>0</v>
          </cell>
          <cell r="DL208">
            <v>0</v>
          </cell>
          <cell r="DM208"/>
          <cell r="DN208"/>
          <cell r="DO208"/>
          <cell r="DP208"/>
        </row>
        <row r="209">
          <cell r="A209">
            <v>482</v>
          </cell>
          <cell r="B209" t="str">
            <v>Alblasserdam</v>
          </cell>
          <cell r="C209">
            <v>8</v>
          </cell>
          <cell r="D209">
            <v>14585</v>
          </cell>
          <cell r="E209">
            <v>7293</v>
          </cell>
          <cell r="F209">
            <v>0</v>
          </cell>
          <cell r="G209">
            <v>141971</v>
          </cell>
          <cell r="H209">
            <v>-22133</v>
          </cell>
          <cell r="I209">
            <v>-18027</v>
          </cell>
          <cell r="J209"/>
          <cell r="K209">
            <v>0</v>
          </cell>
          <cell r="L209">
            <v>67726</v>
          </cell>
          <cell r="M209">
            <v>71184</v>
          </cell>
          <cell r="N209">
            <v>0</v>
          </cell>
          <cell r="O209">
            <v>0</v>
          </cell>
          <cell r="P209">
            <v>0</v>
          </cell>
          <cell r="Q209">
            <v>0</v>
          </cell>
          <cell r="R209">
            <v>0</v>
          </cell>
          <cell r="S209">
            <v>0</v>
          </cell>
          <cell r="T209">
            <v>0</v>
          </cell>
          <cell r="U209">
            <v>0</v>
          </cell>
          <cell r="V209">
            <v>0</v>
          </cell>
          <cell r="W209">
            <v>73945</v>
          </cell>
          <cell r="X209">
            <v>0</v>
          </cell>
          <cell r="Y209"/>
          <cell r="Z209">
            <v>0</v>
          </cell>
          <cell r="AA209">
            <v>0</v>
          </cell>
          <cell r="AB209">
            <v>0</v>
          </cell>
          <cell r="AC209"/>
          <cell r="AD209">
            <v>45956</v>
          </cell>
          <cell r="AE209">
            <v>0</v>
          </cell>
          <cell r="AF209">
            <v>0</v>
          </cell>
          <cell r="AG209">
            <v>0</v>
          </cell>
          <cell r="AH209">
            <v>0</v>
          </cell>
          <cell r="AI209">
            <v>0</v>
          </cell>
          <cell r="AJ209">
            <v>0</v>
          </cell>
          <cell r="AK209">
            <v>0</v>
          </cell>
          <cell r="AL209"/>
          <cell r="AM209">
            <v>4491</v>
          </cell>
          <cell r="AN209">
            <v>4594</v>
          </cell>
          <cell r="AO209">
            <v>4699</v>
          </cell>
          <cell r="AP209">
            <v>4808</v>
          </cell>
          <cell r="AQ209">
            <v>4918</v>
          </cell>
          <cell r="AR209">
            <v>5031</v>
          </cell>
          <cell r="AS209">
            <v>0</v>
          </cell>
          <cell r="AT209">
            <v>0</v>
          </cell>
          <cell r="AU209">
            <v>2370</v>
          </cell>
          <cell r="AV209">
            <v>0</v>
          </cell>
          <cell r="AW209">
            <v>0</v>
          </cell>
          <cell r="AX209">
            <v>0</v>
          </cell>
          <cell r="AY209"/>
          <cell r="AZ209"/>
          <cell r="BA209">
            <v>0</v>
          </cell>
          <cell r="BB209"/>
          <cell r="BC209">
            <v>0</v>
          </cell>
          <cell r="BD209">
            <v>7024</v>
          </cell>
          <cell r="BE209"/>
          <cell r="BF209">
            <v>0</v>
          </cell>
          <cell r="BG209">
            <v>0</v>
          </cell>
          <cell r="BH209">
            <v>0</v>
          </cell>
          <cell r="BI209">
            <v>27494</v>
          </cell>
          <cell r="BJ209">
            <v>22631</v>
          </cell>
          <cell r="BK209">
            <v>22631</v>
          </cell>
          <cell r="BL209">
            <v>0</v>
          </cell>
          <cell r="BM209">
            <v>0</v>
          </cell>
          <cell r="BN209">
            <v>0</v>
          </cell>
          <cell r="BO209">
            <v>85125</v>
          </cell>
          <cell r="BP209">
            <v>12651.2</v>
          </cell>
          <cell r="BQ209">
            <v>22790.697674418599</v>
          </cell>
          <cell r="BR209">
            <v>0</v>
          </cell>
          <cell r="BS209">
            <v>0</v>
          </cell>
          <cell r="BT209">
            <v>34176</v>
          </cell>
          <cell r="BU209"/>
          <cell r="BV209"/>
          <cell r="BW209"/>
          <cell r="BX209"/>
          <cell r="BY209">
            <v>0</v>
          </cell>
          <cell r="BZ209">
            <v>0</v>
          </cell>
          <cell r="CA209">
            <v>0</v>
          </cell>
          <cell r="CB209">
            <v>0</v>
          </cell>
          <cell r="CC209">
            <v>1570650</v>
          </cell>
          <cell r="CD209">
            <v>8650761</v>
          </cell>
          <cell r="CE209">
            <v>490204</v>
          </cell>
          <cell r="CF209">
            <v>-43491</v>
          </cell>
          <cell r="CG209">
            <v>490204</v>
          </cell>
          <cell r="CH209">
            <v>490204</v>
          </cell>
          <cell r="CI209">
            <v>490204</v>
          </cell>
          <cell r="CJ209">
            <v>490204</v>
          </cell>
          <cell r="CK209">
            <v>0</v>
          </cell>
          <cell r="CL209">
            <v>0</v>
          </cell>
          <cell r="CM209">
            <v>0</v>
          </cell>
          <cell r="CN209">
            <v>0</v>
          </cell>
          <cell r="CO209">
            <v>0</v>
          </cell>
          <cell r="CP209">
            <v>0</v>
          </cell>
          <cell r="CQ209">
            <v>1405723</v>
          </cell>
          <cell r="CR209">
            <v>1346505</v>
          </cell>
          <cell r="CS209">
            <v>1303384</v>
          </cell>
          <cell r="CT209">
            <v>1291521</v>
          </cell>
          <cell r="CU209">
            <v>1297764</v>
          </cell>
          <cell r="CV209">
            <v>-15429</v>
          </cell>
          <cell r="CW209">
            <v>0</v>
          </cell>
          <cell r="CX209">
            <v>0</v>
          </cell>
          <cell r="CY209">
            <v>0</v>
          </cell>
          <cell r="CZ209">
            <v>0</v>
          </cell>
          <cell r="DA209">
            <v>0</v>
          </cell>
          <cell r="DB209"/>
          <cell r="DC209">
            <v>0</v>
          </cell>
          <cell r="DD209">
            <v>0</v>
          </cell>
          <cell r="DE209">
            <v>0</v>
          </cell>
          <cell r="DF209">
            <v>0</v>
          </cell>
          <cell r="DG209">
            <v>0</v>
          </cell>
          <cell r="DH209">
            <v>0</v>
          </cell>
          <cell r="DI209">
            <v>0</v>
          </cell>
          <cell r="DJ209">
            <v>0</v>
          </cell>
          <cell r="DK209">
            <v>0</v>
          </cell>
          <cell r="DL209">
            <v>0</v>
          </cell>
          <cell r="DM209"/>
          <cell r="DN209"/>
          <cell r="DO209"/>
          <cell r="DP209"/>
        </row>
        <row r="210">
          <cell r="A210">
            <v>613</v>
          </cell>
          <cell r="B210" t="str">
            <v>Albrandswaard</v>
          </cell>
          <cell r="C210">
            <v>8</v>
          </cell>
          <cell r="D210">
            <v>16832</v>
          </cell>
          <cell r="E210">
            <v>8416</v>
          </cell>
          <cell r="F210">
            <v>0</v>
          </cell>
          <cell r="G210">
            <v>0</v>
          </cell>
          <cell r="H210">
            <v>-10660</v>
          </cell>
          <cell r="I210">
            <v>-12849</v>
          </cell>
          <cell r="J210"/>
          <cell r="K210">
            <v>0</v>
          </cell>
          <cell r="L210">
            <v>86906</v>
          </cell>
          <cell r="M210">
            <v>77326</v>
          </cell>
          <cell r="N210">
            <v>0</v>
          </cell>
          <cell r="O210">
            <v>0</v>
          </cell>
          <cell r="P210">
            <v>0</v>
          </cell>
          <cell r="Q210">
            <v>0</v>
          </cell>
          <cell r="R210">
            <v>0</v>
          </cell>
          <cell r="S210">
            <v>0</v>
          </cell>
          <cell r="T210">
            <v>0</v>
          </cell>
          <cell r="U210">
            <v>0</v>
          </cell>
          <cell r="V210">
            <v>0</v>
          </cell>
          <cell r="W210">
            <v>90386</v>
          </cell>
          <cell r="X210">
            <v>0</v>
          </cell>
          <cell r="Y210"/>
          <cell r="Z210">
            <v>0</v>
          </cell>
          <cell r="AA210">
            <v>0</v>
          </cell>
          <cell r="AB210">
            <v>0</v>
          </cell>
          <cell r="AC210"/>
          <cell r="AD210">
            <v>0</v>
          </cell>
          <cell r="AE210">
            <v>0</v>
          </cell>
          <cell r="AF210">
            <v>0</v>
          </cell>
          <cell r="AG210">
            <v>0</v>
          </cell>
          <cell r="AH210">
            <v>0</v>
          </cell>
          <cell r="AI210">
            <v>0</v>
          </cell>
          <cell r="AJ210">
            <v>0</v>
          </cell>
          <cell r="AK210">
            <v>0</v>
          </cell>
          <cell r="AL210"/>
          <cell r="AM210">
            <v>15181</v>
          </cell>
          <cell r="AN210">
            <v>15530</v>
          </cell>
          <cell r="AO210">
            <v>15887</v>
          </cell>
          <cell r="AP210">
            <v>16253</v>
          </cell>
          <cell r="AQ210">
            <v>16626</v>
          </cell>
          <cell r="AR210">
            <v>17009</v>
          </cell>
          <cell r="AS210">
            <v>0</v>
          </cell>
          <cell r="AT210">
            <v>0</v>
          </cell>
          <cell r="AU210">
            <v>4740</v>
          </cell>
          <cell r="AV210">
            <v>0</v>
          </cell>
          <cell r="AW210">
            <v>0</v>
          </cell>
          <cell r="AX210">
            <v>0</v>
          </cell>
          <cell r="AY210"/>
          <cell r="AZ210"/>
          <cell r="BA210">
            <v>0</v>
          </cell>
          <cell r="BB210"/>
          <cell r="BC210">
            <v>0</v>
          </cell>
          <cell r="BD210">
            <v>8813</v>
          </cell>
          <cell r="BE210"/>
          <cell r="BF210">
            <v>0</v>
          </cell>
          <cell r="BG210">
            <v>0</v>
          </cell>
          <cell r="BH210">
            <v>0</v>
          </cell>
          <cell r="BI210">
            <v>19503</v>
          </cell>
          <cell r="BJ210">
            <v>16054</v>
          </cell>
          <cell r="BK210">
            <v>16054</v>
          </cell>
          <cell r="BL210">
            <v>0</v>
          </cell>
          <cell r="BM210">
            <v>0</v>
          </cell>
          <cell r="BN210">
            <v>0</v>
          </cell>
          <cell r="BO210">
            <v>10215</v>
          </cell>
          <cell r="BP210">
            <v>26883.8</v>
          </cell>
          <cell r="BQ210">
            <v>48430.232558139498</v>
          </cell>
          <cell r="BR210">
            <v>0</v>
          </cell>
          <cell r="BS210">
            <v>0</v>
          </cell>
          <cell r="BT210">
            <v>38104</v>
          </cell>
          <cell r="BU210"/>
          <cell r="BV210"/>
          <cell r="BW210"/>
          <cell r="BX210"/>
          <cell r="BY210">
            <v>0</v>
          </cell>
          <cell r="BZ210">
            <v>0</v>
          </cell>
          <cell r="CA210">
            <v>0</v>
          </cell>
          <cell r="CB210">
            <v>0</v>
          </cell>
          <cell r="CC210">
            <v>1250356</v>
          </cell>
          <cell r="CD210">
            <v>6847034</v>
          </cell>
          <cell r="CE210">
            <v>329884</v>
          </cell>
          <cell r="CF210">
            <v>0</v>
          </cell>
          <cell r="CG210">
            <v>329884</v>
          </cell>
          <cell r="CH210">
            <v>329884</v>
          </cell>
          <cell r="CI210">
            <v>329884</v>
          </cell>
          <cell r="CJ210">
            <v>329884</v>
          </cell>
          <cell r="CK210">
            <v>0</v>
          </cell>
          <cell r="CL210">
            <v>0</v>
          </cell>
          <cell r="CM210">
            <v>0</v>
          </cell>
          <cell r="CN210">
            <v>0</v>
          </cell>
          <cell r="CO210">
            <v>0</v>
          </cell>
          <cell r="CP210">
            <v>-4627</v>
          </cell>
          <cell r="CQ210">
            <v>247909</v>
          </cell>
          <cell r="CR210">
            <v>275223</v>
          </cell>
          <cell r="CS210">
            <v>284498</v>
          </cell>
          <cell r="CT210">
            <v>309395</v>
          </cell>
          <cell r="CU210">
            <v>334179</v>
          </cell>
          <cell r="CV210">
            <v>27098</v>
          </cell>
          <cell r="CW210">
            <v>0</v>
          </cell>
          <cell r="CX210">
            <v>0</v>
          </cell>
          <cell r="CY210">
            <v>0</v>
          </cell>
          <cell r="CZ210">
            <v>0</v>
          </cell>
          <cell r="DA210">
            <v>0</v>
          </cell>
          <cell r="DB210"/>
          <cell r="DC210">
            <v>0</v>
          </cell>
          <cell r="DD210">
            <v>0</v>
          </cell>
          <cell r="DE210">
            <v>0</v>
          </cell>
          <cell r="DF210">
            <v>0</v>
          </cell>
          <cell r="DG210">
            <v>0</v>
          </cell>
          <cell r="DH210">
            <v>0</v>
          </cell>
          <cell r="DI210">
            <v>0</v>
          </cell>
          <cell r="DJ210">
            <v>0</v>
          </cell>
          <cell r="DK210">
            <v>0</v>
          </cell>
          <cell r="DL210">
            <v>0</v>
          </cell>
          <cell r="DM210"/>
          <cell r="DN210"/>
          <cell r="DO210"/>
          <cell r="DP210"/>
        </row>
        <row r="211">
          <cell r="A211">
            <v>484</v>
          </cell>
          <cell r="B211" t="str">
            <v>Alphen aan den Rijn</v>
          </cell>
          <cell r="C211">
            <v>8</v>
          </cell>
          <cell r="D211">
            <v>112471</v>
          </cell>
          <cell r="E211">
            <v>56235</v>
          </cell>
          <cell r="F211">
            <v>0</v>
          </cell>
          <cell r="G211">
            <v>47464</v>
          </cell>
          <cell r="H211">
            <v>0</v>
          </cell>
          <cell r="I211">
            <v>-37312</v>
          </cell>
          <cell r="J211"/>
          <cell r="K211">
            <v>0</v>
          </cell>
          <cell r="L211">
            <v>410020</v>
          </cell>
          <cell r="M211">
            <v>385679</v>
          </cell>
          <cell r="N211">
            <v>0</v>
          </cell>
          <cell r="O211">
            <v>0</v>
          </cell>
          <cell r="P211">
            <v>0</v>
          </cell>
          <cell r="Q211">
            <v>0</v>
          </cell>
          <cell r="R211">
            <v>0</v>
          </cell>
          <cell r="S211">
            <v>0</v>
          </cell>
          <cell r="T211">
            <v>0</v>
          </cell>
          <cell r="U211">
            <v>0</v>
          </cell>
          <cell r="V211">
            <v>68000</v>
          </cell>
          <cell r="W211">
            <v>440849</v>
          </cell>
          <cell r="X211">
            <v>0</v>
          </cell>
          <cell r="Y211"/>
          <cell r="Z211">
            <v>0</v>
          </cell>
          <cell r="AA211">
            <v>0</v>
          </cell>
          <cell r="AB211">
            <v>0</v>
          </cell>
          <cell r="AC211"/>
          <cell r="AD211">
            <v>30312</v>
          </cell>
          <cell r="AE211">
            <v>0</v>
          </cell>
          <cell r="AF211">
            <v>0</v>
          </cell>
          <cell r="AG211">
            <v>0</v>
          </cell>
          <cell r="AH211">
            <v>0</v>
          </cell>
          <cell r="AI211">
            <v>0</v>
          </cell>
          <cell r="AJ211">
            <v>0</v>
          </cell>
          <cell r="AK211">
            <v>0</v>
          </cell>
          <cell r="AL211"/>
          <cell r="AM211">
            <v>0</v>
          </cell>
          <cell r="AN211">
            <v>0</v>
          </cell>
          <cell r="AO211">
            <v>0</v>
          </cell>
          <cell r="AP211">
            <v>0</v>
          </cell>
          <cell r="AQ211">
            <v>0</v>
          </cell>
          <cell r="AR211">
            <v>0</v>
          </cell>
          <cell r="AS211">
            <v>0</v>
          </cell>
          <cell r="AT211">
            <v>0</v>
          </cell>
          <cell r="AU211">
            <v>7110</v>
          </cell>
          <cell r="AV211">
            <v>0</v>
          </cell>
          <cell r="AW211">
            <v>0</v>
          </cell>
          <cell r="AX211">
            <v>0</v>
          </cell>
          <cell r="AY211"/>
          <cell r="AZ211"/>
          <cell r="BA211">
            <v>0</v>
          </cell>
          <cell r="BB211"/>
          <cell r="BC211">
            <v>0</v>
          </cell>
          <cell r="BD211">
            <v>38233</v>
          </cell>
          <cell r="BE211"/>
          <cell r="BF211">
            <v>0</v>
          </cell>
          <cell r="BG211">
            <v>0</v>
          </cell>
          <cell r="BH211">
            <v>0</v>
          </cell>
          <cell r="BI211">
            <v>132594</v>
          </cell>
          <cell r="BJ211">
            <v>109144</v>
          </cell>
          <cell r="BK211">
            <v>109144</v>
          </cell>
          <cell r="BL211">
            <v>0</v>
          </cell>
          <cell r="BM211">
            <v>0</v>
          </cell>
          <cell r="BN211">
            <v>0</v>
          </cell>
          <cell r="BO211">
            <v>194085</v>
          </cell>
          <cell r="BP211">
            <v>34790.800000000003</v>
          </cell>
          <cell r="BQ211">
            <v>62674.418604651197</v>
          </cell>
          <cell r="BR211">
            <v>0</v>
          </cell>
          <cell r="BS211">
            <v>0</v>
          </cell>
          <cell r="BT211">
            <v>167667</v>
          </cell>
          <cell r="BU211"/>
          <cell r="BV211"/>
          <cell r="BW211"/>
          <cell r="BX211"/>
          <cell r="BY211">
            <v>0</v>
          </cell>
          <cell r="BZ211">
            <v>0</v>
          </cell>
          <cell r="CA211">
            <v>0</v>
          </cell>
          <cell r="CB211">
            <v>0</v>
          </cell>
          <cell r="CC211">
            <v>7432602</v>
          </cell>
          <cell r="CD211">
            <v>49986342</v>
          </cell>
          <cell r="CE211">
            <v>5627334</v>
          </cell>
          <cell r="CF211">
            <v>0</v>
          </cell>
          <cell r="CG211">
            <v>5627334</v>
          </cell>
          <cell r="CH211">
            <v>5627334</v>
          </cell>
          <cell r="CI211">
            <v>5627334</v>
          </cell>
          <cell r="CJ211">
            <v>5627334</v>
          </cell>
          <cell r="CK211">
            <v>0</v>
          </cell>
          <cell r="CL211">
            <v>0</v>
          </cell>
          <cell r="CM211">
            <v>0</v>
          </cell>
          <cell r="CN211">
            <v>0</v>
          </cell>
          <cell r="CO211">
            <v>0</v>
          </cell>
          <cell r="CP211">
            <v>-13402</v>
          </cell>
          <cell r="CQ211">
            <v>13470328</v>
          </cell>
          <cell r="CR211">
            <v>12823666</v>
          </cell>
          <cell r="CS211">
            <v>12465264</v>
          </cell>
          <cell r="CT211">
            <v>12110957</v>
          </cell>
          <cell r="CU211">
            <v>11786012</v>
          </cell>
          <cell r="CV211">
            <v>-4409</v>
          </cell>
          <cell r="CW211">
            <v>0</v>
          </cell>
          <cell r="CX211">
            <v>0</v>
          </cell>
          <cell r="CY211">
            <v>0</v>
          </cell>
          <cell r="CZ211">
            <v>0</v>
          </cell>
          <cell r="DA211">
            <v>0</v>
          </cell>
          <cell r="DB211"/>
          <cell r="DC211">
            <v>0</v>
          </cell>
          <cell r="DD211">
            <v>0</v>
          </cell>
          <cell r="DE211">
            <v>0</v>
          </cell>
          <cell r="DF211">
            <v>0</v>
          </cell>
          <cell r="DG211">
            <v>0</v>
          </cell>
          <cell r="DH211">
            <v>0</v>
          </cell>
          <cell r="DI211">
            <v>0</v>
          </cell>
          <cell r="DJ211">
            <v>0</v>
          </cell>
          <cell r="DK211">
            <v>0</v>
          </cell>
          <cell r="DL211">
            <v>0</v>
          </cell>
          <cell r="DM211"/>
          <cell r="DN211"/>
          <cell r="DO211"/>
          <cell r="DP211"/>
        </row>
        <row r="212">
          <cell r="A212">
            <v>489</v>
          </cell>
          <cell r="B212" t="str">
            <v>Barendrecht</v>
          </cell>
          <cell r="C212">
            <v>8</v>
          </cell>
          <cell r="D212">
            <v>42744</v>
          </cell>
          <cell r="E212">
            <v>21372</v>
          </cell>
          <cell r="F212">
            <v>0</v>
          </cell>
          <cell r="G212">
            <v>0</v>
          </cell>
          <cell r="H212">
            <v>0</v>
          </cell>
          <cell r="I212">
            <v>-5827</v>
          </cell>
          <cell r="J212"/>
          <cell r="K212">
            <v>0</v>
          </cell>
          <cell r="L212">
            <v>164899</v>
          </cell>
          <cell r="M212">
            <v>143987</v>
          </cell>
          <cell r="N212">
            <v>9900</v>
          </cell>
          <cell r="O212">
            <v>4900</v>
          </cell>
          <cell r="P212">
            <v>0</v>
          </cell>
          <cell r="Q212">
            <v>0</v>
          </cell>
          <cell r="R212">
            <v>0</v>
          </cell>
          <cell r="S212">
            <v>0</v>
          </cell>
          <cell r="T212">
            <v>0</v>
          </cell>
          <cell r="U212">
            <v>0</v>
          </cell>
          <cell r="V212">
            <v>0</v>
          </cell>
          <cell r="W212">
            <v>197294</v>
          </cell>
          <cell r="X212">
            <v>0</v>
          </cell>
          <cell r="Y212"/>
          <cell r="Z212">
            <v>0</v>
          </cell>
          <cell r="AA212">
            <v>0</v>
          </cell>
          <cell r="AB212">
            <v>0</v>
          </cell>
          <cell r="AC212"/>
          <cell r="AD212">
            <v>0</v>
          </cell>
          <cell r="AE212">
            <v>0</v>
          </cell>
          <cell r="AF212">
            <v>0</v>
          </cell>
          <cell r="AG212">
            <v>0</v>
          </cell>
          <cell r="AH212">
            <v>0</v>
          </cell>
          <cell r="AI212">
            <v>0</v>
          </cell>
          <cell r="AJ212">
            <v>0</v>
          </cell>
          <cell r="AK212">
            <v>0</v>
          </cell>
          <cell r="AL212"/>
          <cell r="AM212">
            <v>10197</v>
          </cell>
          <cell r="AN212">
            <v>10432</v>
          </cell>
          <cell r="AO212">
            <v>10672</v>
          </cell>
          <cell r="AP212">
            <v>10917</v>
          </cell>
          <cell r="AQ212">
            <v>11168</v>
          </cell>
          <cell r="AR212">
            <v>11425</v>
          </cell>
          <cell r="AS212">
            <v>0</v>
          </cell>
          <cell r="AT212">
            <v>0</v>
          </cell>
          <cell r="AU212">
            <v>0</v>
          </cell>
          <cell r="AV212">
            <v>0</v>
          </cell>
          <cell r="AW212">
            <v>0</v>
          </cell>
          <cell r="AX212">
            <v>0</v>
          </cell>
          <cell r="AY212"/>
          <cell r="AZ212"/>
          <cell r="BA212">
            <v>0</v>
          </cell>
          <cell r="BB212"/>
          <cell r="BC212">
            <v>0</v>
          </cell>
          <cell r="BD212">
            <v>16970</v>
          </cell>
          <cell r="BE212"/>
          <cell r="BF212">
            <v>0</v>
          </cell>
          <cell r="BG212">
            <v>0</v>
          </cell>
          <cell r="BH212">
            <v>0</v>
          </cell>
          <cell r="BI212">
            <v>31558</v>
          </cell>
          <cell r="BJ212">
            <v>25977</v>
          </cell>
          <cell r="BK212">
            <v>25977</v>
          </cell>
          <cell r="BL212">
            <v>0</v>
          </cell>
          <cell r="BM212">
            <v>0</v>
          </cell>
          <cell r="BN212">
            <v>0</v>
          </cell>
          <cell r="BO212">
            <v>45238</v>
          </cell>
          <cell r="BP212">
            <v>22139.599999999999</v>
          </cell>
          <cell r="BQ212">
            <v>39883.720930232601</v>
          </cell>
          <cell r="BR212">
            <v>0</v>
          </cell>
          <cell r="BS212">
            <v>0</v>
          </cell>
          <cell r="BT212">
            <v>76881</v>
          </cell>
          <cell r="BU212"/>
          <cell r="BV212"/>
          <cell r="BW212"/>
          <cell r="BX212"/>
          <cell r="BY212">
            <v>0</v>
          </cell>
          <cell r="BZ212">
            <v>0</v>
          </cell>
          <cell r="CA212">
            <v>0</v>
          </cell>
          <cell r="CB212">
            <v>0</v>
          </cell>
          <cell r="CC212">
            <v>2405475</v>
          </cell>
          <cell r="CD212">
            <v>12667009</v>
          </cell>
          <cell r="CE212">
            <v>1008092</v>
          </cell>
          <cell r="CF212">
            <v>0</v>
          </cell>
          <cell r="CG212">
            <v>1008092</v>
          </cell>
          <cell r="CH212">
            <v>1008092</v>
          </cell>
          <cell r="CI212">
            <v>1008092</v>
          </cell>
          <cell r="CJ212">
            <v>1008092</v>
          </cell>
          <cell r="CK212">
            <v>0</v>
          </cell>
          <cell r="CL212">
            <v>0</v>
          </cell>
          <cell r="CM212">
            <v>0</v>
          </cell>
          <cell r="CN212">
            <v>0</v>
          </cell>
          <cell r="CO212">
            <v>0</v>
          </cell>
          <cell r="CP212">
            <v>-2099</v>
          </cell>
          <cell r="CQ212">
            <v>166318</v>
          </cell>
          <cell r="CR212">
            <v>184802</v>
          </cell>
          <cell r="CS212">
            <v>190989</v>
          </cell>
          <cell r="CT212">
            <v>207825</v>
          </cell>
          <cell r="CU212">
            <v>224587</v>
          </cell>
          <cell r="CV212">
            <v>-48612</v>
          </cell>
          <cell r="CW212">
            <v>0</v>
          </cell>
          <cell r="CX212">
            <v>0</v>
          </cell>
          <cell r="CY212">
            <v>0</v>
          </cell>
          <cell r="CZ212">
            <v>0</v>
          </cell>
          <cell r="DA212">
            <v>0</v>
          </cell>
          <cell r="DB212"/>
          <cell r="DC212">
            <v>0</v>
          </cell>
          <cell r="DD212">
            <v>0</v>
          </cell>
          <cell r="DE212">
            <v>0</v>
          </cell>
          <cell r="DF212">
            <v>0</v>
          </cell>
          <cell r="DG212">
            <v>0</v>
          </cell>
          <cell r="DH212">
            <v>0</v>
          </cell>
          <cell r="DI212">
            <v>0</v>
          </cell>
          <cell r="DJ212">
            <v>0</v>
          </cell>
          <cell r="DK212">
            <v>0</v>
          </cell>
          <cell r="DL212">
            <v>0</v>
          </cell>
          <cell r="DM212"/>
          <cell r="DN212"/>
          <cell r="DO212"/>
          <cell r="DP212"/>
        </row>
        <row r="213">
          <cell r="A213">
            <v>585</v>
          </cell>
          <cell r="B213" t="str">
            <v>Binnenmaas</v>
          </cell>
          <cell r="C213">
            <v>8</v>
          </cell>
          <cell r="D213">
            <v>-2261</v>
          </cell>
          <cell r="E213">
            <v>-1130</v>
          </cell>
          <cell r="F213">
            <v>0</v>
          </cell>
          <cell r="G213">
            <v>0</v>
          </cell>
          <cell r="H213">
            <v>0</v>
          </cell>
          <cell r="I213">
            <v>-4099</v>
          </cell>
          <cell r="J213"/>
          <cell r="K213">
            <v>0</v>
          </cell>
          <cell r="L213">
            <v>73317</v>
          </cell>
          <cell r="M213">
            <v>68089</v>
          </cell>
          <cell r="N213">
            <v>0</v>
          </cell>
          <cell r="O213">
            <v>0</v>
          </cell>
          <cell r="P213">
            <v>0</v>
          </cell>
          <cell r="Q213">
            <v>0</v>
          </cell>
          <cell r="R213">
            <v>0</v>
          </cell>
          <cell r="S213">
            <v>0</v>
          </cell>
          <cell r="T213">
            <v>0</v>
          </cell>
          <cell r="U213">
            <v>0</v>
          </cell>
          <cell r="V213">
            <v>7750</v>
          </cell>
          <cell r="W213">
            <v>96977</v>
          </cell>
          <cell r="X213">
            <v>0</v>
          </cell>
          <cell r="Y213"/>
          <cell r="Z213">
            <v>0</v>
          </cell>
          <cell r="AA213">
            <v>0</v>
          </cell>
          <cell r="AB213">
            <v>0</v>
          </cell>
          <cell r="AC213"/>
          <cell r="AD213">
            <v>0</v>
          </cell>
          <cell r="AE213">
            <v>0</v>
          </cell>
          <cell r="AF213">
            <v>0</v>
          </cell>
          <cell r="AG213">
            <v>0</v>
          </cell>
          <cell r="AH213">
            <v>0</v>
          </cell>
          <cell r="AI213">
            <v>0</v>
          </cell>
          <cell r="AJ213">
            <v>0</v>
          </cell>
          <cell r="AK213">
            <v>0</v>
          </cell>
          <cell r="AL213"/>
          <cell r="AM213">
            <v>60288</v>
          </cell>
          <cell r="AN213">
            <v>61675</v>
          </cell>
          <cell r="AO213">
            <v>63093</v>
          </cell>
          <cell r="AP213">
            <v>64544</v>
          </cell>
          <cell r="AQ213">
            <v>66029</v>
          </cell>
          <cell r="AR213">
            <v>67548</v>
          </cell>
          <cell r="AS213">
            <v>0</v>
          </cell>
          <cell r="AT213">
            <v>0</v>
          </cell>
          <cell r="AU213">
            <v>0</v>
          </cell>
          <cell r="AV213">
            <v>0</v>
          </cell>
          <cell r="AW213">
            <v>0</v>
          </cell>
          <cell r="AX213">
            <v>0</v>
          </cell>
          <cell r="AY213"/>
          <cell r="AZ213"/>
          <cell r="BA213">
            <v>0</v>
          </cell>
          <cell r="BB213"/>
          <cell r="BC213">
            <v>0</v>
          </cell>
          <cell r="BD213">
            <v>51093</v>
          </cell>
          <cell r="BE213"/>
          <cell r="BF213">
            <v>0</v>
          </cell>
          <cell r="BG213">
            <v>0</v>
          </cell>
          <cell r="BH213">
            <v>0</v>
          </cell>
          <cell r="BI213">
            <v>29341</v>
          </cell>
          <cell r="BJ213">
            <v>24152</v>
          </cell>
          <cell r="BK213">
            <v>24152</v>
          </cell>
          <cell r="BL213">
            <v>0</v>
          </cell>
          <cell r="BM213">
            <v>0</v>
          </cell>
          <cell r="BN213">
            <v>0</v>
          </cell>
          <cell r="BO213">
            <v>60317</v>
          </cell>
          <cell r="BP213">
            <v>28465.200000000001</v>
          </cell>
          <cell r="BQ213">
            <v>51279.069767441899</v>
          </cell>
          <cell r="BR213">
            <v>0</v>
          </cell>
          <cell r="BS213">
            <v>0</v>
          </cell>
          <cell r="BT213">
            <v>43072</v>
          </cell>
          <cell r="BU213"/>
          <cell r="BV213"/>
          <cell r="BW213"/>
          <cell r="BX213"/>
          <cell r="BY213">
            <v>0</v>
          </cell>
          <cell r="BZ213">
            <v>0</v>
          </cell>
          <cell r="CA213">
            <v>0</v>
          </cell>
          <cell r="CB213">
            <v>0</v>
          </cell>
          <cell r="CC213">
            <v>2041709</v>
          </cell>
          <cell r="CD213">
            <v>8523983</v>
          </cell>
          <cell r="CE213">
            <v>338975</v>
          </cell>
          <cell r="CF213">
            <v>0</v>
          </cell>
          <cell r="CG213">
            <v>338975</v>
          </cell>
          <cell r="CH213">
            <v>338975</v>
          </cell>
          <cell r="CI213">
            <v>338975</v>
          </cell>
          <cell r="CJ213">
            <v>338975</v>
          </cell>
          <cell r="CK213">
            <v>0</v>
          </cell>
          <cell r="CL213">
            <v>0</v>
          </cell>
          <cell r="CM213">
            <v>0</v>
          </cell>
          <cell r="CN213">
            <v>0</v>
          </cell>
          <cell r="CO213">
            <v>0</v>
          </cell>
          <cell r="CP213">
            <v>-1484</v>
          </cell>
          <cell r="CQ213">
            <v>1061617</v>
          </cell>
          <cell r="CR213">
            <v>1032100</v>
          </cell>
          <cell r="CS213">
            <v>1033432</v>
          </cell>
          <cell r="CT213">
            <v>1013777</v>
          </cell>
          <cell r="CU213">
            <v>1011339</v>
          </cell>
          <cell r="CV213">
            <v>-94372</v>
          </cell>
          <cell r="CW213">
            <v>0</v>
          </cell>
          <cell r="CX213">
            <v>0</v>
          </cell>
          <cell r="CY213">
            <v>0</v>
          </cell>
          <cell r="CZ213">
            <v>0</v>
          </cell>
          <cell r="DA213">
            <v>0</v>
          </cell>
          <cell r="DB213"/>
          <cell r="DC213">
            <v>0</v>
          </cell>
          <cell r="DD213">
            <v>0</v>
          </cell>
          <cell r="DE213">
            <v>0</v>
          </cell>
          <cell r="DF213">
            <v>0</v>
          </cell>
          <cell r="DG213">
            <v>0</v>
          </cell>
          <cell r="DH213">
            <v>0</v>
          </cell>
          <cell r="DI213">
            <v>0</v>
          </cell>
          <cell r="DJ213">
            <v>0</v>
          </cell>
          <cell r="DK213">
            <v>0</v>
          </cell>
          <cell r="DL213">
            <v>0</v>
          </cell>
          <cell r="DM213"/>
          <cell r="DN213"/>
          <cell r="DO213"/>
          <cell r="DP213"/>
        </row>
        <row r="214">
          <cell r="A214">
            <v>1901</v>
          </cell>
          <cell r="B214" t="str">
            <v>Bodegraven-Reeuwijk</v>
          </cell>
          <cell r="C214">
            <v>8</v>
          </cell>
          <cell r="D214">
            <v>21144</v>
          </cell>
          <cell r="E214">
            <v>10572</v>
          </cell>
          <cell r="F214">
            <v>0</v>
          </cell>
          <cell r="G214">
            <v>38986</v>
          </cell>
          <cell r="H214">
            <v>0</v>
          </cell>
          <cell r="I214">
            <v>-14931</v>
          </cell>
          <cell r="J214"/>
          <cell r="K214">
            <v>0</v>
          </cell>
          <cell r="L214">
            <v>114741</v>
          </cell>
          <cell r="M214">
            <v>112966</v>
          </cell>
          <cell r="N214">
            <v>0</v>
          </cell>
          <cell r="O214">
            <v>0</v>
          </cell>
          <cell r="P214">
            <v>0</v>
          </cell>
          <cell r="Q214">
            <v>0</v>
          </cell>
          <cell r="R214">
            <v>0</v>
          </cell>
          <cell r="S214">
            <v>0</v>
          </cell>
          <cell r="T214">
            <v>0</v>
          </cell>
          <cell r="U214">
            <v>0</v>
          </cell>
          <cell r="V214">
            <v>3000</v>
          </cell>
          <cell r="W214">
            <v>144229</v>
          </cell>
          <cell r="X214">
            <v>0</v>
          </cell>
          <cell r="Y214"/>
          <cell r="Z214">
            <v>0</v>
          </cell>
          <cell r="AA214">
            <v>0</v>
          </cell>
          <cell r="AB214">
            <v>0</v>
          </cell>
          <cell r="AC214"/>
          <cell r="AD214">
            <v>0</v>
          </cell>
          <cell r="AE214">
            <v>0</v>
          </cell>
          <cell r="AF214">
            <v>0</v>
          </cell>
          <cell r="AG214">
            <v>0</v>
          </cell>
          <cell r="AH214">
            <v>0</v>
          </cell>
          <cell r="AI214">
            <v>0</v>
          </cell>
          <cell r="AJ214">
            <v>0</v>
          </cell>
          <cell r="AK214">
            <v>0</v>
          </cell>
          <cell r="AL214"/>
          <cell r="AM214">
            <v>0</v>
          </cell>
          <cell r="AN214">
            <v>0</v>
          </cell>
          <cell r="AO214">
            <v>0</v>
          </cell>
          <cell r="AP214">
            <v>0</v>
          </cell>
          <cell r="AQ214">
            <v>0</v>
          </cell>
          <cell r="AR214">
            <v>0</v>
          </cell>
          <cell r="AS214">
            <v>0</v>
          </cell>
          <cell r="AT214">
            <v>0</v>
          </cell>
          <cell r="AU214">
            <v>2370</v>
          </cell>
          <cell r="AV214">
            <v>0</v>
          </cell>
          <cell r="AW214">
            <v>0</v>
          </cell>
          <cell r="AX214">
            <v>0</v>
          </cell>
          <cell r="AY214"/>
          <cell r="AZ214"/>
          <cell r="BA214">
            <v>0</v>
          </cell>
          <cell r="BB214"/>
          <cell r="BC214">
            <v>0</v>
          </cell>
          <cell r="BD214">
            <v>11841</v>
          </cell>
          <cell r="BE214"/>
          <cell r="BF214">
            <v>0</v>
          </cell>
          <cell r="BG214">
            <v>0</v>
          </cell>
          <cell r="BH214">
            <v>0</v>
          </cell>
          <cell r="BI214">
            <v>29647</v>
          </cell>
          <cell r="BJ214">
            <v>24404</v>
          </cell>
          <cell r="BK214">
            <v>24404</v>
          </cell>
          <cell r="BL214">
            <v>0</v>
          </cell>
          <cell r="BM214">
            <v>0</v>
          </cell>
          <cell r="BN214">
            <v>0</v>
          </cell>
          <cell r="BO214">
            <v>63236</v>
          </cell>
          <cell r="BP214">
            <v>26883.8</v>
          </cell>
          <cell r="BQ214">
            <v>48430.232558139498</v>
          </cell>
          <cell r="BR214">
            <v>0</v>
          </cell>
          <cell r="BS214">
            <v>0</v>
          </cell>
          <cell r="BT214">
            <v>62145</v>
          </cell>
          <cell r="BU214"/>
          <cell r="BV214"/>
          <cell r="BW214"/>
          <cell r="BX214"/>
          <cell r="BY214">
            <v>0</v>
          </cell>
          <cell r="BZ214">
            <v>0</v>
          </cell>
          <cell r="CA214">
            <v>0</v>
          </cell>
          <cell r="CB214">
            <v>0</v>
          </cell>
          <cell r="CC214">
            <v>2013374</v>
          </cell>
          <cell r="CD214">
            <v>9701754</v>
          </cell>
          <cell r="CE214">
            <v>692760</v>
          </cell>
          <cell r="CF214">
            <v>0</v>
          </cell>
          <cell r="CG214">
            <v>692760</v>
          </cell>
          <cell r="CH214">
            <v>692760</v>
          </cell>
          <cell r="CI214">
            <v>692760</v>
          </cell>
          <cell r="CJ214">
            <v>692760</v>
          </cell>
          <cell r="CK214">
            <v>0</v>
          </cell>
          <cell r="CL214">
            <v>0</v>
          </cell>
          <cell r="CM214">
            <v>0</v>
          </cell>
          <cell r="CN214">
            <v>0</v>
          </cell>
          <cell r="CO214">
            <v>0</v>
          </cell>
          <cell r="CP214">
            <v>-5345</v>
          </cell>
          <cell r="CQ214">
            <v>1177448</v>
          </cell>
          <cell r="CR214">
            <v>1110278</v>
          </cell>
          <cell r="CS214">
            <v>1109468</v>
          </cell>
          <cell r="CT214">
            <v>1089085</v>
          </cell>
          <cell r="CU214">
            <v>1083043</v>
          </cell>
          <cell r="CV214">
            <v>-60823</v>
          </cell>
          <cell r="CW214">
            <v>0</v>
          </cell>
          <cell r="CX214">
            <v>0</v>
          </cell>
          <cell r="CY214">
            <v>0</v>
          </cell>
          <cell r="CZ214">
            <v>0</v>
          </cell>
          <cell r="DA214">
            <v>0</v>
          </cell>
          <cell r="DB214"/>
          <cell r="DC214">
            <v>0</v>
          </cell>
          <cell r="DD214">
            <v>0</v>
          </cell>
          <cell r="DE214">
            <v>0</v>
          </cell>
          <cell r="DF214">
            <v>0</v>
          </cell>
          <cell r="DG214">
            <v>0</v>
          </cell>
          <cell r="DH214">
            <v>0</v>
          </cell>
          <cell r="DI214">
            <v>0</v>
          </cell>
          <cell r="DJ214">
            <v>0</v>
          </cell>
          <cell r="DK214">
            <v>0</v>
          </cell>
          <cell r="DL214">
            <v>0</v>
          </cell>
          <cell r="DM214"/>
          <cell r="DN214"/>
          <cell r="DO214"/>
          <cell r="DP214"/>
        </row>
        <row r="215">
          <cell r="A215">
            <v>501</v>
          </cell>
          <cell r="B215" t="str">
            <v>Brielle</v>
          </cell>
          <cell r="C215">
            <v>8</v>
          </cell>
          <cell r="D215">
            <v>688</v>
          </cell>
          <cell r="E215">
            <v>344</v>
          </cell>
          <cell r="F215">
            <v>0</v>
          </cell>
          <cell r="G215">
            <v>0</v>
          </cell>
          <cell r="H215">
            <v>-14780</v>
          </cell>
          <cell r="I215">
            <v>-18173</v>
          </cell>
          <cell r="J215"/>
          <cell r="K215">
            <v>0</v>
          </cell>
          <cell r="L215">
            <v>57122</v>
          </cell>
          <cell r="M215">
            <v>54995</v>
          </cell>
          <cell r="N215">
            <v>2500</v>
          </cell>
          <cell r="O215">
            <v>1300</v>
          </cell>
          <cell r="P215">
            <v>0</v>
          </cell>
          <cell r="Q215">
            <v>0</v>
          </cell>
          <cell r="R215">
            <v>0</v>
          </cell>
          <cell r="S215">
            <v>0</v>
          </cell>
          <cell r="T215">
            <v>0</v>
          </cell>
          <cell r="U215">
            <v>0</v>
          </cell>
          <cell r="V215">
            <v>0</v>
          </cell>
          <cell r="W215">
            <v>27275</v>
          </cell>
          <cell r="X215">
            <v>0</v>
          </cell>
          <cell r="Y215"/>
          <cell r="Z215">
            <v>0</v>
          </cell>
          <cell r="AA215">
            <v>0</v>
          </cell>
          <cell r="AB215">
            <v>0</v>
          </cell>
          <cell r="AC215"/>
          <cell r="AD215">
            <v>0</v>
          </cell>
          <cell r="AE215">
            <v>0</v>
          </cell>
          <cell r="AF215">
            <v>0</v>
          </cell>
          <cell r="AG215">
            <v>0</v>
          </cell>
          <cell r="AH215">
            <v>0</v>
          </cell>
          <cell r="AI215">
            <v>0</v>
          </cell>
          <cell r="AJ215">
            <v>0</v>
          </cell>
          <cell r="AK215">
            <v>0</v>
          </cell>
          <cell r="AL215"/>
          <cell r="AM215">
            <v>24838</v>
          </cell>
          <cell r="AN215">
            <v>25409</v>
          </cell>
          <cell r="AO215">
            <v>25994</v>
          </cell>
          <cell r="AP215">
            <v>26591</v>
          </cell>
          <cell r="AQ215">
            <v>27203</v>
          </cell>
          <cell r="AR215">
            <v>27829</v>
          </cell>
          <cell r="AS215">
            <v>0</v>
          </cell>
          <cell r="AT215">
            <v>0</v>
          </cell>
          <cell r="AU215">
            <v>4740</v>
          </cell>
          <cell r="AV215">
            <v>0</v>
          </cell>
          <cell r="AW215">
            <v>0</v>
          </cell>
          <cell r="AX215">
            <v>0</v>
          </cell>
          <cell r="AY215"/>
          <cell r="AZ215"/>
          <cell r="BA215">
            <v>0</v>
          </cell>
          <cell r="BB215"/>
          <cell r="BC215">
            <v>0</v>
          </cell>
          <cell r="BD215">
            <v>5909</v>
          </cell>
          <cell r="BE215"/>
          <cell r="BF215">
            <v>0</v>
          </cell>
          <cell r="BG215">
            <v>0</v>
          </cell>
          <cell r="BH215">
            <v>0</v>
          </cell>
          <cell r="BI215">
            <v>16336</v>
          </cell>
          <cell r="BJ215">
            <v>13447</v>
          </cell>
          <cell r="BK215">
            <v>13447</v>
          </cell>
          <cell r="BL215">
            <v>0</v>
          </cell>
          <cell r="BM215">
            <v>0</v>
          </cell>
          <cell r="BN215">
            <v>0</v>
          </cell>
          <cell r="BO215">
            <v>15566</v>
          </cell>
          <cell r="BP215">
            <v>12651.2</v>
          </cell>
          <cell r="BQ215">
            <v>22790.697674418599</v>
          </cell>
          <cell r="BR215">
            <v>0</v>
          </cell>
          <cell r="BS215">
            <v>0</v>
          </cell>
          <cell r="BT215">
            <v>24728</v>
          </cell>
          <cell r="BU215"/>
          <cell r="BV215"/>
          <cell r="BW215"/>
          <cell r="BX215"/>
          <cell r="BY215">
            <v>0</v>
          </cell>
          <cell r="BZ215">
            <v>0</v>
          </cell>
          <cell r="CA215">
            <v>0</v>
          </cell>
          <cell r="CB215">
            <v>0</v>
          </cell>
          <cell r="CC215">
            <v>1177854</v>
          </cell>
          <cell r="CD215">
            <v>4372422</v>
          </cell>
          <cell r="CE215">
            <v>72499</v>
          </cell>
          <cell r="CF215">
            <v>0</v>
          </cell>
          <cell r="CG215">
            <v>72499</v>
          </cell>
          <cell r="CH215">
            <v>72499</v>
          </cell>
          <cell r="CI215">
            <v>72499</v>
          </cell>
          <cell r="CJ215">
            <v>72499</v>
          </cell>
          <cell r="CK215">
            <v>0</v>
          </cell>
          <cell r="CL215">
            <v>0</v>
          </cell>
          <cell r="CM215">
            <v>0</v>
          </cell>
          <cell r="CN215">
            <v>0</v>
          </cell>
          <cell r="CO215">
            <v>0</v>
          </cell>
          <cell r="CP215">
            <v>-6503</v>
          </cell>
          <cell r="CQ215">
            <v>59439</v>
          </cell>
          <cell r="CR215">
            <v>65972</v>
          </cell>
          <cell r="CS215">
            <v>68199</v>
          </cell>
          <cell r="CT215">
            <v>74155</v>
          </cell>
          <cell r="CU215">
            <v>80083</v>
          </cell>
          <cell r="CV215">
            <v>-22995</v>
          </cell>
          <cell r="CW215">
            <v>0</v>
          </cell>
          <cell r="CX215">
            <v>0</v>
          </cell>
          <cell r="CY215">
            <v>0</v>
          </cell>
          <cell r="CZ215">
            <v>0</v>
          </cell>
          <cell r="DA215">
            <v>0</v>
          </cell>
          <cell r="DB215"/>
          <cell r="DC215">
            <v>0</v>
          </cell>
          <cell r="DD215">
            <v>0</v>
          </cell>
          <cell r="DE215">
            <v>0</v>
          </cell>
          <cell r="DF215">
            <v>0</v>
          </cell>
          <cell r="DG215">
            <v>0</v>
          </cell>
          <cell r="DH215">
            <v>0</v>
          </cell>
          <cell r="DI215">
            <v>0</v>
          </cell>
          <cell r="DJ215">
            <v>0</v>
          </cell>
          <cell r="DK215">
            <v>0</v>
          </cell>
          <cell r="DL215">
            <v>0</v>
          </cell>
          <cell r="DM215"/>
          <cell r="DN215"/>
          <cell r="DO215"/>
          <cell r="DP215"/>
        </row>
        <row r="216">
          <cell r="A216">
            <v>502</v>
          </cell>
          <cell r="B216" t="str">
            <v>Capelle aan den IJssel</v>
          </cell>
          <cell r="C216">
            <v>8</v>
          </cell>
          <cell r="D216">
            <v>48043</v>
          </cell>
          <cell r="E216">
            <v>24022</v>
          </cell>
          <cell r="F216">
            <v>0</v>
          </cell>
          <cell r="G216">
            <v>0</v>
          </cell>
          <cell r="H216">
            <v>-13753</v>
          </cell>
          <cell r="I216">
            <v>-35324</v>
          </cell>
          <cell r="J216"/>
          <cell r="K216">
            <v>0</v>
          </cell>
          <cell r="L216">
            <v>449016</v>
          </cell>
          <cell r="M216">
            <v>479122</v>
          </cell>
          <cell r="N216">
            <v>8400</v>
          </cell>
          <cell r="O216">
            <v>4200</v>
          </cell>
          <cell r="P216">
            <v>0</v>
          </cell>
          <cell r="Q216">
            <v>0</v>
          </cell>
          <cell r="R216">
            <v>0</v>
          </cell>
          <cell r="S216">
            <v>0</v>
          </cell>
          <cell r="T216">
            <v>0</v>
          </cell>
          <cell r="U216">
            <v>0</v>
          </cell>
          <cell r="V216">
            <v>12000</v>
          </cell>
          <cell r="W216">
            <v>188500</v>
          </cell>
          <cell r="X216">
            <v>0</v>
          </cell>
          <cell r="Y216"/>
          <cell r="Z216">
            <v>0</v>
          </cell>
          <cell r="AA216">
            <v>0</v>
          </cell>
          <cell r="AB216">
            <v>0</v>
          </cell>
          <cell r="AC216"/>
          <cell r="AD216">
            <v>68446</v>
          </cell>
          <cell r="AE216">
            <v>0</v>
          </cell>
          <cell r="AF216">
            <v>0</v>
          </cell>
          <cell r="AG216">
            <v>0</v>
          </cell>
          <cell r="AH216">
            <v>0</v>
          </cell>
          <cell r="AI216">
            <v>0</v>
          </cell>
          <cell r="AJ216">
            <v>0</v>
          </cell>
          <cell r="AK216">
            <v>0</v>
          </cell>
          <cell r="AL216"/>
          <cell r="AM216">
            <v>0</v>
          </cell>
          <cell r="AN216">
            <v>0</v>
          </cell>
          <cell r="AO216">
            <v>0</v>
          </cell>
          <cell r="AP216">
            <v>0</v>
          </cell>
          <cell r="AQ216">
            <v>0</v>
          </cell>
          <cell r="AR216">
            <v>0</v>
          </cell>
          <cell r="AS216">
            <v>0</v>
          </cell>
          <cell r="AT216">
            <v>18000</v>
          </cell>
          <cell r="AU216">
            <v>11850</v>
          </cell>
          <cell r="AV216">
            <v>0</v>
          </cell>
          <cell r="AW216">
            <v>0</v>
          </cell>
          <cell r="AX216">
            <v>0</v>
          </cell>
          <cell r="AY216"/>
          <cell r="AZ216"/>
          <cell r="BA216">
            <v>0</v>
          </cell>
          <cell r="BB216"/>
          <cell r="BC216">
            <v>0</v>
          </cell>
          <cell r="BD216">
            <v>23316</v>
          </cell>
          <cell r="BE216"/>
          <cell r="BF216">
            <v>0</v>
          </cell>
          <cell r="BG216">
            <v>0</v>
          </cell>
          <cell r="BH216">
            <v>0</v>
          </cell>
          <cell r="BI216">
            <v>117541</v>
          </cell>
          <cell r="BJ216">
            <v>96753</v>
          </cell>
          <cell r="BK216">
            <v>96753</v>
          </cell>
          <cell r="BL216">
            <v>0</v>
          </cell>
          <cell r="BM216">
            <v>0</v>
          </cell>
          <cell r="BN216">
            <v>0</v>
          </cell>
          <cell r="BO216">
            <v>9242</v>
          </cell>
          <cell r="BP216">
            <v>47442</v>
          </cell>
          <cell r="BQ216">
            <v>85465.1162790698</v>
          </cell>
          <cell r="BR216">
            <v>0</v>
          </cell>
          <cell r="BS216">
            <v>0</v>
          </cell>
          <cell r="BT216">
            <v>116331</v>
          </cell>
          <cell r="BU216"/>
          <cell r="BV216"/>
          <cell r="BW216"/>
          <cell r="BX216"/>
          <cell r="BY216">
            <v>0</v>
          </cell>
          <cell r="BZ216">
            <v>0</v>
          </cell>
          <cell r="CA216">
            <v>0</v>
          </cell>
          <cell r="CB216">
            <v>0</v>
          </cell>
          <cell r="CC216">
            <v>5300772</v>
          </cell>
          <cell r="CD216">
            <v>35594794</v>
          </cell>
          <cell r="CE216">
            <v>2407511</v>
          </cell>
          <cell r="CF216">
            <v>0</v>
          </cell>
          <cell r="CG216">
            <v>2407511</v>
          </cell>
          <cell r="CH216">
            <v>2407511</v>
          </cell>
          <cell r="CI216">
            <v>2407511</v>
          </cell>
          <cell r="CJ216">
            <v>2407511</v>
          </cell>
          <cell r="CK216">
            <v>0</v>
          </cell>
          <cell r="CL216">
            <v>0</v>
          </cell>
          <cell r="CM216">
            <v>0</v>
          </cell>
          <cell r="CN216">
            <v>0</v>
          </cell>
          <cell r="CO216">
            <v>0</v>
          </cell>
          <cell r="CP216">
            <v>-12703</v>
          </cell>
          <cell r="CQ216">
            <v>6689794</v>
          </cell>
          <cell r="CR216">
            <v>6450333</v>
          </cell>
          <cell r="CS216">
            <v>6285992</v>
          </cell>
          <cell r="CT216">
            <v>6064112</v>
          </cell>
          <cell r="CU216">
            <v>5985169</v>
          </cell>
          <cell r="CV216">
            <v>48916</v>
          </cell>
          <cell r="CW216">
            <v>0</v>
          </cell>
          <cell r="CX216">
            <v>0</v>
          </cell>
          <cell r="CY216">
            <v>0</v>
          </cell>
          <cell r="CZ216">
            <v>0</v>
          </cell>
          <cell r="DA216">
            <v>0</v>
          </cell>
          <cell r="DB216"/>
          <cell r="DC216">
            <v>0</v>
          </cell>
          <cell r="DD216">
            <v>0</v>
          </cell>
          <cell r="DE216">
            <v>0</v>
          </cell>
          <cell r="DF216">
            <v>0</v>
          </cell>
          <cell r="DG216">
            <v>0</v>
          </cell>
          <cell r="DH216">
            <v>0</v>
          </cell>
          <cell r="DI216">
            <v>0</v>
          </cell>
          <cell r="DJ216">
            <v>0</v>
          </cell>
          <cell r="DK216">
            <v>0</v>
          </cell>
          <cell r="DL216">
            <v>0</v>
          </cell>
          <cell r="DM216"/>
          <cell r="DN216"/>
          <cell r="DO216"/>
          <cell r="DP216"/>
        </row>
        <row r="217">
          <cell r="A217">
            <v>611</v>
          </cell>
          <cell r="B217" t="str">
            <v>Cromstrijen</v>
          </cell>
          <cell r="C217">
            <v>8</v>
          </cell>
          <cell r="D217">
            <v>10398</v>
          </cell>
          <cell r="E217">
            <v>5199</v>
          </cell>
          <cell r="F217">
            <v>0</v>
          </cell>
          <cell r="G217">
            <v>78680</v>
          </cell>
          <cell r="H217">
            <v>0</v>
          </cell>
          <cell r="I217">
            <v>-11757</v>
          </cell>
          <cell r="J217"/>
          <cell r="K217">
            <v>0</v>
          </cell>
          <cell r="L217">
            <v>27695</v>
          </cell>
          <cell r="M217">
            <v>23998</v>
          </cell>
          <cell r="N217">
            <v>0</v>
          </cell>
          <cell r="O217">
            <v>0</v>
          </cell>
          <cell r="P217">
            <v>0</v>
          </cell>
          <cell r="Q217">
            <v>0</v>
          </cell>
          <cell r="R217">
            <v>0</v>
          </cell>
          <cell r="S217">
            <v>0</v>
          </cell>
          <cell r="T217">
            <v>0</v>
          </cell>
          <cell r="U217">
            <v>0</v>
          </cell>
          <cell r="V217">
            <v>3000</v>
          </cell>
          <cell r="W217">
            <v>50538</v>
          </cell>
          <cell r="X217">
            <v>0</v>
          </cell>
          <cell r="Y217"/>
          <cell r="Z217">
            <v>0</v>
          </cell>
          <cell r="AA217">
            <v>0</v>
          </cell>
          <cell r="AB217">
            <v>0</v>
          </cell>
          <cell r="AC217"/>
          <cell r="AD217">
            <v>0</v>
          </cell>
          <cell r="AE217">
            <v>0</v>
          </cell>
          <cell r="AF217">
            <v>0</v>
          </cell>
          <cell r="AG217">
            <v>0</v>
          </cell>
          <cell r="AH217">
            <v>0</v>
          </cell>
          <cell r="AI217">
            <v>0</v>
          </cell>
          <cell r="AJ217">
            <v>0</v>
          </cell>
          <cell r="AK217">
            <v>0</v>
          </cell>
          <cell r="AL217"/>
          <cell r="AM217">
            <v>56766</v>
          </cell>
          <cell r="AN217">
            <v>58071</v>
          </cell>
          <cell r="AO217">
            <v>59407</v>
          </cell>
          <cell r="AP217">
            <v>60773</v>
          </cell>
          <cell r="AQ217">
            <v>62171</v>
          </cell>
          <cell r="AR217">
            <v>63601</v>
          </cell>
          <cell r="AS217">
            <v>0</v>
          </cell>
          <cell r="AT217">
            <v>0</v>
          </cell>
          <cell r="AU217">
            <v>2370</v>
          </cell>
          <cell r="AV217">
            <v>0</v>
          </cell>
          <cell r="AW217">
            <v>0</v>
          </cell>
          <cell r="AX217">
            <v>0</v>
          </cell>
          <cell r="AY217"/>
          <cell r="AZ217"/>
          <cell r="BA217">
            <v>0</v>
          </cell>
          <cell r="BB217"/>
          <cell r="BC217">
            <v>0</v>
          </cell>
          <cell r="BD217">
            <v>22451</v>
          </cell>
          <cell r="BE217"/>
          <cell r="BF217">
            <v>0</v>
          </cell>
          <cell r="BG217">
            <v>0</v>
          </cell>
          <cell r="BH217">
            <v>0</v>
          </cell>
          <cell r="BI217">
            <v>12803</v>
          </cell>
          <cell r="BJ217">
            <v>10539</v>
          </cell>
          <cell r="BK217">
            <v>10539</v>
          </cell>
          <cell r="BL217">
            <v>0</v>
          </cell>
          <cell r="BM217">
            <v>0</v>
          </cell>
          <cell r="BN217">
            <v>0</v>
          </cell>
          <cell r="BO217">
            <v>11674</v>
          </cell>
          <cell r="BP217">
            <v>0</v>
          </cell>
          <cell r="BQ217">
            <v>0</v>
          </cell>
          <cell r="BR217">
            <v>0</v>
          </cell>
          <cell r="BS217">
            <v>0</v>
          </cell>
          <cell r="BT217">
            <v>19829</v>
          </cell>
          <cell r="BU217"/>
          <cell r="BV217"/>
          <cell r="BW217"/>
          <cell r="BX217"/>
          <cell r="BY217">
            <v>0</v>
          </cell>
          <cell r="BZ217">
            <v>0</v>
          </cell>
          <cell r="CA217">
            <v>0</v>
          </cell>
          <cell r="CB217">
            <v>0</v>
          </cell>
          <cell r="CC217">
            <v>947157</v>
          </cell>
          <cell r="CD217">
            <v>4052331</v>
          </cell>
          <cell r="CE217">
            <v>196294</v>
          </cell>
          <cell r="CF217">
            <v>0</v>
          </cell>
          <cell r="CG217">
            <v>196294</v>
          </cell>
          <cell r="CH217">
            <v>196294</v>
          </cell>
          <cell r="CI217">
            <v>196294</v>
          </cell>
          <cell r="CJ217">
            <v>196294</v>
          </cell>
          <cell r="CK217">
            <v>0</v>
          </cell>
          <cell r="CL217">
            <v>0</v>
          </cell>
          <cell r="CM217">
            <v>0</v>
          </cell>
          <cell r="CN217">
            <v>0</v>
          </cell>
          <cell r="CO217">
            <v>0</v>
          </cell>
          <cell r="CP217">
            <v>-4232</v>
          </cell>
          <cell r="CQ217">
            <v>630758</v>
          </cell>
          <cell r="CR217">
            <v>592443</v>
          </cell>
          <cell r="CS217">
            <v>570242</v>
          </cell>
          <cell r="CT217">
            <v>570620</v>
          </cell>
          <cell r="CU217">
            <v>541774</v>
          </cell>
          <cell r="CV217">
            <v>5875</v>
          </cell>
          <cell r="CW217">
            <v>0</v>
          </cell>
          <cell r="CX217">
            <v>0</v>
          </cell>
          <cell r="CY217">
            <v>0</v>
          </cell>
          <cell r="CZ217">
            <v>0</v>
          </cell>
          <cell r="DA217">
            <v>0</v>
          </cell>
          <cell r="DB217"/>
          <cell r="DC217">
            <v>0</v>
          </cell>
          <cell r="DD217">
            <v>0</v>
          </cell>
          <cell r="DE217">
            <v>0</v>
          </cell>
          <cell r="DF217">
            <v>0</v>
          </cell>
          <cell r="DG217">
            <v>0</v>
          </cell>
          <cell r="DH217">
            <v>0</v>
          </cell>
          <cell r="DI217">
            <v>0</v>
          </cell>
          <cell r="DJ217">
            <v>0</v>
          </cell>
          <cell r="DK217">
            <v>0</v>
          </cell>
          <cell r="DL217">
            <v>0</v>
          </cell>
          <cell r="DM217"/>
          <cell r="DN217"/>
          <cell r="DO217"/>
          <cell r="DP217"/>
        </row>
        <row r="218">
          <cell r="A218">
            <v>503</v>
          </cell>
          <cell r="B218" t="str">
            <v>Delft</v>
          </cell>
          <cell r="C218">
            <v>8</v>
          </cell>
          <cell r="D218">
            <v>185263</v>
          </cell>
          <cell r="E218">
            <v>92631</v>
          </cell>
          <cell r="F218">
            <v>0</v>
          </cell>
          <cell r="G218">
            <v>452793</v>
          </cell>
          <cell r="H218">
            <v>0</v>
          </cell>
          <cell r="I218">
            <v>-22049</v>
          </cell>
          <cell r="J218"/>
          <cell r="K218">
            <v>0</v>
          </cell>
          <cell r="L218">
            <v>521438</v>
          </cell>
          <cell r="M218">
            <v>538521</v>
          </cell>
          <cell r="N218">
            <v>0</v>
          </cell>
          <cell r="O218">
            <v>0</v>
          </cell>
          <cell r="P218">
            <v>150000</v>
          </cell>
          <cell r="Q218">
            <v>0</v>
          </cell>
          <cell r="R218">
            <v>0</v>
          </cell>
          <cell r="S218">
            <v>0</v>
          </cell>
          <cell r="T218">
            <v>0</v>
          </cell>
          <cell r="U218">
            <v>0</v>
          </cell>
          <cell r="V218">
            <v>21000</v>
          </cell>
          <cell r="W218">
            <v>297787</v>
          </cell>
          <cell r="X218">
            <v>0</v>
          </cell>
          <cell r="Y218"/>
          <cell r="Z218">
            <v>0</v>
          </cell>
          <cell r="AA218">
            <v>0</v>
          </cell>
          <cell r="AB218">
            <v>0</v>
          </cell>
          <cell r="AC218"/>
          <cell r="AD218">
            <v>220982</v>
          </cell>
          <cell r="AE218">
            <v>0</v>
          </cell>
          <cell r="AF218">
            <v>0</v>
          </cell>
          <cell r="AG218">
            <v>0</v>
          </cell>
          <cell r="AH218">
            <v>0</v>
          </cell>
          <cell r="AI218">
            <v>0</v>
          </cell>
          <cell r="AJ218">
            <v>0</v>
          </cell>
          <cell r="AK218">
            <v>0</v>
          </cell>
          <cell r="AL218"/>
          <cell r="AM218">
            <v>0</v>
          </cell>
          <cell r="AN218">
            <v>0</v>
          </cell>
          <cell r="AO218">
            <v>0</v>
          </cell>
          <cell r="AP218">
            <v>0</v>
          </cell>
          <cell r="AQ218">
            <v>0</v>
          </cell>
          <cell r="AR218">
            <v>0</v>
          </cell>
          <cell r="AS218">
            <v>0</v>
          </cell>
          <cell r="AT218">
            <v>20000</v>
          </cell>
          <cell r="AU218">
            <v>7110</v>
          </cell>
          <cell r="AV218">
            <v>2483935.6312998398</v>
          </cell>
          <cell r="AW218">
            <v>0</v>
          </cell>
          <cell r="AX218">
            <v>0</v>
          </cell>
          <cell r="AY218"/>
          <cell r="AZ218"/>
          <cell r="BA218">
            <v>0</v>
          </cell>
          <cell r="BB218"/>
          <cell r="BC218">
            <v>9916</v>
          </cell>
          <cell r="BD218">
            <v>35588</v>
          </cell>
          <cell r="BE218"/>
          <cell r="BF218">
            <v>0</v>
          </cell>
          <cell r="BG218">
            <v>0</v>
          </cell>
          <cell r="BH218">
            <v>0</v>
          </cell>
          <cell r="BI218">
            <v>164308</v>
          </cell>
          <cell r="BJ218">
            <v>135250</v>
          </cell>
          <cell r="BK218">
            <v>135250</v>
          </cell>
          <cell r="BL218">
            <v>0</v>
          </cell>
          <cell r="BM218">
            <v>0</v>
          </cell>
          <cell r="BN218">
            <v>0</v>
          </cell>
          <cell r="BO218">
            <v>86098</v>
          </cell>
          <cell r="BP218">
            <v>60093.2</v>
          </cell>
          <cell r="BQ218">
            <v>108255.813953488</v>
          </cell>
          <cell r="BR218">
            <v>372650</v>
          </cell>
          <cell r="BS218">
            <v>0</v>
          </cell>
          <cell r="BT218">
            <v>157124</v>
          </cell>
          <cell r="BU218"/>
          <cell r="BV218"/>
          <cell r="BW218"/>
          <cell r="BX218"/>
          <cell r="BY218">
            <v>1858875.7326807701</v>
          </cell>
          <cell r="BZ218">
            <v>2153287.8856008002</v>
          </cell>
          <cell r="CA218">
            <v>2178438.6725336602</v>
          </cell>
          <cell r="CB218">
            <v>2249452.6591676399</v>
          </cell>
          <cell r="CC218">
            <v>6645737</v>
          </cell>
          <cell r="CD218">
            <v>63134905</v>
          </cell>
          <cell r="CE218">
            <v>2279940</v>
          </cell>
          <cell r="CF218">
            <v>-23131</v>
          </cell>
          <cell r="CG218">
            <v>2279940</v>
          </cell>
          <cell r="CH218">
            <v>2279940</v>
          </cell>
          <cell r="CI218">
            <v>2279940</v>
          </cell>
          <cell r="CJ218">
            <v>2279940</v>
          </cell>
          <cell r="CK218">
            <v>18546989</v>
          </cell>
          <cell r="CL218">
            <v>18537680</v>
          </cell>
          <cell r="CM218">
            <v>18537530</v>
          </cell>
          <cell r="CN218">
            <v>18537199</v>
          </cell>
          <cell r="CO218">
            <v>18537658</v>
          </cell>
          <cell r="CP218">
            <v>-4432</v>
          </cell>
          <cell r="CQ218">
            <v>12383904</v>
          </cell>
          <cell r="CR218">
            <v>11887654</v>
          </cell>
          <cell r="CS218">
            <v>11533370</v>
          </cell>
          <cell r="CT218">
            <v>11198441</v>
          </cell>
          <cell r="CU218">
            <v>10896472</v>
          </cell>
          <cell r="CV218">
            <v>571624</v>
          </cell>
          <cell r="CW218">
            <v>0</v>
          </cell>
          <cell r="CX218">
            <v>0</v>
          </cell>
          <cell r="CY218">
            <v>0</v>
          </cell>
          <cell r="CZ218">
            <v>0</v>
          </cell>
          <cell r="DA218">
            <v>0</v>
          </cell>
          <cell r="DB218"/>
          <cell r="DC218">
            <v>0</v>
          </cell>
          <cell r="DD218">
            <v>0</v>
          </cell>
          <cell r="DE218">
            <v>0</v>
          </cell>
          <cell r="DF218">
            <v>0</v>
          </cell>
          <cell r="DG218">
            <v>0</v>
          </cell>
          <cell r="DH218">
            <v>0</v>
          </cell>
          <cell r="DI218">
            <v>0</v>
          </cell>
          <cell r="DJ218">
            <v>0</v>
          </cell>
          <cell r="DK218">
            <v>0</v>
          </cell>
          <cell r="DL218">
            <v>0</v>
          </cell>
          <cell r="DM218"/>
          <cell r="DN218"/>
          <cell r="DO218"/>
          <cell r="DP218"/>
        </row>
        <row r="219">
          <cell r="A219">
            <v>505</v>
          </cell>
          <cell r="B219" t="str">
            <v>Dordrecht</v>
          </cell>
          <cell r="C219">
            <v>8</v>
          </cell>
          <cell r="D219">
            <v>175068</v>
          </cell>
          <cell r="E219">
            <v>87534</v>
          </cell>
          <cell r="F219">
            <v>0</v>
          </cell>
          <cell r="G219">
            <v>0</v>
          </cell>
          <cell r="H219">
            <v>0</v>
          </cell>
          <cell r="I219">
            <v>-16641</v>
          </cell>
          <cell r="J219"/>
          <cell r="K219">
            <v>0</v>
          </cell>
          <cell r="L219">
            <v>711784</v>
          </cell>
          <cell r="M219">
            <v>755287</v>
          </cell>
          <cell r="N219">
            <v>31100</v>
          </cell>
          <cell r="O219">
            <v>15500</v>
          </cell>
          <cell r="P219">
            <v>150000</v>
          </cell>
          <cell r="Q219">
            <v>0</v>
          </cell>
          <cell r="R219">
            <v>0</v>
          </cell>
          <cell r="S219">
            <v>1537991</v>
          </cell>
          <cell r="T219">
            <v>1537991</v>
          </cell>
          <cell r="U219">
            <v>1537991</v>
          </cell>
          <cell r="V219">
            <v>12000</v>
          </cell>
          <cell r="W219">
            <v>468062</v>
          </cell>
          <cell r="X219">
            <v>0</v>
          </cell>
          <cell r="Y219"/>
          <cell r="Z219">
            <v>0</v>
          </cell>
          <cell r="AA219">
            <v>0</v>
          </cell>
          <cell r="AB219">
            <v>0</v>
          </cell>
          <cell r="AC219"/>
          <cell r="AD219">
            <v>201426</v>
          </cell>
          <cell r="AE219">
            <v>0</v>
          </cell>
          <cell r="AF219">
            <v>0</v>
          </cell>
          <cell r="AG219">
            <v>0</v>
          </cell>
          <cell r="AH219">
            <v>0</v>
          </cell>
          <cell r="AI219">
            <v>0</v>
          </cell>
          <cell r="AJ219">
            <v>0</v>
          </cell>
          <cell r="AK219">
            <v>525469</v>
          </cell>
          <cell r="AL219"/>
          <cell r="AM219">
            <v>0</v>
          </cell>
          <cell r="AN219">
            <v>0</v>
          </cell>
          <cell r="AO219">
            <v>0</v>
          </cell>
          <cell r="AP219">
            <v>0</v>
          </cell>
          <cell r="AQ219">
            <v>0</v>
          </cell>
          <cell r="AR219">
            <v>0</v>
          </cell>
          <cell r="AS219">
            <v>0</v>
          </cell>
          <cell r="AT219">
            <v>19000</v>
          </cell>
          <cell r="AU219">
            <v>4740</v>
          </cell>
          <cell r="AV219">
            <v>5769614.6181039196</v>
          </cell>
          <cell r="AW219">
            <v>88321</v>
          </cell>
          <cell r="AX219">
            <v>0</v>
          </cell>
          <cell r="AY219"/>
          <cell r="AZ219"/>
          <cell r="BA219">
            <v>0</v>
          </cell>
          <cell r="BB219"/>
          <cell r="BC219">
            <v>0</v>
          </cell>
          <cell r="BD219">
            <v>41679</v>
          </cell>
          <cell r="BE219"/>
          <cell r="BF219">
            <v>0</v>
          </cell>
          <cell r="BG219">
            <v>0</v>
          </cell>
          <cell r="BH219">
            <v>0</v>
          </cell>
          <cell r="BI219">
            <v>224804</v>
          </cell>
          <cell r="BJ219">
            <v>185047</v>
          </cell>
          <cell r="BK219">
            <v>185047</v>
          </cell>
          <cell r="BL219">
            <v>0</v>
          </cell>
          <cell r="BM219">
            <v>0</v>
          </cell>
          <cell r="BN219">
            <v>195580</v>
          </cell>
          <cell r="BO219">
            <v>359470</v>
          </cell>
          <cell r="BP219">
            <v>18976.8</v>
          </cell>
          <cell r="BQ219">
            <v>34186.046511627901</v>
          </cell>
          <cell r="BR219">
            <v>0</v>
          </cell>
          <cell r="BS219">
            <v>0</v>
          </cell>
          <cell r="BT219">
            <v>210231</v>
          </cell>
          <cell r="BU219"/>
          <cell r="BV219"/>
          <cell r="BW219"/>
          <cell r="BX219"/>
          <cell r="BY219">
            <v>2599909.8659244799</v>
          </cell>
          <cell r="BZ219">
            <v>3013902.7810077099</v>
          </cell>
          <cell r="CA219">
            <v>3049269.0099344202</v>
          </cell>
          <cell r="CB219">
            <v>3149126.5974921798</v>
          </cell>
          <cell r="CC219">
            <v>10011229</v>
          </cell>
          <cell r="CD219">
            <v>114548423</v>
          </cell>
          <cell r="CE219">
            <v>5651145</v>
          </cell>
          <cell r="CF219">
            <v>-34302</v>
          </cell>
          <cell r="CG219">
            <v>5651145</v>
          </cell>
          <cell r="CH219">
            <v>5651145</v>
          </cell>
          <cell r="CI219">
            <v>5651145</v>
          </cell>
          <cell r="CJ219">
            <v>5651145</v>
          </cell>
          <cell r="CK219">
            <v>41851459</v>
          </cell>
          <cell r="CL219">
            <v>41830453</v>
          </cell>
          <cell r="CM219">
            <v>41830113</v>
          </cell>
          <cell r="CN219">
            <v>41829366</v>
          </cell>
          <cell r="CO219">
            <v>41830402</v>
          </cell>
          <cell r="CP219">
            <v>-876</v>
          </cell>
          <cell r="CQ219">
            <v>20593391</v>
          </cell>
          <cell r="CR219">
            <v>19639942</v>
          </cell>
          <cell r="CS219">
            <v>19060084</v>
          </cell>
          <cell r="CT219">
            <v>18658814</v>
          </cell>
          <cell r="CU219">
            <v>18321918</v>
          </cell>
          <cell r="CV219">
            <v>-110394</v>
          </cell>
          <cell r="CW219">
            <v>0</v>
          </cell>
          <cell r="CX219">
            <v>0</v>
          </cell>
          <cell r="CY219">
            <v>0</v>
          </cell>
          <cell r="CZ219">
            <v>0</v>
          </cell>
          <cell r="DA219">
            <v>0</v>
          </cell>
          <cell r="DB219"/>
          <cell r="DC219">
            <v>0</v>
          </cell>
          <cell r="DD219">
            <v>0</v>
          </cell>
          <cell r="DE219">
            <v>0</v>
          </cell>
          <cell r="DF219">
            <v>0</v>
          </cell>
          <cell r="DG219">
            <v>0</v>
          </cell>
          <cell r="DH219">
            <v>0</v>
          </cell>
          <cell r="DI219">
            <v>0</v>
          </cell>
          <cell r="DJ219">
            <v>0</v>
          </cell>
          <cell r="DK219">
            <v>0</v>
          </cell>
          <cell r="DL219">
            <v>0</v>
          </cell>
          <cell r="DM219"/>
          <cell r="DN219"/>
          <cell r="DO219"/>
          <cell r="DP219"/>
        </row>
        <row r="220">
          <cell r="A220">
            <v>689</v>
          </cell>
          <cell r="B220" t="str">
            <v>Giessenlanden</v>
          </cell>
          <cell r="C220">
            <v>8</v>
          </cell>
          <cell r="D220">
            <v>-33370</v>
          </cell>
          <cell r="E220">
            <v>-16685</v>
          </cell>
          <cell r="F220">
            <v>0</v>
          </cell>
          <cell r="G220">
            <v>0</v>
          </cell>
          <cell r="H220">
            <v>0</v>
          </cell>
          <cell r="I220">
            <v>0</v>
          </cell>
          <cell r="J220"/>
          <cell r="K220">
            <v>0</v>
          </cell>
          <cell r="L220">
            <v>40111</v>
          </cell>
          <cell r="M220">
            <v>35044</v>
          </cell>
          <cell r="N220">
            <v>0</v>
          </cell>
          <cell r="O220">
            <v>0</v>
          </cell>
          <cell r="P220">
            <v>0</v>
          </cell>
          <cell r="Q220">
            <v>0</v>
          </cell>
          <cell r="R220">
            <v>0</v>
          </cell>
          <cell r="S220">
            <v>0</v>
          </cell>
          <cell r="T220">
            <v>0</v>
          </cell>
          <cell r="U220">
            <v>0</v>
          </cell>
          <cell r="V220">
            <v>0</v>
          </cell>
          <cell r="W220">
            <v>63756</v>
          </cell>
          <cell r="X220">
            <v>0</v>
          </cell>
          <cell r="Y220"/>
          <cell r="Z220">
            <v>0</v>
          </cell>
          <cell r="AA220">
            <v>0</v>
          </cell>
          <cell r="AB220">
            <v>0</v>
          </cell>
          <cell r="AC220"/>
          <cell r="AD220">
            <v>0</v>
          </cell>
          <cell r="AE220">
            <v>0</v>
          </cell>
          <cell r="AF220">
            <v>0</v>
          </cell>
          <cell r="AG220">
            <v>0</v>
          </cell>
          <cell r="AH220">
            <v>0</v>
          </cell>
          <cell r="AI220">
            <v>0</v>
          </cell>
          <cell r="AJ220">
            <v>0</v>
          </cell>
          <cell r="AK220">
            <v>0</v>
          </cell>
          <cell r="AL220"/>
          <cell r="AM220">
            <v>51185</v>
          </cell>
          <cell r="AN220">
            <v>52362</v>
          </cell>
          <cell r="AO220">
            <v>53567</v>
          </cell>
          <cell r="AP220">
            <v>54799</v>
          </cell>
          <cell r="AQ220">
            <v>56059</v>
          </cell>
          <cell r="AR220">
            <v>57349</v>
          </cell>
          <cell r="AS220">
            <v>0</v>
          </cell>
          <cell r="AT220">
            <v>0</v>
          </cell>
          <cell r="AU220">
            <v>0</v>
          </cell>
          <cell r="AV220">
            <v>0</v>
          </cell>
          <cell r="AW220">
            <v>0</v>
          </cell>
          <cell r="AX220">
            <v>0</v>
          </cell>
          <cell r="AY220"/>
          <cell r="AZ220"/>
          <cell r="BA220">
            <v>0</v>
          </cell>
          <cell r="BB220"/>
          <cell r="BC220">
            <v>0</v>
          </cell>
          <cell r="BD220">
            <v>25608</v>
          </cell>
          <cell r="BE220"/>
          <cell r="BF220">
            <v>0</v>
          </cell>
          <cell r="BG220">
            <v>0</v>
          </cell>
          <cell r="BH220">
            <v>0</v>
          </cell>
          <cell r="BI220">
            <v>12412</v>
          </cell>
          <cell r="BJ220">
            <v>10217</v>
          </cell>
          <cell r="BK220">
            <v>10217</v>
          </cell>
          <cell r="BL220">
            <v>0</v>
          </cell>
          <cell r="BM220">
            <v>0</v>
          </cell>
          <cell r="BN220">
            <v>0</v>
          </cell>
          <cell r="BO220">
            <v>54966</v>
          </cell>
          <cell r="BP220">
            <v>0</v>
          </cell>
          <cell r="BQ220">
            <v>0</v>
          </cell>
          <cell r="BR220">
            <v>0</v>
          </cell>
          <cell r="BS220">
            <v>0</v>
          </cell>
          <cell r="BT220">
            <v>26941</v>
          </cell>
          <cell r="BU220"/>
          <cell r="BV220"/>
          <cell r="BW220"/>
          <cell r="BX220"/>
          <cell r="BY220">
            <v>0</v>
          </cell>
          <cell r="BZ220">
            <v>0</v>
          </cell>
          <cell r="CA220">
            <v>0</v>
          </cell>
          <cell r="CB220">
            <v>0</v>
          </cell>
          <cell r="CC220">
            <v>872420</v>
          </cell>
          <cell r="CD220">
            <v>4181109</v>
          </cell>
          <cell r="CE220">
            <v>285647</v>
          </cell>
          <cell r="CF220">
            <v>0</v>
          </cell>
          <cell r="CG220">
            <v>285647</v>
          </cell>
          <cell r="CH220">
            <v>285647</v>
          </cell>
          <cell r="CI220">
            <v>285647</v>
          </cell>
          <cell r="CJ220">
            <v>285647</v>
          </cell>
          <cell r="CK220">
            <v>0</v>
          </cell>
          <cell r="CL220">
            <v>0</v>
          </cell>
          <cell r="CM220">
            <v>0</v>
          </cell>
          <cell r="CN220">
            <v>0</v>
          </cell>
          <cell r="CO220">
            <v>0</v>
          </cell>
          <cell r="CP220">
            <v>0</v>
          </cell>
          <cell r="CQ220">
            <v>532997</v>
          </cell>
          <cell r="CR220">
            <v>504515</v>
          </cell>
          <cell r="CS220">
            <v>494865</v>
          </cell>
          <cell r="CT220">
            <v>490811</v>
          </cell>
          <cell r="CU220">
            <v>470289</v>
          </cell>
          <cell r="CV220">
            <v>-1534</v>
          </cell>
          <cell r="CW220">
            <v>0</v>
          </cell>
          <cell r="CX220">
            <v>0</v>
          </cell>
          <cell r="CY220">
            <v>0</v>
          </cell>
          <cell r="CZ220">
            <v>0</v>
          </cell>
          <cell r="DA220">
            <v>0</v>
          </cell>
          <cell r="DB220"/>
          <cell r="DC220">
            <v>0</v>
          </cell>
          <cell r="DD220">
            <v>0</v>
          </cell>
          <cell r="DE220">
            <v>0</v>
          </cell>
          <cell r="DF220">
            <v>0</v>
          </cell>
          <cell r="DG220">
            <v>0</v>
          </cell>
          <cell r="DH220">
            <v>0</v>
          </cell>
          <cell r="DI220">
            <v>0</v>
          </cell>
          <cell r="DJ220">
            <v>0</v>
          </cell>
          <cell r="DK220">
            <v>0</v>
          </cell>
          <cell r="DL220">
            <v>0</v>
          </cell>
          <cell r="DM220"/>
          <cell r="DN220"/>
          <cell r="DO220"/>
          <cell r="DP220"/>
        </row>
        <row r="221">
          <cell r="A221">
            <v>1924</v>
          </cell>
          <cell r="B221" t="str">
            <v>Goeree-Overflakkee</v>
          </cell>
          <cell r="C221">
            <v>8</v>
          </cell>
          <cell r="D221">
            <v>-28043</v>
          </cell>
          <cell r="E221">
            <v>-14021</v>
          </cell>
          <cell r="F221">
            <v>0</v>
          </cell>
          <cell r="G221">
            <v>0</v>
          </cell>
          <cell r="H221">
            <v>-14091</v>
          </cell>
          <cell r="I221">
            <v>-7881</v>
          </cell>
          <cell r="J221"/>
          <cell r="K221">
            <v>0</v>
          </cell>
          <cell r="L221">
            <v>133941</v>
          </cell>
          <cell r="M221">
            <v>126179</v>
          </cell>
          <cell r="N221">
            <v>0</v>
          </cell>
          <cell r="O221">
            <v>0</v>
          </cell>
          <cell r="P221">
            <v>0</v>
          </cell>
          <cell r="Q221">
            <v>0</v>
          </cell>
          <cell r="R221">
            <v>0</v>
          </cell>
          <cell r="S221">
            <v>0</v>
          </cell>
          <cell r="T221">
            <v>0</v>
          </cell>
          <cell r="U221">
            <v>0</v>
          </cell>
          <cell r="V221">
            <v>6000</v>
          </cell>
          <cell r="W221">
            <v>197294</v>
          </cell>
          <cell r="X221">
            <v>0</v>
          </cell>
          <cell r="Y221"/>
          <cell r="Z221">
            <v>0</v>
          </cell>
          <cell r="AA221">
            <v>0</v>
          </cell>
          <cell r="AB221">
            <v>130000</v>
          </cell>
          <cell r="AC221"/>
          <cell r="AD221">
            <v>0</v>
          </cell>
          <cell r="AE221">
            <v>0</v>
          </cell>
          <cell r="AF221">
            <v>0</v>
          </cell>
          <cell r="AG221">
            <v>0</v>
          </cell>
          <cell r="AH221">
            <v>0</v>
          </cell>
          <cell r="AI221">
            <v>0</v>
          </cell>
          <cell r="AJ221">
            <v>0</v>
          </cell>
          <cell r="AK221">
            <v>0</v>
          </cell>
          <cell r="AL221"/>
          <cell r="AM221">
            <v>262897</v>
          </cell>
          <cell r="AN221">
            <v>268943</v>
          </cell>
          <cell r="AO221">
            <v>275130</v>
          </cell>
          <cell r="AP221">
            <v>281457</v>
          </cell>
          <cell r="AQ221">
            <v>287930</v>
          </cell>
          <cell r="AR221">
            <v>294553</v>
          </cell>
          <cell r="AS221">
            <v>0</v>
          </cell>
          <cell r="AT221">
            <v>0</v>
          </cell>
          <cell r="AU221">
            <v>7110</v>
          </cell>
          <cell r="AV221">
            <v>0</v>
          </cell>
          <cell r="AW221">
            <v>0</v>
          </cell>
          <cell r="AX221">
            <v>0</v>
          </cell>
          <cell r="AY221"/>
          <cell r="AZ221"/>
          <cell r="BA221">
            <v>0</v>
          </cell>
          <cell r="BB221"/>
          <cell r="BC221">
            <v>0</v>
          </cell>
          <cell r="BD221">
            <v>17079</v>
          </cell>
          <cell r="BE221"/>
          <cell r="BF221">
            <v>0</v>
          </cell>
          <cell r="BG221">
            <v>0</v>
          </cell>
          <cell r="BH221">
            <v>0</v>
          </cell>
          <cell r="BI221">
            <v>52924</v>
          </cell>
          <cell r="BJ221">
            <v>43564</v>
          </cell>
          <cell r="BK221">
            <v>43564</v>
          </cell>
          <cell r="BL221">
            <v>0</v>
          </cell>
          <cell r="BM221">
            <v>0</v>
          </cell>
          <cell r="BN221">
            <v>0</v>
          </cell>
          <cell r="BO221">
            <v>141064</v>
          </cell>
          <cell r="BP221">
            <v>25302.400000000001</v>
          </cell>
          <cell r="BQ221">
            <v>45581.395348837199</v>
          </cell>
          <cell r="BR221">
            <v>0</v>
          </cell>
          <cell r="BS221">
            <v>0</v>
          </cell>
          <cell r="BT221">
            <v>86541</v>
          </cell>
          <cell r="BU221"/>
          <cell r="BV221"/>
          <cell r="BW221"/>
          <cell r="BX221"/>
          <cell r="BY221">
            <v>0</v>
          </cell>
          <cell r="BZ221">
            <v>0</v>
          </cell>
          <cell r="CA221">
            <v>0</v>
          </cell>
          <cell r="CB221">
            <v>0</v>
          </cell>
          <cell r="CC221">
            <v>3838912</v>
          </cell>
          <cell r="CD221">
            <v>20919529</v>
          </cell>
          <cell r="CE221">
            <v>767196</v>
          </cell>
          <cell r="CF221">
            <v>0</v>
          </cell>
          <cell r="CG221">
            <v>767196</v>
          </cell>
          <cell r="CH221">
            <v>767196</v>
          </cell>
          <cell r="CI221">
            <v>767196</v>
          </cell>
          <cell r="CJ221">
            <v>767196</v>
          </cell>
          <cell r="CK221">
            <v>0</v>
          </cell>
          <cell r="CL221">
            <v>0</v>
          </cell>
          <cell r="CM221">
            <v>0</v>
          </cell>
          <cell r="CN221">
            <v>0</v>
          </cell>
          <cell r="CO221">
            <v>0</v>
          </cell>
          <cell r="CP221">
            <v>-2849</v>
          </cell>
          <cell r="CQ221">
            <v>5187225</v>
          </cell>
          <cell r="CR221">
            <v>4881664</v>
          </cell>
          <cell r="CS221">
            <v>4738161</v>
          </cell>
          <cell r="CT221">
            <v>4657491</v>
          </cell>
          <cell r="CU221">
            <v>4541376</v>
          </cell>
          <cell r="CV221">
            <v>-8964</v>
          </cell>
          <cell r="CW221">
            <v>0</v>
          </cell>
          <cell r="CX221">
            <v>0</v>
          </cell>
          <cell r="CY221">
            <v>0</v>
          </cell>
          <cell r="CZ221">
            <v>0</v>
          </cell>
          <cell r="DA221">
            <v>0</v>
          </cell>
          <cell r="DB221"/>
          <cell r="DC221">
            <v>0</v>
          </cell>
          <cell r="DD221">
            <v>0</v>
          </cell>
          <cell r="DE221">
            <v>0</v>
          </cell>
          <cell r="DF221">
            <v>0</v>
          </cell>
          <cell r="DG221">
            <v>0</v>
          </cell>
          <cell r="DH221">
            <v>0</v>
          </cell>
          <cell r="DI221">
            <v>0</v>
          </cell>
          <cell r="DJ221">
            <v>0</v>
          </cell>
          <cell r="DK221">
            <v>0</v>
          </cell>
          <cell r="DL221">
            <v>0</v>
          </cell>
          <cell r="DM221"/>
          <cell r="DN221"/>
          <cell r="DO221"/>
          <cell r="DP221"/>
        </row>
        <row r="222">
          <cell r="A222">
            <v>512</v>
          </cell>
          <cell r="B222" t="str">
            <v>Gorinchem</v>
          </cell>
          <cell r="C222">
            <v>8</v>
          </cell>
          <cell r="D222">
            <v>-23731</v>
          </cell>
          <cell r="E222">
            <v>-11865</v>
          </cell>
          <cell r="F222">
            <v>0</v>
          </cell>
          <cell r="G222">
            <v>0</v>
          </cell>
          <cell r="H222">
            <v>-7813</v>
          </cell>
          <cell r="I222">
            <v>-20003</v>
          </cell>
          <cell r="J222"/>
          <cell r="K222">
            <v>7500</v>
          </cell>
          <cell r="L222">
            <v>189093</v>
          </cell>
          <cell r="M222">
            <v>179983</v>
          </cell>
          <cell r="N222">
            <v>0</v>
          </cell>
          <cell r="O222">
            <v>0</v>
          </cell>
          <cell r="P222">
            <v>0</v>
          </cell>
          <cell r="Q222">
            <v>0</v>
          </cell>
          <cell r="R222">
            <v>0</v>
          </cell>
          <cell r="S222">
            <v>0</v>
          </cell>
          <cell r="T222">
            <v>0</v>
          </cell>
          <cell r="U222">
            <v>0</v>
          </cell>
          <cell r="V222">
            <v>15000</v>
          </cell>
          <cell r="W222">
            <v>136842</v>
          </cell>
          <cell r="X222">
            <v>0</v>
          </cell>
          <cell r="Y222"/>
          <cell r="Z222">
            <v>0</v>
          </cell>
          <cell r="AA222">
            <v>0</v>
          </cell>
          <cell r="AB222">
            <v>0</v>
          </cell>
          <cell r="AC222"/>
          <cell r="AD222">
            <v>34223</v>
          </cell>
          <cell r="AE222">
            <v>0</v>
          </cell>
          <cell r="AF222">
            <v>0</v>
          </cell>
          <cell r="AG222">
            <v>0</v>
          </cell>
          <cell r="AH222">
            <v>0</v>
          </cell>
          <cell r="AI222">
            <v>0</v>
          </cell>
          <cell r="AJ222">
            <v>0</v>
          </cell>
          <cell r="AK222">
            <v>0</v>
          </cell>
          <cell r="AL222"/>
          <cell r="AM222">
            <v>9838</v>
          </cell>
          <cell r="AN222">
            <v>10064</v>
          </cell>
          <cell r="AO222">
            <v>10296</v>
          </cell>
          <cell r="AP222">
            <v>10532</v>
          </cell>
          <cell r="AQ222">
            <v>10775</v>
          </cell>
          <cell r="AR222">
            <v>11023</v>
          </cell>
          <cell r="AS222">
            <v>0</v>
          </cell>
          <cell r="AT222">
            <v>0</v>
          </cell>
          <cell r="AU222">
            <v>7110</v>
          </cell>
          <cell r="AV222">
            <v>0</v>
          </cell>
          <cell r="AW222">
            <v>0</v>
          </cell>
          <cell r="AX222">
            <v>0</v>
          </cell>
          <cell r="AY222"/>
          <cell r="AZ222"/>
          <cell r="BA222">
            <v>0</v>
          </cell>
          <cell r="BB222"/>
          <cell r="BC222">
            <v>0</v>
          </cell>
          <cell r="BD222">
            <v>12551</v>
          </cell>
          <cell r="BE222"/>
          <cell r="BF222">
            <v>0</v>
          </cell>
          <cell r="BG222">
            <v>0</v>
          </cell>
          <cell r="BH222">
            <v>0</v>
          </cell>
          <cell r="BI222">
            <v>64815</v>
          </cell>
          <cell r="BJ222">
            <v>53352</v>
          </cell>
          <cell r="BK222">
            <v>53352</v>
          </cell>
          <cell r="BL222">
            <v>0</v>
          </cell>
          <cell r="BM222">
            <v>0</v>
          </cell>
          <cell r="BN222">
            <v>0</v>
          </cell>
          <cell r="BO222">
            <v>98745</v>
          </cell>
          <cell r="BP222">
            <v>12651.2</v>
          </cell>
          <cell r="BQ222">
            <v>22790.697674418599</v>
          </cell>
          <cell r="BR222">
            <v>0</v>
          </cell>
          <cell r="BS222">
            <v>0</v>
          </cell>
          <cell r="BT222">
            <v>56618</v>
          </cell>
          <cell r="BU222"/>
          <cell r="BV222"/>
          <cell r="BW222"/>
          <cell r="BX222"/>
          <cell r="BY222">
            <v>0</v>
          </cell>
          <cell r="BZ222">
            <v>0</v>
          </cell>
          <cell r="CA222">
            <v>0</v>
          </cell>
          <cell r="CB222">
            <v>0</v>
          </cell>
          <cell r="CC222">
            <v>2982500</v>
          </cell>
          <cell r="CD222">
            <v>20785789</v>
          </cell>
          <cell r="CE222">
            <v>799640</v>
          </cell>
          <cell r="CF222">
            <v>-20370</v>
          </cell>
          <cell r="CG222">
            <v>799640</v>
          </cell>
          <cell r="CH222">
            <v>799640</v>
          </cell>
          <cell r="CI222">
            <v>799640</v>
          </cell>
          <cell r="CJ222">
            <v>799640</v>
          </cell>
          <cell r="CK222">
            <v>0</v>
          </cell>
          <cell r="CL222">
            <v>0</v>
          </cell>
          <cell r="CM222">
            <v>0</v>
          </cell>
          <cell r="CN222">
            <v>0</v>
          </cell>
          <cell r="CO222">
            <v>0</v>
          </cell>
          <cell r="CP222">
            <v>-4163</v>
          </cell>
          <cell r="CQ222">
            <v>6134993</v>
          </cell>
          <cell r="CR222">
            <v>5890976</v>
          </cell>
          <cell r="CS222">
            <v>5751185</v>
          </cell>
          <cell r="CT222">
            <v>5553863</v>
          </cell>
          <cell r="CU222">
            <v>5447655</v>
          </cell>
          <cell r="CV222">
            <v>33314</v>
          </cell>
          <cell r="CW222">
            <v>0</v>
          </cell>
          <cell r="CX222">
            <v>0</v>
          </cell>
          <cell r="CY222">
            <v>0</v>
          </cell>
          <cell r="CZ222">
            <v>0</v>
          </cell>
          <cell r="DA222">
            <v>0</v>
          </cell>
          <cell r="DB222"/>
          <cell r="DC222">
            <v>0</v>
          </cell>
          <cell r="DD222">
            <v>0</v>
          </cell>
          <cell r="DE222">
            <v>0</v>
          </cell>
          <cell r="DF222">
            <v>0</v>
          </cell>
          <cell r="DG222">
            <v>0</v>
          </cell>
          <cell r="DH222">
            <v>0</v>
          </cell>
          <cell r="DI222">
            <v>0</v>
          </cell>
          <cell r="DJ222">
            <v>0</v>
          </cell>
          <cell r="DK222">
            <v>0</v>
          </cell>
          <cell r="DL222">
            <v>0</v>
          </cell>
          <cell r="DM222"/>
          <cell r="DN222"/>
          <cell r="DO222"/>
          <cell r="DP222"/>
        </row>
        <row r="223">
          <cell r="A223">
            <v>513</v>
          </cell>
          <cell r="B223" t="str">
            <v>Gouda</v>
          </cell>
          <cell r="C223">
            <v>8</v>
          </cell>
          <cell r="D223">
            <v>171033</v>
          </cell>
          <cell r="E223">
            <v>85517</v>
          </cell>
          <cell r="F223">
            <v>0</v>
          </cell>
          <cell r="G223">
            <v>50493</v>
          </cell>
          <cell r="H223">
            <v>205792</v>
          </cell>
          <cell r="I223">
            <v>195185</v>
          </cell>
          <cell r="J223"/>
          <cell r="K223">
            <v>7500</v>
          </cell>
          <cell r="L223">
            <v>388691</v>
          </cell>
          <cell r="M223">
            <v>401677</v>
          </cell>
          <cell r="N223">
            <v>0</v>
          </cell>
          <cell r="O223">
            <v>0</v>
          </cell>
          <cell r="P223">
            <v>0</v>
          </cell>
          <cell r="Q223">
            <v>0</v>
          </cell>
          <cell r="R223">
            <v>0</v>
          </cell>
          <cell r="S223">
            <v>0</v>
          </cell>
          <cell r="T223">
            <v>0</v>
          </cell>
          <cell r="U223">
            <v>0</v>
          </cell>
          <cell r="V223">
            <v>33000</v>
          </cell>
          <cell r="W223">
            <v>299342</v>
          </cell>
          <cell r="X223">
            <v>0</v>
          </cell>
          <cell r="Y223"/>
          <cell r="Z223">
            <v>0</v>
          </cell>
          <cell r="AA223">
            <v>0</v>
          </cell>
          <cell r="AB223">
            <v>0</v>
          </cell>
          <cell r="AC223"/>
          <cell r="AD223">
            <v>97780</v>
          </cell>
          <cell r="AE223">
            <v>0</v>
          </cell>
          <cell r="AF223">
            <v>0</v>
          </cell>
          <cell r="AG223">
            <v>0</v>
          </cell>
          <cell r="AH223">
            <v>0</v>
          </cell>
          <cell r="AI223">
            <v>0</v>
          </cell>
          <cell r="AJ223">
            <v>0</v>
          </cell>
          <cell r="AK223">
            <v>0</v>
          </cell>
          <cell r="AL223"/>
          <cell r="AM223">
            <v>0</v>
          </cell>
          <cell r="AN223">
            <v>0</v>
          </cell>
          <cell r="AO223">
            <v>0</v>
          </cell>
          <cell r="AP223">
            <v>0</v>
          </cell>
          <cell r="AQ223">
            <v>0</v>
          </cell>
          <cell r="AR223">
            <v>0</v>
          </cell>
          <cell r="AS223">
            <v>0</v>
          </cell>
          <cell r="AT223">
            <v>0</v>
          </cell>
          <cell r="AU223">
            <v>0</v>
          </cell>
          <cell r="AV223">
            <v>2095384.21829737</v>
          </cell>
          <cell r="AW223">
            <v>0</v>
          </cell>
          <cell r="AX223">
            <v>0</v>
          </cell>
          <cell r="AY223"/>
          <cell r="AZ223"/>
          <cell r="BA223">
            <v>0</v>
          </cell>
          <cell r="BB223"/>
          <cell r="BC223">
            <v>0</v>
          </cell>
          <cell r="BD223">
            <v>25187</v>
          </cell>
          <cell r="BE223"/>
          <cell r="BF223">
            <v>0</v>
          </cell>
          <cell r="BG223">
            <v>0</v>
          </cell>
          <cell r="BH223">
            <v>0</v>
          </cell>
          <cell r="BI223">
            <v>118890</v>
          </cell>
          <cell r="BJ223">
            <v>97864</v>
          </cell>
          <cell r="BK223">
            <v>97864</v>
          </cell>
          <cell r="BL223">
            <v>0</v>
          </cell>
          <cell r="BM223">
            <v>0</v>
          </cell>
          <cell r="BN223">
            <v>0</v>
          </cell>
          <cell r="BO223">
            <v>98258</v>
          </cell>
          <cell r="BP223">
            <v>26883.8</v>
          </cell>
          <cell r="BQ223">
            <v>48430.232558139498</v>
          </cell>
          <cell r="BR223">
            <v>156350</v>
          </cell>
          <cell r="BS223">
            <v>0</v>
          </cell>
          <cell r="BT223">
            <v>117396</v>
          </cell>
          <cell r="BU223"/>
          <cell r="BV223"/>
          <cell r="BW223"/>
          <cell r="BX223"/>
          <cell r="BY223">
            <v>1367456.82992564</v>
          </cell>
          <cell r="BZ223">
            <v>1585201.8551248501</v>
          </cell>
          <cell r="CA223">
            <v>1603803.18893584</v>
          </cell>
          <cell r="CB223">
            <v>1656324.6020492199</v>
          </cell>
          <cell r="CC223">
            <v>5529053</v>
          </cell>
          <cell r="CD223">
            <v>56795080</v>
          </cell>
          <cell r="CE223">
            <v>3414851</v>
          </cell>
          <cell r="CF223">
            <v>2745936</v>
          </cell>
          <cell r="CG223">
            <v>3414851</v>
          </cell>
          <cell r="CH223">
            <v>3414851</v>
          </cell>
          <cell r="CI223">
            <v>3414851</v>
          </cell>
          <cell r="CJ223">
            <v>3414851</v>
          </cell>
          <cell r="CK223">
            <v>16793830</v>
          </cell>
          <cell r="CL223">
            <v>16785401</v>
          </cell>
          <cell r="CM223">
            <v>16785265</v>
          </cell>
          <cell r="CN223">
            <v>16784965</v>
          </cell>
          <cell r="CO223">
            <v>16785381</v>
          </cell>
          <cell r="CP223">
            <v>-4190</v>
          </cell>
          <cell r="CQ223">
            <v>9957548</v>
          </cell>
          <cell r="CR223">
            <v>9437584</v>
          </cell>
          <cell r="CS223">
            <v>9238730</v>
          </cell>
          <cell r="CT223">
            <v>9100789</v>
          </cell>
          <cell r="CU223">
            <v>8903686</v>
          </cell>
          <cell r="CV223">
            <v>-214309</v>
          </cell>
          <cell r="CW223">
            <v>0</v>
          </cell>
          <cell r="CX223">
            <v>0</v>
          </cell>
          <cell r="CY223">
            <v>0</v>
          </cell>
          <cell r="CZ223">
            <v>0</v>
          </cell>
          <cell r="DA223">
            <v>0</v>
          </cell>
          <cell r="DB223"/>
          <cell r="DC223">
            <v>0</v>
          </cell>
          <cell r="DD223">
            <v>0</v>
          </cell>
          <cell r="DE223">
            <v>0</v>
          </cell>
          <cell r="DF223">
            <v>0</v>
          </cell>
          <cell r="DG223">
            <v>0</v>
          </cell>
          <cell r="DH223">
            <v>0</v>
          </cell>
          <cell r="DI223">
            <v>0</v>
          </cell>
          <cell r="DJ223">
            <v>0</v>
          </cell>
          <cell r="DK223">
            <v>0</v>
          </cell>
          <cell r="DL223">
            <v>0</v>
          </cell>
          <cell r="DM223"/>
          <cell r="DN223"/>
          <cell r="DO223"/>
          <cell r="DP223"/>
        </row>
        <row r="224">
          <cell r="A224">
            <v>523</v>
          </cell>
          <cell r="B224" t="str">
            <v>Hardinxveld-Giessendam</v>
          </cell>
          <cell r="C224">
            <v>8</v>
          </cell>
          <cell r="D224">
            <v>1598</v>
          </cell>
          <cell r="E224">
            <v>799</v>
          </cell>
          <cell r="F224">
            <v>0</v>
          </cell>
          <cell r="G224">
            <v>0</v>
          </cell>
          <cell r="H224">
            <v>-2508</v>
          </cell>
          <cell r="I224">
            <v>-5532</v>
          </cell>
          <cell r="J224"/>
          <cell r="K224">
            <v>0</v>
          </cell>
          <cell r="L224">
            <v>41782</v>
          </cell>
          <cell r="M224">
            <v>43996</v>
          </cell>
          <cell r="N224">
            <v>0</v>
          </cell>
          <cell r="O224">
            <v>0</v>
          </cell>
          <cell r="P224">
            <v>0</v>
          </cell>
          <cell r="Q224">
            <v>0</v>
          </cell>
          <cell r="R224">
            <v>0</v>
          </cell>
          <cell r="S224">
            <v>0</v>
          </cell>
          <cell r="T224">
            <v>0</v>
          </cell>
          <cell r="U224">
            <v>0</v>
          </cell>
          <cell r="V224">
            <v>0</v>
          </cell>
          <cell r="W224">
            <v>61621</v>
          </cell>
          <cell r="X224">
            <v>0</v>
          </cell>
          <cell r="Y224"/>
          <cell r="Z224">
            <v>0</v>
          </cell>
          <cell r="AA224">
            <v>0</v>
          </cell>
          <cell r="AB224">
            <v>0</v>
          </cell>
          <cell r="AC224"/>
          <cell r="AD224">
            <v>0</v>
          </cell>
          <cell r="AE224">
            <v>0</v>
          </cell>
          <cell r="AF224">
            <v>0</v>
          </cell>
          <cell r="AG224">
            <v>0</v>
          </cell>
          <cell r="AH224">
            <v>0</v>
          </cell>
          <cell r="AI224">
            <v>0</v>
          </cell>
          <cell r="AJ224">
            <v>0</v>
          </cell>
          <cell r="AK224">
            <v>0</v>
          </cell>
          <cell r="AL224"/>
          <cell r="AM224">
            <v>9441</v>
          </cell>
          <cell r="AN224">
            <v>9658</v>
          </cell>
          <cell r="AO224">
            <v>9880</v>
          </cell>
          <cell r="AP224">
            <v>10107</v>
          </cell>
          <cell r="AQ224">
            <v>10340</v>
          </cell>
          <cell r="AR224">
            <v>10578</v>
          </cell>
          <cell r="AS224">
            <v>0</v>
          </cell>
          <cell r="AT224">
            <v>0</v>
          </cell>
          <cell r="AU224">
            <v>4740</v>
          </cell>
          <cell r="AV224">
            <v>0</v>
          </cell>
          <cell r="AW224">
            <v>0</v>
          </cell>
          <cell r="AX224">
            <v>0</v>
          </cell>
          <cell r="AY224"/>
          <cell r="AZ224"/>
          <cell r="BA224">
            <v>0</v>
          </cell>
          <cell r="BB224"/>
          <cell r="BC224">
            <v>0</v>
          </cell>
          <cell r="BD224">
            <v>6274</v>
          </cell>
          <cell r="BE224"/>
          <cell r="BF224">
            <v>0</v>
          </cell>
          <cell r="BG224">
            <v>0</v>
          </cell>
          <cell r="BH224">
            <v>0</v>
          </cell>
          <cell r="BI224">
            <v>18792</v>
          </cell>
          <cell r="BJ224">
            <v>15469</v>
          </cell>
          <cell r="BK224">
            <v>15469</v>
          </cell>
          <cell r="BL224">
            <v>0</v>
          </cell>
          <cell r="BM224">
            <v>0</v>
          </cell>
          <cell r="BN224">
            <v>0</v>
          </cell>
          <cell r="BO224">
            <v>165385</v>
          </cell>
          <cell r="BP224">
            <v>1581.4</v>
          </cell>
          <cell r="BQ224">
            <v>2848.8372093023299</v>
          </cell>
          <cell r="BR224">
            <v>0</v>
          </cell>
          <cell r="BS224">
            <v>0</v>
          </cell>
          <cell r="BT224">
            <v>28998</v>
          </cell>
          <cell r="BU224"/>
          <cell r="BV224"/>
          <cell r="BW224"/>
          <cell r="BX224"/>
          <cell r="BY224">
            <v>0</v>
          </cell>
          <cell r="BZ224">
            <v>0</v>
          </cell>
          <cell r="CA224">
            <v>0</v>
          </cell>
          <cell r="CB224">
            <v>0</v>
          </cell>
          <cell r="CC224">
            <v>1217879</v>
          </cell>
          <cell r="CD224">
            <v>6507251</v>
          </cell>
          <cell r="CE224">
            <v>803481</v>
          </cell>
          <cell r="CF224">
            <v>-13343</v>
          </cell>
          <cell r="CG224">
            <v>803481</v>
          </cell>
          <cell r="CH224">
            <v>803481</v>
          </cell>
          <cell r="CI224">
            <v>803481</v>
          </cell>
          <cell r="CJ224">
            <v>803481</v>
          </cell>
          <cell r="CK224">
            <v>0</v>
          </cell>
          <cell r="CL224">
            <v>0</v>
          </cell>
          <cell r="CM224">
            <v>0</v>
          </cell>
          <cell r="CN224">
            <v>0</v>
          </cell>
          <cell r="CO224">
            <v>0</v>
          </cell>
          <cell r="CP224">
            <v>0</v>
          </cell>
          <cell r="CQ224">
            <v>1024845</v>
          </cell>
          <cell r="CR224">
            <v>993213</v>
          </cell>
          <cell r="CS224">
            <v>984234</v>
          </cell>
          <cell r="CT224">
            <v>956311</v>
          </cell>
          <cell r="CU224">
            <v>943675</v>
          </cell>
          <cell r="CV224">
            <v>-14665</v>
          </cell>
          <cell r="CW224">
            <v>0</v>
          </cell>
          <cell r="CX224">
            <v>0</v>
          </cell>
          <cell r="CY224">
            <v>0</v>
          </cell>
          <cell r="CZ224">
            <v>0</v>
          </cell>
          <cell r="DA224">
            <v>0</v>
          </cell>
          <cell r="DB224"/>
          <cell r="DC224">
            <v>0</v>
          </cell>
          <cell r="DD224">
            <v>0</v>
          </cell>
          <cell r="DE224">
            <v>0</v>
          </cell>
          <cell r="DF224">
            <v>0</v>
          </cell>
          <cell r="DG224">
            <v>0</v>
          </cell>
          <cell r="DH224">
            <v>0</v>
          </cell>
          <cell r="DI224">
            <v>0</v>
          </cell>
          <cell r="DJ224">
            <v>0</v>
          </cell>
          <cell r="DK224">
            <v>0</v>
          </cell>
          <cell r="DL224">
            <v>0</v>
          </cell>
          <cell r="DM224"/>
          <cell r="DN224"/>
          <cell r="DO224"/>
          <cell r="DP224"/>
        </row>
        <row r="225">
          <cell r="A225">
            <v>530</v>
          </cell>
          <cell r="B225" t="str">
            <v>Hellevoetsluis</v>
          </cell>
          <cell r="C225">
            <v>8</v>
          </cell>
          <cell r="D225">
            <v>-14074</v>
          </cell>
          <cell r="E225">
            <v>-7037</v>
          </cell>
          <cell r="F225">
            <v>0</v>
          </cell>
          <cell r="G225">
            <v>0</v>
          </cell>
          <cell r="H225">
            <v>0</v>
          </cell>
          <cell r="I225">
            <v>-25428</v>
          </cell>
          <cell r="J225"/>
          <cell r="K225">
            <v>0</v>
          </cell>
          <cell r="L225">
            <v>171385</v>
          </cell>
          <cell r="M225">
            <v>170318</v>
          </cell>
          <cell r="N225">
            <v>5900</v>
          </cell>
          <cell r="O225">
            <v>3000</v>
          </cell>
          <cell r="P225">
            <v>0</v>
          </cell>
          <cell r="Q225">
            <v>0</v>
          </cell>
          <cell r="R225">
            <v>0</v>
          </cell>
          <cell r="S225">
            <v>0</v>
          </cell>
          <cell r="T225">
            <v>0</v>
          </cell>
          <cell r="U225">
            <v>0</v>
          </cell>
          <cell r="V225">
            <v>3000</v>
          </cell>
          <cell r="W225">
            <v>69096</v>
          </cell>
          <cell r="X225">
            <v>0</v>
          </cell>
          <cell r="Y225"/>
          <cell r="Z225">
            <v>0</v>
          </cell>
          <cell r="AA225">
            <v>0</v>
          </cell>
          <cell r="AB225">
            <v>0</v>
          </cell>
          <cell r="AC225"/>
          <cell r="AD225">
            <v>0</v>
          </cell>
          <cell r="AE225">
            <v>0</v>
          </cell>
          <cell r="AF225">
            <v>0</v>
          </cell>
          <cell r="AG225">
            <v>0</v>
          </cell>
          <cell r="AH225">
            <v>0</v>
          </cell>
          <cell r="AI225">
            <v>0</v>
          </cell>
          <cell r="AJ225">
            <v>0</v>
          </cell>
          <cell r="AK225">
            <v>0</v>
          </cell>
          <cell r="AL225"/>
          <cell r="AM225">
            <v>32083</v>
          </cell>
          <cell r="AN225">
            <v>32821</v>
          </cell>
          <cell r="AO225">
            <v>33575</v>
          </cell>
          <cell r="AP225">
            <v>34348</v>
          </cell>
          <cell r="AQ225">
            <v>35138</v>
          </cell>
          <cell r="AR225">
            <v>35946</v>
          </cell>
          <cell r="AS225">
            <v>0</v>
          </cell>
          <cell r="AT225">
            <v>0</v>
          </cell>
          <cell r="AU225">
            <v>0</v>
          </cell>
          <cell r="AV225">
            <v>0</v>
          </cell>
          <cell r="AW225">
            <v>0</v>
          </cell>
          <cell r="AX225">
            <v>0</v>
          </cell>
          <cell r="AY225"/>
          <cell r="AZ225"/>
          <cell r="BA225">
            <v>0</v>
          </cell>
          <cell r="BB225"/>
          <cell r="BC225">
            <v>0</v>
          </cell>
          <cell r="BD225">
            <v>13593</v>
          </cell>
          <cell r="BE225"/>
          <cell r="BF225">
            <v>0</v>
          </cell>
          <cell r="BG225">
            <v>0</v>
          </cell>
          <cell r="BH225">
            <v>0</v>
          </cell>
          <cell r="BI225">
            <v>47794</v>
          </cell>
          <cell r="BJ225">
            <v>39342</v>
          </cell>
          <cell r="BK225">
            <v>39342</v>
          </cell>
          <cell r="BL225">
            <v>0</v>
          </cell>
          <cell r="BM225">
            <v>0</v>
          </cell>
          <cell r="BN225">
            <v>0</v>
          </cell>
          <cell r="BO225">
            <v>32104</v>
          </cell>
          <cell r="BP225">
            <v>28465.200000000001</v>
          </cell>
          <cell r="BQ225">
            <v>51279.069767441899</v>
          </cell>
          <cell r="BR225">
            <v>0</v>
          </cell>
          <cell r="BS225">
            <v>0</v>
          </cell>
          <cell r="BT225">
            <v>59340</v>
          </cell>
          <cell r="BU225"/>
          <cell r="BV225"/>
          <cell r="BW225"/>
          <cell r="BX225"/>
          <cell r="BY225">
            <v>0</v>
          </cell>
          <cell r="BZ225">
            <v>0</v>
          </cell>
          <cell r="CA225">
            <v>0</v>
          </cell>
          <cell r="CB225">
            <v>0</v>
          </cell>
          <cell r="CC225">
            <v>2940684</v>
          </cell>
          <cell r="CD225">
            <v>13764285</v>
          </cell>
          <cell r="CE225">
            <v>848675</v>
          </cell>
          <cell r="CF225">
            <v>0</v>
          </cell>
          <cell r="CG225">
            <v>848675</v>
          </cell>
          <cell r="CH225">
            <v>848675</v>
          </cell>
          <cell r="CI225">
            <v>848675</v>
          </cell>
          <cell r="CJ225">
            <v>848675</v>
          </cell>
          <cell r="CK225">
            <v>0</v>
          </cell>
          <cell r="CL225">
            <v>0</v>
          </cell>
          <cell r="CM225">
            <v>0</v>
          </cell>
          <cell r="CN225">
            <v>0</v>
          </cell>
          <cell r="CO225">
            <v>0</v>
          </cell>
          <cell r="CP225">
            <v>-9203</v>
          </cell>
          <cell r="CQ225">
            <v>231206</v>
          </cell>
          <cell r="CR225">
            <v>256171</v>
          </cell>
          <cell r="CS225">
            <v>264933</v>
          </cell>
          <cell r="CT225">
            <v>287728</v>
          </cell>
          <cell r="CU225">
            <v>310413</v>
          </cell>
          <cell r="CV225">
            <v>12629</v>
          </cell>
          <cell r="CW225">
            <v>0</v>
          </cell>
          <cell r="CX225">
            <v>0</v>
          </cell>
          <cell r="CY225">
            <v>0</v>
          </cell>
          <cell r="CZ225">
            <v>0</v>
          </cell>
          <cell r="DA225">
            <v>0</v>
          </cell>
          <cell r="DB225"/>
          <cell r="DC225">
            <v>0</v>
          </cell>
          <cell r="DD225">
            <v>0</v>
          </cell>
          <cell r="DE225">
            <v>0</v>
          </cell>
          <cell r="DF225">
            <v>0</v>
          </cell>
          <cell r="DG225">
            <v>0</v>
          </cell>
          <cell r="DH225">
            <v>0</v>
          </cell>
          <cell r="DI225">
            <v>0</v>
          </cell>
          <cell r="DJ225">
            <v>0</v>
          </cell>
          <cell r="DK225">
            <v>0</v>
          </cell>
          <cell r="DL225">
            <v>0</v>
          </cell>
          <cell r="DM225"/>
          <cell r="DN225"/>
          <cell r="DO225"/>
          <cell r="DP225"/>
        </row>
        <row r="226">
          <cell r="A226">
            <v>531</v>
          </cell>
          <cell r="B226" t="str">
            <v>Hendrik-Ido-Ambacht</v>
          </cell>
          <cell r="C226">
            <v>8</v>
          </cell>
          <cell r="D226">
            <v>43261</v>
          </cell>
          <cell r="E226">
            <v>21630</v>
          </cell>
          <cell r="F226">
            <v>0</v>
          </cell>
          <cell r="G226">
            <v>0</v>
          </cell>
          <cell r="H226">
            <v>0</v>
          </cell>
          <cell r="I226">
            <v>0</v>
          </cell>
          <cell r="J226"/>
          <cell r="K226">
            <v>0</v>
          </cell>
          <cell r="L226">
            <v>93313</v>
          </cell>
          <cell r="M226">
            <v>83326</v>
          </cell>
          <cell r="N226">
            <v>0</v>
          </cell>
          <cell r="O226">
            <v>0</v>
          </cell>
          <cell r="P226">
            <v>0</v>
          </cell>
          <cell r="Q226">
            <v>0</v>
          </cell>
          <cell r="R226">
            <v>0</v>
          </cell>
          <cell r="S226">
            <v>0</v>
          </cell>
          <cell r="T226">
            <v>0</v>
          </cell>
          <cell r="U226">
            <v>0</v>
          </cell>
          <cell r="V226">
            <v>3000</v>
          </cell>
          <cell r="W226">
            <v>116821</v>
          </cell>
          <cell r="X226">
            <v>0</v>
          </cell>
          <cell r="Y226"/>
          <cell r="Z226">
            <v>0</v>
          </cell>
          <cell r="AA226">
            <v>0</v>
          </cell>
          <cell r="AB226">
            <v>0</v>
          </cell>
          <cell r="AC226"/>
          <cell r="AD226">
            <v>0</v>
          </cell>
          <cell r="AE226">
            <v>0</v>
          </cell>
          <cell r="AF226">
            <v>0</v>
          </cell>
          <cell r="AG226">
            <v>0</v>
          </cell>
          <cell r="AH226">
            <v>0</v>
          </cell>
          <cell r="AI226">
            <v>0</v>
          </cell>
          <cell r="AJ226">
            <v>0</v>
          </cell>
          <cell r="AK226">
            <v>0</v>
          </cell>
          <cell r="AL226"/>
          <cell r="AM226">
            <v>4854</v>
          </cell>
          <cell r="AN226">
            <v>4965</v>
          </cell>
          <cell r="AO226">
            <v>5079</v>
          </cell>
          <cell r="AP226">
            <v>5196</v>
          </cell>
          <cell r="AQ226">
            <v>5316</v>
          </cell>
          <cell r="AR226">
            <v>5438</v>
          </cell>
          <cell r="AS226">
            <v>0</v>
          </cell>
          <cell r="AT226">
            <v>0</v>
          </cell>
          <cell r="AU226">
            <v>2370</v>
          </cell>
          <cell r="AV226">
            <v>0</v>
          </cell>
          <cell r="AW226">
            <v>0</v>
          </cell>
          <cell r="AX226">
            <v>0</v>
          </cell>
          <cell r="AY226"/>
          <cell r="AZ226"/>
          <cell r="BA226">
            <v>0</v>
          </cell>
          <cell r="BB226"/>
          <cell r="BC226">
            <v>0</v>
          </cell>
          <cell r="BD226">
            <v>10437</v>
          </cell>
          <cell r="BE226"/>
          <cell r="BF226">
            <v>0</v>
          </cell>
          <cell r="BG226">
            <v>0</v>
          </cell>
          <cell r="BH226">
            <v>0</v>
          </cell>
          <cell r="BI226">
            <v>24617</v>
          </cell>
          <cell r="BJ226">
            <v>20264</v>
          </cell>
          <cell r="BK226">
            <v>20264</v>
          </cell>
          <cell r="BL226">
            <v>0</v>
          </cell>
          <cell r="BM226">
            <v>0</v>
          </cell>
          <cell r="BN226">
            <v>0</v>
          </cell>
          <cell r="BO226">
            <v>151766</v>
          </cell>
          <cell r="BP226">
            <v>14232.6</v>
          </cell>
          <cell r="BQ226">
            <v>25639.534883720899</v>
          </cell>
          <cell r="BR226">
            <v>0</v>
          </cell>
          <cell r="BS226">
            <v>0</v>
          </cell>
          <cell r="BT226">
            <v>45223</v>
          </cell>
          <cell r="BU226"/>
          <cell r="BV226"/>
          <cell r="BW226"/>
          <cell r="BX226"/>
          <cell r="BY226">
            <v>0</v>
          </cell>
          <cell r="BZ226">
            <v>0</v>
          </cell>
          <cell r="CA226">
            <v>0</v>
          </cell>
          <cell r="CB226">
            <v>0</v>
          </cell>
          <cell r="CC226">
            <v>1737593</v>
          </cell>
          <cell r="CD226">
            <v>8947389</v>
          </cell>
          <cell r="CE226">
            <v>480283</v>
          </cell>
          <cell r="CF226">
            <v>0</v>
          </cell>
          <cell r="CG226">
            <v>480283</v>
          </cell>
          <cell r="CH226">
            <v>480283</v>
          </cell>
          <cell r="CI226">
            <v>480283</v>
          </cell>
          <cell r="CJ226">
            <v>480283</v>
          </cell>
          <cell r="CK226">
            <v>0</v>
          </cell>
          <cell r="CL226">
            <v>0</v>
          </cell>
          <cell r="CM226">
            <v>0</v>
          </cell>
          <cell r="CN226">
            <v>0</v>
          </cell>
          <cell r="CO226">
            <v>0</v>
          </cell>
          <cell r="CP226">
            <v>0</v>
          </cell>
          <cell r="CQ226">
            <v>1032658</v>
          </cell>
          <cell r="CR226">
            <v>1012679</v>
          </cell>
          <cell r="CS226">
            <v>1001287</v>
          </cell>
          <cell r="CT226">
            <v>1009204</v>
          </cell>
          <cell r="CU226">
            <v>1017346</v>
          </cell>
          <cell r="CV226">
            <v>-9701</v>
          </cell>
          <cell r="CW226">
            <v>0</v>
          </cell>
          <cell r="CX226">
            <v>0</v>
          </cell>
          <cell r="CY226">
            <v>0</v>
          </cell>
          <cell r="CZ226">
            <v>0</v>
          </cell>
          <cell r="DA226">
            <v>0</v>
          </cell>
          <cell r="DB226"/>
          <cell r="DC226">
            <v>0</v>
          </cell>
          <cell r="DD226">
            <v>0</v>
          </cell>
          <cell r="DE226">
            <v>0</v>
          </cell>
          <cell r="DF226">
            <v>0</v>
          </cell>
          <cell r="DG226">
            <v>0</v>
          </cell>
          <cell r="DH226">
            <v>0</v>
          </cell>
          <cell r="DI226">
            <v>0</v>
          </cell>
          <cell r="DJ226">
            <v>0</v>
          </cell>
          <cell r="DK226">
            <v>0</v>
          </cell>
          <cell r="DL226">
            <v>0</v>
          </cell>
          <cell r="DM226"/>
          <cell r="DN226"/>
          <cell r="DO226"/>
          <cell r="DP226"/>
        </row>
        <row r="227">
          <cell r="A227">
            <v>534</v>
          </cell>
          <cell r="B227" t="str">
            <v>Hillegom</v>
          </cell>
          <cell r="C227">
            <v>8</v>
          </cell>
          <cell r="D227">
            <v>346</v>
          </cell>
          <cell r="E227">
            <v>173</v>
          </cell>
          <cell r="F227">
            <v>0</v>
          </cell>
          <cell r="G227">
            <v>0</v>
          </cell>
          <cell r="H227">
            <v>-2574</v>
          </cell>
          <cell r="I227">
            <v>-6557</v>
          </cell>
          <cell r="J227"/>
          <cell r="K227">
            <v>0</v>
          </cell>
          <cell r="L227">
            <v>78311</v>
          </cell>
          <cell r="M227">
            <v>77112</v>
          </cell>
          <cell r="N227">
            <v>0</v>
          </cell>
          <cell r="O227">
            <v>0</v>
          </cell>
          <cell r="P227">
            <v>0</v>
          </cell>
          <cell r="Q227">
            <v>0</v>
          </cell>
          <cell r="R227">
            <v>0</v>
          </cell>
          <cell r="S227">
            <v>0</v>
          </cell>
          <cell r="T227">
            <v>0</v>
          </cell>
          <cell r="U227">
            <v>0</v>
          </cell>
          <cell r="V227">
            <v>0</v>
          </cell>
          <cell r="W227">
            <v>69500</v>
          </cell>
          <cell r="X227">
            <v>0</v>
          </cell>
          <cell r="Y227"/>
          <cell r="Z227">
            <v>0</v>
          </cell>
          <cell r="AA227">
            <v>0</v>
          </cell>
          <cell r="AB227">
            <v>0</v>
          </cell>
          <cell r="AC227"/>
          <cell r="AD227">
            <v>0</v>
          </cell>
          <cell r="AE227">
            <v>0</v>
          </cell>
          <cell r="AF227">
            <v>0</v>
          </cell>
          <cell r="AG227">
            <v>0</v>
          </cell>
          <cell r="AH227">
            <v>0</v>
          </cell>
          <cell r="AI227">
            <v>0</v>
          </cell>
          <cell r="AJ227">
            <v>0</v>
          </cell>
          <cell r="AK227">
            <v>0</v>
          </cell>
          <cell r="AL227"/>
          <cell r="AM227">
            <v>0</v>
          </cell>
          <cell r="AN227">
            <v>0</v>
          </cell>
          <cell r="AO227">
            <v>0</v>
          </cell>
          <cell r="AP227">
            <v>0</v>
          </cell>
          <cell r="AQ227">
            <v>0</v>
          </cell>
          <cell r="AR227">
            <v>0</v>
          </cell>
          <cell r="AS227">
            <v>0</v>
          </cell>
          <cell r="AT227">
            <v>0</v>
          </cell>
          <cell r="AU227">
            <v>7110</v>
          </cell>
          <cell r="AV227">
            <v>0</v>
          </cell>
          <cell r="AW227">
            <v>0</v>
          </cell>
          <cell r="AX227">
            <v>0</v>
          </cell>
          <cell r="AY227"/>
          <cell r="AZ227"/>
          <cell r="BA227">
            <v>0</v>
          </cell>
          <cell r="BB227"/>
          <cell r="BC227">
            <v>0</v>
          </cell>
          <cell r="BD227">
            <v>7483</v>
          </cell>
          <cell r="BE227"/>
          <cell r="BF227">
            <v>0</v>
          </cell>
          <cell r="BG227">
            <v>0</v>
          </cell>
          <cell r="BH227">
            <v>0</v>
          </cell>
          <cell r="BI227">
            <v>32068</v>
          </cell>
          <cell r="BJ227">
            <v>26397</v>
          </cell>
          <cell r="BK227">
            <v>26397</v>
          </cell>
          <cell r="BL227">
            <v>0</v>
          </cell>
          <cell r="BM227">
            <v>0</v>
          </cell>
          <cell r="BN227">
            <v>0</v>
          </cell>
          <cell r="BO227">
            <v>37455</v>
          </cell>
          <cell r="BP227">
            <v>28465.200000000001</v>
          </cell>
          <cell r="BQ227">
            <v>51279.069767441899</v>
          </cell>
          <cell r="BR227">
            <v>0</v>
          </cell>
          <cell r="BS227">
            <v>0</v>
          </cell>
          <cell r="BT227">
            <v>29394</v>
          </cell>
          <cell r="BU227"/>
          <cell r="BV227"/>
          <cell r="BW227"/>
          <cell r="BX227"/>
          <cell r="BY227">
            <v>0</v>
          </cell>
          <cell r="BZ227">
            <v>0</v>
          </cell>
          <cell r="CA227">
            <v>0</v>
          </cell>
          <cell r="CB227">
            <v>0</v>
          </cell>
          <cell r="CC227">
            <v>1632612</v>
          </cell>
          <cell r="CD227">
            <v>8504412</v>
          </cell>
          <cell r="CE227">
            <v>378057</v>
          </cell>
          <cell r="CF227">
            <v>-15737</v>
          </cell>
          <cell r="CG227">
            <v>378057</v>
          </cell>
          <cell r="CH227">
            <v>378057</v>
          </cell>
          <cell r="CI227">
            <v>378057</v>
          </cell>
          <cell r="CJ227">
            <v>378057</v>
          </cell>
          <cell r="CK227">
            <v>0</v>
          </cell>
          <cell r="CL227">
            <v>0</v>
          </cell>
          <cell r="CM227">
            <v>0</v>
          </cell>
          <cell r="CN227">
            <v>0</v>
          </cell>
          <cell r="CO227">
            <v>0</v>
          </cell>
          <cell r="CP227">
            <v>0</v>
          </cell>
          <cell r="CQ227">
            <v>1682506</v>
          </cell>
          <cell r="CR227">
            <v>1625292</v>
          </cell>
          <cell r="CS227">
            <v>1596630</v>
          </cell>
          <cell r="CT227">
            <v>1597417</v>
          </cell>
          <cell r="CU227">
            <v>1602287</v>
          </cell>
          <cell r="CV227">
            <v>9652</v>
          </cell>
          <cell r="CW227">
            <v>0</v>
          </cell>
          <cell r="CX227">
            <v>0</v>
          </cell>
          <cell r="CY227">
            <v>0</v>
          </cell>
          <cell r="CZ227">
            <v>0</v>
          </cell>
          <cell r="DA227">
            <v>0</v>
          </cell>
          <cell r="DB227"/>
          <cell r="DC227">
            <v>0</v>
          </cell>
          <cell r="DD227">
            <v>0</v>
          </cell>
          <cell r="DE227">
            <v>0</v>
          </cell>
          <cell r="DF227">
            <v>0</v>
          </cell>
          <cell r="DG227">
            <v>0</v>
          </cell>
          <cell r="DH227">
            <v>0</v>
          </cell>
          <cell r="DI227">
            <v>0</v>
          </cell>
          <cell r="DJ227">
            <v>0</v>
          </cell>
          <cell r="DK227">
            <v>0</v>
          </cell>
          <cell r="DL227">
            <v>0</v>
          </cell>
          <cell r="DM227"/>
          <cell r="DN227"/>
          <cell r="DO227"/>
          <cell r="DP227"/>
        </row>
        <row r="228">
          <cell r="A228">
            <v>1884</v>
          </cell>
          <cell r="B228" t="str">
            <v>Kaag en Braassem</v>
          </cell>
          <cell r="C228">
            <v>8</v>
          </cell>
          <cell r="D228">
            <v>-20887</v>
          </cell>
          <cell r="E228">
            <v>-10443</v>
          </cell>
          <cell r="F228">
            <v>0</v>
          </cell>
          <cell r="G228">
            <v>0</v>
          </cell>
          <cell r="H228">
            <v>-10097</v>
          </cell>
          <cell r="I228">
            <v>-11092</v>
          </cell>
          <cell r="J228"/>
          <cell r="K228">
            <v>0</v>
          </cell>
          <cell r="L228">
            <v>73457</v>
          </cell>
          <cell r="M228">
            <v>63137</v>
          </cell>
          <cell r="N228">
            <v>0</v>
          </cell>
          <cell r="O228">
            <v>0</v>
          </cell>
          <cell r="P228">
            <v>0</v>
          </cell>
          <cell r="Q228">
            <v>0</v>
          </cell>
          <cell r="R228">
            <v>0</v>
          </cell>
          <cell r="S228">
            <v>0</v>
          </cell>
          <cell r="T228">
            <v>0</v>
          </cell>
          <cell r="U228">
            <v>0</v>
          </cell>
          <cell r="V228">
            <v>0</v>
          </cell>
          <cell r="W228">
            <v>95563</v>
          </cell>
          <cell r="X228">
            <v>0</v>
          </cell>
          <cell r="Y228"/>
          <cell r="Z228">
            <v>0</v>
          </cell>
          <cell r="AA228">
            <v>0</v>
          </cell>
          <cell r="AB228">
            <v>0</v>
          </cell>
          <cell r="AC228"/>
          <cell r="AD228">
            <v>0</v>
          </cell>
          <cell r="AE228">
            <v>0</v>
          </cell>
          <cell r="AF228">
            <v>0</v>
          </cell>
          <cell r="AG228">
            <v>0</v>
          </cell>
          <cell r="AH228">
            <v>0</v>
          </cell>
          <cell r="AI228">
            <v>0</v>
          </cell>
          <cell r="AJ228">
            <v>0</v>
          </cell>
          <cell r="AK228">
            <v>0</v>
          </cell>
          <cell r="AL228"/>
          <cell r="AM228">
            <v>0</v>
          </cell>
          <cell r="AN228">
            <v>0</v>
          </cell>
          <cell r="AO228">
            <v>0</v>
          </cell>
          <cell r="AP228">
            <v>0</v>
          </cell>
          <cell r="AQ228">
            <v>0</v>
          </cell>
          <cell r="AR228">
            <v>0</v>
          </cell>
          <cell r="AS228">
            <v>0</v>
          </cell>
          <cell r="AT228">
            <v>0</v>
          </cell>
          <cell r="AU228">
            <v>4740</v>
          </cell>
          <cell r="AV228">
            <v>0</v>
          </cell>
          <cell r="AW228">
            <v>0</v>
          </cell>
          <cell r="AX228">
            <v>0</v>
          </cell>
          <cell r="AY228"/>
          <cell r="AZ228"/>
          <cell r="BA228">
            <v>0</v>
          </cell>
          <cell r="BB228"/>
          <cell r="BC228">
            <v>0</v>
          </cell>
          <cell r="BD228">
            <v>9258</v>
          </cell>
          <cell r="BE228"/>
          <cell r="BF228">
            <v>0</v>
          </cell>
          <cell r="BG228">
            <v>0</v>
          </cell>
          <cell r="BH228">
            <v>0</v>
          </cell>
          <cell r="BI228">
            <v>26437</v>
          </cell>
          <cell r="BJ228">
            <v>21762</v>
          </cell>
          <cell r="BK228">
            <v>21762</v>
          </cell>
          <cell r="BL228">
            <v>0</v>
          </cell>
          <cell r="BM228">
            <v>0</v>
          </cell>
          <cell r="BN228">
            <v>0</v>
          </cell>
          <cell r="BO228">
            <v>44751</v>
          </cell>
          <cell r="BP228">
            <v>6325.6</v>
          </cell>
          <cell r="BQ228">
            <v>11395.3488372093</v>
          </cell>
          <cell r="BR228">
            <v>0</v>
          </cell>
          <cell r="BS228">
            <v>0</v>
          </cell>
          <cell r="BT228">
            <v>48163</v>
          </cell>
          <cell r="BU228"/>
          <cell r="BV228"/>
          <cell r="BW228"/>
          <cell r="BX228"/>
          <cell r="BY228">
            <v>0</v>
          </cell>
          <cell r="BZ228">
            <v>0</v>
          </cell>
          <cell r="CA228">
            <v>0</v>
          </cell>
          <cell r="CB228">
            <v>0</v>
          </cell>
          <cell r="CC228">
            <v>1627909</v>
          </cell>
          <cell r="CD228">
            <v>6268628</v>
          </cell>
          <cell r="CE228">
            <v>798948</v>
          </cell>
          <cell r="CF228">
            <v>0</v>
          </cell>
          <cell r="CG228">
            <v>798948</v>
          </cell>
          <cell r="CH228">
            <v>798948</v>
          </cell>
          <cell r="CI228">
            <v>798948</v>
          </cell>
          <cell r="CJ228">
            <v>798948</v>
          </cell>
          <cell r="CK228">
            <v>0</v>
          </cell>
          <cell r="CL228">
            <v>0</v>
          </cell>
          <cell r="CM228">
            <v>0</v>
          </cell>
          <cell r="CN228">
            <v>0</v>
          </cell>
          <cell r="CO228">
            <v>0</v>
          </cell>
          <cell r="CP228">
            <v>-3991</v>
          </cell>
          <cell r="CQ228">
            <v>88048</v>
          </cell>
          <cell r="CR228">
            <v>98204</v>
          </cell>
          <cell r="CS228">
            <v>101399</v>
          </cell>
          <cell r="CT228">
            <v>110621</v>
          </cell>
          <cell r="CU228">
            <v>119807</v>
          </cell>
          <cell r="CV228">
            <v>89716</v>
          </cell>
          <cell r="CW228">
            <v>0</v>
          </cell>
          <cell r="CX228">
            <v>0</v>
          </cell>
          <cell r="CY228">
            <v>0</v>
          </cell>
          <cell r="CZ228">
            <v>0</v>
          </cell>
          <cell r="DA228">
            <v>0</v>
          </cell>
          <cell r="DB228"/>
          <cell r="DC228">
            <v>0</v>
          </cell>
          <cell r="DD228">
            <v>0</v>
          </cell>
          <cell r="DE228">
            <v>0</v>
          </cell>
          <cell r="DF228">
            <v>0</v>
          </cell>
          <cell r="DG228">
            <v>0</v>
          </cell>
          <cell r="DH228">
            <v>0</v>
          </cell>
          <cell r="DI228">
            <v>0</v>
          </cell>
          <cell r="DJ228">
            <v>0</v>
          </cell>
          <cell r="DK228">
            <v>0</v>
          </cell>
          <cell r="DL228">
            <v>0</v>
          </cell>
          <cell r="DM228"/>
          <cell r="DN228"/>
          <cell r="DO228"/>
          <cell r="DP228"/>
        </row>
        <row r="229">
          <cell r="A229">
            <v>537</v>
          </cell>
          <cell r="B229" t="str">
            <v>Katwijk</v>
          </cell>
          <cell r="C229">
            <v>8</v>
          </cell>
          <cell r="D229">
            <v>-26500</v>
          </cell>
          <cell r="E229">
            <v>-13250</v>
          </cell>
          <cell r="F229">
            <v>0</v>
          </cell>
          <cell r="G229">
            <v>0</v>
          </cell>
          <cell r="H229">
            <v>0</v>
          </cell>
          <cell r="I229">
            <v>-7803</v>
          </cell>
          <cell r="J229"/>
          <cell r="K229">
            <v>0</v>
          </cell>
          <cell r="L229">
            <v>217544</v>
          </cell>
          <cell r="M229">
            <v>204267</v>
          </cell>
          <cell r="N229">
            <v>0</v>
          </cell>
          <cell r="O229">
            <v>0</v>
          </cell>
          <cell r="P229">
            <v>0</v>
          </cell>
          <cell r="Q229">
            <v>0</v>
          </cell>
          <cell r="R229">
            <v>0</v>
          </cell>
          <cell r="S229">
            <v>0</v>
          </cell>
          <cell r="T229">
            <v>0</v>
          </cell>
          <cell r="U229">
            <v>0</v>
          </cell>
          <cell r="V229">
            <v>6000</v>
          </cell>
          <cell r="W229">
            <v>274073</v>
          </cell>
          <cell r="X229">
            <v>0</v>
          </cell>
          <cell r="Y229"/>
          <cell r="Z229">
            <v>0</v>
          </cell>
          <cell r="AA229">
            <v>0</v>
          </cell>
          <cell r="AB229">
            <v>0</v>
          </cell>
          <cell r="AC229"/>
          <cell r="AD229">
            <v>0</v>
          </cell>
          <cell r="AE229">
            <v>0</v>
          </cell>
          <cell r="AF229">
            <v>0</v>
          </cell>
          <cell r="AG229">
            <v>0</v>
          </cell>
          <cell r="AH229">
            <v>0</v>
          </cell>
          <cell r="AI229">
            <v>0</v>
          </cell>
          <cell r="AJ229">
            <v>0</v>
          </cell>
          <cell r="AK229">
            <v>0</v>
          </cell>
          <cell r="AL229"/>
          <cell r="AM229">
            <v>0</v>
          </cell>
          <cell r="AN229">
            <v>0</v>
          </cell>
          <cell r="AO229">
            <v>0</v>
          </cell>
          <cell r="AP229">
            <v>0</v>
          </cell>
          <cell r="AQ229">
            <v>0</v>
          </cell>
          <cell r="AR229">
            <v>0</v>
          </cell>
          <cell r="AS229">
            <v>0</v>
          </cell>
          <cell r="AT229">
            <v>0</v>
          </cell>
          <cell r="AU229">
            <v>9480</v>
          </cell>
          <cell r="AV229">
            <v>0</v>
          </cell>
          <cell r="AW229">
            <v>0</v>
          </cell>
          <cell r="AX229">
            <v>0</v>
          </cell>
          <cell r="AY229"/>
          <cell r="AZ229"/>
          <cell r="BA229">
            <v>0</v>
          </cell>
          <cell r="BB229"/>
          <cell r="BC229">
            <v>0</v>
          </cell>
          <cell r="BD229">
            <v>22653</v>
          </cell>
          <cell r="BE229"/>
          <cell r="BF229">
            <v>0</v>
          </cell>
          <cell r="BG229">
            <v>0</v>
          </cell>
          <cell r="BH229">
            <v>0</v>
          </cell>
          <cell r="BI229">
            <v>77445</v>
          </cell>
          <cell r="BJ229">
            <v>63748</v>
          </cell>
          <cell r="BK229">
            <v>63748</v>
          </cell>
          <cell r="BL229">
            <v>0</v>
          </cell>
          <cell r="BM229">
            <v>0</v>
          </cell>
          <cell r="BN229">
            <v>0</v>
          </cell>
          <cell r="BO229">
            <v>113824</v>
          </cell>
          <cell r="BP229">
            <v>42697.8</v>
          </cell>
          <cell r="BQ229">
            <v>76918.604651162794</v>
          </cell>
          <cell r="BR229">
            <v>0</v>
          </cell>
          <cell r="BS229">
            <v>0</v>
          </cell>
          <cell r="BT229">
            <v>101292</v>
          </cell>
          <cell r="BU229"/>
          <cell r="BV229"/>
          <cell r="BW229"/>
          <cell r="BX229"/>
          <cell r="BY229">
            <v>0</v>
          </cell>
          <cell r="BZ229">
            <v>0</v>
          </cell>
          <cell r="CA229">
            <v>0</v>
          </cell>
          <cell r="CB229">
            <v>0</v>
          </cell>
          <cell r="CC229">
            <v>4557347</v>
          </cell>
          <cell r="CD229">
            <v>26034808</v>
          </cell>
          <cell r="CE229">
            <v>1527556</v>
          </cell>
          <cell r="CF229">
            <v>0</v>
          </cell>
          <cell r="CG229">
            <v>1527556</v>
          </cell>
          <cell r="CH229">
            <v>1527556</v>
          </cell>
          <cell r="CI229">
            <v>1527556</v>
          </cell>
          <cell r="CJ229">
            <v>1527556</v>
          </cell>
          <cell r="CK229">
            <v>0</v>
          </cell>
          <cell r="CL229">
            <v>0</v>
          </cell>
          <cell r="CM229">
            <v>0</v>
          </cell>
          <cell r="CN229">
            <v>0</v>
          </cell>
          <cell r="CO229">
            <v>0</v>
          </cell>
          <cell r="CP229">
            <v>-2781</v>
          </cell>
          <cell r="CQ229">
            <v>6266333</v>
          </cell>
          <cell r="CR229">
            <v>5929618</v>
          </cell>
          <cell r="CS229">
            <v>5765305</v>
          </cell>
          <cell r="CT229">
            <v>5643094</v>
          </cell>
          <cell r="CU229">
            <v>5533797</v>
          </cell>
          <cell r="CV229">
            <v>-264424</v>
          </cell>
          <cell r="CW229">
            <v>0</v>
          </cell>
          <cell r="CX229">
            <v>0</v>
          </cell>
          <cell r="CY229">
            <v>0</v>
          </cell>
          <cell r="CZ229">
            <v>0</v>
          </cell>
          <cell r="DA229">
            <v>0</v>
          </cell>
          <cell r="DB229"/>
          <cell r="DC229">
            <v>0</v>
          </cell>
          <cell r="DD229">
            <v>0</v>
          </cell>
          <cell r="DE229">
            <v>0</v>
          </cell>
          <cell r="DF229">
            <v>0</v>
          </cell>
          <cell r="DG229">
            <v>0</v>
          </cell>
          <cell r="DH229">
            <v>0</v>
          </cell>
          <cell r="DI229">
            <v>0</v>
          </cell>
          <cell r="DJ229">
            <v>0</v>
          </cell>
          <cell r="DK229">
            <v>0</v>
          </cell>
          <cell r="DL229">
            <v>0</v>
          </cell>
          <cell r="DM229"/>
          <cell r="DN229"/>
          <cell r="DO229"/>
          <cell r="DP229"/>
        </row>
        <row r="230">
          <cell r="A230">
            <v>588</v>
          </cell>
          <cell r="B230" t="str">
            <v>Korendijk</v>
          </cell>
          <cell r="C230">
            <v>8</v>
          </cell>
          <cell r="D230">
            <v>-9723</v>
          </cell>
          <cell r="E230">
            <v>-4862</v>
          </cell>
          <cell r="F230">
            <v>0</v>
          </cell>
          <cell r="G230">
            <v>0</v>
          </cell>
          <cell r="H230">
            <v>0</v>
          </cell>
          <cell r="I230">
            <v>-4185</v>
          </cell>
          <cell r="J230"/>
          <cell r="K230">
            <v>0</v>
          </cell>
          <cell r="L230">
            <v>25169</v>
          </cell>
          <cell r="M230">
            <v>20260</v>
          </cell>
          <cell r="N230">
            <v>0</v>
          </cell>
          <cell r="O230">
            <v>0</v>
          </cell>
          <cell r="P230">
            <v>0</v>
          </cell>
          <cell r="Q230">
            <v>0</v>
          </cell>
          <cell r="R230">
            <v>0</v>
          </cell>
          <cell r="S230">
            <v>0</v>
          </cell>
          <cell r="T230">
            <v>0</v>
          </cell>
          <cell r="U230">
            <v>0</v>
          </cell>
          <cell r="V230">
            <v>0</v>
          </cell>
          <cell r="W230">
            <v>0</v>
          </cell>
          <cell r="X230">
            <v>0</v>
          </cell>
          <cell r="Y230"/>
          <cell r="Z230">
            <v>0</v>
          </cell>
          <cell r="AA230">
            <v>0</v>
          </cell>
          <cell r="AB230">
            <v>0</v>
          </cell>
          <cell r="AC230"/>
          <cell r="AD230">
            <v>0</v>
          </cell>
          <cell r="AE230">
            <v>0</v>
          </cell>
          <cell r="AF230">
            <v>0</v>
          </cell>
          <cell r="AG230">
            <v>0</v>
          </cell>
          <cell r="AH230">
            <v>0</v>
          </cell>
          <cell r="AI230">
            <v>0</v>
          </cell>
          <cell r="AJ230">
            <v>0</v>
          </cell>
          <cell r="AK230">
            <v>0</v>
          </cell>
          <cell r="AL230"/>
          <cell r="AM230">
            <v>79652</v>
          </cell>
          <cell r="AN230">
            <v>81484</v>
          </cell>
          <cell r="AO230">
            <v>83359</v>
          </cell>
          <cell r="AP230">
            <v>85276</v>
          </cell>
          <cell r="AQ230">
            <v>87237</v>
          </cell>
          <cell r="AR230">
            <v>89244</v>
          </cell>
          <cell r="AS230">
            <v>0</v>
          </cell>
          <cell r="AT230">
            <v>0</v>
          </cell>
          <cell r="AU230">
            <v>0</v>
          </cell>
          <cell r="AV230">
            <v>0</v>
          </cell>
          <cell r="AW230">
            <v>0</v>
          </cell>
          <cell r="AX230">
            <v>0</v>
          </cell>
          <cell r="AY230"/>
          <cell r="AZ230"/>
          <cell r="BA230">
            <v>0</v>
          </cell>
          <cell r="BB230"/>
          <cell r="BC230">
            <v>0</v>
          </cell>
          <cell r="BD230">
            <v>19227</v>
          </cell>
          <cell r="BE230"/>
          <cell r="BF230">
            <v>0</v>
          </cell>
          <cell r="BG230">
            <v>0</v>
          </cell>
          <cell r="BH230">
            <v>0</v>
          </cell>
          <cell r="BI230">
            <v>11467</v>
          </cell>
          <cell r="BJ230">
            <v>9439</v>
          </cell>
          <cell r="BK230">
            <v>9439</v>
          </cell>
          <cell r="BL230">
            <v>0</v>
          </cell>
          <cell r="BM230">
            <v>0</v>
          </cell>
          <cell r="BN230">
            <v>0</v>
          </cell>
          <cell r="BO230">
            <v>16052</v>
          </cell>
          <cell r="BP230">
            <v>0</v>
          </cell>
          <cell r="BQ230">
            <v>0</v>
          </cell>
          <cell r="BR230">
            <v>0</v>
          </cell>
          <cell r="BS230">
            <v>0</v>
          </cell>
          <cell r="BT230">
            <v>22359</v>
          </cell>
          <cell r="BU230"/>
          <cell r="BV230"/>
          <cell r="BW230"/>
          <cell r="BX230"/>
          <cell r="BY230">
            <v>0</v>
          </cell>
          <cell r="BZ230">
            <v>0</v>
          </cell>
          <cell r="CA230">
            <v>0</v>
          </cell>
          <cell r="CB230">
            <v>0</v>
          </cell>
          <cell r="CC230">
            <v>760116</v>
          </cell>
          <cell r="CD230">
            <v>3573452</v>
          </cell>
          <cell r="CE230">
            <v>268541</v>
          </cell>
          <cell r="CF230">
            <v>0</v>
          </cell>
          <cell r="CG230">
            <v>268541</v>
          </cell>
          <cell r="CH230">
            <v>268541</v>
          </cell>
          <cell r="CI230">
            <v>268541</v>
          </cell>
          <cell r="CJ230">
            <v>268541</v>
          </cell>
          <cell r="CK230">
            <v>0</v>
          </cell>
          <cell r="CL230">
            <v>0</v>
          </cell>
          <cell r="CM230">
            <v>0</v>
          </cell>
          <cell r="CN230">
            <v>0</v>
          </cell>
          <cell r="CO230">
            <v>0</v>
          </cell>
          <cell r="CP230">
            <v>-1501</v>
          </cell>
          <cell r="CQ230">
            <v>503084</v>
          </cell>
          <cell r="CR230">
            <v>485146</v>
          </cell>
          <cell r="CS230">
            <v>476730</v>
          </cell>
          <cell r="CT230">
            <v>468960</v>
          </cell>
          <cell r="CU230">
            <v>470762</v>
          </cell>
          <cell r="CV230">
            <v>21554</v>
          </cell>
          <cell r="CW230">
            <v>0</v>
          </cell>
          <cell r="CX230">
            <v>0</v>
          </cell>
          <cell r="CY230">
            <v>0</v>
          </cell>
          <cell r="CZ230">
            <v>0</v>
          </cell>
          <cell r="DA230">
            <v>0</v>
          </cell>
          <cell r="DB230"/>
          <cell r="DC230">
            <v>0</v>
          </cell>
          <cell r="DD230">
            <v>0</v>
          </cell>
          <cell r="DE230">
            <v>0</v>
          </cell>
          <cell r="DF230">
            <v>0</v>
          </cell>
          <cell r="DG230">
            <v>0</v>
          </cell>
          <cell r="DH230">
            <v>0</v>
          </cell>
          <cell r="DI230">
            <v>0</v>
          </cell>
          <cell r="DJ230">
            <v>0</v>
          </cell>
          <cell r="DK230">
            <v>0</v>
          </cell>
          <cell r="DL230">
            <v>0</v>
          </cell>
          <cell r="DM230"/>
          <cell r="DN230"/>
          <cell r="DO230"/>
          <cell r="DP230"/>
        </row>
        <row r="231">
          <cell r="A231">
            <v>542</v>
          </cell>
          <cell r="B231" t="str">
            <v>Krimpen aan den IJssel</v>
          </cell>
          <cell r="C231">
            <v>8</v>
          </cell>
          <cell r="D231">
            <v>99857</v>
          </cell>
          <cell r="E231">
            <v>49929</v>
          </cell>
          <cell r="F231">
            <v>0</v>
          </cell>
          <cell r="G231">
            <v>0</v>
          </cell>
          <cell r="H231">
            <v>0</v>
          </cell>
          <cell r="I231">
            <v>-8881</v>
          </cell>
          <cell r="J231"/>
          <cell r="K231">
            <v>0</v>
          </cell>
          <cell r="L231">
            <v>100953</v>
          </cell>
          <cell r="M231">
            <v>103943</v>
          </cell>
          <cell r="N231">
            <v>0</v>
          </cell>
          <cell r="O231">
            <v>0</v>
          </cell>
          <cell r="P231">
            <v>0</v>
          </cell>
          <cell r="Q231">
            <v>0</v>
          </cell>
          <cell r="R231">
            <v>0</v>
          </cell>
          <cell r="S231">
            <v>0</v>
          </cell>
          <cell r="T231">
            <v>0</v>
          </cell>
          <cell r="U231">
            <v>0</v>
          </cell>
          <cell r="V231">
            <v>3000</v>
          </cell>
          <cell r="W231">
            <v>119154</v>
          </cell>
          <cell r="X231">
            <v>0</v>
          </cell>
          <cell r="Y231"/>
          <cell r="Z231">
            <v>0</v>
          </cell>
          <cell r="AA231">
            <v>0</v>
          </cell>
          <cell r="AB231">
            <v>0</v>
          </cell>
          <cell r="AC231"/>
          <cell r="AD231">
            <v>0</v>
          </cell>
          <cell r="AE231">
            <v>0</v>
          </cell>
          <cell r="AF231">
            <v>0</v>
          </cell>
          <cell r="AG231">
            <v>0</v>
          </cell>
          <cell r="AH231">
            <v>0</v>
          </cell>
          <cell r="AI231">
            <v>0</v>
          </cell>
          <cell r="AJ231">
            <v>0</v>
          </cell>
          <cell r="AK231">
            <v>0</v>
          </cell>
          <cell r="AL231"/>
          <cell r="AM231">
            <v>3767</v>
          </cell>
          <cell r="AN231">
            <v>3853</v>
          </cell>
          <cell r="AO231">
            <v>3942</v>
          </cell>
          <cell r="AP231">
            <v>4032</v>
          </cell>
          <cell r="AQ231">
            <v>4125</v>
          </cell>
          <cell r="AR231">
            <v>4220</v>
          </cell>
          <cell r="AS231">
            <v>0</v>
          </cell>
          <cell r="AT231">
            <v>0</v>
          </cell>
          <cell r="AU231">
            <v>7110</v>
          </cell>
          <cell r="AV231">
            <v>0</v>
          </cell>
          <cell r="AW231">
            <v>0</v>
          </cell>
          <cell r="AX231">
            <v>0</v>
          </cell>
          <cell r="AY231"/>
          <cell r="AZ231"/>
          <cell r="BA231">
            <v>0</v>
          </cell>
          <cell r="BB231"/>
          <cell r="BC231">
            <v>0</v>
          </cell>
          <cell r="BD231">
            <v>10223</v>
          </cell>
          <cell r="BE231"/>
          <cell r="BF231">
            <v>0</v>
          </cell>
          <cell r="BG231">
            <v>0</v>
          </cell>
          <cell r="BH231">
            <v>0</v>
          </cell>
          <cell r="BI231">
            <v>36142</v>
          </cell>
          <cell r="BJ231">
            <v>29750</v>
          </cell>
          <cell r="BK231">
            <v>29750</v>
          </cell>
          <cell r="BL231">
            <v>0</v>
          </cell>
          <cell r="BM231">
            <v>0</v>
          </cell>
          <cell r="BN231">
            <v>0</v>
          </cell>
          <cell r="BO231">
            <v>103123</v>
          </cell>
          <cell r="BP231">
            <v>4744.2</v>
          </cell>
          <cell r="BQ231">
            <v>8546.5116279069807</v>
          </cell>
          <cell r="BR231">
            <v>0</v>
          </cell>
          <cell r="BS231">
            <v>0</v>
          </cell>
          <cell r="BT231">
            <v>43922</v>
          </cell>
          <cell r="BU231"/>
          <cell r="BV231"/>
          <cell r="BW231"/>
          <cell r="BX231"/>
          <cell r="BY231">
            <v>0</v>
          </cell>
          <cell r="BZ231">
            <v>0</v>
          </cell>
          <cell r="CA231">
            <v>0</v>
          </cell>
          <cell r="CB231">
            <v>0</v>
          </cell>
          <cell r="CC231">
            <v>2350053</v>
          </cell>
          <cell r="CD231">
            <v>12388994</v>
          </cell>
          <cell r="CE231">
            <v>1504166</v>
          </cell>
          <cell r="CF231">
            <v>0</v>
          </cell>
          <cell r="CG231">
            <v>1504166</v>
          </cell>
          <cell r="CH231">
            <v>1504166</v>
          </cell>
          <cell r="CI231">
            <v>1504166</v>
          </cell>
          <cell r="CJ231">
            <v>1504166</v>
          </cell>
          <cell r="CK231">
            <v>0</v>
          </cell>
          <cell r="CL231">
            <v>0</v>
          </cell>
          <cell r="CM231">
            <v>0</v>
          </cell>
          <cell r="CN231">
            <v>0</v>
          </cell>
          <cell r="CO231">
            <v>0</v>
          </cell>
          <cell r="CP231">
            <v>-3192</v>
          </cell>
          <cell r="CQ231">
            <v>2358187</v>
          </cell>
          <cell r="CR231">
            <v>2243546</v>
          </cell>
          <cell r="CS231">
            <v>2152909</v>
          </cell>
          <cell r="CT231">
            <v>2112427</v>
          </cell>
          <cell r="CU231">
            <v>2109624</v>
          </cell>
          <cell r="CV231">
            <v>-17605</v>
          </cell>
          <cell r="CW231">
            <v>0</v>
          </cell>
          <cell r="CX231">
            <v>0</v>
          </cell>
          <cell r="CY231">
            <v>0</v>
          </cell>
          <cell r="CZ231">
            <v>0</v>
          </cell>
          <cell r="DA231">
            <v>0</v>
          </cell>
          <cell r="DB231"/>
          <cell r="DC231">
            <v>0</v>
          </cell>
          <cell r="DD231">
            <v>0</v>
          </cell>
          <cell r="DE231">
            <v>0</v>
          </cell>
          <cell r="DF231">
            <v>0</v>
          </cell>
          <cell r="DG231">
            <v>0</v>
          </cell>
          <cell r="DH231">
            <v>0</v>
          </cell>
          <cell r="DI231">
            <v>0</v>
          </cell>
          <cell r="DJ231">
            <v>0</v>
          </cell>
          <cell r="DK231">
            <v>0</v>
          </cell>
          <cell r="DL231">
            <v>0</v>
          </cell>
          <cell r="DM231"/>
          <cell r="DN231"/>
          <cell r="DO231"/>
          <cell r="DP231"/>
        </row>
        <row r="232">
          <cell r="A232">
            <v>1931</v>
          </cell>
          <cell r="B232" t="str">
            <v>Krimpenerwaard</v>
          </cell>
          <cell r="C232">
            <v>8</v>
          </cell>
          <cell r="D232">
            <v>56693</v>
          </cell>
          <cell r="E232">
            <v>28347</v>
          </cell>
          <cell r="F232">
            <v>0</v>
          </cell>
          <cell r="G232">
            <v>0</v>
          </cell>
          <cell r="H232">
            <v>-11573</v>
          </cell>
          <cell r="I232">
            <v>-34343</v>
          </cell>
          <cell r="J232"/>
          <cell r="K232">
            <v>0</v>
          </cell>
          <cell r="L232">
            <v>175365</v>
          </cell>
          <cell r="M232">
            <v>182935</v>
          </cell>
          <cell r="N232">
            <v>0</v>
          </cell>
          <cell r="O232">
            <v>0</v>
          </cell>
          <cell r="P232">
            <v>0</v>
          </cell>
          <cell r="Q232">
            <v>0</v>
          </cell>
          <cell r="R232">
            <v>0</v>
          </cell>
          <cell r="S232">
            <v>0</v>
          </cell>
          <cell r="T232">
            <v>0</v>
          </cell>
          <cell r="U232">
            <v>0</v>
          </cell>
          <cell r="V232">
            <v>9000</v>
          </cell>
          <cell r="W232">
            <v>204865</v>
          </cell>
          <cell r="X232">
            <v>0</v>
          </cell>
          <cell r="Y232"/>
          <cell r="Z232">
            <v>0</v>
          </cell>
          <cell r="AA232">
            <v>0</v>
          </cell>
          <cell r="AB232">
            <v>0</v>
          </cell>
          <cell r="AC232"/>
          <cell r="AD232">
            <v>0</v>
          </cell>
          <cell r="AE232">
            <v>0</v>
          </cell>
          <cell r="AF232">
            <v>0</v>
          </cell>
          <cell r="AG232">
            <v>0</v>
          </cell>
          <cell r="AH232">
            <v>0</v>
          </cell>
          <cell r="AI232">
            <v>0</v>
          </cell>
          <cell r="AJ232">
            <v>0</v>
          </cell>
          <cell r="AK232">
            <v>0</v>
          </cell>
          <cell r="AL232"/>
          <cell r="AM232">
            <v>111635</v>
          </cell>
          <cell r="AN232">
            <v>114203</v>
          </cell>
          <cell r="AO232">
            <v>116830</v>
          </cell>
          <cell r="AP232">
            <v>119516</v>
          </cell>
          <cell r="AQ232">
            <v>122265</v>
          </cell>
          <cell r="AR232">
            <v>125078</v>
          </cell>
          <cell r="AS232">
            <v>0</v>
          </cell>
          <cell r="AT232">
            <v>0</v>
          </cell>
          <cell r="AU232">
            <v>4740</v>
          </cell>
          <cell r="AV232">
            <v>0</v>
          </cell>
          <cell r="AW232">
            <v>0</v>
          </cell>
          <cell r="AX232">
            <v>0</v>
          </cell>
          <cell r="AY232"/>
          <cell r="AZ232"/>
          <cell r="BA232">
            <v>0</v>
          </cell>
          <cell r="BB232"/>
          <cell r="BC232">
            <v>0</v>
          </cell>
          <cell r="BD232">
            <v>19379</v>
          </cell>
          <cell r="BE232"/>
          <cell r="BF232">
            <v>0</v>
          </cell>
          <cell r="BG232">
            <v>0</v>
          </cell>
          <cell r="BH232">
            <v>0</v>
          </cell>
          <cell r="BI232">
            <v>64877</v>
          </cell>
          <cell r="BJ232">
            <v>53403</v>
          </cell>
          <cell r="BK232">
            <v>53403</v>
          </cell>
          <cell r="BL232">
            <v>0</v>
          </cell>
          <cell r="BM232">
            <v>0</v>
          </cell>
          <cell r="BN232">
            <v>0</v>
          </cell>
          <cell r="BO232">
            <v>154198</v>
          </cell>
          <cell r="BP232">
            <v>45860.6</v>
          </cell>
          <cell r="BQ232">
            <v>82616.279069767406</v>
          </cell>
          <cell r="BR232">
            <v>0</v>
          </cell>
          <cell r="BS232">
            <v>0</v>
          </cell>
          <cell r="BT232">
            <v>99286</v>
          </cell>
          <cell r="BU232"/>
          <cell r="BV232"/>
          <cell r="BW232"/>
          <cell r="BX232"/>
          <cell r="BY232">
            <v>0</v>
          </cell>
          <cell r="BZ232">
            <v>0</v>
          </cell>
          <cell r="CA232">
            <v>0</v>
          </cell>
          <cell r="CB232">
            <v>0</v>
          </cell>
          <cell r="CC232">
            <v>3784721</v>
          </cell>
          <cell r="CD232">
            <v>19217982</v>
          </cell>
          <cell r="CE232">
            <v>1908709</v>
          </cell>
          <cell r="CF232">
            <v>0</v>
          </cell>
          <cell r="CG232">
            <v>1908709</v>
          </cell>
          <cell r="CH232">
            <v>1908709</v>
          </cell>
          <cell r="CI232">
            <v>1908709</v>
          </cell>
          <cell r="CJ232">
            <v>1908709</v>
          </cell>
          <cell r="CK232">
            <v>0</v>
          </cell>
          <cell r="CL232">
            <v>0</v>
          </cell>
          <cell r="CM232">
            <v>0</v>
          </cell>
          <cell r="CN232">
            <v>0</v>
          </cell>
          <cell r="CO232">
            <v>0</v>
          </cell>
          <cell r="CP232">
            <v>-12325</v>
          </cell>
          <cell r="CQ232">
            <v>3236066</v>
          </cell>
          <cell r="CR232">
            <v>3148136</v>
          </cell>
          <cell r="CS232">
            <v>3079824</v>
          </cell>
          <cell r="CT232">
            <v>2996363</v>
          </cell>
          <cell r="CU232">
            <v>2965422</v>
          </cell>
          <cell r="CV232">
            <v>-14341</v>
          </cell>
          <cell r="CW232">
            <v>0</v>
          </cell>
          <cell r="CX232">
            <v>0</v>
          </cell>
          <cell r="CY232">
            <v>0</v>
          </cell>
          <cell r="CZ232">
            <v>0</v>
          </cell>
          <cell r="DA232">
            <v>0</v>
          </cell>
          <cell r="DB232"/>
          <cell r="DC232">
            <v>0</v>
          </cell>
          <cell r="DD232">
            <v>0</v>
          </cell>
          <cell r="DE232">
            <v>0</v>
          </cell>
          <cell r="DF232">
            <v>0</v>
          </cell>
          <cell r="DG232">
            <v>0</v>
          </cell>
          <cell r="DH232">
            <v>0</v>
          </cell>
          <cell r="DI232">
            <v>0</v>
          </cell>
          <cell r="DJ232">
            <v>0</v>
          </cell>
          <cell r="DK232">
            <v>0</v>
          </cell>
          <cell r="DL232">
            <v>0</v>
          </cell>
          <cell r="DM232"/>
          <cell r="DN232"/>
          <cell r="DO232"/>
          <cell r="DP232"/>
        </row>
        <row r="233">
          <cell r="A233">
            <v>1621</v>
          </cell>
          <cell r="B233" t="str">
            <v>Lansingerland</v>
          </cell>
          <cell r="C233">
            <v>8</v>
          </cell>
          <cell r="D233">
            <v>39038</v>
          </cell>
          <cell r="E233">
            <v>19519</v>
          </cell>
          <cell r="F233">
            <v>0</v>
          </cell>
          <cell r="G233">
            <v>0</v>
          </cell>
          <cell r="H233">
            <v>-26593</v>
          </cell>
          <cell r="I233">
            <v>-29946</v>
          </cell>
          <cell r="J233"/>
          <cell r="K233">
            <v>0</v>
          </cell>
          <cell r="L233">
            <v>189730</v>
          </cell>
          <cell r="M233">
            <v>177365</v>
          </cell>
          <cell r="N233">
            <v>0</v>
          </cell>
          <cell r="O233">
            <v>0</v>
          </cell>
          <cell r="P233">
            <v>0</v>
          </cell>
          <cell r="Q233">
            <v>0</v>
          </cell>
          <cell r="R233">
            <v>0</v>
          </cell>
          <cell r="S233">
            <v>0</v>
          </cell>
          <cell r="T233">
            <v>0</v>
          </cell>
          <cell r="U233">
            <v>0</v>
          </cell>
          <cell r="V233">
            <v>0</v>
          </cell>
          <cell r="W233">
            <v>136981</v>
          </cell>
          <cell r="X233">
            <v>0</v>
          </cell>
          <cell r="Y233"/>
          <cell r="Z233">
            <v>0</v>
          </cell>
          <cell r="AA233">
            <v>0</v>
          </cell>
          <cell r="AB233">
            <v>0</v>
          </cell>
          <cell r="AC233"/>
          <cell r="AD233">
            <v>0</v>
          </cell>
          <cell r="AE233">
            <v>0</v>
          </cell>
          <cell r="AF233">
            <v>0</v>
          </cell>
          <cell r="AG233">
            <v>0</v>
          </cell>
          <cell r="AH233">
            <v>0</v>
          </cell>
          <cell r="AI233">
            <v>0</v>
          </cell>
          <cell r="AJ233">
            <v>0</v>
          </cell>
          <cell r="AK233">
            <v>0</v>
          </cell>
          <cell r="AL233"/>
          <cell r="AM233">
            <v>0</v>
          </cell>
          <cell r="AN233">
            <v>0</v>
          </cell>
          <cell r="AO233">
            <v>0</v>
          </cell>
          <cell r="AP233">
            <v>0</v>
          </cell>
          <cell r="AQ233">
            <v>0</v>
          </cell>
          <cell r="AR233">
            <v>0</v>
          </cell>
          <cell r="AS233">
            <v>0</v>
          </cell>
          <cell r="AT233">
            <v>0</v>
          </cell>
          <cell r="AU233">
            <v>4740</v>
          </cell>
          <cell r="AV233">
            <v>0</v>
          </cell>
          <cell r="AW233">
            <v>0</v>
          </cell>
          <cell r="AX233">
            <v>0</v>
          </cell>
          <cell r="AY233"/>
          <cell r="AZ233"/>
          <cell r="BA233">
            <v>0</v>
          </cell>
          <cell r="BB233"/>
          <cell r="BC233">
            <v>0</v>
          </cell>
          <cell r="BD233">
            <v>21099</v>
          </cell>
          <cell r="BE233"/>
          <cell r="BF233">
            <v>0</v>
          </cell>
          <cell r="BG233">
            <v>0</v>
          </cell>
          <cell r="BH233">
            <v>0</v>
          </cell>
          <cell r="BI233">
            <v>32190</v>
          </cell>
          <cell r="BJ233">
            <v>26497</v>
          </cell>
          <cell r="BK233">
            <v>26497</v>
          </cell>
          <cell r="BL233">
            <v>0</v>
          </cell>
          <cell r="BM233">
            <v>15026</v>
          </cell>
          <cell r="BN233">
            <v>0</v>
          </cell>
          <cell r="BO233">
            <v>68586</v>
          </cell>
          <cell r="BP233">
            <v>39535</v>
          </cell>
          <cell r="BQ233">
            <v>71220.930232558094</v>
          </cell>
          <cell r="BR233">
            <v>0</v>
          </cell>
          <cell r="BS233">
            <v>0</v>
          </cell>
          <cell r="BT233">
            <v>99762</v>
          </cell>
          <cell r="BU233"/>
          <cell r="BV233"/>
          <cell r="BW233"/>
          <cell r="BX233"/>
          <cell r="BY233">
            <v>0</v>
          </cell>
          <cell r="BZ233">
            <v>0</v>
          </cell>
          <cell r="CA233">
            <v>0</v>
          </cell>
          <cell r="CB233">
            <v>0</v>
          </cell>
          <cell r="CC233">
            <v>2441176</v>
          </cell>
          <cell r="CD233">
            <v>14233811</v>
          </cell>
          <cell r="CE233">
            <v>1398076</v>
          </cell>
          <cell r="CF233">
            <v>-42921</v>
          </cell>
          <cell r="CG233">
            <v>1398076</v>
          </cell>
          <cell r="CH233">
            <v>1398076</v>
          </cell>
          <cell r="CI233">
            <v>1398076</v>
          </cell>
          <cell r="CJ233">
            <v>1398076</v>
          </cell>
          <cell r="CK233">
            <v>0</v>
          </cell>
          <cell r="CL233">
            <v>0</v>
          </cell>
          <cell r="CM233">
            <v>0</v>
          </cell>
          <cell r="CN233">
            <v>0</v>
          </cell>
          <cell r="CO233">
            <v>0</v>
          </cell>
          <cell r="CP233">
            <v>-4217</v>
          </cell>
          <cell r="CQ233">
            <v>223395</v>
          </cell>
          <cell r="CR233">
            <v>238567</v>
          </cell>
          <cell r="CS233">
            <v>244169</v>
          </cell>
          <cell r="CT233">
            <v>259686</v>
          </cell>
          <cell r="CU233">
            <v>275182</v>
          </cell>
          <cell r="CV233">
            <v>99082</v>
          </cell>
          <cell r="CW233">
            <v>0</v>
          </cell>
          <cell r="CX233">
            <v>0</v>
          </cell>
          <cell r="CY233">
            <v>0</v>
          </cell>
          <cell r="CZ233">
            <v>0</v>
          </cell>
          <cell r="DA233">
            <v>0</v>
          </cell>
          <cell r="DB233"/>
          <cell r="DC233">
            <v>0</v>
          </cell>
          <cell r="DD233">
            <v>0</v>
          </cell>
          <cell r="DE233">
            <v>0</v>
          </cell>
          <cell r="DF233">
            <v>0</v>
          </cell>
          <cell r="DG233">
            <v>0</v>
          </cell>
          <cell r="DH233">
            <v>0</v>
          </cell>
          <cell r="DI233">
            <v>0</v>
          </cell>
          <cell r="DJ233">
            <v>0</v>
          </cell>
          <cell r="DK233">
            <v>0</v>
          </cell>
          <cell r="DL233">
            <v>0</v>
          </cell>
          <cell r="DM233"/>
          <cell r="DN233"/>
          <cell r="DO233"/>
          <cell r="DP233"/>
        </row>
        <row r="234">
          <cell r="A234">
            <v>545</v>
          </cell>
          <cell r="B234" t="str">
            <v>Leerdam</v>
          </cell>
          <cell r="C234">
            <v>8</v>
          </cell>
          <cell r="D234">
            <v>26736</v>
          </cell>
          <cell r="E234">
            <v>13368</v>
          </cell>
          <cell r="F234">
            <v>0</v>
          </cell>
          <cell r="G234">
            <v>12289</v>
          </cell>
          <cell r="H234">
            <v>-71243</v>
          </cell>
          <cell r="I234">
            <v>-56385</v>
          </cell>
          <cell r="J234"/>
          <cell r="K234">
            <v>0</v>
          </cell>
          <cell r="L234">
            <v>110364</v>
          </cell>
          <cell r="M234">
            <v>110561</v>
          </cell>
          <cell r="N234">
            <v>0</v>
          </cell>
          <cell r="O234">
            <v>0</v>
          </cell>
          <cell r="P234">
            <v>0</v>
          </cell>
          <cell r="Q234">
            <v>0</v>
          </cell>
          <cell r="R234">
            <v>0</v>
          </cell>
          <cell r="S234">
            <v>0</v>
          </cell>
          <cell r="T234">
            <v>0</v>
          </cell>
          <cell r="U234">
            <v>0</v>
          </cell>
          <cell r="V234">
            <v>0</v>
          </cell>
          <cell r="W234">
            <v>87664</v>
          </cell>
          <cell r="X234">
            <v>0</v>
          </cell>
          <cell r="Y234"/>
          <cell r="Z234">
            <v>0</v>
          </cell>
          <cell r="AA234">
            <v>0</v>
          </cell>
          <cell r="AB234">
            <v>0</v>
          </cell>
          <cell r="AC234"/>
          <cell r="AD234">
            <v>29334</v>
          </cell>
          <cell r="AE234">
            <v>0</v>
          </cell>
          <cell r="AF234">
            <v>0</v>
          </cell>
          <cell r="AG234">
            <v>0</v>
          </cell>
          <cell r="AH234">
            <v>0</v>
          </cell>
          <cell r="AI234">
            <v>0</v>
          </cell>
          <cell r="AJ234">
            <v>0</v>
          </cell>
          <cell r="AK234">
            <v>0</v>
          </cell>
          <cell r="AL234"/>
          <cell r="AM234">
            <v>26811</v>
          </cell>
          <cell r="AN234">
            <v>27428</v>
          </cell>
          <cell r="AO234">
            <v>28059</v>
          </cell>
          <cell r="AP234">
            <v>28704</v>
          </cell>
          <cell r="AQ234">
            <v>29364</v>
          </cell>
          <cell r="AR234">
            <v>30040</v>
          </cell>
          <cell r="AS234">
            <v>0</v>
          </cell>
          <cell r="AT234">
            <v>0</v>
          </cell>
          <cell r="AU234">
            <v>0</v>
          </cell>
          <cell r="AV234">
            <v>0</v>
          </cell>
          <cell r="AW234">
            <v>0</v>
          </cell>
          <cell r="AX234">
            <v>0</v>
          </cell>
          <cell r="AY234"/>
          <cell r="AZ234"/>
          <cell r="BA234">
            <v>0</v>
          </cell>
          <cell r="BB234"/>
          <cell r="BC234">
            <v>0</v>
          </cell>
          <cell r="BD234">
            <v>36676</v>
          </cell>
          <cell r="BE234"/>
          <cell r="BF234">
            <v>0</v>
          </cell>
          <cell r="BG234">
            <v>0</v>
          </cell>
          <cell r="BH234">
            <v>0</v>
          </cell>
          <cell r="BI234">
            <v>30173</v>
          </cell>
          <cell r="BJ234">
            <v>24837</v>
          </cell>
          <cell r="BK234">
            <v>24837</v>
          </cell>
          <cell r="BL234">
            <v>0</v>
          </cell>
          <cell r="BM234">
            <v>0</v>
          </cell>
          <cell r="BN234">
            <v>0</v>
          </cell>
          <cell r="BO234">
            <v>10215</v>
          </cell>
          <cell r="BP234">
            <v>0</v>
          </cell>
          <cell r="BQ234">
            <v>0</v>
          </cell>
          <cell r="BR234">
            <v>0</v>
          </cell>
          <cell r="BS234">
            <v>0</v>
          </cell>
          <cell r="BT234">
            <v>35031</v>
          </cell>
          <cell r="BU234"/>
          <cell r="BV234"/>
          <cell r="BW234"/>
          <cell r="BX234"/>
          <cell r="BY234">
            <v>0</v>
          </cell>
          <cell r="BZ234">
            <v>0</v>
          </cell>
          <cell r="CA234">
            <v>0</v>
          </cell>
          <cell r="CB234">
            <v>0</v>
          </cell>
          <cell r="CC234">
            <v>1805443</v>
          </cell>
          <cell r="CD234">
            <v>11170185</v>
          </cell>
          <cell r="CE234">
            <v>988514</v>
          </cell>
          <cell r="CF234">
            <v>-120200</v>
          </cell>
          <cell r="CG234">
            <v>988514</v>
          </cell>
          <cell r="CH234">
            <v>988514</v>
          </cell>
          <cell r="CI234">
            <v>988514</v>
          </cell>
          <cell r="CJ234">
            <v>988514</v>
          </cell>
          <cell r="CK234">
            <v>0</v>
          </cell>
          <cell r="CL234">
            <v>0</v>
          </cell>
          <cell r="CM234">
            <v>0</v>
          </cell>
          <cell r="CN234">
            <v>0</v>
          </cell>
          <cell r="CO234">
            <v>0</v>
          </cell>
          <cell r="CP234">
            <v>-2432</v>
          </cell>
          <cell r="CQ234">
            <v>1986179</v>
          </cell>
          <cell r="CR234">
            <v>1878266</v>
          </cell>
          <cell r="CS234">
            <v>1845011</v>
          </cell>
          <cell r="CT234">
            <v>1807163</v>
          </cell>
          <cell r="CU234">
            <v>1760136</v>
          </cell>
          <cell r="CV234">
            <v>40440</v>
          </cell>
          <cell r="CW234">
            <v>0</v>
          </cell>
          <cell r="CX234">
            <v>0</v>
          </cell>
          <cell r="CY234">
            <v>0</v>
          </cell>
          <cell r="CZ234">
            <v>0</v>
          </cell>
          <cell r="DA234">
            <v>0</v>
          </cell>
          <cell r="DB234"/>
          <cell r="DC234">
            <v>0</v>
          </cell>
          <cell r="DD234">
            <v>0</v>
          </cell>
          <cell r="DE234">
            <v>0</v>
          </cell>
          <cell r="DF234">
            <v>0</v>
          </cell>
          <cell r="DG234">
            <v>0</v>
          </cell>
          <cell r="DH234">
            <v>0</v>
          </cell>
          <cell r="DI234">
            <v>0</v>
          </cell>
          <cell r="DJ234">
            <v>0</v>
          </cell>
          <cell r="DK234">
            <v>0</v>
          </cell>
          <cell r="DL234">
            <v>0</v>
          </cell>
          <cell r="DM234"/>
          <cell r="DN234"/>
          <cell r="DO234"/>
          <cell r="DP234"/>
        </row>
        <row r="235">
          <cell r="A235">
            <v>546</v>
          </cell>
          <cell r="B235" t="str">
            <v>Leiden</v>
          </cell>
          <cell r="C235">
            <v>8</v>
          </cell>
          <cell r="D235">
            <v>1151595</v>
          </cell>
          <cell r="E235">
            <v>575797</v>
          </cell>
          <cell r="F235">
            <v>0</v>
          </cell>
          <cell r="G235">
            <v>791986</v>
          </cell>
          <cell r="H235">
            <v>-18567</v>
          </cell>
          <cell r="I235">
            <v>-19875</v>
          </cell>
          <cell r="J235"/>
          <cell r="K235">
            <v>7500</v>
          </cell>
          <cell r="L235">
            <v>541434</v>
          </cell>
          <cell r="M235">
            <v>554234</v>
          </cell>
          <cell r="N235">
            <v>0</v>
          </cell>
          <cell r="O235">
            <v>0</v>
          </cell>
          <cell r="P235">
            <v>150000</v>
          </cell>
          <cell r="Q235">
            <v>0</v>
          </cell>
          <cell r="R235">
            <v>0</v>
          </cell>
          <cell r="S235">
            <v>684285</v>
          </cell>
          <cell r="T235">
            <v>643160</v>
          </cell>
          <cell r="U235">
            <v>684285</v>
          </cell>
          <cell r="V235">
            <v>39500</v>
          </cell>
          <cell r="W235">
            <v>287497</v>
          </cell>
          <cell r="X235">
            <v>0</v>
          </cell>
          <cell r="Y235"/>
          <cell r="Z235">
            <v>0</v>
          </cell>
          <cell r="AA235">
            <v>0</v>
          </cell>
          <cell r="AB235">
            <v>0</v>
          </cell>
          <cell r="AC235"/>
          <cell r="AD235">
            <v>128091</v>
          </cell>
          <cell r="AE235">
            <v>0</v>
          </cell>
          <cell r="AF235">
            <v>0</v>
          </cell>
          <cell r="AG235">
            <v>0</v>
          </cell>
          <cell r="AH235">
            <v>0</v>
          </cell>
          <cell r="AI235">
            <v>0</v>
          </cell>
          <cell r="AJ235">
            <v>0</v>
          </cell>
          <cell r="AK235">
            <v>213580</v>
          </cell>
          <cell r="AL235"/>
          <cell r="AM235">
            <v>0</v>
          </cell>
          <cell r="AN235">
            <v>0</v>
          </cell>
          <cell r="AO235">
            <v>0</v>
          </cell>
          <cell r="AP235">
            <v>0</v>
          </cell>
          <cell r="AQ235">
            <v>0</v>
          </cell>
          <cell r="AR235">
            <v>0</v>
          </cell>
          <cell r="AS235">
            <v>0</v>
          </cell>
          <cell r="AT235">
            <v>0</v>
          </cell>
          <cell r="AU235">
            <v>0</v>
          </cell>
          <cell r="AV235">
            <v>7833265.0809511403</v>
          </cell>
          <cell r="AW235">
            <v>37852</v>
          </cell>
          <cell r="AX235">
            <v>0</v>
          </cell>
          <cell r="AY235"/>
          <cell r="AZ235"/>
          <cell r="BA235">
            <v>46358</v>
          </cell>
          <cell r="BB235"/>
          <cell r="BC235">
            <v>10670</v>
          </cell>
          <cell r="BD235">
            <v>43409</v>
          </cell>
          <cell r="BE235"/>
          <cell r="BF235">
            <v>0</v>
          </cell>
          <cell r="BG235">
            <v>0</v>
          </cell>
          <cell r="BH235">
            <v>0</v>
          </cell>
          <cell r="BI235">
            <v>208980</v>
          </cell>
          <cell r="BJ235">
            <v>172021</v>
          </cell>
          <cell r="BK235">
            <v>172021</v>
          </cell>
          <cell r="BL235">
            <v>0</v>
          </cell>
          <cell r="BM235">
            <v>0</v>
          </cell>
          <cell r="BN235">
            <v>294910</v>
          </cell>
          <cell r="BO235">
            <v>117229</v>
          </cell>
          <cell r="BP235">
            <v>25302.400000000001</v>
          </cell>
          <cell r="BQ235">
            <v>45581.395348837199</v>
          </cell>
          <cell r="BR235">
            <v>66000</v>
          </cell>
          <cell r="BS235">
            <v>0</v>
          </cell>
          <cell r="BT235">
            <v>187070</v>
          </cell>
          <cell r="BU235"/>
          <cell r="BV235"/>
          <cell r="BW235"/>
          <cell r="BX235"/>
          <cell r="BY235">
            <v>3523999.2327776202</v>
          </cell>
          <cell r="BZ235">
            <v>4085138.1915737698</v>
          </cell>
          <cell r="CA235">
            <v>4133074.6855412801</v>
          </cell>
          <cell r="CB235">
            <v>4268424.7861554204</v>
          </cell>
          <cell r="CC235">
            <v>7415100</v>
          </cell>
          <cell r="CD235">
            <v>91178028</v>
          </cell>
          <cell r="CE235">
            <v>3026129</v>
          </cell>
          <cell r="CF235">
            <v>0</v>
          </cell>
          <cell r="CG235">
            <v>3026129</v>
          </cell>
          <cell r="CH235">
            <v>3026129</v>
          </cell>
          <cell r="CI235">
            <v>3026129</v>
          </cell>
          <cell r="CJ235">
            <v>3026129</v>
          </cell>
          <cell r="CK235">
            <v>33148738</v>
          </cell>
          <cell r="CL235">
            <v>33132101</v>
          </cell>
          <cell r="CM235">
            <v>33131832</v>
          </cell>
          <cell r="CN235">
            <v>33131240</v>
          </cell>
          <cell r="CO235">
            <v>33132060</v>
          </cell>
          <cell r="CP235">
            <v>-7156</v>
          </cell>
          <cell r="CQ235">
            <v>20531303</v>
          </cell>
          <cell r="CR235">
            <v>19450071</v>
          </cell>
          <cell r="CS235">
            <v>18888358</v>
          </cell>
          <cell r="CT235">
            <v>18392855</v>
          </cell>
          <cell r="CU235">
            <v>18040660</v>
          </cell>
          <cell r="CV235">
            <v>488289</v>
          </cell>
          <cell r="CW235">
            <v>0</v>
          </cell>
          <cell r="CX235">
            <v>0</v>
          </cell>
          <cell r="CY235">
            <v>0</v>
          </cell>
          <cell r="CZ235">
            <v>0</v>
          </cell>
          <cell r="DA235">
            <v>0</v>
          </cell>
          <cell r="DB235"/>
          <cell r="DC235">
            <v>0</v>
          </cell>
          <cell r="DD235">
            <v>0</v>
          </cell>
          <cell r="DE235">
            <v>0</v>
          </cell>
          <cell r="DF235">
            <v>0</v>
          </cell>
          <cell r="DG235">
            <v>0</v>
          </cell>
          <cell r="DH235">
            <v>0</v>
          </cell>
          <cell r="DI235">
            <v>0</v>
          </cell>
          <cell r="DJ235">
            <v>0</v>
          </cell>
          <cell r="DK235">
            <v>0</v>
          </cell>
          <cell r="DL235">
            <v>0</v>
          </cell>
          <cell r="DM235"/>
          <cell r="DN235"/>
          <cell r="DO235"/>
          <cell r="DP235"/>
        </row>
        <row r="236">
          <cell r="A236">
            <v>547</v>
          </cell>
          <cell r="B236" t="str">
            <v>Leiderdorp</v>
          </cell>
          <cell r="C236">
            <v>8</v>
          </cell>
          <cell r="D236">
            <v>19442</v>
          </cell>
          <cell r="E236">
            <v>9721</v>
          </cell>
          <cell r="F236">
            <v>0</v>
          </cell>
          <cell r="G236">
            <v>0</v>
          </cell>
          <cell r="H236">
            <v>0</v>
          </cell>
          <cell r="I236">
            <v>0</v>
          </cell>
          <cell r="J236"/>
          <cell r="K236">
            <v>0</v>
          </cell>
          <cell r="L236">
            <v>83803</v>
          </cell>
          <cell r="M236">
            <v>82278</v>
          </cell>
          <cell r="N236">
            <v>0</v>
          </cell>
          <cell r="O236">
            <v>0</v>
          </cell>
          <cell r="P236">
            <v>0</v>
          </cell>
          <cell r="Q236">
            <v>0</v>
          </cell>
          <cell r="R236">
            <v>0</v>
          </cell>
          <cell r="S236">
            <v>0</v>
          </cell>
          <cell r="T236">
            <v>0</v>
          </cell>
          <cell r="U236">
            <v>0</v>
          </cell>
          <cell r="V236">
            <v>3000</v>
          </cell>
          <cell r="W236">
            <v>49499</v>
          </cell>
          <cell r="X236">
            <v>0</v>
          </cell>
          <cell r="Y236"/>
          <cell r="Z236">
            <v>0</v>
          </cell>
          <cell r="AA236">
            <v>0</v>
          </cell>
          <cell r="AB236">
            <v>0</v>
          </cell>
          <cell r="AC236"/>
          <cell r="AD236">
            <v>0</v>
          </cell>
          <cell r="AE236">
            <v>0</v>
          </cell>
          <cell r="AF236">
            <v>0</v>
          </cell>
          <cell r="AG236">
            <v>0</v>
          </cell>
          <cell r="AH236">
            <v>0</v>
          </cell>
          <cell r="AI236">
            <v>0</v>
          </cell>
          <cell r="AJ236">
            <v>0</v>
          </cell>
          <cell r="AK236">
            <v>0</v>
          </cell>
          <cell r="AL236"/>
          <cell r="AM236">
            <v>0</v>
          </cell>
          <cell r="AN236">
            <v>0</v>
          </cell>
          <cell r="AO236">
            <v>0</v>
          </cell>
          <cell r="AP236">
            <v>0</v>
          </cell>
          <cell r="AQ236">
            <v>0</v>
          </cell>
          <cell r="AR236">
            <v>0</v>
          </cell>
          <cell r="AS236">
            <v>0</v>
          </cell>
          <cell r="AT236">
            <v>0</v>
          </cell>
          <cell r="AU236">
            <v>4740</v>
          </cell>
          <cell r="AV236">
            <v>0</v>
          </cell>
          <cell r="AW236">
            <v>0</v>
          </cell>
          <cell r="AX236">
            <v>0</v>
          </cell>
          <cell r="AY236"/>
          <cell r="AZ236"/>
          <cell r="BA236">
            <v>0</v>
          </cell>
          <cell r="BB236"/>
          <cell r="BC236">
            <v>0</v>
          </cell>
          <cell r="BD236">
            <v>9523</v>
          </cell>
          <cell r="BE236"/>
          <cell r="BF236">
            <v>0</v>
          </cell>
          <cell r="BG236">
            <v>0</v>
          </cell>
          <cell r="BH236">
            <v>0</v>
          </cell>
          <cell r="BI236">
            <v>28064</v>
          </cell>
          <cell r="BJ236">
            <v>23101</v>
          </cell>
          <cell r="BK236">
            <v>23101</v>
          </cell>
          <cell r="BL236">
            <v>0</v>
          </cell>
          <cell r="BM236">
            <v>0</v>
          </cell>
          <cell r="BN236">
            <v>0</v>
          </cell>
          <cell r="BO236">
            <v>19457</v>
          </cell>
          <cell r="BP236">
            <v>11069.8</v>
          </cell>
          <cell r="BQ236">
            <v>19941.8604651163</v>
          </cell>
          <cell r="BR236">
            <v>0</v>
          </cell>
          <cell r="BS236">
            <v>0</v>
          </cell>
          <cell r="BT236">
            <v>40260</v>
          </cell>
          <cell r="BU236"/>
          <cell r="BV236"/>
          <cell r="BW236"/>
          <cell r="BX236"/>
          <cell r="BY236">
            <v>0</v>
          </cell>
          <cell r="BZ236">
            <v>0</v>
          </cell>
          <cell r="CA236">
            <v>0</v>
          </cell>
          <cell r="CB236">
            <v>0</v>
          </cell>
          <cell r="CC236">
            <v>2015693</v>
          </cell>
          <cell r="CD236">
            <v>7869310</v>
          </cell>
          <cell r="CE236">
            <v>560590</v>
          </cell>
          <cell r="CF236">
            <v>0</v>
          </cell>
          <cell r="CG236">
            <v>560590</v>
          </cell>
          <cell r="CH236">
            <v>560590</v>
          </cell>
          <cell r="CI236">
            <v>560590</v>
          </cell>
          <cell r="CJ236">
            <v>560590</v>
          </cell>
          <cell r="CK236">
            <v>0</v>
          </cell>
          <cell r="CL236">
            <v>0</v>
          </cell>
          <cell r="CM236">
            <v>0</v>
          </cell>
          <cell r="CN236">
            <v>0</v>
          </cell>
          <cell r="CO236">
            <v>0</v>
          </cell>
          <cell r="CP236">
            <v>0</v>
          </cell>
          <cell r="CQ236">
            <v>170087</v>
          </cell>
          <cell r="CR236">
            <v>191415</v>
          </cell>
          <cell r="CS236">
            <v>197212</v>
          </cell>
          <cell r="CT236">
            <v>216452</v>
          </cell>
          <cell r="CU236">
            <v>235644</v>
          </cell>
          <cell r="CV236">
            <v>8553</v>
          </cell>
          <cell r="CW236">
            <v>0</v>
          </cell>
          <cell r="CX236">
            <v>0</v>
          </cell>
          <cell r="CY236">
            <v>0</v>
          </cell>
          <cell r="CZ236">
            <v>0</v>
          </cell>
          <cell r="DA236">
            <v>0</v>
          </cell>
          <cell r="DB236"/>
          <cell r="DC236">
            <v>0</v>
          </cell>
          <cell r="DD236">
            <v>0</v>
          </cell>
          <cell r="DE236">
            <v>0</v>
          </cell>
          <cell r="DF236">
            <v>0</v>
          </cell>
          <cell r="DG236">
            <v>0</v>
          </cell>
          <cell r="DH236">
            <v>0</v>
          </cell>
          <cell r="DI236">
            <v>0</v>
          </cell>
          <cell r="DJ236">
            <v>0</v>
          </cell>
          <cell r="DK236">
            <v>0</v>
          </cell>
          <cell r="DL236">
            <v>0</v>
          </cell>
          <cell r="DM236"/>
          <cell r="DN236"/>
          <cell r="DO236"/>
          <cell r="DP236"/>
        </row>
        <row r="237">
          <cell r="A237">
            <v>1916</v>
          </cell>
          <cell r="B237" t="str">
            <v>Leidschendam-Voorburg</v>
          </cell>
          <cell r="C237">
            <v>8</v>
          </cell>
          <cell r="D237">
            <v>18395</v>
          </cell>
          <cell r="E237">
            <v>9197</v>
          </cell>
          <cell r="F237">
            <v>0</v>
          </cell>
          <cell r="G237">
            <v>0</v>
          </cell>
          <cell r="H237">
            <v>-31389</v>
          </cell>
          <cell r="I237">
            <v>-31319</v>
          </cell>
          <cell r="J237"/>
          <cell r="K237">
            <v>0</v>
          </cell>
          <cell r="L237">
            <v>320407</v>
          </cell>
          <cell r="M237">
            <v>307138</v>
          </cell>
          <cell r="N237">
            <v>0</v>
          </cell>
          <cell r="O237">
            <v>0</v>
          </cell>
          <cell r="P237">
            <v>0</v>
          </cell>
          <cell r="Q237">
            <v>0</v>
          </cell>
          <cell r="R237">
            <v>0</v>
          </cell>
          <cell r="S237">
            <v>0</v>
          </cell>
          <cell r="T237">
            <v>0</v>
          </cell>
          <cell r="U237">
            <v>0</v>
          </cell>
          <cell r="V237">
            <v>9750</v>
          </cell>
          <cell r="W237">
            <v>189712</v>
          </cell>
          <cell r="X237">
            <v>0</v>
          </cell>
          <cell r="Y237"/>
          <cell r="Z237">
            <v>0</v>
          </cell>
          <cell r="AA237">
            <v>0</v>
          </cell>
          <cell r="AB237">
            <v>0</v>
          </cell>
          <cell r="AC237"/>
          <cell r="AD237">
            <v>25422</v>
          </cell>
          <cell r="AE237">
            <v>0</v>
          </cell>
          <cell r="AF237">
            <v>0</v>
          </cell>
          <cell r="AG237">
            <v>0</v>
          </cell>
          <cell r="AH237">
            <v>0</v>
          </cell>
          <cell r="AI237">
            <v>0</v>
          </cell>
          <cell r="AJ237">
            <v>0</v>
          </cell>
          <cell r="AK237">
            <v>0</v>
          </cell>
          <cell r="AL237"/>
          <cell r="AM237">
            <v>0</v>
          </cell>
          <cell r="AN237">
            <v>0</v>
          </cell>
          <cell r="AO237">
            <v>0</v>
          </cell>
          <cell r="AP237">
            <v>0</v>
          </cell>
          <cell r="AQ237">
            <v>0</v>
          </cell>
          <cell r="AR237">
            <v>0</v>
          </cell>
          <cell r="AS237">
            <v>0</v>
          </cell>
          <cell r="AT237">
            <v>20000</v>
          </cell>
          <cell r="AU237">
            <v>11850</v>
          </cell>
          <cell r="AV237">
            <v>0</v>
          </cell>
          <cell r="AW237">
            <v>0</v>
          </cell>
          <cell r="AX237">
            <v>0</v>
          </cell>
          <cell r="AY237"/>
          <cell r="AZ237"/>
          <cell r="BA237">
            <v>0</v>
          </cell>
          <cell r="BB237"/>
          <cell r="BC237">
            <v>0</v>
          </cell>
          <cell r="BD237">
            <v>26189</v>
          </cell>
          <cell r="BE237"/>
          <cell r="BF237">
            <v>0</v>
          </cell>
          <cell r="BG237">
            <v>0</v>
          </cell>
          <cell r="BH237">
            <v>0</v>
          </cell>
          <cell r="BI237">
            <v>117360</v>
          </cell>
          <cell r="BJ237">
            <v>96605</v>
          </cell>
          <cell r="BK237">
            <v>96605</v>
          </cell>
          <cell r="BL237">
            <v>0</v>
          </cell>
          <cell r="BM237">
            <v>0</v>
          </cell>
          <cell r="BN237">
            <v>0</v>
          </cell>
          <cell r="BO237">
            <v>41346</v>
          </cell>
          <cell r="BP237">
            <v>22139.599999999999</v>
          </cell>
          <cell r="BQ237">
            <v>39883.720930232601</v>
          </cell>
          <cell r="BR237">
            <v>0</v>
          </cell>
          <cell r="BS237">
            <v>0</v>
          </cell>
          <cell r="BT237">
            <v>114690</v>
          </cell>
          <cell r="BU237"/>
          <cell r="BV237"/>
          <cell r="BW237"/>
          <cell r="BX237"/>
          <cell r="BY237">
            <v>0</v>
          </cell>
          <cell r="BZ237">
            <v>0</v>
          </cell>
          <cell r="CA237">
            <v>0</v>
          </cell>
          <cell r="CB237">
            <v>0</v>
          </cell>
          <cell r="CC237">
            <v>6122498</v>
          </cell>
          <cell r="CD237">
            <v>27118098</v>
          </cell>
          <cell r="CE237">
            <v>1818064</v>
          </cell>
          <cell r="CF237">
            <v>-67839</v>
          </cell>
          <cell r="CG237">
            <v>1818064</v>
          </cell>
          <cell r="CH237">
            <v>1818064</v>
          </cell>
          <cell r="CI237">
            <v>1818064</v>
          </cell>
          <cell r="CJ237">
            <v>1818064</v>
          </cell>
          <cell r="CK237">
            <v>0</v>
          </cell>
          <cell r="CL237">
            <v>0</v>
          </cell>
          <cell r="CM237">
            <v>0</v>
          </cell>
          <cell r="CN237">
            <v>0</v>
          </cell>
          <cell r="CO237">
            <v>0</v>
          </cell>
          <cell r="CP237">
            <v>-1083</v>
          </cell>
          <cell r="CQ237">
            <v>3128532</v>
          </cell>
          <cell r="CR237">
            <v>3034455</v>
          </cell>
          <cell r="CS237">
            <v>2920285</v>
          </cell>
          <cell r="CT237">
            <v>2854164</v>
          </cell>
          <cell r="CU237">
            <v>2836160</v>
          </cell>
          <cell r="CV237">
            <v>-78020</v>
          </cell>
          <cell r="CW237">
            <v>0</v>
          </cell>
          <cell r="CX237">
            <v>0</v>
          </cell>
          <cell r="CY237">
            <v>0</v>
          </cell>
          <cell r="CZ237">
            <v>0</v>
          </cell>
          <cell r="DA237">
            <v>0</v>
          </cell>
          <cell r="DB237"/>
          <cell r="DC237">
            <v>0</v>
          </cell>
          <cell r="DD237">
            <v>0</v>
          </cell>
          <cell r="DE237">
            <v>0</v>
          </cell>
          <cell r="DF237">
            <v>0</v>
          </cell>
          <cell r="DG237">
            <v>0</v>
          </cell>
          <cell r="DH237">
            <v>0</v>
          </cell>
          <cell r="DI237">
            <v>0</v>
          </cell>
          <cell r="DJ237">
            <v>0</v>
          </cell>
          <cell r="DK237">
            <v>0</v>
          </cell>
          <cell r="DL237">
            <v>0</v>
          </cell>
          <cell r="DM237"/>
          <cell r="DN237"/>
          <cell r="DO237"/>
          <cell r="DP237"/>
        </row>
        <row r="238">
          <cell r="A238">
            <v>553</v>
          </cell>
          <cell r="B238" t="str">
            <v>Lisse</v>
          </cell>
          <cell r="C238">
            <v>8</v>
          </cell>
          <cell r="D238">
            <v>-23456</v>
          </cell>
          <cell r="E238">
            <v>-11728</v>
          </cell>
          <cell r="F238">
            <v>0</v>
          </cell>
          <cell r="G238">
            <v>0</v>
          </cell>
          <cell r="H238">
            <v>0</v>
          </cell>
          <cell r="I238">
            <v>0</v>
          </cell>
          <cell r="J238"/>
          <cell r="K238">
            <v>0</v>
          </cell>
          <cell r="L238">
            <v>75207</v>
          </cell>
          <cell r="M238">
            <v>62137</v>
          </cell>
          <cell r="N238">
            <v>0</v>
          </cell>
          <cell r="O238">
            <v>0</v>
          </cell>
          <cell r="P238">
            <v>0</v>
          </cell>
          <cell r="Q238">
            <v>0</v>
          </cell>
          <cell r="R238">
            <v>0</v>
          </cell>
          <cell r="S238">
            <v>0</v>
          </cell>
          <cell r="T238">
            <v>0</v>
          </cell>
          <cell r="U238">
            <v>0</v>
          </cell>
          <cell r="V238">
            <v>0</v>
          </cell>
          <cell r="W238">
            <v>66672</v>
          </cell>
          <cell r="X238">
            <v>0</v>
          </cell>
          <cell r="Y238"/>
          <cell r="Z238">
            <v>0</v>
          </cell>
          <cell r="AA238">
            <v>0</v>
          </cell>
          <cell r="AB238">
            <v>0</v>
          </cell>
          <cell r="AC238"/>
          <cell r="AD238">
            <v>0</v>
          </cell>
          <cell r="AE238">
            <v>0</v>
          </cell>
          <cell r="AF238">
            <v>0</v>
          </cell>
          <cell r="AG238">
            <v>0</v>
          </cell>
          <cell r="AH238">
            <v>0</v>
          </cell>
          <cell r="AI238">
            <v>0</v>
          </cell>
          <cell r="AJ238">
            <v>0</v>
          </cell>
          <cell r="AK238">
            <v>0</v>
          </cell>
          <cell r="AL238"/>
          <cell r="AM238">
            <v>0</v>
          </cell>
          <cell r="AN238">
            <v>0</v>
          </cell>
          <cell r="AO238">
            <v>0</v>
          </cell>
          <cell r="AP238">
            <v>0</v>
          </cell>
          <cell r="AQ238">
            <v>0</v>
          </cell>
          <cell r="AR238">
            <v>0</v>
          </cell>
          <cell r="AS238">
            <v>0</v>
          </cell>
          <cell r="AT238">
            <v>0</v>
          </cell>
          <cell r="AU238">
            <v>2370</v>
          </cell>
          <cell r="AV238">
            <v>0</v>
          </cell>
          <cell r="AW238">
            <v>0</v>
          </cell>
          <cell r="AX238">
            <v>0</v>
          </cell>
          <cell r="AY238"/>
          <cell r="AZ238"/>
          <cell r="BA238">
            <v>0</v>
          </cell>
          <cell r="BB238"/>
          <cell r="BC238">
            <v>0</v>
          </cell>
          <cell r="BD238">
            <v>7974</v>
          </cell>
          <cell r="BE238"/>
          <cell r="BF238">
            <v>0</v>
          </cell>
          <cell r="BG238">
            <v>0</v>
          </cell>
          <cell r="BH238">
            <v>0</v>
          </cell>
          <cell r="BI238">
            <v>31803</v>
          </cell>
          <cell r="BJ238">
            <v>26179</v>
          </cell>
          <cell r="BK238">
            <v>26179</v>
          </cell>
          <cell r="BL238">
            <v>0</v>
          </cell>
          <cell r="BM238">
            <v>0</v>
          </cell>
          <cell r="BN238">
            <v>0</v>
          </cell>
          <cell r="BO238">
            <v>26267</v>
          </cell>
          <cell r="BP238">
            <v>4744.2</v>
          </cell>
          <cell r="BQ238">
            <v>8546.5116279069807</v>
          </cell>
          <cell r="BR238">
            <v>0</v>
          </cell>
          <cell r="BS238">
            <v>0</v>
          </cell>
          <cell r="BT238">
            <v>32316</v>
          </cell>
          <cell r="BU238"/>
          <cell r="BV238"/>
          <cell r="BW238"/>
          <cell r="BX238"/>
          <cell r="BY238">
            <v>0</v>
          </cell>
          <cell r="BZ238">
            <v>0</v>
          </cell>
          <cell r="CA238">
            <v>0</v>
          </cell>
          <cell r="CB238">
            <v>0</v>
          </cell>
          <cell r="CC238">
            <v>1766498</v>
          </cell>
          <cell r="CD238">
            <v>8028022</v>
          </cell>
          <cell r="CE238">
            <v>365543</v>
          </cell>
          <cell r="CF238">
            <v>0</v>
          </cell>
          <cell r="CG238">
            <v>365543</v>
          </cell>
          <cell r="CH238">
            <v>365543</v>
          </cell>
          <cell r="CI238">
            <v>365543</v>
          </cell>
          <cell r="CJ238">
            <v>365543</v>
          </cell>
          <cell r="CK238">
            <v>0</v>
          </cell>
          <cell r="CL238">
            <v>0</v>
          </cell>
          <cell r="CM238">
            <v>0</v>
          </cell>
          <cell r="CN238">
            <v>0</v>
          </cell>
          <cell r="CO238">
            <v>0</v>
          </cell>
          <cell r="CP238">
            <v>0</v>
          </cell>
          <cell r="CQ238">
            <v>1681618</v>
          </cell>
          <cell r="CR238">
            <v>1585573</v>
          </cell>
          <cell r="CS238">
            <v>1541574</v>
          </cell>
          <cell r="CT238">
            <v>1499396</v>
          </cell>
          <cell r="CU238">
            <v>1463667</v>
          </cell>
          <cell r="CV238">
            <v>-4170</v>
          </cell>
          <cell r="CW238">
            <v>0</v>
          </cell>
          <cell r="CX238">
            <v>0</v>
          </cell>
          <cell r="CY238">
            <v>0</v>
          </cell>
          <cell r="CZ238">
            <v>0</v>
          </cell>
          <cell r="DA238">
            <v>0</v>
          </cell>
          <cell r="DB238"/>
          <cell r="DC238">
            <v>0</v>
          </cell>
          <cell r="DD238">
            <v>0</v>
          </cell>
          <cell r="DE238">
            <v>0</v>
          </cell>
          <cell r="DF238">
            <v>0</v>
          </cell>
          <cell r="DG238">
            <v>0</v>
          </cell>
          <cell r="DH238">
            <v>0</v>
          </cell>
          <cell r="DI238">
            <v>0</v>
          </cell>
          <cell r="DJ238">
            <v>0</v>
          </cell>
          <cell r="DK238">
            <v>0</v>
          </cell>
          <cell r="DL238">
            <v>0</v>
          </cell>
          <cell r="DM238"/>
          <cell r="DN238"/>
          <cell r="DO238"/>
          <cell r="DP238"/>
        </row>
        <row r="239">
          <cell r="A239">
            <v>556</v>
          </cell>
          <cell r="B239" t="str">
            <v>Maassluis</v>
          </cell>
          <cell r="C239">
            <v>8</v>
          </cell>
          <cell r="D239">
            <v>1850</v>
          </cell>
          <cell r="E239">
            <v>925</v>
          </cell>
          <cell r="F239">
            <v>0</v>
          </cell>
          <cell r="G239">
            <v>0</v>
          </cell>
          <cell r="H239">
            <v>0</v>
          </cell>
          <cell r="I239">
            <v>-8467</v>
          </cell>
          <cell r="J239"/>
          <cell r="K239">
            <v>0</v>
          </cell>
          <cell r="L239">
            <v>187820</v>
          </cell>
          <cell r="M239">
            <v>208552</v>
          </cell>
          <cell r="N239">
            <v>7600</v>
          </cell>
          <cell r="O239">
            <v>3800</v>
          </cell>
          <cell r="P239">
            <v>0</v>
          </cell>
          <cell r="Q239">
            <v>0</v>
          </cell>
          <cell r="R239">
            <v>0</v>
          </cell>
          <cell r="S239">
            <v>0</v>
          </cell>
          <cell r="T239">
            <v>0</v>
          </cell>
          <cell r="U239">
            <v>0</v>
          </cell>
          <cell r="V239">
            <v>3000</v>
          </cell>
          <cell r="W239">
            <v>88492</v>
          </cell>
          <cell r="X239">
            <v>0</v>
          </cell>
          <cell r="Y239"/>
          <cell r="Z239">
            <v>0</v>
          </cell>
          <cell r="AA239">
            <v>0</v>
          </cell>
          <cell r="AB239">
            <v>0</v>
          </cell>
          <cell r="AC239"/>
          <cell r="AD239">
            <v>57690</v>
          </cell>
          <cell r="AE239">
            <v>0</v>
          </cell>
          <cell r="AF239">
            <v>0</v>
          </cell>
          <cell r="AG239">
            <v>0</v>
          </cell>
          <cell r="AH239">
            <v>0</v>
          </cell>
          <cell r="AI239">
            <v>0</v>
          </cell>
          <cell r="AJ239">
            <v>0</v>
          </cell>
          <cell r="AK239">
            <v>0</v>
          </cell>
          <cell r="AL239"/>
          <cell r="AM239">
            <v>0</v>
          </cell>
          <cell r="AN239">
            <v>0</v>
          </cell>
          <cell r="AO239">
            <v>0</v>
          </cell>
          <cell r="AP239">
            <v>0</v>
          </cell>
          <cell r="AQ239">
            <v>0</v>
          </cell>
          <cell r="AR239">
            <v>0</v>
          </cell>
          <cell r="AS239">
            <v>0</v>
          </cell>
          <cell r="AT239">
            <v>0</v>
          </cell>
          <cell r="AU239">
            <v>2370</v>
          </cell>
          <cell r="AV239">
            <v>0</v>
          </cell>
          <cell r="AW239">
            <v>0</v>
          </cell>
          <cell r="AX239">
            <v>0</v>
          </cell>
          <cell r="AY239"/>
          <cell r="AZ239"/>
          <cell r="BA239">
            <v>0</v>
          </cell>
          <cell r="BB239"/>
          <cell r="BC239">
            <v>0</v>
          </cell>
          <cell r="BD239">
            <v>11391</v>
          </cell>
          <cell r="BE239"/>
          <cell r="BF239">
            <v>0</v>
          </cell>
          <cell r="BG239">
            <v>0</v>
          </cell>
          <cell r="BH239">
            <v>0</v>
          </cell>
          <cell r="BI239">
            <v>52228</v>
          </cell>
          <cell r="BJ239">
            <v>42991</v>
          </cell>
          <cell r="BK239">
            <v>42991</v>
          </cell>
          <cell r="BL239">
            <v>0</v>
          </cell>
          <cell r="BM239">
            <v>0</v>
          </cell>
          <cell r="BN239">
            <v>0</v>
          </cell>
          <cell r="BO239">
            <v>22862</v>
          </cell>
          <cell r="BP239">
            <v>11069.8</v>
          </cell>
          <cell r="BQ239">
            <v>19941.8604651163</v>
          </cell>
          <cell r="BR239">
            <v>0</v>
          </cell>
          <cell r="BS239">
            <v>0</v>
          </cell>
          <cell r="BT239">
            <v>50213</v>
          </cell>
          <cell r="BU239"/>
          <cell r="BV239"/>
          <cell r="BW239"/>
          <cell r="BX239"/>
          <cell r="BY239">
            <v>0</v>
          </cell>
          <cell r="BZ239">
            <v>0</v>
          </cell>
          <cell r="CA239">
            <v>0</v>
          </cell>
          <cell r="CB239">
            <v>0</v>
          </cell>
          <cell r="CC239">
            <v>2771733</v>
          </cell>
          <cell r="CD239">
            <v>16457547</v>
          </cell>
          <cell r="CE239">
            <v>1127319</v>
          </cell>
          <cell r="CF239">
            <v>-20396</v>
          </cell>
          <cell r="CG239">
            <v>1127319</v>
          </cell>
          <cell r="CH239">
            <v>1127319</v>
          </cell>
          <cell r="CI239">
            <v>1127319</v>
          </cell>
          <cell r="CJ239">
            <v>1127319</v>
          </cell>
          <cell r="CK239">
            <v>0</v>
          </cell>
          <cell r="CL239">
            <v>0</v>
          </cell>
          <cell r="CM239">
            <v>0</v>
          </cell>
          <cell r="CN239">
            <v>0</v>
          </cell>
          <cell r="CO239">
            <v>0</v>
          </cell>
          <cell r="CP239">
            <v>0</v>
          </cell>
          <cell r="CQ239">
            <v>4193213</v>
          </cell>
          <cell r="CR239">
            <v>4013212</v>
          </cell>
          <cell r="CS239">
            <v>3901584</v>
          </cell>
          <cell r="CT239">
            <v>3813744</v>
          </cell>
          <cell r="CU239">
            <v>3664466</v>
          </cell>
          <cell r="CV239">
            <v>-29162</v>
          </cell>
          <cell r="CW239">
            <v>0</v>
          </cell>
          <cell r="CX239">
            <v>0</v>
          </cell>
          <cell r="CY239">
            <v>0</v>
          </cell>
          <cell r="CZ239">
            <v>0</v>
          </cell>
          <cell r="DA239">
            <v>0</v>
          </cell>
          <cell r="DB239"/>
          <cell r="DC239">
            <v>0</v>
          </cell>
          <cell r="DD239">
            <v>0</v>
          </cell>
          <cell r="DE239">
            <v>0</v>
          </cell>
          <cell r="DF239">
            <v>0</v>
          </cell>
          <cell r="DG239">
            <v>0</v>
          </cell>
          <cell r="DH239">
            <v>0</v>
          </cell>
          <cell r="DI239">
            <v>0</v>
          </cell>
          <cell r="DJ239">
            <v>0</v>
          </cell>
          <cell r="DK239">
            <v>0</v>
          </cell>
          <cell r="DL239">
            <v>0</v>
          </cell>
          <cell r="DM239"/>
          <cell r="DN239"/>
          <cell r="DO239"/>
          <cell r="DP239"/>
        </row>
        <row r="240">
          <cell r="A240">
            <v>1842</v>
          </cell>
          <cell r="B240" t="str">
            <v>Midden-Delfland</v>
          </cell>
          <cell r="C240">
            <v>8</v>
          </cell>
          <cell r="D240">
            <v>10258</v>
          </cell>
          <cell r="E240">
            <v>5129</v>
          </cell>
          <cell r="F240">
            <v>0</v>
          </cell>
          <cell r="G240">
            <v>0</v>
          </cell>
          <cell r="H240">
            <v>-15000</v>
          </cell>
          <cell r="I240">
            <v>-4472</v>
          </cell>
          <cell r="J240"/>
          <cell r="K240">
            <v>0</v>
          </cell>
          <cell r="L240">
            <v>40787</v>
          </cell>
          <cell r="M240">
            <v>36116</v>
          </cell>
          <cell r="N240">
            <v>0</v>
          </cell>
          <cell r="O240">
            <v>0</v>
          </cell>
          <cell r="P240">
            <v>0</v>
          </cell>
          <cell r="Q240">
            <v>0</v>
          </cell>
          <cell r="R240">
            <v>0</v>
          </cell>
          <cell r="S240">
            <v>0</v>
          </cell>
          <cell r="T240">
            <v>0</v>
          </cell>
          <cell r="U240">
            <v>0</v>
          </cell>
          <cell r="V240">
            <v>0</v>
          </cell>
          <cell r="W240">
            <v>0</v>
          </cell>
          <cell r="X240">
            <v>0</v>
          </cell>
          <cell r="Y240"/>
          <cell r="Z240">
            <v>0</v>
          </cell>
          <cell r="AA240">
            <v>0</v>
          </cell>
          <cell r="AB240">
            <v>0</v>
          </cell>
          <cell r="AC240"/>
          <cell r="AD240">
            <v>0</v>
          </cell>
          <cell r="AE240">
            <v>0</v>
          </cell>
          <cell r="AF240">
            <v>0</v>
          </cell>
          <cell r="AG240">
            <v>0</v>
          </cell>
          <cell r="AH240">
            <v>0</v>
          </cell>
          <cell r="AI240">
            <v>0</v>
          </cell>
          <cell r="AJ240">
            <v>0</v>
          </cell>
          <cell r="AK240">
            <v>0</v>
          </cell>
          <cell r="AL240"/>
          <cell r="AM240">
            <v>0</v>
          </cell>
          <cell r="AN240">
            <v>0</v>
          </cell>
          <cell r="AO240">
            <v>0</v>
          </cell>
          <cell r="AP240">
            <v>0</v>
          </cell>
          <cell r="AQ240">
            <v>0</v>
          </cell>
          <cell r="AR240">
            <v>0</v>
          </cell>
          <cell r="AS240">
            <v>0</v>
          </cell>
          <cell r="AT240">
            <v>0</v>
          </cell>
          <cell r="AU240">
            <v>0</v>
          </cell>
          <cell r="AV240">
            <v>0</v>
          </cell>
          <cell r="AW240">
            <v>0</v>
          </cell>
          <cell r="AX240">
            <v>0</v>
          </cell>
          <cell r="AY240"/>
          <cell r="AZ240"/>
          <cell r="BA240">
            <v>0</v>
          </cell>
          <cell r="BB240"/>
          <cell r="BC240">
            <v>0</v>
          </cell>
          <cell r="BD240">
            <v>6682</v>
          </cell>
          <cell r="BE240"/>
          <cell r="BF240">
            <v>0</v>
          </cell>
          <cell r="BG240">
            <v>0</v>
          </cell>
          <cell r="BH240">
            <v>0</v>
          </cell>
          <cell r="BI240">
            <v>12795</v>
          </cell>
          <cell r="BJ240">
            <v>10532</v>
          </cell>
          <cell r="BK240">
            <v>10532</v>
          </cell>
          <cell r="BL240">
            <v>0</v>
          </cell>
          <cell r="BM240">
            <v>0</v>
          </cell>
          <cell r="BN240">
            <v>0</v>
          </cell>
          <cell r="BO240">
            <v>38428</v>
          </cell>
          <cell r="BP240">
            <v>7907</v>
          </cell>
          <cell r="BQ240">
            <v>14244.186046511601</v>
          </cell>
          <cell r="BR240">
            <v>0</v>
          </cell>
          <cell r="BS240">
            <v>0</v>
          </cell>
          <cell r="BT240">
            <v>35702</v>
          </cell>
          <cell r="BU240"/>
          <cell r="BV240"/>
          <cell r="BW240"/>
          <cell r="BX240"/>
          <cell r="BY240">
            <v>0</v>
          </cell>
          <cell r="BZ240">
            <v>0</v>
          </cell>
          <cell r="CA240">
            <v>0</v>
          </cell>
          <cell r="CB240">
            <v>0</v>
          </cell>
          <cell r="CC240">
            <v>937546</v>
          </cell>
          <cell r="CD240">
            <v>3543940</v>
          </cell>
          <cell r="CE240">
            <v>202284</v>
          </cell>
          <cell r="CF240">
            <v>-10668</v>
          </cell>
          <cell r="CG240">
            <v>202284</v>
          </cell>
          <cell r="CH240">
            <v>202284</v>
          </cell>
          <cell r="CI240">
            <v>202284</v>
          </cell>
          <cell r="CJ240">
            <v>202284</v>
          </cell>
          <cell r="CK240">
            <v>0</v>
          </cell>
          <cell r="CL240">
            <v>0</v>
          </cell>
          <cell r="CM240">
            <v>0</v>
          </cell>
          <cell r="CN240">
            <v>0</v>
          </cell>
          <cell r="CO240">
            <v>0</v>
          </cell>
          <cell r="CP240">
            <v>0</v>
          </cell>
          <cell r="CQ240">
            <v>89896</v>
          </cell>
          <cell r="CR240">
            <v>99981</v>
          </cell>
          <cell r="CS240">
            <v>103305</v>
          </cell>
          <cell r="CT240">
            <v>112483</v>
          </cell>
          <cell r="CU240">
            <v>121623</v>
          </cell>
          <cell r="CV240">
            <v>19259</v>
          </cell>
          <cell r="CW240">
            <v>0</v>
          </cell>
          <cell r="CX240">
            <v>0</v>
          </cell>
          <cell r="CY240">
            <v>0</v>
          </cell>
          <cell r="CZ240">
            <v>0</v>
          </cell>
          <cell r="DA240">
            <v>0</v>
          </cell>
          <cell r="DB240"/>
          <cell r="DC240">
            <v>0</v>
          </cell>
          <cell r="DD240">
            <v>0</v>
          </cell>
          <cell r="DE240">
            <v>0</v>
          </cell>
          <cell r="DF240">
            <v>0</v>
          </cell>
          <cell r="DG240">
            <v>0</v>
          </cell>
          <cell r="DH240">
            <v>0</v>
          </cell>
          <cell r="DI240">
            <v>0</v>
          </cell>
          <cell r="DJ240">
            <v>0</v>
          </cell>
          <cell r="DK240">
            <v>0</v>
          </cell>
          <cell r="DL240">
            <v>0</v>
          </cell>
          <cell r="DM240"/>
          <cell r="DN240"/>
          <cell r="DO240"/>
          <cell r="DP240"/>
        </row>
        <row r="241">
          <cell r="A241">
            <v>1927</v>
          </cell>
          <cell r="B241" t="str">
            <v>Molenwaard</v>
          </cell>
          <cell r="C241">
            <v>8</v>
          </cell>
          <cell r="D241">
            <v>-1203</v>
          </cell>
          <cell r="E241">
            <v>-601</v>
          </cell>
          <cell r="F241">
            <v>0</v>
          </cell>
          <cell r="G241">
            <v>0</v>
          </cell>
          <cell r="H241">
            <v>0</v>
          </cell>
          <cell r="I241">
            <v>0</v>
          </cell>
          <cell r="J241"/>
          <cell r="K241">
            <v>0</v>
          </cell>
          <cell r="L241">
            <v>67726</v>
          </cell>
          <cell r="M241">
            <v>60828</v>
          </cell>
          <cell r="N241">
            <v>0</v>
          </cell>
          <cell r="O241">
            <v>0</v>
          </cell>
          <cell r="P241">
            <v>0</v>
          </cell>
          <cell r="Q241">
            <v>0</v>
          </cell>
          <cell r="R241">
            <v>0</v>
          </cell>
          <cell r="S241">
            <v>0</v>
          </cell>
          <cell r="T241">
            <v>0</v>
          </cell>
          <cell r="U241">
            <v>0</v>
          </cell>
          <cell r="V241">
            <v>12000</v>
          </cell>
          <cell r="W241">
            <v>111120</v>
          </cell>
          <cell r="X241">
            <v>0</v>
          </cell>
          <cell r="Y241"/>
          <cell r="Z241">
            <v>0</v>
          </cell>
          <cell r="AA241">
            <v>0</v>
          </cell>
          <cell r="AB241">
            <v>0</v>
          </cell>
          <cell r="AC241"/>
          <cell r="AD241">
            <v>20000</v>
          </cell>
          <cell r="AE241">
            <v>0</v>
          </cell>
          <cell r="AF241">
            <v>0</v>
          </cell>
          <cell r="AG241">
            <v>0</v>
          </cell>
          <cell r="AH241">
            <v>0</v>
          </cell>
          <cell r="AI241">
            <v>0</v>
          </cell>
          <cell r="AJ241">
            <v>0</v>
          </cell>
          <cell r="AK241">
            <v>0</v>
          </cell>
          <cell r="AL241"/>
          <cell r="AM241">
            <v>100651</v>
          </cell>
          <cell r="AN241">
            <v>102967</v>
          </cell>
          <cell r="AO241">
            <v>105336</v>
          </cell>
          <cell r="AP241">
            <v>107758</v>
          </cell>
          <cell r="AQ241">
            <v>110236</v>
          </cell>
          <cell r="AR241">
            <v>112772</v>
          </cell>
          <cell r="AS241">
            <v>0</v>
          </cell>
          <cell r="AT241">
            <v>0</v>
          </cell>
          <cell r="AU241">
            <v>0</v>
          </cell>
          <cell r="AV241">
            <v>0</v>
          </cell>
          <cell r="AW241">
            <v>0</v>
          </cell>
          <cell r="AX241">
            <v>0</v>
          </cell>
          <cell r="AY241"/>
          <cell r="AZ241"/>
          <cell r="BA241">
            <v>0</v>
          </cell>
          <cell r="BB241"/>
          <cell r="BC241">
            <v>0</v>
          </cell>
          <cell r="BD241">
            <v>51250</v>
          </cell>
          <cell r="BE241"/>
          <cell r="BF241">
            <v>0</v>
          </cell>
          <cell r="BG241">
            <v>0</v>
          </cell>
          <cell r="BH241">
            <v>0</v>
          </cell>
          <cell r="BI241">
            <v>24528</v>
          </cell>
          <cell r="BJ241">
            <v>20190</v>
          </cell>
          <cell r="BK241">
            <v>20190</v>
          </cell>
          <cell r="BL241">
            <v>0</v>
          </cell>
          <cell r="BM241">
            <v>0</v>
          </cell>
          <cell r="BN241">
            <v>0</v>
          </cell>
          <cell r="BO241">
            <v>149333</v>
          </cell>
          <cell r="BP241">
            <v>9488.4</v>
          </cell>
          <cell r="BQ241">
            <v>17093.023255814001</v>
          </cell>
          <cell r="BR241">
            <v>0</v>
          </cell>
          <cell r="BS241">
            <v>0</v>
          </cell>
          <cell r="BT241">
            <v>64244</v>
          </cell>
          <cell r="BU241"/>
          <cell r="BV241"/>
          <cell r="BW241"/>
          <cell r="BX241"/>
          <cell r="BY241">
            <v>0</v>
          </cell>
          <cell r="BZ241">
            <v>0</v>
          </cell>
          <cell r="CA241">
            <v>0</v>
          </cell>
          <cell r="CB241">
            <v>0</v>
          </cell>
          <cell r="CC241">
            <v>1542832</v>
          </cell>
          <cell r="CD241">
            <v>9228171</v>
          </cell>
          <cell r="CE241">
            <v>1638422</v>
          </cell>
          <cell r="CF241">
            <v>0</v>
          </cell>
          <cell r="CG241">
            <v>1638422</v>
          </cell>
          <cell r="CH241">
            <v>1638422</v>
          </cell>
          <cell r="CI241">
            <v>1638422</v>
          </cell>
          <cell r="CJ241">
            <v>1638422</v>
          </cell>
          <cell r="CK241">
            <v>0</v>
          </cell>
          <cell r="CL241">
            <v>0</v>
          </cell>
          <cell r="CM241">
            <v>0</v>
          </cell>
          <cell r="CN241">
            <v>0</v>
          </cell>
          <cell r="CO241">
            <v>0</v>
          </cell>
          <cell r="CP241">
            <v>0</v>
          </cell>
          <cell r="CQ241">
            <v>691806</v>
          </cell>
          <cell r="CR241">
            <v>669790</v>
          </cell>
          <cell r="CS241">
            <v>669633</v>
          </cell>
          <cell r="CT241">
            <v>645629</v>
          </cell>
          <cell r="CU241">
            <v>636688</v>
          </cell>
          <cell r="CV241">
            <v>-53439</v>
          </cell>
          <cell r="CW241">
            <v>0</v>
          </cell>
          <cell r="CX241">
            <v>0</v>
          </cell>
          <cell r="CY241">
            <v>0</v>
          </cell>
          <cell r="CZ241">
            <v>0</v>
          </cell>
          <cell r="DA241">
            <v>0</v>
          </cell>
          <cell r="DB241"/>
          <cell r="DC241">
            <v>0</v>
          </cell>
          <cell r="DD241">
            <v>0</v>
          </cell>
          <cell r="DE241">
            <v>0</v>
          </cell>
          <cell r="DF241">
            <v>0</v>
          </cell>
          <cell r="DG241">
            <v>0</v>
          </cell>
          <cell r="DH241">
            <v>0</v>
          </cell>
          <cell r="DI241">
            <v>0</v>
          </cell>
          <cell r="DJ241">
            <v>0</v>
          </cell>
          <cell r="DK241">
            <v>0</v>
          </cell>
          <cell r="DL241">
            <v>0</v>
          </cell>
          <cell r="DM241"/>
          <cell r="DN241"/>
          <cell r="DO241"/>
          <cell r="DP241"/>
        </row>
        <row r="242">
          <cell r="A242">
            <v>569</v>
          </cell>
          <cell r="B242" t="str">
            <v>Nieuwkoop</v>
          </cell>
          <cell r="C242">
            <v>8</v>
          </cell>
          <cell r="D242">
            <v>36630</v>
          </cell>
          <cell r="E242">
            <v>18315</v>
          </cell>
          <cell r="F242">
            <v>0</v>
          </cell>
          <cell r="G242">
            <v>0</v>
          </cell>
          <cell r="H242">
            <v>0</v>
          </cell>
          <cell r="I242">
            <v>-20503</v>
          </cell>
          <cell r="J242"/>
          <cell r="K242">
            <v>0</v>
          </cell>
          <cell r="L242">
            <v>60166</v>
          </cell>
          <cell r="M242">
            <v>65565</v>
          </cell>
          <cell r="N242">
            <v>0</v>
          </cell>
          <cell r="O242">
            <v>0</v>
          </cell>
          <cell r="P242">
            <v>0</v>
          </cell>
          <cell r="Q242">
            <v>0</v>
          </cell>
          <cell r="R242">
            <v>0</v>
          </cell>
          <cell r="S242">
            <v>0</v>
          </cell>
          <cell r="T242">
            <v>0</v>
          </cell>
          <cell r="U242">
            <v>0</v>
          </cell>
          <cell r="V242">
            <v>12000</v>
          </cell>
          <cell r="W242">
            <v>85461</v>
          </cell>
          <cell r="X242">
            <v>0</v>
          </cell>
          <cell r="Y242"/>
          <cell r="Z242">
            <v>0</v>
          </cell>
          <cell r="AA242">
            <v>0</v>
          </cell>
          <cell r="AB242">
            <v>0</v>
          </cell>
          <cell r="AC242"/>
          <cell r="AD242">
            <v>0</v>
          </cell>
          <cell r="AE242">
            <v>0</v>
          </cell>
          <cell r="AF242">
            <v>0</v>
          </cell>
          <cell r="AG242">
            <v>0</v>
          </cell>
          <cell r="AH242">
            <v>0</v>
          </cell>
          <cell r="AI242">
            <v>0</v>
          </cell>
          <cell r="AJ242">
            <v>0</v>
          </cell>
          <cell r="AK242">
            <v>0</v>
          </cell>
          <cell r="AL242"/>
          <cell r="AM242">
            <v>0</v>
          </cell>
          <cell r="AN242">
            <v>0</v>
          </cell>
          <cell r="AO242">
            <v>0</v>
          </cell>
          <cell r="AP242">
            <v>0</v>
          </cell>
          <cell r="AQ242">
            <v>0</v>
          </cell>
          <cell r="AR242">
            <v>0</v>
          </cell>
          <cell r="AS242">
            <v>0</v>
          </cell>
          <cell r="AT242">
            <v>0</v>
          </cell>
          <cell r="AU242">
            <v>0</v>
          </cell>
          <cell r="AV242">
            <v>0</v>
          </cell>
          <cell r="AW242">
            <v>0</v>
          </cell>
          <cell r="AX242">
            <v>0</v>
          </cell>
          <cell r="AY242"/>
          <cell r="AZ242"/>
          <cell r="BA242">
            <v>0</v>
          </cell>
          <cell r="BB242"/>
          <cell r="BC242">
            <v>0</v>
          </cell>
          <cell r="BD242">
            <v>9799</v>
          </cell>
          <cell r="BE242"/>
          <cell r="BF242">
            <v>0</v>
          </cell>
          <cell r="BG242">
            <v>0</v>
          </cell>
          <cell r="BH242">
            <v>0</v>
          </cell>
          <cell r="BI242">
            <v>25937</v>
          </cell>
          <cell r="BJ242">
            <v>21350</v>
          </cell>
          <cell r="BK242">
            <v>21350</v>
          </cell>
          <cell r="BL242">
            <v>0</v>
          </cell>
          <cell r="BM242">
            <v>0</v>
          </cell>
          <cell r="BN242">
            <v>0</v>
          </cell>
          <cell r="BO242">
            <v>35509</v>
          </cell>
          <cell r="BP242">
            <v>0</v>
          </cell>
          <cell r="BQ242">
            <v>0</v>
          </cell>
          <cell r="BR242">
            <v>0</v>
          </cell>
          <cell r="BS242">
            <v>0</v>
          </cell>
          <cell r="BT242">
            <v>48647</v>
          </cell>
          <cell r="BU242"/>
          <cell r="BV242"/>
          <cell r="BW242"/>
          <cell r="BX242"/>
          <cell r="BY242">
            <v>0</v>
          </cell>
          <cell r="BZ242">
            <v>0</v>
          </cell>
          <cell r="CA242">
            <v>0</v>
          </cell>
          <cell r="CB242">
            <v>0</v>
          </cell>
          <cell r="CC242">
            <v>1870729</v>
          </cell>
          <cell r="CD242">
            <v>7165715</v>
          </cell>
          <cell r="CE242">
            <v>339683</v>
          </cell>
          <cell r="CF242">
            <v>0</v>
          </cell>
          <cell r="CG242">
            <v>339683</v>
          </cell>
          <cell r="CH242">
            <v>339683</v>
          </cell>
          <cell r="CI242">
            <v>339683</v>
          </cell>
          <cell r="CJ242">
            <v>339683</v>
          </cell>
          <cell r="CK242">
            <v>0</v>
          </cell>
          <cell r="CL242">
            <v>0</v>
          </cell>
          <cell r="CM242">
            <v>0</v>
          </cell>
          <cell r="CN242">
            <v>0</v>
          </cell>
          <cell r="CO242">
            <v>0</v>
          </cell>
          <cell r="CP242">
            <v>-7404</v>
          </cell>
          <cell r="CQ242">
            <v>125633</v>
          </cell>
          <cell r="CR242">
            <v>139621</v>
          </cell>
          <cell r="CS242">
            <v>144067</v>
          </cell>
          <cell r="CT242">
            <v>156857</v>
          </cell>
          <cell r="CU242">
            <v>169578</v>
          </cell>
          <cell r="CV242">
            <v>76252</v>
          </cell>
          <cell r="CW242">
            <v>0</v>
          </cell>
          <cell r="CX242">
            <v>0</v>
          </cell>
          <cell r="CY242">
            <v>0</v>
          </cell>
          <cell r="CZ242">
            <v>0</v>
          </cell>
          <cell r="DA242">
            <v>0</v>
          </cell>
          <cell r="DB242"/>
          <cell r="DC242">
            <v>0</v>
          </cell>
          <cell r="DD242">
            <v>0</v>
          </cell>
          <cell r="DE242">
            <v>0</v>
          </cell>
          <cell r="DF242">
            <v>0</v>
          </cell>
          <cell r="DG242">
            <v>0</v>
          </cell>
          <cell r="DH242">
            <v>0</v>
          </cell>
          <cell r="DI242">
            <v>0</v>
          </cell>
          <cell r="DJ242">
            <v>0</v>
          </cell>
          <cell r="DK242">
            <v>0</v>
          </cell>
          <cell r="DL242">
            <v>0</v>
          </cell>
          <cell r="DM242"/>
          <cell r="DN242"/>
          <cell r="DO242"/>
          <cell r="DP242"/>
        </row>
        <row r="243">
          <cell r="A243">
            <v>1930</v>
          </cell>
          <cell r="B243" t="str">
            <v>Nissewaard</v>
          </cell>
          <cell r="C243">
            <v>8</v>
          </cell>
          <cell r="D243">
            <v>88477</v>
          </cell>
          <cell r="E243">
            <v>44238</v>
          </cell>
          <cell r="F243">
            <v>0</v>
          </cell>
          <cell r="G243">
            <v>0</v>
          </cell>
          <cell r="H243">
            <v>0</v>
          </cell>
          <cell r="I243">
            <v>-40011</v>
          </cell>
          <cell r="J243"/>
          <cell r="K243">
            <v>0</v>
          </cell>
          <cell r="L243">
            <v>484113</v>
          </cell>
          <cell r="M243">
            <v>494954</v>
          </cell>
          <cell r="N243">
            <v>12900</v>
          </cell>
          <cell r="O243">
            <v>6500</v>
          </cell>
          <cell r="P243">
            <v>0</v>
          </cell>
          <cell r="Q243">
            <v>0</v>
          </cell>
          <cell r="R243">
            <v>0</v>
          </cell>
          <cell r="S243">
            <v>0</v>
          </cell>
          <cell r="T243">
            <v>0</v>
          </cell>
          <cell r="U243">
            <v>0</v>
          </cell>
          <cell r="V243">
            <v>18000</v>
          </cell>
          <cell r="W243">
            <v>333358</v>
          </cell>
          <cell r="X243">
            <v>0</v>
          </cell>
          <cell r="Y243"/>
          <cell r="Z243">
            <v>0</v>
          </cell>
          <cell r="AA243">
            <v>0</v>
          </cell>
          <cell r="AB243">
            <v>0</v>
          </cell>
          <cell r="AC243"/>
          <cell r="AD243">
            <v>99735</v>
          </cell>
          <cell r="AE243">
            <v>0</v>
          </cell>
          <cell r="AF243">
            <v>0</v>
          </cell>
          <cell r="AG243">
            <v>0</v>
          </cell>
          <cell r="AH243">
            <v>0</v>
          </cell>
          <cell r="AI243">
            <v>0</v>
          </cell>
          <cell r="AJ243">
            <v>0</v>
          </cell>
          <cell r="AK243">
            <v>0</v>
          </cell>
          <cell r="AL243"/>
          <cell r="AM243">
            <v>65634</v>
          </cell>
          <cell r="AN243">
            <v>67143</v>
          </cell>
          <cell r="AO243">
            <v>68688</v>
          </cell>
          <cell r="AP243">
            <v>70268</v>
          </cell>
          <cell r="AQ243">
            <v>71884</v>
          </cell>
          <cell r="AR243">
            <v>73537</v>
          </cell>
          <cell r="AS243">
            <v>0</v>
          </cell>
          <cell r="AT243">
            <v>0</v>
          </cell>
          <cell r="AU243">
            <v>0</v>
          </cell>
          <cell r="AV243">
            <v>2609766.94047869</v>
          </cell>
          <cell r="AW243">
            <v>0</v>
          </cell>
          <cell r="AX243">
            <v>0</v>
          </cell>
          <cell r="AY243"/>
          <cell r="AZ243"/>
          <cell r="BA243">
            <v>0</v>
          </cell>
          <cell r="BB243"/>
          <cell r="BC243">
            <v>0</v>
          </cell>
          <cell r="BD243">
            <v>29979</v>
          </cell>
          <cell r="BE243"/>
          <cell r="BF243">
            <v>0</v>
          </cell>
          <cell r="BG243">
            <v>0</v>
          </cell>
          <cell r="BH243">
            <v>0</v>
          </cell>
          <cell r="BI243">
            <v>132288</v>
          </cell>
          <cell r="BJ243">
            <v>108892</v>
          </cell>
          <cell r="BK243">
            <v>108892</v>
          </cell>
          <cell r="BL243">
            <v>0</v>
          </cell>
          <cell r="BM243">
            <v>0</v>
          </cell>
          <cell r="BN243">
            <v>0</v>
          </cell>
          <cell r="BO243">
            <v>85611</v>
          </cell>
          <cell r="BP243">
            <v>47442</v>
          </cell>
          <cell r="BQ243">
            <v>85465.1162790698</v>
          </cell>
          <cell r="BR243">
            <v>0</v>
          </cell>
          <cell r="BS243">
            <v>0</v>
          </cell>
          <cell r="BT243">
            <v>138913</v>
          </cell>
          <cell r="BU243"/>
          <cell r="BV243"/>
          <cell r="BW243"/>
          <cell r="BX243"/>
          <cell r="BY243">
            <v>1745095.9621204101</v>
          </cell>
          <cell r="BZ243">
            <v>2022973.81239786</v>
          </cell>
          <cell r="CA243">
            <v>2046712.12121553</v>
          </cell>
          <cell r="CB243">
            <v>2113737.9343477702</v>
          </cell>
          <cell r="CC243">
            <v>6812364</v>
          </cell>
          <cell r="CD243">
            <v>58530673</v>
          </cell>
          <cell r="CE243">
            <v>3339015</v>
          </cell>
          <cell r="CF243">
            <v>0</v>
          </cell>
          <cell r="CG243">
            <v>3339015</v>
          </cell>
          <cell r="CH243">
            <v>3339015</v>
          </cell>
          <cell r="CI243">
            <v>3339015</v>
          </cell>
          <cell r="CJ243">
            <v>3339015</v>
          </cell>
          <cell r="CK243">
            <v>16158248</v>
          </cell>
          <cell r="CL243">
            <v>16150138</v>
          </cell>
          <cell r="CM243">
            <v>16150007</v>
          </cell>
          <cell r="CN243">
            <v>16149718</v>
          </cell>
          <cell r="CO243">
            <v>16150118</v>
          </cell>
          <cell r="CP243">
            <v>-14421</v>
          </cell>
          <cell r="CQ243">
            <v>8842258</v>
          </cell>
          <cell r="CR243">
            <v>8462145</v>
          </cell>
          <cell r="CS243">
            <v>8347961</v>
          </cell>
          <cell r="CT243">
            <v>8240822</v>
          </cell>
          <cell r="CU243">
            <v>8065711</v>
          </cell>
          <cell r="CV243">
            <v>26562</v>
          </cell>
          <cell r="CW243">
            <v>0</v>
          </cell>
          <cell r="CX243">
            <v>0</v>
          </cell>
          <cell r="CY243">
            <v>0</v>
          </cell>
          <cell r="CZ243">
            <v>0</v>
          </cell>
          <cell r="DA243">
            <v>0</v>
          </cell>
          <cell r="DB243"/>
          <cell r="DC243">
            <v>0</v>
          </cell>
          <cell r="DD243">
            <v>0</v>
          </cell>
          <cell r="DE243">
            <v>0</v>
          </cell>
          <cell r="DF243">
            <v>0</v>
          </cell>
          <cell r="DG243">
            <v>0</v>
          </cell>
          <cell r="DH243">
            <v>0</v>
          </cell>
          <cell r="DI243">
            <v>0</v>
          </cell>
          <cell r="DJ243">
            <v>0</v>
          </cell>
          <cell r="DK243">
            <v>0</v>
          </cell>
          <cell r="DL243">
            <v>0</v>
          </cell>
          <cell r="DM243"/>
          <cell r="DN243"/>
          <cell r="DO243"/>
          <cell r="DP243"/>
        </row>
        <row r="244">
          <cell r="A244">
            <v>575</v>
          </cell>
          <cell r="B244" t="str">
            <v>Noordwijk</v>
          </cell>
          <cell r="C244">
            <v>8</v>
          </cell>
          <cell r="D244">
            <v>16973</v>
          </cell>
          <cell r="E244">
            <v>8486</v>
          </cell>
          <cell r="F244">
            <v>0</v>
          </cell>
          <cell r="G244">
            <v>15023</v>
          </cell>
          <cell r="H244">
            <v>-5663</v>
          </cell>
          <cell r="I244">
            <v>-15638</v>
          </cell>
          <cell r="J244"/>
          <cell r="K244">
            <v>0</v>
          </cell>
          <cell r="L244">
            <v>82370</v>
          </cell>
          <cell r="M244">
            <v>70089</v>
          </cell>
          <cell r="N244">
            <v>0</v>
          </cell>
          <cell r="O244">
            <v>0</v>
          </cell>
          <cell r="P244">
            <v>0</v>
          </cell>
          <cell r="Q244">
            <v>0</v>
          </cell>
          <cell r="R244">
            <v>0</v>
          </cell>
          <cell r="S244">
            <v>0</v>
          </cell>
          <cell r="T244">
            <v>0</v>
          </cell>
          <cell r="U244">
            <v>0</v>
          </cell>
          <cell r="V244">
            <v>0</v>
          </cell>
          <cell r="W244">
            <v>87664</v>
          </cell>
          <cell r="X244">
            <v>0</v>
          </cell>
          <cell r="Y244"/>
          <cell r="Z244">
            <v>0</v>
          </cell>
          <cell r="AA244">
            <v>0</v>
          </cell>
          <cell r="AB244">
            <v>0</v>
          </cell>
          <cell r="AC244"/>
          <cell r="AD244">
            <v>0</v>
          </cell>
          <cell r="AE244">
            <v>0</v>
          </cell>
          <cell r="AF244">
            <v>0</v>
          </cell>
          <cell r="AG244">
            <v>0</v>
          </cell>
          <cell r="AH244">
            <v>0</v>
          </cell>
          <cell r="AI244">
            <v>0</v>
          </cell>
          <cell r="AJ244">
            <v>0</v>
          </cell>
          <cell r="AK244">
            <v>0</v>
          </cell>
          <cell r="AL244"/>
          <cell r="AM244">
            <v>0</v>
          </cell>
          <cell r="AN244">
            <v>0</v>
          </cell>
          <cell r="AO244">
            <v>0</v>
          </cell>
          <cell r="AP244">
            <v>0</v>
          </cell>
          <cell r="AQ244">
            <v>0</v>
          </cell>
          <cell r="AR244">
            <v>0</v>
          </cell>
          <cell r="AS244">
            <v>0</v>
          </cell>
          <cell r="AT244">
            <v>0</v>
          </cell>
          <cell r="AU244">
            <v>0</v>
          </cell>
          <cell r="AV244">
            <v>0</v>
          </cell>
          <cell r="AW244">
            <v>0</v>
          </cell>
          <cell r="AX244">
            <v>0</v>
          </cell>
          <cell r="AY244"/>
          <cell r="AZ244"/>
          <cell r="BA244">
            <v>0</v>
          </cell>
          <cell r="BB244"/>
          <cell r="BC244">
            <v>0</v>
          </cell>
          <cell r="BD244">
            <v>45382</v>
          </cell>
          <cell r="BE244"/>
          <cell r="BF244">
            <v>0</v>
          </cell>
          <cell r="BG244">
            <v>0</v>
          </cell>
          <cell r="BH244">
            <v>0</v>
          </cell>
          <cell r="BI244">
            <v>33310</v>
          </cell>
          <cell r="BJ244">
            <v>27419</v>
          </cell>
          <cell r="BK244">
            <v>27419</v>
          </cell>
          <cell r="BL244">
            <v>0</v>
          </cell>
          <cell r="BM244">
            <v>0</v>
          </cell>
          <cell r="BN244">
            <v>0</v>
          </cell>
          <cell r="BO244">
            <v>12161</v>
          </cell>
          <cell r="BP244">
            <v>0</v>
          </cell>
          <cell r="BQ244">
            <v>0</v>
          </cell>
          <cell r="BR244">
            <v>0</v>
          </cell>
          <cell r="BS244">
            <v>0</v>
          </cell>
          <cell r="BT244">
            <v>35073</v>
          </cell>
          <cell r="BU244"/>
          <cell r="BV244"/>
          <cell r="BW244"/>
          <cell r="BX244"/>
          <cell r="BY244">
            <v>0</v>
          </cell>
          <cell r="BZ244">
            <v>0</v>
          </cell>
          <cell r="CA244">
            <v>0</v>
          </cell>
          <cell r="CB244">
            <v>0</v>
          </cell>
          <cell r="CC244">
            <v>2022503</v>
          </cell>
          <cell r="CD244">
            <v>8889487</v>
          </cell>
          <cell r="CE244">
            <v>1281245</v>
          </cell>
          <cell r="CF244">
            <v>-25244</v>
          </cell>
          <cell r="CG244">
            <v>1281245</v>
          </cell>
          <cell r="CH244">
            <v>1281245</v>
          </cell>
          <cell r="CI244">
            <v>1281245</v>
          </cell>
          <cell r="CJ244">
            <v>1281245</v>
          </cell>
          <cell r="CK244">
            <v>0</v>
          </cell>
          <cell r="CL244">
            <v>0</v>
          </cell>
          <cell r="CM244">
            <v>0</v>
          </cell>
          <cell r="CN244">
            <v>0</v>
          </cell>
          <cell r="CO244">
            <v>0</v>
          </cell>
          <cell r="CP244">
            <v>-1897</v>
          </cell>
          <cell r="CQ244">
            <v>1683441</v>
          </cell>
          <cell r="CR244">
            <v>1635914</v>
          </cell>
          <cell r="CS244">
            <v>1563745</v>
          </cell>
          <cell r="CT244">
            <v>1495883</v>
          </cell>
          <cell r="CU244">
            <v>1471473</v>
          </cell>
          <cell r="CV244">
            <v>34396</v>
          </cell>
          <cell r="CW244">
            <v>0</v>
          </cell>
          <cell r="CX244">
            <v>0</v>
          </cell>
          <cell r="CY244">
            <v>0</v>
          </cell>
          <cell r="CZ244">
            <v>0</v>
          </cell>
          <cell r="DA244">
            <v>0</v>
          </cell>
          <cell r="DB244"/>
          <cell r="DC244">
            <v>0</v>
          </cell>
          <cell r="DD244">
            <v>0</v>
          </cell>
          <cell r="DE244">
            <v>0</v>
          </cell>
          <cell r="DF244">
            <v>0</v>
          </cell>
          <cell r="DG244">
            <v>0</v>
          </cell>
          <cell r="DH244">
            <v>0</v>
          </cell>
          <cell r="DI244">
            <v>0</v>
          </cell>
          <cell r="DJ244">
            <v>0</v>
          </cell>
          <cell r="DK244">
            <v>0</v>
          </cell>
          <cell r="DL244">
            <v>0</v>
          </cell>
          <cell r="DM244"/>
          <cell r="DN244"/>
          <cell r="DO244"/>
          <cell r="DP244"/>
        </row>
        <row r="245">
          <cell r="A245">
            <v>576</v>
          </cell>
          <cell r="B245" t="str">
            <v>Noordwijkerhout</v>
          </cell>
          <cell r="C245">
            <v>8</v>
          </cell>
          <cell r="D245">
            <v>-32691</v>
          </cell>
          <cell r="E245">
            <v>-16345</v>
          </cell>
          <cell r="F245">
            <v>0</v>
          </cell>
          <cell r="G245">
            <v>0</v>
          </cell>
          <cell r="H245">
            <v>-3524</v>
          </cell>
          <cell r="I245">
            <v>-2298</v>
          </cell>
          <cell r="J245"/>
          <cell r="K245">
            <v>0</v>
          </cell>
          <cell r="L245">
            <v>60484</v>
          </cell>
          <cell r="M245">
            <v>61709</v>
          </cell>
          <cell r="N245">
            <v>0</v>
          </cell>
          <cell r="O245">
            <v>0</v>
          </cell>
          <cell r="P245">
            <v>0</v>
          </cell>
          <cell r="Q245">
            <v>0</v>
          </cell>
          <cell r="R245">
            <v>0</v>
          </cell>
          <cell r="S245">
            <v>0</v>
          </cell>
          <cell r="T245">
            <v>0</v>
          </cell>
          <cell r="U245">
            <v>0</v>
          </cell>
          <cell r="V245">
            <v>3000</v>
          </cell>
          <cell r="W245">
            <v>45660</v>
          </cell>
          <cell r="X245">
            <v>0</v>
          </cell>
          <cell r="Y245"/>
          <cell r="Z245">
            <v>0</v>
          </cell>
          <cell r="AA245">
            <v>0</v>
          </cell>
          <cell r="AB245">
            <v>0</v>
          </cell>
          <cell r="AC245"/>
          <cell r="AD245">
            <v>0</v>
          </cell>
          <cell r="AE245">
            <v>0</v>
          </cell>
          <cell r="AF245">
            <v>0</v>
          </cell>
          <cell r="AG245">
            <v>0</v>
          </cell>
          <cell r="AH245">
            <v>0</v>
          </cell>
          <cell r="AI245">
            <v>0</v>
          </cell>
          <cell r="AJ245">
            <v>0</v>
          </cell>
          <cell r="AK245">
            <v>0</v>
          </cell>
          <cell r="AL245"/>
          <cell r="AM245">
            <v>0</v>
          </cell>
          <cell r="AN245">
            <v>0</v>
          </cell>
          <cell r="AO245">
            <v>0</v>
          </cell>
          <cell r="AP245">
            <v>0</v>
          </cell>
          <cell r="AQ245">
            <v>0</v>
          </cell>
          <cell r="AR245">
            <v>0</v>
          </cell>
          <cell r="AS245">
            <v>0</v>
          </cell>
          <cell r="AT245">
            <v>0</v>
          </cell>
          <cell r="AU245">
            <v>0</v>
          </cell>
          <cell r="AV245">
            <v>0</v>
          </cell>
          <cell r="AW245">
            <v>0</v>
          </cell>
          <cell r="AX245">
            <v>0</v>
          </cell>
          <cell r="AY245"/>
          <cell r="AZ245"/>
          <cell r="BA245">
            <v>0</v>
          </cell>
          <cell r="BB245"/>
          <cell r="BC245">
            <v>0</v>
          </cell>
          <cell r="BD245">
            <v>28629</v>
          </cell>
          <cell r="BE245"/>
          <cell r="BF245">
            <v>0</v>
          </cell>
          <cell r="BG245">
            <v>0</v>
          </cell>
          <cell r="BH245">
            <v>0</v>
          </cell>
          <cell r="BI245">
            <v>20302</v>
          </cell>
          <cell r="BJ245">
            <v>16712</v>
          </cell>
          <cell r="BK245">
            <v>16712</v>
          </cell>
          <cell r="BL245">
            <v>0</v>
          </cell>
          <cell r="BM245">
            <v>0</v>
          </cell>
          <cell r="BN245">
            <v>0</v>
          </cell>
          <cell r="BO245">
            <v>24321</v>
          </cell>
          <cell r="BP245">
            <v>0</v>
          </cell>
          <cell r="BQ245">
            <v>0</v>
          </cell>
          <cell r="BR245">
            <v>0</v>
          </cell>
          <cell r="BS245">
            <v>0</v>
          </cell>
          <cell r="BT245">
            <v>26756</v>
          </cell>
          <cell r="BU245"/>
          <cell r="BV245"/>
          <cell r="BW245"/>
          <cell r="BX245"/>
          <cell r="BY245">
            <v>0</v>
          </cell>
          <cell r="BZ245">
            <v>0</v>
          </cell>
          <cell r="CA245">
            <v>0</v>
          </cell>
          <cell r="CB245">
            <v>0</v>
          </cell>
          <cell r="CC245">
            <v>1216806</v>
          </cell>
          <cell r="CD245">
            <v>5929358</v>
          </cell>
          <cell r="CE245">
            <v>231744</v>
          </cell>
          <cell r="CF245">
            <v>0</v>
          </cell>
          <cell r="CG245">
            <v>231744</v>
          </cell>
          <cell r="CH245">
            <v>231744</v>
          </cell>
          <cell r="CI245">
            <v>231744</v>
          </cell>
          <cell r="CJ245">
            <v>231744</v>
          </cell>
          <cell r="CK245">
            <v>0</v>
          </cell>
          <cell r="CL245">
            <v>0</v>
          </cell>
          <cell r="CM245">
            <v>0</v>
          </cell>
          <cell r="CN245">
            <v>0</v>
          </cell>
          <cell r="CO245">
            <v>0</v>
          </cell>
          <cell r="CP245">
            <v>-825</v>
          </cell>
          <cell r="CQ245">
            <v>960100</v>
          </cell>
          <cell r="CR245">
            <v>940614</v>
          </cell>
          <cell r="CS245">
            <v>922671</v>
          </cell>
          <cell r="CT245">
            <v>927249</v>
          </cell>
          <cell r="CU245">
            <v>923092</v>
          </cell>
          <cell r="CV245">
            <v>71751</v>
          </cell>
          <cell r="CW245">
            <v>0</v>
          </cell>
          <cell r="CX245">
            <v>0</v>
          </cell>
          <cell r="CY245">
            <v>0</v>
          </cell>
          <cell r="CZ245">
            <v>0</v>
          </cell>
          <cell r="DA245">
            <v>0</v>
          </cell>
          <cell r="DB245"/>
          <cell r="DC245">
            <v>0</v>
          </cell>
          <cell r="DD245">
            <v>0</v>
          </cell>
          <cell r="DE245">
            <v>0</v>
          </cell>
          <cell r="DF245">
            <v>0</v>
          </cell>
          <cell r="DG245">
            <v>0</v>
          </cell>
          <cell r="DH245">
            <v>0</v>
          </cell>
          <cell r="DI245">
            <v>0</v>
          </cell>
          <cell r="DJ245">
            <v>0</v>
          </cell>
          <cell r="DK245">
            <v>0</v>
          </cell>
          <cell r="DL245">
            <v>0</v>
          </cell>
          <cell r="DM245"/>
          <cell r="DN245"/>
          <cell r="DO245"/>
          <cell r="DP245"/>
        </row>
        <row r="246">
          <cell r="A246">
            <v>579</v>
          </cell>
          <cell r="B246" t="str">
            <v>Oegstgeest</v>
          </cell>
          <cell r="C246">
            <v>8</v>
          </cell>
          <cell r="D246">
            <v>-17273</v>
          </cell>
          <cell r="E246">
            <v>-8636</v>
          </cell>
          <cell r="F246">
            <v>0</v>
          </cell>
          <cell r="G246">
            <v>0</v>
          </cell>
          <cell r="H246">
            <v>124660</v>
          </cell>
          <cell r="I246">
            <v>78666</v>
          </cell>
          <cell r="J246"/>
          <cell r="K246">
            <v>0</v>
          </cell>
          <cell r="L246">
            <v>60444</v>
          </cell>
          <cell r="M246">
            <v>48995</v>
          </cell>
          <cell r="N246">
            <v>0</v>
          </cell>
          <cell r="O246">
            <v>0</v>
          </cell>
          <cell r="P246">
            <v>0</v>
          </cell>
          <cell r="Q246">
            <v>0</v>
          </cell>
          <cell r="R246">
            <v>0</v>
          </cell>
          <cell r="S246">
            <v>0</v>
          </cell>
          <cell r="T246">
            <v>0</v>
          </cell>
          <cell r="U246">
            <v>0</v>
          </cell>
          <cell r="V246">
            <v>0</v>
          </cell>
          <cell r="W246">
            <v>0</v>
          </cell>
          <cell r="X246">
            <v>0</v>
          </cell>
          <cell r="Y246"/>
          <cell r="Z246">
            <v>0</v>
          </cell>
          <cell r="AA246">
            <v>0</v>
          </cell>
          <cell r="AB246">
            <v>0</v>
          </cell>
          <cell r="AC246"/>
          <cell r="AD246">
            <v>0</v>
          </cell>
          <cell r="AE246">
            <v>0</v>
          </cell>
          <cell r="AF246">
            <v>0</v>
          </cell>
          <cell r="AG246">
            <v>0</v>
          </cell>
          <cell r="AH246">
            <v>0</v>
          </cell>
          <cell r="AI246">
            <v>0</v>
          </cell>
          <cell r="AJ246">
            <v>0</v>
          </cell>
          <cell r="AK246">
            <v>0</v>
          </cell>
          <cell r="AL246"/>
          <cell r="AM246">
            <v>0</v>
          </cell>
          <cell r="AN246">
            <v>0</v>
          </cell>
          <cell r="AO246">
            <v>0</v>
          </cell>
          <cell r="AP246">
            <v>0</v>
          </cell>
          <cell r="AQ246">
            <v>0</v>
          </cell>
          <cell r="AR246">
            <v>0</v>
          </cell>
          <cell r="AS246">
            <v>0</v>
          </cell>
          <cell r="AT246">
            <v>0</v>
          </cell>
          <cell r="AU246">
            <v>0</v>
          </cell>
          <cell r="AV246">
            <v>0</v>
          </cell>
          <cell r="AW246">
            <v>0</v>
          </cell>
          <cell r="AX246">
            <v>0</v>
          </cell>
          <cell r="AY246"/>
          <cell r="AZ246"/>
          <cell r="BA246">
            <v>0</v>
          </cell>
          <cell r="BB246"/>
          <cell r="BC246">
            <v>0</v>
          </cell>
          <cell r="BD246">
            <v>8287</v>
          </cell>
          <cell r="BE246"/>
          <cell r="BF246">
            <v>0</v>
          </cell>
          <cell r="BG246">
            <v>0</v>
          </cell>
          <cell r="BH246">
            <v>0</v>
          </cell>
          <cell r="BI246">
            <v>18455</v>
          </cell>
          <cell r="BJ246">
            <v>15191</v>
          </cell>
          <cell r="BK246">
            <v>15191</v>
          </cell>
          <cell r="BL246">
            <v>0</v>
          </cell>
          <cell r="BM246">
            <v>0</v>
          </cell>
          <cell r="BN246">
            <v>0</v>
          </cell>
          <cell r="BO246">
            <v>10215</v>
          </cell>
          <cell r="BP246">
            <v>3162.8</v>
          </cell>
          <cell r="BQ246">
            <v>5697.6744186046499</v>
          </cell>
          <cell r="BR246">
            <v>0</v>
          </cell>
          <cell r="BS246">
            <v>0</v>
          </cell>
          <cell r="BT246">
            <v>33824</v>
          </cell>
          <cell r="BU246"/>
          <cell r="BV246"/>
          <cell r="BW246"/>
          <cell r="BX246"/>
          <cell r="BY246">
            <v>0</v>
          </cell>
          <cell r="BZ246">
            <v>0</v>
          </cell>
          <cell r="CA246">
            <v>0</v>
          </cell>
          <cell r="CB246">
            <v>0</v>
          </cell>
          <cell r="CC246">
            <v>1258269</v>
          </cell>
          <cell r="CD246">
            <v>6389468</v>
          </cell>
          <cell r="CE246">
            <v>306101</v>
          </cell>
          <cell r="CF246">
            <v>0</v>
          </cell>
          <cell r="CG246">
            <v>306101</v>
          </cell>
          <cell r="CH246">
            <v>306101</v>
          </cell>
          <cell r="CI246">
            <v>306101</v>
          </cell>
          <cell r="CJ246">
            <v>306101</v>
          </cell>
          <cell r="CK246">
            <v>0</v>
          </cell>
          <cell r="CL246">
            <v>0</v>
          </cell>
          <cell r="CM246">
            <v>0</v>
          </cell>
          <cell r="CN246">
            <v>0</v>
          </cell>
          <cell r="CO246">
            <v>0</v>
          </cell>
          <cell r="CP246">
            <v>0</v>
          </cell>
          <cell r="CQ246">
            <v>686564</v>
          </cell>
          <cell r="CR246">
            <v>657859</v>
          </cell>
          <cell r="CS246">
            <v>643755</v>
          </cell>
          <cell r="CT246">
            <v>638046</v>
          </cell>
          <cell r="CU246">
            <v>626638</v>
          </cell>
          <cell r="CV246">
            <v>-13967</v>
          </cell>
          <cell r="CW246">
            <v>0</v>
          </cell>
          <cell r="CX246">
            <v>0</v>
          </cell>
          <cell r="CY246">
            <v>0</v>
          </cell>
          <cell r="CZ246">
            <v>0</v>
          </cell>
          <cell r="DA246">
            <v>0</v>
          </cell>
          <cell r="DB246"/>
          <cell r="DC246">
            <v>0</v>
          </cell>
          <cell r="DD246">
            <v>0</v>
          </cell>
          <cell r="DE246">
            <v>0</v>
          </cell>
          <cell r="DF246">
            <v>0</v>
          </cell>
          <cell r="DG246">
            <v>0</v>
          </cell>
          <cell r="DH246">
            <v>0</v>
          </cell>
          <cell r="DI246">
            <v>0</v>
          </cell>
          <cell r="DJ246">
            <v>0</v>
          </cell>
          <cell r="DK246">
            <v>0</v>
          </cell>
          <cell r="DL246">
            <v>0</v>
          </cell>
          <cell r="DM246"/>
          <cell r="DN246"/>
          <cell r="DO246"/>
          <cell r="DP246"/>
        </row>
        <row r="247">
          <cell r="A247">
            <v>584</v>
          </cell>
          <cell r="B247" t="str">
            <v>Oud-Beijerland</v>
          </cell>
          <cell r="C247">
            <v>8</v>
          </cell>
          <cell r="D247">
            <v>56452</v>
          </cell>
          <cell r="E247">
            <v>28226</v>
          </cell>
          <cell r="F247">
            <v>0</v>
          </cell>
          <cell r="G247">
            <v>0</v>
          </cell>
          <cell r="H247">
            <v>-2863</v>
          </cell>
          <cell r="I247">
            <v>-11141</v>
          </cell>
          <cell r="J247"/>
          <cell r="K247">
            <v>0</v>
          </cell>
          <cell r="L247">
            <v>71029</v>
          </cell>
          <cell r="M247">
            <v>57066</v>
          </cell>
          <cell r="N247">
            <v>0</v>
          </cell>
          <cell r="O247">
            <v>0</v>
          </cell>
          <cell r="P247">
            <v>0</v>
          </cell>
          <cell r="Q247">
            <v>0</v>
          </cell>
          <cell r="R247">
            <v>0</v>
          </cell>
          <cell r="S247">
            <v>0</v>
          </cell>
          <cell r="T247">
            <v>0</v>
          </cell>
          <cell r="U247">
            <v>0</v>
          </cell>
          <cell r="V247">
            <v>3000</v>
          </cell>
          <cell r="W247">
            <v>92331</v>
          </cell>
          <cell r="X247">
            <v>0</v>
          </cell>
          <cell r="Y247"/>
          <cell r="Z247">
            <v>0</v>
          </cell>
          <cell r="AA247">
            <v>0</v>
          </cell>
          <cell r="AB247">
            <v>0</v>
          </cell>
          <cell r="AC247"/>
          <cell r="AD247">
            <v>0</v>
          </cell>
          <cell r="AE247">
            <v>0</v>
          </cell>
          <cell r="AF247">
            <v>0</v>
          </cell>
          <cell r="AG247">
            <v>0</v>
          </cell>
          <cell r="AH247">
            <v>0</v>
          </cell>
          <cell r="AI247">
            <v>0</v>
          </cell>
          <cell r="AJ247">
            <v>0</v>
          </cell>
          <cell r="AK247">
            <v>0</v>
          </cell>
          <cell r="AL247"/>
          <cell r="AM247">
            <v>14244</v>
          </cell>
          <cell r="AN247">
            <v>14572</v>
          </cell>
          <cell r="AO247">
            <v>14907</v>
          </cell>
          <cell r="AP247">
            <v>15250</v>
          </cell>
          <cell r="AQ247">
            <v>15601</v>
          </cell>
          <cell r="AR247">
            <v>15959</v>
          </cell>
          <cell r="AS247">
            <v>0</v>
          </cell>
          <cell r="AT247">
            <v>0</v>
          </cell>
          <cell r="AU247">
            <v>0</v>
          </cell>
          <cell r="AV247">
            <v>0</v>
          </cell>
          <cell r="AW247">
            <v>0</v>
          </cell>
          <cell r="AX247">
            <v>0</v>
          </cell>
          <cell r="AY247"/>
          <cell r="AZ247"/>
          <cell r="BA247">
            <v>0</v>
          </cell>
          <cell r="BB247"/>
          <cell r="BC247">
            <v>0</v>
          </cell>
          <cell r="BD247">
            <v>42133</v>
          </cell>
          <cell r="BE247"/>
          <cell r="BF247">
            <v>0</v>
          </cell>
          <cell r="BG247">
            <v>0</v>
          </cell>
          <cell r="BH247">
            <v>0</v>
          </cell>
          <cell r="BI247">
            <v>24688</v>
          </cell>
          <cell r="BJ247">
            <v>20322</v>
          </cell>
          <cell r="BK247">
            <v>20322</v>
          </cell>
          <cell r="BL247">
            <v>0</v>
          </cell>
          <cell r="BM247">
            <v>0</v>
          </cell>
          <cell r="BN247">
            <v>0</v>
          </cell>
          <cell r="BO247">
            <v>22376</v>
          </cell>
          <cell r="BP247">
            <v>0</v>
          </cell>
          <cell r="BQ247">
            <v>0</v>
          </cell>
          <cell r="BR247">
            <v>0</v>
          </cell>
          <cell r="BS247">
            <v>0</v>
          </cell>
          <cell r="BT247">
            <v>35471</v>
          </cell>
          <cell r="BU247"/>
          <cell r="BV247"/>
          <cell r="BW247"/>
          <cell r="BX247"/>
          <cell r="BY247">
            <v>0</v>
          </cell>
          <cell r="BZ247">
            <v>0</v>
          </cell>
          <cell r="CA247">
            <v>0</v>
          </cell>
          <cell r="CB247">
            <v>0</v>
          </cell>
          <cell r="CC247">
            <v>1735313</v>
          </cell>
          <cell r="CD247">
            <v>8770013</v>
          </cell>
          <cell r="CE247">
            <v>566822</v>
          </cell>
          <cell r="CF247">
            <v>0</v>
          </cell>
          <cell r="CG247">
            <v>566822</v>
          </cell>
          <cell r="CH247">
            <v>566822</v>
          </cell>
          <cell r="CI247">
            <v>566822</v>
          </cell>
          <cell r="CJ247">
            <v>566822</v>
          </cell>
          <cell r="CK247">
            <v>0</v>
          </cell>
          <cell r="CL247">
            <v>0</v>
          </cell>
          <cell r="CM247">
            <v>0</v>
          </cell>
          <cell r="CN247">
            <v>0</v>
          </cell>
          <cell r="CO247">
            <v>0</v>
          </cell>
          <cell r="CP247">
            <v>-4027</v>
          </cell>
          <cell r="CQ247">
            <v>1475446</v>
          </cell>
          <cell r="CR247">
            <v>1439004</v>
          </cell>
          <cell r="CS247">
            <v>1439485</v>
          </cell>
          <cell r="CT247">
            <v>1445053</v>
          </cell>
          <cell r="CU247">
            <v>1449034</v>
          </cell>
          <cell r="CV247">
            <v>63338</v>
          </cell>
          <cell r="CW247">
            <v>0</v>
          </cell>
          <cell r="CX247">
            <v>0</v>
          </cell>
          <cell r="CY247">
            <v>0</v>
          </cell>
          <cell r="CZ247">
            <v>0</v>
          </cell>
          <cell r="DA247">
            <v>0</v>
          </cell>
          <cell r="DB247"/>
          <cell r="DC247">
            <v>0</v>
          </cell>
          <cell r="DD247">
            <v>0</v>
          </cell>
          <cell r="DE247">
            <v>0</v>
          </cell>
          <cell r="DF247">
            <v>0</v>
          </cell>
          <cell r="DG247">
            <v>0</v>
          </cell>
          <cell r="DH247">
            <v>0</v>
          </cell>
          <cell r="DI247">
            <v>0</v>
          </cell>
          <cell r="DJ247">
            <v>0</v>
          </cell>
          <cell r="DK247">
            <v>0</v>
          </cell>
          <cell r="DL247">
            <v>0</v>
          </cell>
          <cell r="DM247"/>
          <cell r="DN247"/>
          <cell r="DO247"/>
          <cell r="DP247"/>
        </row>
        <row r="248">
          <cell r="A248">
            <v>590</v>
          </cell>
          <cell r="B248" t="str">
            <v>Papendrecht</v>
          </cell>
          <cell r="C248">
            <v>8</v>
          </cell>
          <cell r="D248">
            <v>-4702</v>
          </cell>
          <cell r="E248">
            <v>-2351</v>
          </cell>
          <cell r="F248">
            <v>0</v>
          </cell>
          <cell r="G248">
            <v>0</v>
          </cell>
          <cell r="H248">
            <v>0</v>
          </cell>
          <cell r="I248">
            <v>-11183</v>
          </cell>
          <cell r="J248"/>
          <cell r="K248">
            <v>0</v>
          </cell>
          <cell r="L248">
            <v>122122</v>
          </cell>
          <cell r="M248">
            <v>120989</v>
          </cell>
          <cell r="N248">
            <v>0</v>
          </cell>
          <cell r="O248">
            <v>0</v>
          </cell>
          <cell r="P248">
            <v>0</v>
          </cell>
          <cell r="Q248">
            <v>0</v>
          </cell>
          <cell r="R248">
            <v>0</v>
          </cell>
          <cell r="S248">
            <v>0</v>
          </cell>
          <cell r="T248">
            <v>0</v>
          </cell>
          <cell r="U248">
            <v>0</v>
          </cell>
          <cell r="V248">
            <v>0</v>
          </cell>
          <cell r="W248">
            <v>0</v>
          </cell>
          <cell r="X248">
            <v>0</v>
          </cell>
          <cell r="Y248"/>
          <cell r="Z248">
            <v>0</v>
          </cell>
          <cell r="AA248">
            <v>0</v>
          </cell>
          <cell r="AB248">
            <v>0</v>
          </cell>
          <cell r="AC248"/>
          <cell r="AD248">
            <v>0</v>
          </cell>
          <cell r="AE248">
            <v>0</v>
          </cell>
          <cell r="AF248">
            <v>0</v>
          </cell>
          <cell r="AG248">
            <v>0</v>
          </cell>
          <cell r="AH248">
            <v>0</v>
          </cell>
          <cell r="AI248">
            <v>0</v>
          </cell>
          <cell r="AJ248">
            <v>0</v>
          </cell>
          <cell r="AK248">
            <v>0</v>
          </cell>
          <cell r="AL248"/>
          <cell r="AM248">
            <v>2235</v>
          </cell>
          <cell r="AN248">
            <v>2286</v>
          </cell>
          <cell r="AO248">
            <v>2339</v>
          </cell>
          <cell r="AP248">
            <v>2393</v>
          </cell>
          <cell r="AQ248">
            <v>2448</v>
          </cell>
          <cell r="AR248">
            <v>2504</v>
          </cell>
          <cell r="AS248">
            <v>0</v>
          </cell>
          <cell r="AT248">
            <v>0</v>
          </cell>
          <cell r="AU248">
            <v>0</v>
          </cell>
          <cell r="AV248">
            <v>0</v>
          </cell>
          <cell r="AW248">
            <v>0</v>
          </cell>
          <cell r="AX248">
            <v>0</v>
          </cell>
          <cell r="AY248"/>
          <cell r="AZ248"/>
          <cell r="BA248">
            <v>0</v>
          </cell>
          <cell r="BB248"/>
          <cell r="BC248">
            <v>0</v>
          </cell>
          <cell r="BD248">
            <v>11336</v>
          </cell>
          <cell r="BE248"/>
          <cell r="BF248">
            <v>0</v>
          </cell>
          <cell r="BG248">
            <v>0</v>
          </cell>
          <cell r="BH248">
            <v>0</v>
          </cell>
          <cell r="BI248">
            <v>37586</v>
          </cell>
          <cell r="BJ248">
            <v>30939</v>
          </cell>
          <cell r="BK248">
            <v>30939</v>
          </cell>
          <cell r="BL248">
            <v>0</v>
          </cell>
          <cell r="BM248">
            <v>0</v>
          </cell>
          <cell r="BN248">
            <v>0</v>
          </cell>
          <cell r="BO248">
            <v>177060</v>
          </cell>
          <cell r="BP248">
            <v>6325.6</v>
          </cell>
          <cell r="BQ248">
            <v>11395.3488372093</v>
          </cell>
          <cell r="BR248">
            <v>0</v>
          </cell>
          <cell r="BS248">
            <v>0</v>
          </cell>
          <cell r="BT248">
            <v>47470</v>
          </cell>
          <cell r="BU248"/>
          <cell r="BV248"/>
          <cell r="BW248"/>
          <cell r="BX248"/>
          <cell r="BY248">
            <v>0</v>
          </cell>
          <cell r="BZ248">
            <v>0</v>
          </cell>
          <cell r="CA248">
            <v>0</v>
          </cell>
          <cell r="CB248">
            <v>0</v>
          </cell>
          <cell r="CC248">
            <v>2481494</v>
          </cell>
          <cell r="CD248">
            <v>12575689</v>
          </cell>
          <cell r="CE248">
            <v>758696</v>
          </cell>
          <cell r="CF248">
            <v>0</v>
          </cell>
          <cell r="CG248">
            <v>758696</v>
          </cell>
          <cell r="CH248">
            <v>758696</v>
          </cell>
          <cell r="CI248">
            <v>758696</v>
          </cell>
          <cell r="CJ248">
            <v>758696</v>
          </cell>
          <cell r="CK248">
            <v>0</v>
          </cell>
          <cell r="CL248">
            <v>0</v>
          </cell>
          <cell r="CM248">
            <v>0</v>
          </cell>
          <cell r="CN248">
            <v>0</v>
          </cell>
          <cell r="CO248">
            <v>0</v>
          </cell>
          <cell r="CP248">
            <v>-4031</v>
          </cell>
          <cell r="CQ248">
            <v>1992092</v>
          </cell>
          <cell r="CR248">
            <v>1903440</v>
          </cell>
          <cell r="CS248">
            <v>1854259</v>
          </cell>
          <cell r="CT248">
            <v>1814291</v>
          </cell>
          <cell r="CU248">
            <v>1776156</v>
          </cell>
          <cell r="CV248">
            <v>46061</v>
          </cell>
          <cell r="CW248">
            <v>0</v>
          </cell>
          <cell r="CX248">
            <v>0</v>
          </cell>
          <cell r="CY248">
            <v>0</v>
          </cell>
          <cell r="CZ248">
            <v>0</v>
          </cell>
          <cell r="DA248">
            <v>0</v>
          </cell>
          <cell r="DB248"/>
          <cell r="DC248">
            <v>0</v>
          </cell>
          <cell r="DD248">
            <v>0</v>
          </cell>
          <cell r="DE248">
            <v>0</v>
          </cell>
          <cell r="DF248">
            <v>0</v>
          </cell>
          <cell r="DG248">
            <v>0</v>
          </cell>
          <cell r="DH248">
            <v>0</v>
          </cell>
          <cell r="DI248">
            <v>0</v>
          </cell>
          <cell r="DJ248">
            <v>0</v>
          </cell>
          <cell r="DK248">
            <v>0</v>
          </cell>
          <cell r="DL248">
            <v>0</v>
          </cell>
          <cell r="DM248"/>
          <cell r="DN248"/>
          <cell r="DO248"/>
          <cell r="DP248"/>
        </row>
        <row r="249">
          <cell r="A249">
            <v>1926</v>
          </cell>
          <cell r="B249" t="str">
            <v>Pijnacker-Nootdorp</v>
          </cell>
          <cell r="C249">
            <v>8</v>
          </cell>
          <cell r="D249">
            <v>13598</v>
          </cell>
          <cell r="E249">
            <v>6799</v>
          </cell>
          <cell r="F249">
            <v>0</v>
          </cell>
          <cell r="G249">
            <v>0</v>
          </cell>
          <cell r="H249">
            <v>-63988</v>
          </cell>
          <cell r="I249">
            <v>-73935</v>
          </cell>
          <cell r="J249"/>
          <cell r="K249">
            <v>0</v>
          </cell>
          <cell r="L249">
            <v>188814</v>
          </cell>
          <cell r="M249">
            <v>170222</v>
          </cell>
          <cell r="N249">
            <v>0</v>
          </cell>
          <cell r="O249">
            <v>0</v>
          </cell>
          <cell r="P249">
            <v>0</v>
          </cell>
          <cell r="Q249">
            <v>0</v>
          </cell>
          <cell r="R249">
            <v>0</v>
          </cell>
          <cell r="S249">
            <v>0</v>
          </cell>
          <cell r="T249">
            <v>0</v>
          </cell>
          <cell r="U249">
            <v>0</v>
          </cell>
          <cell r="V249">
            <v>0</v>
          </cell>
          <cell r="W249">
            <v>192338</v>
          </cell>
          <cell r="X249">
            <v>0</v>
          </cell>
          <cell r="Y249"/>
          <cell r="Z249">
            <v>0</v>
          </cell>
          <cell r="AA249">
            <v>0</v>
          </cell>
          <cell r="AB249">
            <v>0</v>
          </cell>
          <cell r="AC249"/>
          <cell r="AD249">
            <v>0</v>
          </cell>
          <cell r="AE249">
            <v>0</v>
          </cell>
          <cell r="AF249">
            <v>0</v>
          </cell>
          <cell r="AG249">
            <v>0</v>
          </cell>
          <cell r="AH249">
            <v>0</v>
          </cell>
          <cell r="AI249">
            <v>0</v>
          </cell>
          <cell r="AJ249">
            <v>0</v>
          </cell>
          <cell r="AK249">
            <v>0</v>
          </cell>
          <cell r="AL249"/>
          <cell r="AM249">
            <v>0</v>
          </cell>
          <cell r="AN249">
            <v>0</v>
          </cell>
          <cell r="AO249">
            <v>0</v>
          </cell>
          <cell r="AP249">
            <v>0</v>
          </cell>
          <cell r="AQ249">
            <v>0</v>
          </cell>
          <cell r="AR249">
            <v>0</v>
          </cell>
          <cell r="AS249">
            <v>0</v>
          </cell>
          <cell r="AT249">
            <v>0</v>
          </cell>
          <cell r="AU249">
            <v>4740</v>
          </cell>
          <cell r="AV249">
            <v>0</v>
          </cell>
          <cell r="AW249">
            <v>0</v>
          </cell>
          <cell r="AX249">
            <v>0</v>
          </cell>
          <cell r="AY249"/>
          <cell r="AZ249"/>
          <cell r="BA249">
            <v>0</v>
          </cell>
          <cell r="BB249"/>
          <cell r="BC249">
            <v>0</v>
          </cell>
          <cell r="BD249">
            <v>18484</v>
          </cell>
          <cell r="BE249"/>
          <cell r="BF249">
            <v>0</v>
          </cell>
          <cell r="BG249">
            <v>0</v>
          </cell>
          <cell r="BH249">
            <v>0</v>
          </cell>
          <cell r="BI249">
            <v>31650</v>
          </cell>
          <cell r="BJ249">
            <v>26053</v>
          </cell>
          <cell r="BK249">
            <v>26053</v>
          </cell>
          <cell r="BL249">
            <v>0</v>
          </cell>
          <cell r="BM249">
            <v>13164</v>
          </cell>
          <cell r="BN249">
            <v>0</v>
          </cell>
          <cell r="BO249">
            <v>31131</v>
          </cell>
          <cell r="BP249">
            <v>20558.2</v>
          </cell>
          <cell r="BQ249">
            <v>37034.8837209302</v>
          </cell>
          <cell r="BR249">
            <v>0</v>
          </cell>
          <cell r="BS249">
            <v>0</v>
          </cell>
          <cell r="BT249">
            <v>90833</v>
          </cell>
          <cell r="BU249"/>
          <cell r="BV249"/>
          <cell r="BW249"/>
          <cell r="BX249"/>
          <cell r="BY249">
            <v>0</v>
          </cell>
          <cell r="BZ249">
            <v>0</v>
          </cell>
          <cell r="CA249">
            <v>0</v>
          </cell>
          <cell r="CB249">
            <v>0</v>
          </cell>
          <cell r="CC249">
            <v>2498202</v>
          </cell>
          <cell r="CD249">
            <v>14613022</v>
          </cell>
          <cell r="CE249">
            <v>1523518</v>
          </cell>
          <cell r="CF249">
            <v>-150546</v>
          </cell>
          <cell r="CG249">
            <v>1523518</v>
          </cell>
          <cell r="CH249">
            <v>1523518</v>
          </cell>
          <cell r="CI249">
            <v>1523518</v>
          </cell>
          <cell r="CJ249">
            <v>1523518</v>
          </cell>
          <cell r="CK249">
            <v>0</v>
          </cell>
          <cell r="CL249">
            <v>0</v>
          </cell>
          <cell r="CM249">
            <v>0</v>
          </cell>
          <cell r="CN249">
            <v>0</v>
          </cell>
          <cell r="CO249">
            <v>0</v>
          </cell>
          <cell r="CP249">
            <v>-4148</v>
          </cell>
          <cell r="CQ249">
            <v>224376</v>
          </cell>
          <cell r="CR249">
            <v>248659</v>
          </cell>
          <cell r="CS249">
            <v>257149</v>
          </cell>
          <cell r="CT249">
            <v>279318</v>
          </cell>
          <cell r="CU249">
            <v>301378</v>
          </cell>
          <cell r="CV249">
            <v>84100</v>
          </cell>
          <cell r="CW249">
            <v>0</v>
          </cell>
          <cell r="CX249">
            <v>0</v>
          </cell>
          <cell r="CY249">
            <v>0</v>
          </cell>
          <cell r="CZ249">
            <v>0</v>
          </cell>
          <cell r="DA249">
            <v>0</v>
          </cell>
          <cell r="DB249"/>
          <cell r="DC249">
            <v>0</v>
          </cell>
          <cell r="DD249">
            <v>0</v>
          </cell>
          <cell r="DE249">
            <v>0</v>
          </cell>
          <cell r="DF249">
            <v>0</v>
          </cell>
          <cell r="DG249">
            <v>0</v>
          </cell>
          <cell r="DH249">
            <v>0</v>
          </cell>
          <cell r="DI249">
            <v>0</v>
          </cell>
          <cell r="DJ249">
            <v>0</v>
          </cell>
          <cell r="DK249">
            <v>0</v>
          </cell>
          <cell r="DL249">
            <v>0</v>
          </cell>
          <cell r="DM249"/>
          <cell r="DN249"/>
          <cell r="DO249"/>
          <cell r="DP249"/>
        </row>
        <row r="250">
          <cell r="A250">
            <v>597</v>
          </cell>
          <cell r="B250" t="str">
            <v>Ridderkerk</v>
          </cell>
          <cell r="C250">
            <v>8</v>
          </cell>
          <cell r="D250">
            <v>-2425</v>
          </cell>
          <cell r="E250">
            <v>-1212</v>
          </cell>
          <cell r="F250">
            <v>0</v>
          </cell>
          <cell r="G250">
            <v>462277</v>
          </cell>
          <cell r="H250">
            <v>-45831</v>
          </cell>
          <cell r="I250">
            <v>-52331</v>
          </cell>
          <cell r="J250"/>
          <cell r="K250">
            <v>0</v>
          </cell>
          <cell r="L250">
            <v>172261</v>
          </cell>
          <cell r="M250">
            <v>163152</v>
          </cell>
          <cell r="N250">
            <v>3400</v>
          </cell>
          <cell r="O250">
            <v>1700</v>
          </cell>
          <cell r="P250">
            <v>0</v>
          </cell>
          <cell r="Q250">
            <v>0</v>
          </cell>
          <cell r="R250">
            <v>0</v>
          </cell>
          <cell r="S250">
            <v>0</v>
          </cell>
          <cell r="T250">
            <v>0</v>
          </cell>
          <cell r="U250">
            <v>0</v>
          </cell>
          <cell r="V250">
            <v>3000</v>
          </cell>
          <cell r="W250">
            <v>153364</v>
          </cell>
          <cell r="X250">
            <v>0</v>
          </cell>
          <cell r="Y250"/>
          <cell r="Z250">
            <v>0</v>
          </cell>
          <cell r="AA250">
            <v>0</v>
          </cell>
          <cell r="AB250">
            <v>0</v>
          </cell>
          <cell r="AC250"/>
          <cell r="AD250">
            <v>28356</v>
          </cell>
          <cell r="AE250">
            <v>0</v>
          </cell>
          <cell r="AF250">
            <v>0</v>
          </cell>
          <cell r="AG250">
            <v>0</v>
          </cell>
          <cell r="AH250">
            <v>0</v>
          </cell>
          <cell r="AI250">
            <v>0</v>
          </cell>
          <cell r="AJ250">
            <v>0</v>
          </cell>
          <cell r="AK250">
            <v>0</v>
          </cell>
          <cell r="AL250"/>
          <cell r="AM250">
            <v>17509</v>
          </cell>
          <cell r="AN250">
            <v>17911</v>
          </cell>
          <cell r="AO250">
            <v>18323</v>
          </cell>
          <cell r="AP250">
            <v>18745</v>
          </cell>
          <cell r="AQ250">
            <v>19176</v>
          </cell>
          <cell r="AR250">
            <v>19617</v>
          </cell>
          <cell r="AS250">
            <v>0</v>
          </cell>
          <cell r="AT250">
            <v>0</v>
          </cell>
          <cell r="AU250">
            <v>4740</v>
          </cell>
          <cell r="AV250">
            <v>0</v>
          </cell>
          <cell r="AW250">
            <v>0</v>
          </cell>
          <cell r="AX250">
            <v>0</v>
          </cell>
          <cell r="AY250"/>
          <cell r="AZ250"/>
          <cell r="BA250">
            <v>0</v>
          </cell>
          <cell r="BB250"/>
          <cell r="BC250">
            <v>0</v>
          </cell>
          <cell r="BD250">
            <v>15940</v>
          </cell>
          <cell r="BE250"/>
          <cell r="BF250">
            <v>0</v>
          </cell>
          <cell r="BG250">
            <v>0</v>
          </cell>
          <cell r="BH250">
            <v>0</v>
          </cell>
          <cell r="BI250">
            <v>74218</v>
          </cell>
          <cell r="BJ250">
            <v>61092</v>
          </cell>
          <cell r="BK250">
            <v>61092</v>
          </cell>
          <cell r="BL250">
            <v>0</v>
          </cell>
          <cell r="BM250">
            <v>0</v>
          </cell>
          <cell r="BN250">
            <v>0</v>
          </cell>
          <cell r="BO250">
            <v>28213</v>
          </cell>
          <cell r="BP250">
            <v>25302.400000000001</v>
          </cell>
          <cell r="BQ250">
            <v>45581.395348837199</v>
          </cell>
          <cell r="BR250">
            <v>0</v>
          </cell>
          <cell r="BS250">
            <v>0</v>
          </cell>
          <cell r="BT250">
            <v>60019</v>
          </cell>
          <cell r="BU250"/>
          <cell r="BV250"/>
          <cell r="BW250"/>
          <cell r="BX250"/>
          <cell r="BY250">
            <v>0</v>
          </cell>
          <cell r="BZ250">
            <v>0</v>
          </cell>
          <cell r="CA250">
            <v>0</v>
          </cell>
          <cell r="CB250">
            <v>0</v>
          </cell>
          <cell r="CC250">
            <v>4396629</v>
          </cell>
          <cell r="CD250">
            <v>14195370</v>
          </cell>
          <cell r="CE250">
            <v>1043797</v>
          </cell>
          <cell r="CF250">
            <v>-41850</v>
          </cell>
          <cell r="CG250">
            <v>1043797</v>
          </cell>
          <cell r="CH250">
            <v>1043797</v>
          </cell>
          <cell r="CI250">
            <v>1043797</v>
          </cell>
          <cell r="CJ250">
            <v>1043797</v>
          </cell>
          <cell r="CK250">
            <v>0</v>
          </cell>
          <cell r="CL250">
            <v>0</v>
          </cell>
          <cell r="CM250">
            <v>0</v>
          </cell>
          <cell r="CN250">
            <v>0</v>
          </cell>
          <cell r="CO250">
            <v>0</v>
          </cell>
          <cell r="CP250">
            <v>-12696</v>
          </cell>
          <cell r="CQ250">
            <v>260282</v>
          </cell>
          <cell r="CR250">
            <v>288066</v>
          </cell>
          <cell r="CS250">
            <v>298000</v>
          </cell>
          <cell r="CT250">
            <v>323395</v>
          </cell>
          <cell r="CU250">
            <v>348661</v>
          </cell>
          <cell r="CV250">
            <v>-32835</v>
          </cell>
          <cell r="CW250">
            <v>0</v>
          </cell>
          <cell r="CX250">
            <v>0</v>
          </cell>
          <cell r="CY250">
            <v>0</v>
          </cell>
          <cell r="CZ250">
            <v>0</v>
          </cell>
          <cell r="DA250">
            <v>0</v>
          </cell>
          <cell r="DB250"/>
          <cell r="DC250">
            <v>0</v>
          </cell>
          <cell r="DD250">
            <v>0</v>
          </cell>
          <cell r="DE250">
            <v>0</v>
          </cell>
          <cell r="DF250">
            <v>0</v>
          </cell>
          <cell r="DG250">
            <v>0</v>
          </cell>
          <cell r="DH250">
            <v>0</v>
          </cell>
          <cell r="DI250">
            <v>0</v>
          </cell>
          <cell r="DJ250">
            <v>0</v>
          </cell>
          <cell r="DK250">
            <v>0</v>
          </cell>
          <cell r="DL250">
            <v>0</v>
          </cell>
          <cell r="DM250"/>
          <cell r="DN250"/>
          <cell r="DO250"/>
          <cell r="DP250"/>
        </row>
        <row r="251">
          <cell r="A251">
            <v>603</v>
          </cell>
          <cell r="B251" t="str">
            <v>Rijswijk</v>
          </cell>
          <cell r="C251">
            <v>8</v>
          </cell>
          <cell r="D251">
            <v>25712</v>
          </cell>
          <cell r="E251">
            <v>12856</v>
          </cell>
          <cell r="F251">
            <v>0</v>
          </cell>
          <cell r="G251">
            <v>196531</v>
          </cell>
          <cell r="H251">
            <v>0</v>
          </cell>
          <cell r="I251">
            <v>0</v>
          </cell>
          <cell r="J251"/>
          <cell r="K251">
            <v>0</v>
          </cell>
          <cell r="L251">
            <v>270667</v>
          </cell>
          <cell r="M251">
            <v>274975</v>
          </cell>
          <cell r="N251">
            <v>11100</v>
          </cell>
          <cell r="O251">
            <v>5500</v>
          </cell>
          <cell r="P251">
            <v>0</v>
          </cell>
          <cell r="Q251">
            <v>0</v>
          </cell>
          <cell r="R251">
            <v>0</v>
          </cell>
          <cell r="S251">
            <v>0</v>
          </cell>
          <cell r="T251">
            <v>0</v>
          </cell>
          <cell r="U251">
            <v>0</v>
          </cell>
          <cell r="V251">
            <v>9000</v>
          </cell>
          <cell r="W251">
            <v>140730</v>
          </cell>
          <cell r="X251">
            <v>0</v>
          </cell>
          <cell r="Y251"/>
          <cell r="Z251">
            <v>0</v>
          </cell>
          <cell r="AA251">
            <v>0</v>
          </cell>
          <cell r="AB251">
            <v>0</v>
          </cell>
          <cell r="AC251"/>
          <cell r="AD251">
            <v>0</v>
          </cell>
          <cell r="AE251">
            <v>0</v>
          </cell>
          <cell r="AF251">
            <v>0</v>
          </cell>
          <cell r="AG251">
            <v>0</v>
          </cell>
          <cell r="AH251">
            <v>0</v>
          </cell>
          <cell r="AI251">
            <v>0</v>
          </cell>
          <cell r="AJ251">
            <v>0</v>
          </cell>
          <cell r="AK251">
            <v>0</v>
          </cell>
          <cell r="AL251"/>
          <cell r="AM251">
            <v>0</v>
          </cell>
          <cell r="AN251">
            <v>0</v>
          </cell>
          <cell r="AO251">
            <v>0</v>
          </cell>
          <cell r="AP251">
            <v>0</v>
          </cell>
          <cell r="AQ251">
            <v>0</v>
          </cell>
          <cell r="AR251">
            <v>0</v>
          </cell>
          <cell r="AS251">
            <v>0</v>
          </cell>
          <cell r="AT251">
            <v>0</v>
          </cell>
          <cell r="AU251">
            <v>4740</v>
          </cell>
          <cell r="AV251">
            <v>0</v>
          </cell>
          <cell r="AW251">
            <v>0</v>
          </cell>
          <cell r="AX251">
            <v>0</v>
          </cell>
          <cell r="AY251"/>
          <cell r="AZ251"/>
          <cell r="BA251">
            <v>0</v>
          </cell>
          <cell r="BB251"/>
          <cell r="BC251">
            <v>0</v>
          </cell>
          <cell r="BD251">
            <v>17912</v>
          </cell>
          <cell r="BE251"/>
          <cell r="BF251">
            <v>0</v>
          </cell>
          <cell r="BG251">
            <v>0</v>
          </cell>
          <cell r="BH251">
            <v>0</v>
          </cell>
          <cell r="BI251">
            <v>102919</v>
          </cell>
          <cell r="BJ251">
            <v>84718</v>
          </cell>
          <cell r="BK251">
            <v>84718</v>
          </cell>
          <cell r="BL251">
            <v>0</v>
          </cell>
          <cell r="BM251">
            <v>0</v>
          </cell>
          <cell r="BN251">
            <v>0</v>
          </cell>
          <cell r="BO251">
            <v>36969</v>
          </cell>
          <cell r="BP251">
            <v>6325.6</v>
          </cell>
          <cell r="BQ251">
            <v>11395.3488372093</v>
          </cell>
          <cell r="BR251">
            <v>0</v>
          </cell>
          <cell r="BS251">
            <v>0</v>
          </cell>
          <cell r="BT251">
            <v>71273</v>
          </cell>
          <cell r="BU251"/>
          <cell r="BV251"/>
          <cell r="BW251"/>
          <cell r="BX251"/>
          <cell r="BY251">
            <v>0</v>
          </cell>
          <cell r="BZ251">
            <v>0</v>
          </cell>
          <cell r="CA251">
            <v>0</v>
          </cell>
          <cell r="CB251">
            <v>0</v>
          </cell>
          <cell r="CC251">
            <v>5035809</v>
          </cell>
          <cell r="CD251">
            <v>20315020</v>
          </cell>
          <cell r="CE251">
            <v>1182325</v>
          </cell>
          <cell r="CF251">
            <v>0</v>
          </cell>
          <cell r="CG251">
            <v>1182325</v>
          </cell>
          <cell r="CH251">
            <v>1182325</v>
          </cell>
          <cell r="CI251">
            <v>1182325</v>
          </cell>
          <cell r="CJ251">
            <v>1182325</v>
          </cell>
          <cell r="CK251">
            <v>0</v>
          </cell>
          <cell r="CL251">
            <v>0</v>
          </cell>
          <cell r="CM251">
            <v>0</v>
          </cell>
          <cell r="CN251">
            <v>0</v>
          </cell>
          <cell r="CO251">
            <v>0</v>
          </cell>
          <cell r="CP251">
            <v>0</v>
          </cell>
          <cell r="CQ251">
            <v>2266409</v>
          </cell>
          <cell r="CR251">
            <v>2187009</v>
          </cell>
          <cell r="CS251">
            <v>2124882</v>
          </cell>
          <cell r="CT251">
            <v>2096316</v>
          </cell>
          <cell r="CU251">
            <v>2105015</v>
          </cell>
          <cell r="CV251">
            <v>35248</v>
          </cell>
          <cell r="CW251">
            <v>0</v>
          </cell>
          <cell r="CX251">
            <v>0</v>
          </cell>
          <cell r="CY251">
            <v>0</v>
          </cell>
          <cell r="CZ251">
            <v>0</v>
          </cell>
          <cell r="DA251">
            <v>0</v>
          </cell>
          <cell r="DB251"/>
          <cell r="DC251">
            <v>0</v>
          </cell>
          <cell r="DD251">
            <v>0</v>
          </cell>
          <cell r="DE251">
            <v>0</v>
          </cell>
          <cell r="DF251">
            <v>0</v>
          </cell>
          <cell r="DG251">
            <v>0</v>
          </cell>
          <cell r="DH251">
            <v>0</v>
          </cell>
          <cell r="DI251">
            <v>0</v>
          </cell>
          <cell r="DJ251">
            <v>0</v>
          </cell>
          <cell r="DK251">
            <v>0</v>
          </cell>
          <cell r="DL251">
            <v>0</v>
          </cell>
          <cell r="DM251"/>
          <cell r="DN251"/>
          <cell r="DO251"/>
          <cell r="DP251"/>
        </row>
        <row r="252">
          <cell r="A252">
            <v>599</v>
          </cell>
          <cell r="B252" t="str">
            <v>Rotterdam</v>
          </cell>
          <cell r="C252">
            <v>8</v>
          </cell>
          <cell r="D252">
            <v>1647030</v>
          </cell>
          <cell r="E252">
            <v>823515</v>
          </cell>
          <cell r="F252">
            <v>0</v>
          </cell>
          <cell r="G252">
            <v>2113294</v>
          </cell>
          <cell r="H252">
            <v>-707280</v>
          </cell>
          <cell r="I252">
            <v>-417431</v>
          </cell>
          <cell r="J252"/>
          <cell r="K252">
            <v>0</v>
          </cell>
          <cell r="L252">
            <v>6167186</v>
          </cell>
          <cell r="M252">
            <v>6627528</v>
          </cell>
          <cell r="N252">
            <v>235300</v>
          </cell>
          <cell r="O252">
            <v>117500</v>
          </cell>
          <cell r="P252">
            <v>2111492</v>
          </cell>
          <cell r="Q252">
            <v>0</v>
          </cell>
          <cell r="R252">
            <v>0</v>
          </cell>
          <cell r="S252">
            <v>9259554</v>
          </cell>
          <cell r="T252">
            <v>9020433</v>
          </cell>
          <cell r="U252">
            <v>8980580</v>
          </cell>
          <cell r="V252">
            <v>75000</v>
          </cell>
          <cell r="W252">
            <v>2194528</v>
          </cell>
          <cell r="X252">
            <v>0</v>
          </cell>
          <cell r="Y252"/>
          <cell r="Z252">
            <v>0</v>
          </cell>
          <cell r="AA252">
            <v>30000</v>
          </cell>
          <cell r="AB252">
            <v>0</v>
          </cell>
          <cell r="AC252"/>
          <cell r="AD252">
            <v>1949733</v>
          </cell>
          <cell r="AE252">
            <v>0</v>
          </cell>
          <cell r="AF252">
            <v>0</v>
          </cell>
          <cell r="AG252">
            <v>0</v>
          </cell>
          <cell r="AH252">
            <v>0</v>
          </cell>
          <cell r="AI252">
            <v>0</v>
          </cell>
          <cell r="AJ252">
            <v>0</v>
          </cell>
          <cell r="AK252">
            <v>4407313</v>
          </cell>
          <cell r="AL252"/>
          <cell r="AM252">
            <v>4372</v>
          </cell>
          <cell r="AN252">
            <v>4472</v>
          </cell>
          <cell r="AO252">
            <v>4575</v>
          </cell>
          <cell r="AP252">
            <v>4681</v>
          </cell>
          <cell r="AQ252">
            <v>4788</v>
          </cell>
          <cell r="AR252">
            <v>4898</v>
          </cell>
          <cell r="AS252">
            <v>0</v>
          </cell>
          <cell r="AT252">
            <v>50000</v>
          </cell>
          <cell r="AU252">
            <v>26070</v>
          </cell>
          <cell r="AV252">
            <v>43072377.8062758</v>
          </cell>
          <cell r="AW252">
            <v>237716</v>
          </cell>
          <cell r="AX252">
            <v>333333</v>
          </cell>
          <cell r="AY252"/>
          <cell r="AZ252"/>
          <cell r="BA252">
            <v>0</v>
          </cell>
          <cell r="BB252"/>
          <cell r="BC252">
            <v>0</v>
          </cell>
          <cell r="BD252">
            <v>222788</v>
          </cell>
          <cell r="BE252"/>
          <cell r="BF252">
            <v>0</v>
          </cell>
          <cell r="BG252">
            <v>0</v>
          </cell>
          <cell r="BH252">
            <v>0</v>
          </cell>
          <cell r="BI252">
            <v>1535187</v>
          </cell>
          <cell r="BJ252">
            <v>1263687</v>
          </cell>
          <cell r="BK252">
            <v>1263687</v>
          </cell>
          <cell r="BL252">
            <v>0</v>
          </cell>
          <cell r="BM252">
            <v>158665</v>
          </cell>
          <cell r="BN252">
            <v>773850</v>
          </cell>
          <cell r="BO252">
            <v>2249243</v>
          </cell>
          <cell r="BP252">
            <v>254605.4</v>
          </cell>
          <cell r="BQ252">
            <v>458662.79069767398</v>
          </cell>
          <cell r="BR252">
            <v>644760</v>
          </cell>
          <cell r="BS252">
            <v>0</v>
          </cell>
          <cell r="BT252">
            <v>1416569</v>
          </cell>
          <cell r="BU252"/>
          <cell r="BV252"/>
          <cell r="BW252"/>
          <cell r="BX252"/>
          <cell r="BY252">
            <v>10758560.249068599</v>
          </cell>
          <cell r="BZ252">
            <v>12395945.472114099</v>
          </cell>
          <cell r="CA252">
            <v>12535822.601721</v>
          </cell>
          <cell r="CB252">
            <v>12930769.7911993</v>
          </cell>
          <cell r="CC252">
            <v>51963423</v>
          </cell>
          <cell r="CD252">
            <v>470009961</v>
          </cell>
          <cell r="CE252">
            <v>29968754</v>
          </cell>
          <cell r="CF252">
            <v>-1000745</v>
          </cell>
          <cell r="CG252">
            <v>29968754</v>
          </cell>
          <cell r="CH252">
            <v>29968754</v>
          </cell>
          <cell r="CI252">
            <v>29968754</v>
          </cell>
          <cell r="CJ252">
            <v>29968754</v>
          </cell>
          <cell r="CK252">
            <v>110162014</v>
          </cell>
          <cell r="CL252">
            <v>110106724</v>
          </cell>
          <cell r="CM252">
            <v>110105829</v>
          </cell>
          <cell r="CN252">
            <v>110103863</v>
          </cell>
          <cell r="CO252">
            <v>110106589</v>
          </cell>
          <cell r="CP252">
            <v>0</v>
          </cell>
          <cell r="CQ252">
            <v>53407895</v>
          </cell>
          <cell r="CR252">
            <v>50700144</v>
          </cell>
          <cell r="CS252">
            <v>49310149</v>
          </cell>
          <cell r="CT252">
            <v>48007455</v>
          </cell>
          <cell r="CU252">
            <v>46688892</v>
          </cell>
          <cell r="CV252">
            <v>-1153241</v>
          </cell>
          <cell r="CW252">
            <v>0</v>
          </cell>
          <cell r="CX252">
            <v>0</v>
          </cell>
          <cell r="CY252">
            <v>0</v>
          </cell>
          <cell r="CZ252">
            <v>250000</v>
          </cell>
          <cell r="DA252">
            <v>0</v>
          </cell>
          <cell r="DB252"/>
          <cell r="DC252">
            <v>0</v>
          </cell>
          <cell r="DD252">
            <v>0</v>
          </cell>
          <cell r="DE252">
            <v>0</v>
          </cell>
          <cell r="DF252">
            <v>0</v>
          </cell>
          <cell r="DG252">
            <v>0</v>
          </cell>
          <cell r="DH252">
            <v>0</v>
          </cell>
          <cell r="DI252">
            <v>0</v>
          </cell>
          <cell r="DJ252">
            <v>0</v>
          </cell>
          <cell r="DK252">
            <v>0</v>
          </cell>
          <cell r="DL252">
            <v>0</v>
          </cell>
          <cell r="DM252"/>
          <cell r="DN252"/>
          <cell r="DO252"/>
          <cell r="DP252"/>
        </row>
        <row r="253">
          <cell r="A253">
            <v>606</v>
          </cell>
          <cell r="B253" t="str">
            <v>Schiedam</v>
          </cell>
          <cell r="C253">
            <v>8</v>
          </cell>
          <cell r="D253">
            <v>43902</v>
          </cell>
          <cell r="E253">
            <v>21951</v>
          </cell>
          <cell r="F253">
            <v>0</v>
          </cell>
          <cell r="G253">
            <v>177799</v>
          </cell>
          <cell r="H253">
            <v>-17693</v>
          </cell>
          <cell r="I253">
            <v>-62924</v>
          </cell>
          <cell r="J253"/>
          <cell r="K253">
            <v>0</v>
          </cell>
          <cell r="L253">
            <v>597362</v>
          </cell>
          <cell r="M253">
            <v>612205</v>
          </cell>
          <cell r="N253">
            <v>0</v>
          </cell>
          <cell r="O253">
            <v>0</v>
          </cell>
          <cell r="P253">
            <v>0</v>
          </cell>
          <cell r="Q253">
            <v>0</v>
          </cell>
          <cell r="R253">
            <v>0</v>
          </cell>
          <cell r="S253">
            <v>494975</v>
          </cell>
          <cell r="T253">
            <v>494975</v>
          </cell>
          <cell r="U253">
            <v>494975</v>
          </cell>
          <cell r="V253">
            <v>9000</v>
          </cell>
          <cell r="W253">
            <v>281848</v>
          </cell>
          <cell r="X253">
            <v>0</v>
          </cell>
          <cell r="Y253"/>
          <cell r="Z253">
            <v>0</v>
          </cell>
          <cell r="AA253">
            <v>0</v>
          </cell>
          <cell r="AB253">
            <v>0</v>
          </cell>
          <cell r="AC253"/>
          <cell r="AD253">
            <v>109513</v>
          </cell>
          <cell r="AE253">
            <v>0</v>
          </cell>
          <cell r="AF253">
            <v>0</v>
          </cell>
          <cell r="AG253">
            <v>0</v>
          </cell>
          <cell r="AH253">
            <v>0</v>
          </cell>
          <cell r="AI253">
            <v>0</v>
          </cell>
          <cell r="AJ253">
            <v>0</v>
          </cell>
          <cell r="AK253">
            <v>316901</v>
          </cell>
          <cell r="AL253"/>
          <cell r="AM253">
            <v>0</v>
          </cell>
          <cell r="AN253">
            <v>0</v>
          </cell>
          <cell r="AO253">
            <v>0</v>
          </cell>
          <cell r="AP253">
            <v>0</v>
          </cell>
          <cell r="AQ253">
            <v>0</v>
          </cell>
          <cell r="AR253">
            <v>0</v>
          </cell>
          <cell r="AS253">
            <v>0</v>
          </cell>
          <cell r="AT253">
            <v>20000</v>
          </cell>
          <cell r="AU253">
            <v>4740</v>
          </cell>
          <cell r="AV253">
            <v>0</v>
          </cell>
          <cell r="AW253">
            <v>0</v>
          </cell>
          <cell r="AX253">
            <v>0</v>
          </cell>
          <cell r="AY253"/>
          <cell r="AZ253"/>
          <cell r="BA253">
            <v>0</v>
          </cell>
          <cell r="BB253"/>
          <cell r="BC253">
            <v>0</v>
          </cell>
          <cell r="BD253">
            <v>27324</v>
          </cell>
          <cell r="BE253"/>
          <cell r="BF253">
            <v>0</v>
          </cell>
          <cell r="BG253">
            <v>0</v>
          </cell>
          <cell r="BH253">
            <v>0</v>
          </cell>
          <cell r="BI253">
            <v>166610</v>
          </cell>
          <cell r="BJ253">
            <v>137145</v>
          </cell>
          <cell r="BK253">
            <v>137145</v>
          </cell>
          <cell r="BL253">
            <v>0</v>
          </cell>
          <cell r="BM253">
            <v>0</v>
          </cell>
          <cell r="BN253">
            <v>0</v>
          </cell>
          <cell r="BO253">
            <v>138632</v>
          </cell>
          <cell r="BP253">
            <v>9488.4</v>
          </cell>
          <cell r="BQ253">
            <v>17093.023255814001</v>
          </cell>
          <cell r="BR253">
            <v>155000</v>
          </cell>
          <cell r="BS253">
            <v>0</v>
          </cell>
          <cell r="BT253">
            <v>133174</v>
          </cell>
          <cell r="BU253"/>
          <cell r="BV253"/>
          <cell r="BW253"/>
          <cell r="BX253"/>
          <cell r="BY253">
            <v>0</v>
          </cell>
          <cell r="BZ253">
            <v>0</v>
          </cell>
          <cell r="CA253">
            <v>0</v>
          </cell>
          <cell r="CB253">
            <v>0</v>
          </cell>
          <cell r="CC253">
            <v>6413141</v>
          </cell>
          <cell r="CD253">
            <v>42240612</v>
          </cell>
          <cell r="CE253">
            <v>2001777</v>
          </cell>
          <cell r="CF253">
            <v>-79538</v>
          </cell>
          <cell r="CG253">
            <v>2001777</v>
          </cell>
          <cell r="CH253">
            <v>2001777</v>
          </cell>
          <cell r="CI253">
            <v>2001777</v>
          </cell>
          <cell r="CJ253">
            <v>2001777</v>
          </cell>
          <cell r="CK253">
            <v>0</v>
          </cell>
          <cell r="CL253">
            <v>0</v>
          </cell>
          <cell r="CM253">
            <v>0</v>
          </cell>
          <cell r="CN253">
            <v>0</v>
          </cell>
          <cell r="CO253">
            <v>0</v>
          </cell>
          <cell r="CP253">
            <v>-10724</v>
          </cell>
          <cell r="CQ253">
            <v>10971086</v>
          </cell>
          <cell r="CR253">
            <v>10526195</v>
          </cell>
          <cell r="CS253">
            <v>10282854</v>
          </cell>
          <cell r="CT253">
            <v>10037191</v>
          </cell>
          <cell r="CU253">
            <v>9689206</v>
          </cell>
          <cell r="CV253">
            <v>-33818</v>
          </cell>
          <cell r="CW253">
            <v>0</v>
          </cell>
          <cell r="CX253">
            <v>0</v>
          </cell>
          <cell r="CY253">
            <v>0</v>
          </cell>
          <cell r="CZ253">
            <v>0</v>
          </cell>
          <cell r="DA253">
            <v>0</v>
          </cell>
          <cell r="DB253"/>
          <cell r="DC253">
            <v>0</v>
          </cell>
          <cell r="DD253">
            <v>0</v>
          </cell>
          <cell r="DE253">
            <v>0</v>
          </cell>
          <cell r="DF253">
            <v>0</v>
          </cell>
          <cell r="DG253">
            <v>0</v>
          </cell>
          <cell r="DH253">
            <v>0</v>
          </cell>
          <cell r="DI253">
            <v>0</v>
          </cell>
          <cell r="DJ253">
            <v>0</v>
          </cell>
          <cell r="DK253">
            <v>0</v>
          </cell>
          <cell r="DL253">
            <v>0</v>
          </cell>
          <cell r="DM253"/>
          <cell r="DN253"/>
          <cell r="DO253"/>
          <cell r="DP253"/>
        </row>
        <row r="254">
          <cell r="A254">
            <v>518</v>
          </cell>
          <cell r="B254" t="str">
            <v>'s-Gravenhage</v>
          </cell>
          <cell r="C254">
            <v>8</v>
          </cell>
          <cell r="D254">
            <v>328493</v>
          </cell>
          <cell r="E254">
            <v>164247</v>
          </cell>
          <cell r="F254">
            <v>0</v>
          </cell>
          <cell r="G254">
            <v>300822</v>
          </cell>
          <cell r="H254">
            <v>-649117</v>
          </cell>
          <cell r="I254">
            <v>-356921</v>
          </cell>
          <cell r="J254"/>
          <cell r="K254">
            <v>7500</v>
          </cell>
          <cell r="L254">
            <v>4477347</v>
          </cell>
          <cell r="M254">
            <v>4510820</v>
          </cell>
          <cell r="N254">
            <v>75900</v>
          </cell>
          <cell r="O254">
            <v>37900</v>
          </cell>
          <cell r="P254">
            <v>1654253</v>
          </cell>
          <cell r="Q254">
            <v>0</v>
          </cell>
          <cell r="R254">
            <v>0</v>
          </cell>
          <cell r="S254">
            <v>1537435</v>
          </cell>
          <cell r="T254">
            <v>1537435</v>
          </cell>
          <cell r="U254">
            <v>1537435</v>
          </cell>
          <cell r="V254">
            <v>373250</v>
          </cell>
          <cell r="W254">
            <v>1788472</v>
          </cell>
          <cell r="X254">
            <v>0</v>
          </cell>
          <cell r="Y254"/>
          <cell r="Z254">
            <v>0</v>
          </cell>
          <cell r="AA254">
            <v>40000</v>
          </cell>
          <cell r="AB254">
            <v>0</v>
          </cell>
          <cell r="AC254"/>
          <cell r="AD254">
            <v>766595</v>
          </cell>
          <cell r="AE254">
            <v>0</v>
          </cell>
          <cell r="AF254">
            <v>0</v>
          </cell>
          <cell r="AG254">
            <v>0</v>
          </cell>
          <cell r="AH254">
            <v>0</v>
          </cell>
          <cell r="AI254">
            <v>0</v>
          </cell>
          <cell r="AJ254">
            <v>0</v>
          </cell>
          <cell r="AK254">
            <v>2139274</v>
          </cell>
          <cell r="AL254"/>
          <cell r="AM254">
            <v>0</v>
          </cell>
          <cell r="AN254">
            <v>0</v>
          </cell>
          <cell r="AO254">
            <v>0</v>
          </cell>
          <cell r="AP254">
            <v>0</v>
          </cell>
          <cell r="AQ254">
            <v>0</v>
          </cell>
          <cell r="AR254">
            <v>0</v>
          </cell>
          <cell r="AS254">
            <v>0</v>
          </cell>
          <cell r="AT254">
            <v>50000</v>
          </cell>
          <cell r="AU254">
            <v>40290</v>
          </cell>
          <cell r="AV254">
            <v>30927456.724216599</v>
          </cell>
          <cell r="AW254">
            <v>63086</v>
          </cell>
          <cell r="AX254">
            <v>0</v>
          </cell>
          <cell r="AY254"/>
          <cell r="AZ254"/>
          <cell r="BA254">
            <v>4376</v>
          </cell>
          <cell r="BB254"/>
          <cell r="BC254">
            <v>0</v>
          </cell>
          <cell r="BD254">
            <v>184252</v>
          </cell>
          <cell r="BE254"/>
          <cell r="BF254">
            <v>0</v>
          </cell>
          <cell r="BG254">
            <v>0</v>
          </cell>
          <cell r="BH254">
            <v>0</v>
          </cell>
          <cell r="BI254">
            <v>1061820</v>
          </cell>
          <cell r="BJ254">
            <v>874035</v>
          </cell>
          <cell r="BK254">
            <v>874035</v>
          </cell>
          <cell r="BL254">
            <v>0</v>
          </cell>
          <cell r="BM254">
            <v>131221</v>
          </cell>
          <cell r="BN254">
            <v>585200</v>
          </cell>
          <cell r="BO254">
            <v>305963</v>
          </cell>
          <cell r="BP254">
            <v>270419.40000000002</v>
          </cell>
          <cell r="BQ254">
            <v>487151.162790698</v>
          </cell>
          <cell r="BR254">
            <v>1142770</v>
          </cell>
          <cell r="BS254">
            <v>0</v>
          </cell>
          <cell r="BT254">
            <v>1055189</v>
          </cell>
          <cell r="BU254"/>
          <cell r="BV254"/>
          <cell r="BW254"/>
          <cell r="BX254"/>
          <cell r="BY254">
            <v>9961140.2722748108</v>
          </cell>
          <cell r="BZ254">
            <v>11408407.6255688</v>
          </cell>
          <cell r="CA254">
            <v>11532043.5301215</v>
          </cell>
          <cell r="CB254">
            <v>11881133.1429764</v>
          </cell>
          <cell r="CC254">
            <v>36964959</v>
          </cell>
          <cell r="CD254">
            <v>344795852</v>
          </cell>
          <cell r="CE254">
            <v>16581150</v>
          </cell>
          <cell r="CF254">
            <v>-853082</v>
          </cell>
          <cell r="CG254">
            <v>16441150</v>
          </cell>
          <cell r="CH254">
            <v>16441150</v>
          </cell>
          <cell r="CI254">
            <v>16441150</v>
          </cell>
          <cell r="CJ254">
            <v>16441150</v>
          </cell>
          <cell r="CK254">
            <v>81457502</v>
          </cell>
          <cell r="CL254">
            <v>81416618</v>
          </cell>
          <cell r="CM254">
            <v>81415957</v>
          </cell>
          <cell r="CN254">
            <v>81414502</v>
          </cell>
          <cell r="CO254">
            <v>81416518</v>
          </cell>
          <cell r="CP254">
            <v>0</v>
          </cell>
          <cell r="CQ254">
            <v>44044289</v>
          </cell>
          <cell r="CR254">
            <v>41948269</v>
          </cell>
          <cell r="CS254">
            <v>40514075</v>
          </cell>
          <cell r="CT254">
            <v>39433871</v>
          </cell>
          <cell r="CU254">
            <v>38469868</v>
          </cell>
          <cell r="CV254">
            <v>-1217832</v>
          </cell>
          <cell r="CW254">
            <v>0</v>
          </cell>
          <cell r="CX254">
            <v>0</v>
          </cell>
          <cell r="CY254">
            <v>0</v>
          </cell>
          <cell r="CZ254">
            <v>0</v>
          </cell>
          <cell r="DA254">
            <v>0</v>
          </cell>
          <cell r="DB254"/>
          <cell r="DC254">
            <v>300000</v>
          </cell>
          <cell r="DD254">
            <v>0</v>
          </cell>
          <cell r="DE254">
            <v>0</v>
          </cell>
          <cell r="DF254">
            <v>0</v>
          </cell>
          <cell r="DG254">
            <v>0</v>
          </cell>
          <cell r="DH254">
            <v>0</v>
          </cell>
          <cell r="DI254">
            <v>0</v>
          </cell>
          <cell r="DJ254">
            <v>0</v>
          </cell>
          <cell r="DK254">
            <v>0</v>
          </cell>
          <cell r="DL254">
            <v>0</v>
          </cell>
          <cell r="DM254"/>
          <cell r="DN254"/>
          <cell r="DO254"/>
          <cell r="DP254"/>
        </row>
        <row r="255">
          <cell r="A255">
            <v>610</v>
          </cell>
          <cell r="B255" t="str">
            <v>Sliedrecht</v>
          </cell>
          <cell r="C255">
            <v>8</v>
          </cell>
          <cell r="D255">
            <v>-16896</v>
          </cell>
          <cell r="E255">
            <v>-8448</v>
          </cell>
          <cell r="F255">
            <v>0</v>
          </cell>
          <cell r="G255">
            <v>0</v>
          </cell>
          <cell r="H255">
            <v>-57637</v>
          </cell>
          <cell r="I255">
            <v>-52772</v>
          </cell>
          <cell r="J255"/>
          <cell r="K255">
            <v>0</v>
          </cell>
          <cell r="L255">
            <v>106504</v>
          </cell>
          <cell r="M255">
            <v>104728</v>
          </cell>
          <cell r="N255">
            <v>0</v>
          </cell>
          <cell r="O255">
            <v>0</v>
          </cell>
          <cell r="P255">
            <v>0</v>
          </cell>
          <cell r="Q255">
            <v>0</v>
          </cell>
          <cell r="R255">
            <v>0</v>
          </cell>
          <cell r="S255">
            <v>0</v>
          </cell>
          <cell r="T255">
            <v>0</v>
          </cell>
          <cell r="U255">
            <v>0</v>
          </cell>
          <cell r="V255">
            <v>3000</v>
          </cell>
          <cell r="W255">
            <v>71925</v>
          </cell>
          <cell r="X255">
            <v>0</v>
          </cell>
          <cell r="Y255"/>
          <cell r="Z255">
            <v>0</v>
          </cell>
          <cell r="AA255">
            <v>0</v>
          </cell>
          <cell r="AB255">
            <v>0</v>
          </cell>
          <cell r="AC255"/>
          <cell r="AD255">
            <v>0</v>
          </cell>
          <cell r="AE255">
            <v>0</v>
          </cell>
          <cell r="AF255">
            <v>0</v>
          </cell>
          <cell r="AG255">
            <v>0</v>
          </cell>
          <cell r="AH255">
            <v>0</v>
          </cell>
          <cell r="AI255">
            <v>0</v>
          </cell>
          <cell r="AJ255">
            <v>0</v>
          </cell>
          <cell r="AK255">
            <v>0</v>
          </cell>
          <cell r="AL255"/>
          <cell r="AM255">
            <v>10350</v>
          </cell>
          <cell r="AN255">
            <v>10588</v>
          </cell>
          <cell r="AO255">
            <v>10831</v>
          </cell>
          <cell r="AP255">
            <v>11081</v>
          </cell>
          <cell r="AQ255">
            <v>11335</v>
          </cell>
          <cell r="AR255">
            <v>11596</v>
          </cell>
          <cell r="AS255">
            <v>0</v>
          </cell>
          <cell r="AT255">
            <v>0</v>
          </cell>
          <cell r="AU255">
            <v>0</v>
          </cell>
          <cell r="AV255">
            <v>0</v>
          </cell>
          <cell r="AW255">
            <v>0</v>
          </cell>
          <cell r="AX255">
            <v>0</v>
          </cell>
          <cell r="AY255"/>
          <cell r="AZ255"/>
          <cell r="BA255">
            <v>0</v>
          </cell>
          <cell r="BB255"/>
          <cell r="BC255">
            <v>0</v>
          </cell>
          <cell r="BD255">
            <v>8780</v>
          </cell>
          <cell r="BE255"/>
          <cell r="BF255">
            <v>0</v>
          </cell>
          <cell r="BG255">
            <v>0</v>
          </cell>
          <cell r="BH255">
            <v>0</v>
          </cell>
          <cell r="BI255">
            <v>37802</v>
          </cell>
          <cell r="BJ255">
            <v>31117</v>
          </cell>
          <cell r="BK255">
            <v>31117</v>
          </cell>
          <cell r="BL255">
            <v>0</v>
          </cell>
          <cell r="BM255">
            <v>0</v>
          </cell>
          <cell r="BN255">
            <v>0</v>
          </cell>
          <cell r="BO255">
            <v>148361</v>
          </cell>
          <cell r="BP255">
            <v>0</v>
          </cell>
          <cell r="BQ255">
            <v>0</v>
          </cell>
          <cell r="BR255">
            <v>0</v>
          </cell>
          <cell r="BS255">
            <v>0</v>
          </cell>
          <cell r="BT255">
            <v>38160</v>
          </cell>
          <cell r="BU255"/>
          <cell r="BV255"/>
          <cell r="BW255"/>
          <cell r="BX255"/>
          <cell r="BY255">
            <v>0</v>
          </cell>
          <cell r="BZ255">
            <v>0</v>
          </cell>
          <cell r="CA255">
            <v>0</v>
          </cell>
          <cell r="CB255">
            <v>0</v>
          </cell>
          <cell r="CC255">
            <v>2320195</v>
          </cell>
          <cell r="CD255">
            <v>13026516</v>
          </cell>
          <cell r="CE255">
            <v>738295</v>
          </cell>
          <cell r="CF255">
            <v>-60962</v>
          </cell>
          <cell r="CG255">
            <v>738295</v>
          </cell>
          <cell r="CH255">
            <v>738295</v>
          </cell>
          <cell r="CI255">
            <v>738295</v>
          </cell>
          <cell r="CJ255">
            <v>738295</v>
          </cell>
          <cell r="CK255">
            <v>0</v>
          </cell>
          <cell r="CL255">
            <v>0</v>
          </cell>
          <cell r="CM255">
            <v>0</v>
          </cell>
          <cell r="CN255">
            <v>0</v>
          </cell>
          <cell r="CO255">
            <v>0</v>
          </cell>
          <cell r="CP255">
            <v>-9779</v>
          </cell>
          <cell r="CQ255">
            <v>2354196</v>
          </cell>
          <cell r="CR255">
            <v>2268764</v>
          </cell>
          <cell r="CS255">
            <v>2166500</v>
          </cell>
          <cell r="CT255">
            <v>2096732</v>
          </cell>
          <cell r="CU255">
            <v>2012333</v>
          </cell>
          <cell r="CV255">
            <v>2529</v>
          </cell>
          <cell r="CW255">
            <v>0</v>
          </cell>
          <cell r="CX255">
            <v>0</v>
          </cell>
          <cell r="CY255">
            <v>0</v>
          </cell>
          <cell r="CZ255">
            <v>0</v>
          </cell>
          <cell r="DA255">
            <v>0</v>
          </cell>
          <cell r="DB255"/>
          <cell r="DC255">
            <v>0</v>
          </cell>
          <cell r="DD255">
            <v>0</v>
          </cell>
          <cell r="DE255">
            <v>0</v>
          </cell>
          <cell r="DF255">
            <v>0</v>
          </cell>
          <cell r="DG255">
            <v>0</v>
          </cell>
          <cell r="DH255">
            <v>0</v>
          </cell>
          <cell r="DI255">
            <v>0</v>
          </cell>
          <cell r="DJ255">
            <v>0</v>
          </cell>
          <cell r="DK255">
            <v>0</v>
          </cell>
          <cell r="DL255">
            <v>0</v>
          </cell>
          <cell r="DM255"/>
          <cell r="DN255"/>
          <cell r="DO255"/>
          <cell r="DP255"/>
        </row>
        <row r="256">
          <cell r="A256">
            <v>617</v>
          </cell>
          <cell r="B256" t="str">
            <v>Strijen</v>
          </cell>
          <cell r="C256">
            <v>8</v>
          </cell>
          <cell r="D256">
            <v>-6918</v>
          </cell>
          <cell r="E256">
            <v>-3459</v>
          </cell>
          <cell r="F256">
            <v>0</v>
          </cell>
          <cell r="G256">
            <v>0</v>
          </cell>
          <cell r="H256">
            <v>-196</v>
          </cell>
          <cell r="I256">
            <v>0</v>
          </cell>
          <cell r="J256"/>
          <cell r="K256">
            <v>0</v>
          </cell>
          <cell r="L256">
            <v>19100</v>
          </cell>
          <cell r="M256">
            <v>19998</v>
          </cell>
          <cell r="N256">
            <v>0</v>
          </cell>
          <cell r="O256">
            <v>0</v>
          </cell>
          <cell r="P256">
            <v>0</v>
          </cell>
          <cell r="Q256">
            <v>0</v>
          </cell>
          <cell r="R256">
            <v>0</v>
          </cell>
          <cell r="S256">
            <v>0</v>
          </cell>
          <cell r="T256">
            <v>0</v>
          </cell>
          <cell r="U256">
            <v>0</v>
          </cell>
          <cell r="V256">
            <v>0</v>
          </cell>
          <cell r="W256">
            <v>32730</v>
          </cell>
          <cell r="X256">
            <v>0</v>
          </cell>
          <cell r="Y256"/>
          <cell r="Z256">
            <v>0</v>
          </cell>
          <cell r="AA256">
            <v>0</v>
          </cell>
          <cell r="AB256">
            <v>0</v>
          </cell>
          <cell r="AC256"/>
          <cell r="AD256">
            <v>0</v>
          </cell>
          <cell r="AE256">
            <v>0</v>
          </cell>
          <cell r="AF256">
            <v>0</v>
          </cell>
          <cell r="AG256">
            <v>0</v>
          </cell>
          <cell r="AH256">
            <v>0</v>
          </cell>
          <cell r="AI256">
            <v>0</v>
          </cell>
          <cell r="AJ256">
            <v>0</v>
          </cell>
          <cell r="AK256">
            <v>0</v>
          </cell>
          <cell r="AL256"/>
          <cell r="AM256">
            <v>45907</v>
          </cell>
          <cell r="AN256">
            <v>46962</v>
          </cell>
          <cell r="AO256">
            <v>48043</v>
          </cell>
          <cell r="AP256">
            <v>49148</v>
          </cell>
          <cell r="AQ256">
            <v>50278</v>
          </cell>
          <cell r="AR256">
            <v>51434</v>
          </cell>
          <cell r="AS256">
            <v>0</v>
          </cell>
          <cell r="AT256">
            <v>0</v>
          </cell>
          <cell r="AU256">
            <v>2370</v>
          </cell>
          <cell r="AV256">
            <v>0</v>
          </cell>
          <cell r="AW256">
            <v>0</v>
          </cell>
          <cell r="AX256">
            <v>0</v>
          </cell>
          <cell r="AY256"/>
          <cell r="AZ256"/>
          <cell r="BA256">
            <v>0</v>
          </cell>
          <cell r="BB256"/>
          <cell r="BC256">
            <v>0</v>
          </cell>
          <cell r="BD256">
            <v>15413</v>
          </cell>
          <cell r="BE256"/>
          <cell r="BF256">
            <v>0</v>
          </cell>
          <cell r="BG256">
            <v>0</v>
          </cell>
          <cell r="BH256">
            <v>0</v>
          </cell>
          <cell r="BI256">
            <v>10767</v>
          </cell>
          <cell r="BJ256">
            <v>8863</v>
          </cell>
          <cell r="BK256">
            <v>8863</v>
          </cell>
          <cell r="BL256">
            <v>0</v>
          </cell>
          <cell r="BM256">
            <v>0</v>
          </cell>
          <cell r="BN256">
            <v>0</v>
          </cell>
          <cell r="BO256">
            <v>41346</v>
          </cell>
          <cell r="BP256">
            <v>11069.8</v>
          </cell>
          <cell r="BQ256">
            <v>19941.8604651163</v>
          </cell>
          <cell r="BR256">
            <v>0</v>
          </cell>
          <cell r="BS256">
            <v>0</v>
          </cell>
          <cell r="BT256">
            <v>14807</v>
          </cell>
          <cell r="BU256"/>
          <cell r="BV256"/>
          <cell r="BW256"/>
          <cell r="BX256"/>
          <cell r="BY256">
            <v>0</v>
          </cell>
          <cell r="BZ256">
            <v>0</v>
          </cell>
          <cell r="CA256">
            <v>0</v>
          </cell>
          <cell r="CB256">
            <v>0</v>
          </cell>
          <cell r="CC256">
            <v>641484</v>
          </cell>
          <cell r="CD256">
            <v>3479105</v>
          </cell>
          <cell r="CE256">
            <v>611494</v>
          </cell>
          <cell r="CF256">
            <v>0</v>
          </cell>
          <cell r="CG256">
            <v>611494</v>
          </cell>
          <cell r="CH256">
            <v>611494</v>
          </cell>
          <cell r="CI256">
            <v>611494</v>
          </cell>
          <cell r="CJ256">
            <v>611494</v>
          </cell>
          <cell r="CK256">
            <v>0</v>
          </cell>
          <cell r="CL256">
            <v>0</v>
          </cell>
          <cell r="CM256">
            <v>0</v>
          </cell>
          <cell r="CN256">
            <v>0</v>
          </cell>
          <cell r="CO256">
            <v>0</v>
          </cell>
          <cell r="CP256">
            <v>0</v>
          </cell>
          <cell r="CQ256">
            <v>569301</v>
          </cell>
          <cell r="CR256">
            <v>542338</v>
          </cell>
          <cell r="CS256">
            <v>524328</v>
          </cell>
          <cell r="CT256">
            <v>526874</v>
          </cell>
          <cell r="CU256">
            <v>521670</v>
          </cell>
          <cell r="CV256">
            <v>16132</v>
          </cell>
          <cell r="CW256">
            <v>0</v>
          </cell>
          <cell r="CX256">
            <v>0</v>
          </cell>
          <cell r="CY256">
            <v>0</v>
          </cell>
          <cell r="CZ256">
            <v>0</v>
          </cell>
          <cell r="DA256">
            <v>0</v>
          </cell>
          <cell r="DB256"/>
          <cell r="DC256">
            <v>0</v>
          </cell>
          <cell r="DD256">
            <v>0</v>
          </cell>
          <cell r="DE256">
            <v>0</v>
          </cell>
          <cell r="DF256">
            <v>0</v>
          </cell>
          <cell r="DG256">
            <v>0</v>
          </cell>
          <cell r="DH256">
            <v>0</v>
          </cell>
          <cell r="DI256">
            <v>0</v>
          </cell>
          <cell r="DJ256">
            <v>0</v>
          </cell>
          <cell r="DK256">
            <v>0</v>
          </cell>
          <cell r="DL256">
            <v>0</v>
          </cell>
          <cell r="DM256"/>
          <cell r="DN256"/>
          <cell r="DO256"/>
          <cell r="DP256"/>
        </row>
        <row r="257">
          <cell r="A257">
            <v>1525</v>
          </cell>
          <cell r="B257" t="str">
            <v>Teylingen</v>
          </cell>
          <cell r="C257">
            <v>8</v>
          </cell>
          <cell r="D257">
            <v>-48101</v>
          </cell>
          <cell r="E257">
            <v>-24051</v>
          </cell>
          <cell r="F257">
            <v>0</v>
          </cell>
          <cell r="G257">
            <v>11369</v>
          </cell>
          <cell r="H257">
            <v>0</v>
          </cell>
          <cell r="I257">
            <v>0</v>
          </cell>
          <cell r="J257"/>
          <cell r="K257">
            <v>0</v>
          </cell>
          <cell r="L257">
            <v>86190</v>
          </cell>
          <cell r="M257">
            <v>78826</v>
          </cell>
          <cell r="N257">
            <v>0</v>
          </cell>
          <cell r="O257">
            <v>0</v>
          </cell>
          <cell r="P257">
            <v>0</v>
          </cell>
          <cell r="Q257">
            <v>0</v>
          </cell>
          <cell r="R257">
            <v>0</v>
          </cell>
          <cell r="S257">
            <v>0</v>
          </cell>
          <cell r="T257">
            <v>0</v>
          </cell>
          <cell r="U257">
            <v>0</v>
          </cell>
          <cell r="V257">
            <v>9000</v>
          </cell>
          <cell r="W257">
            <v>70713</v>
          </cell>
          <cell r="X257">
            <v>0</v>
          </cell>
          <cell r="Y257"/>
          <cell r="Z257">
            <v>0</v>
          </cell>
          <cell r="AA257">
            <v>0</v>
          </cell>
          <cell r="AB257">
            <v>0</v>
          </cell>
          <cell r="AC257"/>
          <cell r="AD257">
            <v>0</v>
          </cell>
          <cell r="AE257">
            <v>0</v>
          </cell>
          <cell r="AF257">
            <v>0</v>
          </cell>
          <cell r="AG257">
            <v>0</v>
          </cell>
          <cell r="AH257">
            <v>0</v>
          </cell>
          <cell r="AI257">
            <v>0</v>
          </cell>
          <cell r="AJ257">
            <v>0</v>
          </cell>
          <cell r="AK257">
            <v>0</v>
          </cell>
          <cell r="AL257"/>
          <cell r="AM257">
            <v>0</v>
          </cell>
          <cell r="AN257">
            <v>0</v>
          </cell>
          <cell r="AO257">
            <v>0</v>
          </cell>
          <cell r="AP257">
            <v>0</v>
          </cell>
          <cell r="AQ257">
            <v>0</v>
          </cell>
          <cell r="AR257">
            <v>0</v>
          </cell>
          <cell r="AS257">
            <v>0</v>
          </cell>
          <cell r="AT257">
            <v>0</v>
          </cell>
          <cell r="AU257">
            <v>9480</v>
          </cell>
          <cell r="AV257">
            <v>0</v>
          </cell>
          <cell r="AW257">
            <v>0</v>
          </cell>
          <cell r="AX257">
            <v>0</v>
          </cell>
          <cell r="AY257"/>
          <cell r="AZ257"/>
          <cell r="BA257">
            <v>0</v>
          </cell>
          <cell r="BB257"/>
          <cell r="BC257">
            <v>0</v>
          </cell>
          <cell r="BD257">
            <v>12670</v>
          </cell>
          <cell r="BE257"/>
          <cell r="BF257">
            <v>0</v>
          </cell>
          <cell r="BG257">
            <v>0</v>
          </cell>
          <cell r="BH257">
            <v>0</v>
          </cell>
          <cell r="BI257">
            <v>36372</v>
          </cell>
          <cell r="BJ257">
            <v>29940</v>
          </cell>
          <cell r="BK257">
            <v>29940</v>
          </cell>
          <cell r="BL257">
            <v>0</v>
          </cell>
          <cell r="BM257">
            <v>0</v>
          </cell>
          <cell r="BN257">
            <v>0</v>
          </cell>
          <cell r="BO257">
            <v>57885</v>
          </cell>
          <cell r="BP257">
            <v>41116.400000000001</v>
          </cell>
          <cell r="BQ257">
            <v>74069.767441860502</v>
          </cell>
          <cell r="BR257">
            <v>0</v>
          </cell>
          <cell r="BS257">
            <v>0</v>
          </cell>
          <cell r="BT257">
            <v>55944</v>
          </cell>
          <cell r="BU257"/>
          <cell r="BV257"/>
          <cell r="BW257"/>
          <cell r="BX257"/>
          <cell r="BY257">
            <v>0</v>
          </cell>
          <cell r="BZ257">
            <v>0</v>
          </cell>
          <cell r="CA257">
            <v>0</v>
          </cell>
          <cell r="CB257">
            <v>0</v>
          </cell>
          <cell r="CC257">
            <v>2087675</v>
          </cell>
          <cell r="CD257">
            <v>13156836</v>
          </cell>
          <cell r="CE257">
            <v>1337343</v>
          </cell>
          <cell r="CF257">
            <v>0</v>
          </cell>
          <cell r="CG257">
            <v>1337343</v>
          </cell>
          <cell r="CH257">
            <v>1337343</v>
          </cell>
          <cell r="CI257">
            <v>1337343</v>
          </cell>
          <cell r="CJ257">
            <v>1337343</v>
          </cell>
          <cell r="CK257">
            <v>0</v>
          </cell>
          <cell r="CL257">
            <v>0</v>
          </cell>
          <cell r="CM257">
            <v>0</v>
          </cell>
          <cell r="CN257">
            <v>0</v>
          </cell>
          <cell r="CO257">
            <v>0</v>
          </cell>
          <cell r="CP257">
            <v>0</v>
          </cell>
          <cell r="CQ257">
            <v>2753973</v>
          </cell>
          <cell r="CR257">
            <v>2638765</v>
          </cell>
          <cell r="CS257">
            <v>2551249</v>
          </cell>
          <cell r="CT257">
            <v>2465043</v>
          </cell>
          <cell r="CU257">
            <v>2417987</v>
          </cell>
          <cell r="CV257">
            <v>73093</v>
          </cell>
          <cell r="CW257">
            <v>0</v>
          </cell>
          <cell r="CX257">
            <v>0</v>
          </cell>
          <cell r="CY257">
            <v>0</v>
          </cell>
          <cell r="CZ257">
            <v>0</v>
          </cell>
          <cell r="DA257">
            <v>0</v>
          </cell>
          <cell r="DB257"/>
          <cell r="DC257">
            <v>0</v>
          </cell>
          <cell r="DD257">
            <v>0</v>
          </cell>
          <cell r="DE257">
            <v>0</v>
          </cell>
          <cell r="DF257">
            <v>0</v>
          </cell>
          <cell r="DG257">
            <v>0</v>
          </cell>
          <cell r="DH257">
            <v>0</v>
          </cell>
          <cell r="DI257">
            <v>0</v>
          </cell>
          <cell r="DJ257">
            <v>0</v>
          </cell>
          <cell r="DK257">
            <v>0</v>
          </cell>
          <cell r="DL257">
            <v>0</v>
          </cell>
          <cell r="DM257"/>
          <cell r="DN257"/>
          <cell r="DO257"/>
          <cell r="DP257"/>
        </row>
        <row r="258">
          <cell r="A258">
            <v>622</v>
          </cell>
          <cell r="B258" t="str">
            <v>Vlaardingen</v>
          </cell>
          <cell r="C258">
            <v>8</v>
          </cell>
          <cell r="D258">
            <v>124146</v>
          </cell>
          <cell r="E258">
            <v>62073</v>
          </cell>
          <cell r="F258">
            <v>0</v>
          </cell>
          <cell r="G258">
            <v>93439</v>
          </cell>
          <cell r="H258">
            <v>0</v>
          </cell>
          <cell r="I258">
            <v>-8785</v>
          </cell>
          <cell r="J258"/>
          <cell r="K258">
            <v>0</v>
          </cell>
          <cell r="L258">
            <v>515469</v>
          </cell>
          <cell r="M258">
            <v>539379</v>
          </cell>
          <cell r="N258">
            <v>8500</v>
          </cell>
          <cell r="O258">
            <v>4300</v>
          </cell>
          <cell r="P258">
            <v>0</v>
          </cell>
          <cell r="Q258">
            <v>0</v>
          </cell>
          <cell r="R258">
            <v>0</v>
          </cell>
          <cell r="S258">
            <v>0</v>
          </cell>
          <cell r="T258">
            <v>0</v>
          </cell>
          <cell r="U258">
            <v>0</v>
          </cell>
          <cell r="V258">
            <v>12000</v>
          </cell>
          <cell r="W258">
            <v>254441</v>
          </cell>
          <cell r="X258">
            <v>0</v>
          </cell>
          <cell r="Y258"/>
          <cell r="Z258">
            <v>0</v>
          </cell>
          <cell r="AA258">
            <v>0</v>
          </cell>
          <cell r="AB258">
            <v>0</v>
          </cell>
          <cell r="AC258"/>
          <cell r="AD258">
            <v>111469</v>
          </cell>
          <cell r="AE258">
            <v>0</v>
          </cell>
          <cell r="AF258">
            <v>0</v>
          </cell>
          <cell r="AG258">
            <v>0</v>
          </cell>
          <cell r="AH258">
            <v>0</v>
          </cell>
          <cell r="AI258">
            <v>0</v>
          </cell>
          <cell r="AJ258">
            <v>0</v>
          </cell>
          <cell r="AK258">
            <v>0</v>
          </cell>
          <cell r="AL258"/>
          <cell r="AM258">
            <v>0</v>
          </cell>
          <cell r="AN258">
            <v>0</v>
          </cell>
          <cell r="AO258">
            <v>0</v>
          </cell>
          <cell r="AP258">
            <v>0</v>
          </cell>
          <cell r="AQ258">
            <v>0</v>
          </cell>
          <cell r="AR258">
            <v>0</v>
          </cell>
          <cell r="AS258">
            <v>0</v>
          </cell>
          <cell r="AT258">
            <v>0</v>
          </cell>
          <cell r="AU258">
            <v>11850</v>
          </cell>
          <cell r="AV258">
            <v>2419041.9524798701</v>
          </cell>
          <cell r="AW258">
            <v>0</v>
          </cell>
          <cell r="AX258">
            <v>0</v>
          </cell>
          <cell r="AY258"/>
          <cell r="AZ258"/>
          <cell r="BA258">
            <v>0</v>
          </cell>
          <cell r="BB258"/>
          <cell r="BC258">
            <v>0</v>
          </cell>
          <cell r="BD258">
            <v>25274</v>
          </cell>
          <cell r="BE258"/>
          <cell r="BF258">
            <v>0</v>
          </cell>
          <cell r="BG258">
            <v>0</v>
          </cell>
          <cell r="BH258">
            <v>0</v>
          </cell>
          <cell r="BI258">
            <v>150738</v>
          </cell>
          <cell r="BJ258">
            <v>124080</v>
          </cell>
          <cell r="BK258">
            <v>124080</v>
          </cell>
          <cell r="BL258">
            <v>0</v>
          </cell>
          <cell r="BM258">
            <v>0</v>
          </cell>
          <cell r="BN258">
            <v>0</v>
          </cell>
          <cell r="BO258">
            <v>134741</v>
          </cell>
          <cell r="BP258">
            <v>30046.6</v>
          </cell>
          <cell r="BQ258">
            <v>54127.906976744198</v>
          </cell>
          <cell r="BR258">
            <v>0</v>
          </cell>
          <cell r="BS258">
            <v>0</v>
          </cell>
          <cell r="BT258">
            <v>118755</v>
          </cell>
          <cell r="BU258"/>
          <cell r="BV258"/>
          <cell r="BW258"/>
          <cell r="BX258"/>
          <cell r="BY258">
            <v>1696757.22222229</v>
          </cell>
          <cell r="BZ258">
            <v>1966937.92264691</v>
          </cell>
          <cell r="CA258">
            <v>1990018.6859997599</v>
          </cell>
          <cell r="CB258">
            <v>2055187.90017253</v>
          </cell>
          <cell r="CC258">
            <v>6802968</v>
          </cell>
          <cell r="CD258">
            <v>53286075</v>
          </cell>
          <cell r="CE258">
            <v>1383904</v>
          </cell>
          <cell r="CF258">
            <v>0</v>
          </cell>
          <cell r="CG258">
            <v>1383904</v>
          </cell>
          <cell r="CH258">
            <v>1383904</v>
          </cell>
          <cell r="CI258">
            <v>1383904</v>
          </cell>
          <cell r="CJ258">
            <v>1383904</v>
          </cell>
          <cell r="CK258">
            <v>17376648</v>
          </cell>
          <cell r="CL258">
            <v>17367926</v>
          </cell>
          <cell r="CM258">
            <v>17367785</v>
          </cell>
          <cell r="CN258">
            <v>17367475</v>
          </cell>
          <cell r="CO258">
            <v>17367905</v>
          </cell>
          <cell r="CP258">
            <v>-3144</v>
          </cell>
          <cell r="CQ258">
            <v>7972488</v>
          </cell>
          <cell r="CR258">
            <v>7578204</v>
          </cell>
          <cell r="CS258">
            <v>7414055</v>
          </cell>
          <cell r="CT258">
            <v>7328852</v>
          </cell>
          <cell r="CU258">
            <v>7208317</v>
          </cell>
          <cell r="CV258">
            <v>-176483</v>
          </cell>
          <cell r="CW258">
            <v>0</v>
          </cell>
          <cell r="CX258">
            <v>0</v>
          </cell>
          <cell r="CY258">
            <v>0</v>
          </cell>
          <cell r="CZ258">
            <v>0</v>
          </cell>
          <cell r="DA258">
            <v>0</v>
          </cell>
          <cell r="DB258"/>
          <cell r="DC258">
            <v>0</v>
          </cell>
          <cell r="DD258">
            <v>0</v>
          </cell>
          <cell r="DE258">
            <v>0</v>
          </cell>
          <cell r="DF258">
            <v>0</v>
          </cell>
          <cell r="DG258">
            <v>0</v>
          </cell>
          <cell r="DH258">
            <v>0</v>
          </cell>
          <cell r="DI258">
            <v>0</v>
          </cell>
          <cell r="DJ258">
            <v>0</v>
          </cell>
          <cell r="DK258">
            <v>0</v>
          </cell>
          <cell r="DL258">
            <v>0</v>
          </cell>
          <cell r="DM258"/>
          <cell r="DN258"/>
          <cell r="DO258"/>
          <cell r="DP258"/>
        </row>
        <row r="259">
          <cell r="A259">
            <v>626</v>
          </cell>
          <cell r="B259" t="str">
            <v>Voorschoten</v>
          </cell>
          <cell r="C259">
            <v>8</v>
          </cell>
          <cell r="D259">
            <v>24150</v>
          </cell>
          <cell r="E259">
            <v>12075</v>
          </cell>
          <cell r="F259">
            <v>0</v>
          </cell>
          <cell r="G259">
            <v>0</v>
          </cell>
          <cell r="H259">
            <v>-4802</v>
          </cell>
          <cell r="I259">
            <v>-5140</v>
          </cell>
          <cell r="J259"/>
          <cell r="K259">
            <v>0</v>
          </cell>
          <cell r="L259">
            <v>94546</v>
          </cell>
          <cell r="M259">
            <v>89992</v>
          </cell>
          <cell r="N259">
            <v>0</v>
          </cell>
          <cell r="O259">
            <v>0</v>
          </cell>
          <cell r="P259">
            <v>0</v>
          </cell>
          <cell r="Q259">
            <v>0</v>
          </cell>
          <cell r="R259">
            <v>0</v>
          </cell>
          <cell r="S259">
            <v>0</v>
          </cell>
          <cell r="T259">
            <v>0</v>
          </cell>
          <cell r="U259">
            <v>0</v>
          </cell>
          <cell r="V259">
            <v>0</v>
          </cell>
          <cell r="W259">
            <v>0</v>
          </cell>
          <cell r="X259">
            <v>0</v>
          </cell>
          <cell r="Y259"/>
          <cell r="Z259">
            <v>0</v>
          </cell>
          <cell r="AA259">
            <v>0</v>
          </cell>
          <cell r="AB259">
            <v>0</v>
          </cell>
          <cell r="AC259"/>
          <cell r="AD259">
            <v>0</v>
          </cell>
          <cell r="AE259">
            <v>0</v>
          </cell>
          <cell r="AF259">
            <v>0</v>
          </cell>
          <cell r="AG259">
            <v>0</v>
          </cell>
          <cell r="AH259">
            <v>0</v>
          </cell>
          <cell r="AI259">
            <v>0</v>
          </cell>
          <cell r="AJ259">
            <v>0</v>
          </cell>
          <cell r="AK259">
            <v>0</v>
          </cell>
          <cell r="AL259"/>
          <cell r="AM259">
            <v>0</v>
          </cell>
          <cell r="AN259">
            <v>0</v>
          </cell>
          <cell r="AO259">
            <v>0</v>
          </cell>
          <cell r="AP259">
            <v>0</v>
          </cell>
          <cell r="AQ259">
            <v>0</v>
          </cell>
          <cell r="AR259">
            <v>0</v>
          </cell>
          <cell r="AS259">
            <v>0</v>
          </cell>
          <cell r="AT259">
            <v>0</v>
          </cell>
          <cell r="AU259">
            <v>0</v>
          </cell>
          <cell r="AV259">
            <v>0</v>
          </cell>
          <cell r="AW259">
            <v>0</v>
          </cell>
          <cell r="AX259">
            <v>0</v>
          </cell>
          <cell r="AY259"/>
          <cell r="AZ259"/>
          <cell r="BA259">
            <v>0</v>
          </cell>
          <cell r="BB259"/>
          <cell r="BC259">
            <v>0</v>
          </cell>
          <cell r="BD259">
            <v>8886</v>
          </cell>
          <cell r="BE259"/>
          <cell r="BF259">
            <v>0</v>
          </cell>
          <cell r="BG259">
            <v>0</v>
          </cell>
          <cell r="BH259">
            <v>0</v>
          </cell>
          <cell r="BI259">
            <v>25595</v>
          </cell>
          <cell r="BJ259">
            <v>21068</v>
          </cell>
          <cell r="BK259">
            <v>21068</v>
          </cell>
          <cell r="BL259">
            <v>0</v>
          </cell>
          <cell r="BM259">
            <v>0</v>
          </cell>
          <cell r="BN259">
            <v>0</v>
          </cell>
          <cell r="BO259">
            <v>10215</v>
          </cell>
          <cell r="BP259">
            <v>0</v>
          </cell>
          <cell r="BQ259">
            <v>0</v>
          </cell>
          <cell r="BR259">
            <v>0</v>
          </cell>
          <cell r="BS259">
            <v>0</v>
          </cell>
          <cell r="BT259">
            <v>37757</v>
          </cell>
          <cell r="BU259"/>
          <cell r="BV259"/>
          <cell r="BW259"/>
          <cell r="BX259"/>
          <cell r="BY259">
            <v>0</v>
          </cell>
          <cell r="BZ259">
            <v>0</v>
          </cell>
          <cell r="CA259">
            <v>0</v>
          </cell>
          <cell r="CB259">
            <v>0</v>
          </cell>
          <cell r="CC259">
            <v>1626212</v>
          </cell>
          <cell r="CD259">
            <v>6818456</v>
          </cell>
          <cell r="CE259">
            <v>481850</v>
          </cell>
          <cell r="CF259">
            <v>0</v>
          </cell>
          <cell r="CG259">
            <v>481850</v>
          </cell>
          <cell r="CH259">
            <v>481850</v>
          </cell>
          <cell r="CI259">
            <v>481850</v>
          </cell>
          <cell r="CJ259">
            <v>481850</v>
          </cell>
          <cell r="CK259">
            <v>0</v>
          </cell>
          <cell r="CL259">
            <v>0</v>
          </cell>
          <cell r="CM259">
            <v>0</v>
          </cell>
          <cell r="CN259">
            <v>0</v>
          </cell>
          <cell r="CO259">
            <v>0</v>
          </cell>
          <cell r="CP259">
            <v>-1842</v>
          </cell>
          <cell r="CQ259">
            <v>123861</v>
          </cell>
          <cell r="CR259">
            <v>137679</v>
          </cell>
          <cell r="CS259">
            <v>142276</v>
          </cell>
          <cell r="CT259">
            <v>154858</v>
          </cell>
          <cell r="CU259">
            <v>167385</v>
          </cell>
          <cell r="CV259">
            <v>-8692</v>
          </cell>
          <cell r="CW259">
            <v>0</v>
          </cell>
          <cell r="CX259">
            <v>0</v>
          </cell>
          <cell r="CY259">
            <v>0</v>
          </cell>
          <cell r="CZ259">
            <v>0</v>
          </cell>
          <cell r="DA259">
            <v>0</v>
          </cell>
          <cell r="DB259"/>
          <cell r="DC259">
            <v>0</v>
          </cell>
          <cell r="DD259">
            <v>0</v>
          </cell>
          <cell r="DE259">
            <v>0</v>
          </cell>
          <cell r="DF259">
            <v>0</v>
          </cell>
          <cell r="DG259">
            <v>0</v>
          </cell>
          <cell r="DH259">
            <v>0</v>
          </cell>
          <cell r="DI259">
            <v>0</v>
          </cell>
          <cell r="DJ259">
            <v>0</v>
          </cell>
          <cell r="DK259">
            <v>0</v>
          </cell>
          <cell r="DL259">
            <v>0</v>
          </cell>
          <cell r="DM259"/>
          <cell r="DN259"/>
          <cell r="DO259"/>
          <cell r="DP259"/>
        </row>
        <row r="260">
          <cell r="A260">
            <v>627</v>
          </cell>
          <cell r="B260" t="str">
            <v>Waddinxveen</v>
          </cell>
          <cell r="C260">
            <v>8</v>
          </cell>
          <cell r="D260">
            <v>11000</v>
          </cell>
          <cell r="E260">
            <v>5500</v>
          </cell>
          <cell r="F260">
            <v>0</v>
          </cell>
          <cell r="G260">
            <v>0</v>
          </cell>
          <cell r="H260">
            <v>0</v>
          </cell>
          <cell r="I260">
            <v>0</v>
          </cell>
          <cell r="J260"/>
          <cell r="K260">
            <v>0</v>
          </cell>
          <cell r="L260">
            <v>83305</v>
          </cell>
          <cell r="M260">
            <v>75707</v>
          </cell>
          <cell r="N260">
            <v>0</v>
          </cell>
          <cell r="O260">
            <v>0</v>
          </cell>
          <cell r="P260">
            <v>0</v>
          </cell>
          <cell r="Q260">
            <v>0</v>
          </cell>
          <cell r="R260">
            <v>0</v>
          </cell>
          <cell r="S260">
            <v>0</v>
          </cell>
          <cell r="T260">
            <v>0</v>
          </cell>
          <cell r="U260">
            <v>0</v>
          </cell>
          <cell r="V260">
            <v>6000</v>
          </cell>
          <cell r="W260">
            <v>97381</v>
          </cell>
          <cell r="X260">
            <v>0</v>
          </cell>
          <cell r="Y260"/>
          <cell r="Z260">
            <v>0</v>
          </cell>
          <cell r="AA260">
            <v>0</v>
          </cell>
          <cell r="AB260">
            <v>0</v>
          </cell>
          <cell r="AC260"/>
          <cell r="AD260">
            <v>0</v>
          </cell>
          <cell r="AE260">
            <v>0</v>
          </cell>
          <cell r="AF260">
            <v>0</v>
          </cell>
          <cell r="AG260">
            <v>0</v>
          </cell>
          <cell r="AH260">
            <v>0</v>
          </cell>
          <cell r="AI260">
            <v>0</v>
          </cell>
          <cell r="AJ260">
            <v>0</v>
          </cell>
          <cell r="AK260">
            <v>0</v>
          </cell>
          <cell r="AL260"/>
          <cell r="AM260">
            <v>0</v>
          </cell>
          <cell r="AN260">
            <v>0</v>
          </cell>
          <cell r="AO260">
            <v>0</v>
          </cell>
          <cell r="AP260">
            <v>0</v>
          </cell>
          <cell r="AQ260">
            <v>0</v>
          </cell>
          <cell r="AR260">
            <v>0</v>
          </cell>
          <cell r="AS260">
            <v>0</v>
          </cell>
          <cell r="AT260">
            <v>0</v>
          </cell>
          <cell r="AU260">
            <v>0</v>
          </cell>
          <cell r="AV260">
            <v>0</v>
          </cell>
          <cell r="AW260">
            <v>0</v>
          </cell>
          <cell r="AX260">
            <v>0</v>
          </cell>
          <cell r="AY260"/>
          <cell r="AZ260"/>
          <cell r="BA260">
            <v>0</v>
          </cell>
          <cell r="BB260"/>
          <cell r="BC260">
            <v>0</v>
          </cell>
          <cell r="BD260">
            <v>9315</v>
          </cell>
          <cell r="BE260"/>
          <cell r="BF260">
            <v>0</v>
          </cell>
          <cell r="BG260">
            <v>0</v>
          </cell>
          <cell r="BH260">
            <v>0</v>
          </cell>
          <cell r="BI260">
            <v>29588</v>
          </cell>
          <cell r="BJ260">
            <v>24356</v>
          </cell>
          <cell r="BK260">
            <v>24356</v>
          </cell>
          <cell r="BL260">
            <v>0</v>
          </cell>
          <cell r="BM260">
            <v>0</v>
          </cell>
          <cell r="BN260">
            <v>0</v>
          </cell>
          <cell r="BO260">
            <v>32591</v>
          </cell>
          <cell r="BP260">
            <v>3162.8</v>
          </cell>
          <cell r="BQ260">
            <v>5697.6744186046499</v>
          </cell>
          <cell r="BR260">
            <v>0</v>
          </cell>
          <cell r="BS260">
            <v>0</v>
          </cell>
          <cell r="BT260">
            <v>38469</v>
          </cell>
          <cell r="BU260"/>
          <cell r="BV260"/>
          <cell r="BW260"/>
          <cell r="BX260"/>
          <cell r="BY260">
            <v>0</v>
          </cell>
          <cell r="BZ260">
            <v>0</v>
          </cell>
          <cell r="CA260">
            <v>0</v>
          </cell>
          <cell r="CB260">
            <v>0</v>
          </cell>
          <cell r="CC260">
            <v>1961883</v>
          </cell>
          <cell r="CD260">
            <v>9733726</v>
          </cell>
          <cell r="CE260">
            <v>1020950</v>
          </cell>
          <cell r="CF260">
            <v>0</v>
          </cell>
          <cell r="CG260">
            <v>1020950</v>
          </cell>
          <cell r="CH260">
            <v>1020950</v>
          </cell>
          <cell r="CI260">
            <v>1020950</v>
          </cell>
          <cell r="CJ260">
            <v>1020950</v>
          </cell>
          <cell r="CK260">
            <v>0</v>
          </cell>
          <cell r="CL260">
            <v>0</v>
          </cell>
          <cell r="CM260">
            <v>0</v>
          </cell>
          <cell r="CN260">
            <v>0</v>
          </cell>
          <cell r="CO260">
            <v>0</v>
          </cell>
          <cell r="CP260">
            <v>-3578</v>
          </cell>
          <cell r="CQ260">
            <v>2220994</v>
          </cell>
          <cell r="CR260">
            <v>2141936</v>
          </cell>
          <cell r="CS260">
            <v>2078155</v>
          </cell>
          <cell r="CT260">
            <v>2051719</v>
          </cell>
          <cell r="CU260">
            <v>2023552</v>
          </cell>
          <cell r="CV260">
            <v>-57438</v>
          </cell>
          <cell r="CW260">
            <v>0</v>
          </cell>
          <cell r="CX260">
            <v>0</v>
          </cell>
          <cell r="CY260">
            <v>0</v>
          </cell>
          <cell r="CZ260">
            <v>0</v>
          </cell>
          <cell r="DA260">
            <v>0</v>
          </cell>
          <cell r="DB260"/>
          <cell r="DC260">
            <v>0</v>
          </cell>
          <cell r="DD260">
            <v>0</v>
          </cell>
          <cell r="DE260">
            <v>0</v>
          </cell>
          <cell r="DF260">
            <v>0</v>
          </cell>
          <cell r="DG260">
            <v>0</v>
          </cell>
          <cell r="DH260">
            <v>0</v>
          </cell>
          <cell r="DI260">
            <v>0</v>
          </cell>
          <cell r="DJ260">
            <v>0</v>
          </cell>
          <cell r="DK260">
            <v>0</v>
          </cell>
          <cell r="DL260">
            <v>0</v>
          </cell>
          <cell r="DM260"/>
          <cell r="DN260"/>
          <cell r="DO260"/>
          <cell r="DP260"/>
        </row>
        <row r="261">
          <cell r="A261">
            <v>629</v>
          </cell>
          <cell r="B261" t="str">
            <v>Wassenaar</v>
          </cell>
          <cell r="C261">
            <v>8</v>
          </cell>
          <cell r="D261">
            <v>32413</v>
          </cell>
          <cell r="E261">
            <v>16207</v>
          </cell>
          <cell r="F261">
            <v>0</v>
          </cell>
          <cell r="G261">
            <v>0</v>
          </cell>
          <cell r="H261">
            <v>-107</v>
          </cell>
          <cell r="I261">
            <v>-9841</v>
          </cell>
          <cell r="J261"/>
          <cell r="K261">
            <v>0</v>
          </cell>
          <cell r="L261">
            <v>101470</v>
          </cell>
          <cell r="M261">
            <v>100276</v>
          </cell>
          <cell r="N261">
            <v>3200</v>
          </cell>
          <cell r="O261">
            <v>1700</v>
          </cell>
          <cell r="P261">
            <v>0</v>
          </cell>
          <cell r="Q261">
            <v>0</v>
          </cell>
          <cell r="R261">
            <v>0</v>
          </cell>
          <cell r="S261">
            <v>0</v>
          </cell>
          <cell r="T261">
            <v>0</v>
          </cell>
          <cell r="U261">
            <v>0</v>
          </cell>
          <cell r="V261">
            <v>3000</v>
          </cell>
          <cell r="W261">
            <v>61823</v>
          </cell>
          <cell r="X261">
            <v>0</v>
          </cell>
          <cell r="Y261"/>
          <cell r="Z261">
            <v>0</v>
          </cell>
          <cell r="AA261">
            <v>0</v>
          </cell>
          <cell r="AB261">
            <v>0</v>
          </cell>
          <cell r="AC261"/>
          <cell r="AD261">
            <v>0</v>
          </cell>
          <cell r="AE261">
            <v>0</v>
          </cell>
          <cell r="AF261">
            <v>0</v>
          </cell>
          <cell r="AG261">
            <v>0</v>
          </cell>
          <cell r="AH261">
            <v>0</v>
          </cell>
          <cell r="AI261">
            <v>0</v>
          </cell>
          <cell r="AJ261">
            <v>0</v>
          </cell>
          <cell r="AK261">
            <v>0</v>
          </cell>
          <cell r="AL261"/>
          <cell r="AM261">
            <v>0</v>
          </cell>
          <cell r="AN261">
            <v>0</v>
          </cell>
          <cell r="AO261">
            <v>0</v>
          </cell>
          <cell r="AP261">
            <v>0</v>
          </cell>
          <cell r="AQ261">
            <v>0</v>
          </cell>
          <cell r="AR261">
            <v>0</v>
          </cell>
          <cell r="AS261">
            <v>0</v>
          </cell>
          <cell r="AT261">
            <v>0</v>
          </cell>
          <cell r="AU261">
            <v>0</v>
          </cell>
          <cell r="AV261">
            <v>0</v>
          </cell>
          <cell r="AW261">
            <v>0</v>
          </cell>
          <cell r="AX261">
            <v>0</v>
          </cell>
          <cell r="AY261"/>
          <cell r="AZ261"/>
          <cell r="BA261">
            <v>0</v>
          </cell>
          <cell r="BB261"/>
          <cell r="BC261">
            <v>0</v>
          </cell>
          <cell r="BD261">
            <v>9146</v>
          </cell>
          <cell r="BE261"/>
          <cell r="BF261">
            <v>0</v>
          </cell>
          <cell r="BG261">
            <v>0</v>
          </cell>
          <cell r="BH261">
            <v>0</v>
          </cell>
          <cell r="BI261">
            <v>25755</v>
          </cell>
          <cell r="BJ261">
            <v>21200</v>
          </cell>
          <cell r="BK261">
            <v>21200</v>
          </cell>
          <cell r="BL261">
            <v>0</v>
          </cell>
          <cell r="BM261">
            <v>0</v>
          </cell>
          <cell r="BN261">
            <v>0</v>
          </cell>
          <cell r="BO261">
            <v>57885</v>
          </cell>
          <cell r="BP261">
            <v>9488.4</v>
          </cell>
          <cell r="BQ261">
            <v>17093.023255814001</v>
          </cell>
          <cell r="BR261">
            <v>0</v>
          </cell>
          <cell r="BS261">
            <v>0</v>
          </cell>
          <cell r="BT261">
            <v>39392</v>
          </cell>
          <cell r="BU261"/>
          <cell r="BV261"/>
          <cell r="BW261"/>
          <cell r="BX261"/>
          <cell r="BY261">
            <v>0</v>
          </cell>
          <cell r="BZ261">
            <v>0</v>
          </cell>
          <cell r="CA261">
            <v>0</v>
          </cell>
          <cell r="CB261">
            <v>0</v>
          </cell>
          <cell r="CC261">
            <v>1462115</v>
          </cell>
          <cell r="CD261">
            <v>7221253</v>
          </cell>
          <cell r="CE261">
            <v>327546</v>
          </cell>
          <cell r="CF261">
            <v>-23744</v>
          </cell>
          <cell r="CG261">
            <v>327546</v>
          </cell>
          <cell r="CH261">
            <v>327546</v>
          </cell>
          <cell r="CI261">
            <v>327546</v>
          </cell>
          <cell r="CJ261">
            <v>327546</v>
          </cell>
          <cell r="CK261">
            <v>0</v>
          </cell>
          <cell r="CL261">
            <v>0</v>
          </cell>
          <cell r="CM261">
            <v>0</v>
          </cell>
          <cell r="CN261">
            <v>0</v>
          </cell>
          <cell r="CO261">
            <v>0</v>
          </cell>
          <cell r="CP261">
            <v>0</v>
          </cell>
          <cell r="CQ261">
            <v>988506</v>
          </cell>
          <cell r="CR261">
            <v>967059</v>
          </cell>
          <cell r="CS261">
            <v>961639</v>
          </cell>
          <cell r="CT261">
            <v>960965</v>
          </cell>
          <cell r="CU261">
            <v>945129</v>
          </cell>
          <cell r="CV261">
            <v>-17911</v>
          </cell>
          <cell r="CW261">
            <v>0</v>
          </cell>
          <cell r="CX261">
            <v>0</v>
          </cell>
          <cell r="CY261">
            <v>0</v>
          </cell>
          <cell r="CZ261">
            <v>0</v>
          </cell>
          <cell r="DA261">
            <v>0</v>
          </cell>
          <cell r="DB261"/>
          <cell r="DC261">
            <v>0</v>
          </cell>
          <cell r="DD261">
            <v>0</v>
          </cell>
          <cell r="DE261">
            <v>0</v>
          </cell>
          <cell r="DF261">
            <v>0</v>
          </cell>
          <cell r="DG261">
            <v>0</v>
          </cell>
          <cell r="DH261">
            <v>0</v>
          </cell>
          <cell r="DI261">
            <v>0</v>
          </cell>
          <cell r="DJ261">
            <v>0</v>
          </cell>
          <cell r="DK261">
            <v>0</v>
          </cell>
          <cell r="DL261">
            <v>0</v>
          </cell>
          <cell r="DM261"/>
          <cell r="DN261"/>
          <cell r="DO261"/>
          <cell r="DP261"/>
        </row>
        <row r="262">
          <cell r="A262">
            <v>1783</v>
          </cell>
          <cell r="B262" t="str">
            <v>Westland</v>
          </cell>
          <cell r="C262">
            <v>8</v>
          </cell>
          <cell r="D262">
            <v>2993</v>
          </cell>
          <cell r="E262">
            <v>1496</v>
          </cell>
          <cell r="F262">
            <v>0</v>
          </cell>
          <cell r="G262">
            <v>0</v>
          </cell>
          <cell r="H262">
            <v>-38331</v>
          </cell>
          <cell r="I262">
            <v>-49027</v>
          </cell>
          <cell r="J262"/>
          <cell r="K262">
            <v>0</v>
          </cell>
          <cell r="L262">
            <v>386224</v>
          </cell>
          <cell r="M262">
            <v>358348</v>
          </cell>
          <cell r="N262">
            <v>0</v>
          </cell>
          <cell r="O262">
            <v>0</v>
          </cell>
          <cell r="P262">
            <v>150000</v>
          </cell>
          <cell r="Q262">
            <v>0</v>
          </cell>
          <cell r="R262">
            <v>0</v>
          </cell>
          <cell r="S262">
            <v>0</v>
          </cell>
          <cell r="T262">
            <v>0</v>
          </cell>
          <cell r="U262">
            <v>0</v>
          </cell>
          <cell r="V262">
            <v>21750</v>
          </cell>
          <cell r="W262">
            <v>191126</v>
          </cell>
          <cell r="X262">
            <v>0</v>
          </cell>
          <cell r="Y262"/>
          <cell r="Z262">
            <v>0</v>
          </cell>
          <cell r="AA262">
            <v>0</v>
          </cell>
          <cell r="AB262">
            <v>0</v>
          </cell>
          <cell r="AC262"/>
          <cell r="AD262">
            <v>0</v>
          </cell>
          <cell r="AE262">
            <v>0</v>
          </cell>
          <cell r="AF262">
            <v>0</v>
          </cell>
          <cell r="AG262">
            <v>0</v>
          </cell>
          <cell r="AH262">
            <v>0</v>
          </cell>
          <cell r="AI262">
            <v>0</v>
          </cell>
          <cell r="AJ262">
            <v>0</v>
          </cell>
          <cell r="AK262">
            <v>0</v>
          </cell>
          <cell r="AL262"/>
          <cell r="AM262">
            <v>0</v>
          </cell>
          <cell r="AN262">
            <v>0</v>
          </cell>
          <cell r="AO262">
            <v>0</v>
          </cell>
          <cell r="AP262">
            <v>0</v>
          </cell>
          <cell r="AQ262">
            <v>0</v>
          </cell>
          <cell r="AR262">
            <v>0</v>
          </cell>
          <cell r="AS262">
            <v>0</v>
          </cell>
          <cell r="AT262">
            <v>20000</v>
          </cell>
          <cell r="AU262">
            <v>7110</v>
          </cell>
          <cell r="AV262">
            <v>0</v>
          </cell>
          <cell r="AW262">
            <v>0</v>
          </cell>
          <cell r="AX262">
            <v>0</v>
          </cell>
          <cell r="AY262"/>
          <cell r="AZ262"/>
          <cell r="BA262">
            <v>0</v>
          </cell>
          <cell r="BB262"/>
          <cell r="BC262">
            <v>0</v>
          </cell>
          <cell r="BD262">
            <v>37081</v>
          </cell>
          <cell r="BE262"/>
          <cell r="BF262">
            <v>0</v>
          </cell>
          <cell r="BG262">
            <v>0</v>
          </cell>
          <cell r="BH262">
            <v>0</v>
          </cell>
          <cell r="BI262">
            <v>123871</v>
          </cell>
          <cell r="BJ262">
            <v>101964</v>
          </cell>
          <cell r="BK262">
            <v>101964</v>
          </cell>
          <cell r="BL262">
            <v>0</v>
          </cell>
          <cell r="BM262">
            <v>0</v>
          </cell>
          <cell r="BN262">
            <v>0</v>
          </cell>
          <cell r="BO262">
            <v>151279</v>
          </cell>
          <cell r="BP262">
            <v>44279.199999999997</v>
          </cell>
          <cell r="BQ262">
            <v>79767.4418604651</v>
          </cell>
          <cell r="BR262">
            <v>0</v>
          </cell>
          <cell r="BS262">
            <v>0</v>
          </cell>
          <cell r="BT262">
            <v>148090</v>
          </cell>
          <cell r="BU262"/>
          <cell r="BV262"/>
          <cell r="BW262"/>
          <cell r="BX262"/>
          <cell r="BY262">
            <v>0</v>
          </cell>
          <cell r="BZ262">
            <v>0</v>
          </cell>
          <cell r="CA262">
            <v>0</v>
          </cell>
          <cell r="CB262">
            <v>0</v>
          </cell>
          <cell r="CC262">
            <v>7269526</v>
          </cell>
          <cell r="CD262">
            <v>35694150</v>
          </cell>
          <cell r="CE262">
            <v>1897684</v>
          </cell>
          <cell r="CF262">
            <v>0</v>
          </cell>
          <cell r="CG262">
            <v>1897684</v>
          </cell>
          <cell r="CH262">
            <v>1897684</v>
          </cell>
          <cell r="CI262">
            <v>1897684</v>
          </cell>
          <cell r="CJ262">
            <v>1897684</v>
          </cell>
          <cell r="CK262">
            <v>0</v>
          </cell>
          <cell r="CL262">
            <v>0</v>
          </cell>
          <cell r="CM262">
            <v>0</v>
          </cell>
          <cell r="CN262">
            <v>0</v>
          </cell>
          <cell r="CO262">
            <v>0</v>
          </cell>
          <cell r="CP262">
            <v>-17531</v>
          </cell>
          <cell r="CQ262">
            <v>6912388</v>
          </cell>
          <cell r="CR262">
            <v>6683035</v>
          </cell>
          <cell r="CS262">
            <v>6589102</v>
          </cell>
          <cell r="CT262">
            <v>6518826</v>
          </cell>
          <cell r="CU262">
            <v>6373096</v>
          </cell>
          <cell r="CV262">
            <v>46029</v>
          </cell>
          <cell r="CW262">
            <v>0</v>
          </cell>
          <cell r="CX262">
            <v>0</v>
          </cell>
          <cell r="CY262">
            <v>0</v>
          </cell>
          <cell r="CZ262">
            <v>0</v>
          </cell>
          <cell r="DA262">
            <v>0</v>
          </cell>
          <cell r="DB262"/>
          <cell r="DC262">
            <v>0</v>
          </cell>
          <cell r="DD262">
            <v>0</v>
          </cell>
          <cell r="DE262">
            <v>0</v>
          </cell>
          <cell r="DF262">
            <v>0</v>
          </cell>
          <cell r="DG262">
            <v>0</v>
          </cell>
          <cell r="DH262">
            <v>0</v>
          </cell>
          <cell r="DI262">
            <v>0</v>
          </cell>
          <cell r="DJ262">
            <v>0</v>
          </cell>
          <cell r="DK262">
            <v>0</v>
          </cell>
          <cell r="DL262">
            <v>0</v>
          </cell>
          <cell r="DM262"/>
          <cell r="DN262"/>
          <cell r="DO262"/>
          <cell r="DP262"/>
        </row>
        <row r="263">
          <cell r="A263">
            <v>614</v>
          </cell>
          <cell r="B263" t="str">
            <v>Westvoorne</v>
          </cell>
          <cell r="C263">
            <v>8</v>
          </cell>
          <cell r="D263">
            <v>-18594</v>
          </cell>
          <cell r="E263">
            <v>-9297</v>
          </cell>
          <cell r="F263">
            <v>0</v>
          </cell>
          <cell r="G263">
            <v>0</v>
          </cell>
          <cell r="H263">
            <v>-7610</v>
          </cell>
          <cell r="I263">
            <v>-9786</v>
          </cell>
          <cell r="J263"/>
          <cell r="K263">
            <v>0</v>
          </cell>
          <cell r="L263">
            <v>39812</v>
          </cell>
          <cell r="M263">
            <v>43425</v>
          </cell>
          <cell r="N263">
            <v>2400</v>
          </cell>
          <cell r="O263">
            <v>1200</v>
          </cell>
          <cell r="P263">
            <v>0</v>
          </cell>
          <cell r="Q263">
            <v>0</v>
          </cell>
          <cell r="R263">
            <v>0</v>
          </cell>
          <cell r="S263">
            <v>0</v>
          </cell>
          <cell r="T263">
            <v>0</v>
          </cell>
          <cell r="U263">
            <v>0</v>
          </cell>
          <cell r="V263">
            <v>0</v>
          </cell>
          <cell r="W263">
            <v>51899</v>
          </cell>
          <cell r="X263">
            <v>0</v>
          </cell>
          <cell r="Y263"/>
          <cell r="Z263">
            <v>0</v>
          </cell>
          <cell r="AA263">
            <v>0</v>
          </cell>
          <cell r="AB263">
            <v>0</v>
          </cell>
          <cell r="AC263"/>
          <cell r="AD263">
            <v>0</v>
          </cell>
          <cell r="AE263">
            <v>0</v>
          </cell>
          <cell r="AF263">
            <v>0</v>
          </cell>
          <cell r="AG263">
            <v>0</v>
          </cell>
          <cell r="AH263">
            <v>0</v>
          </cell>
          <cell r="AI263">
            <v>0</v>
          </cell>
          <cell r="AJ263">
            <v>0</v>
          </cell>
          <cell r="AK263">
            <v>0</v>
          </cell>
          <cell r="AL263"/>
          <cell r="AM263">
            <v>47097</v>
          </cell>
          <cell r="AN263">
            <v>48180</v>
          </cell>
          <cell r="AO263">
            <v>49288</v>
          </cell>
          <cell r="AP263">
            <v>50422</v>
          </cell>
          <cell r="AQ263">
            <v>51582</v>
          </cell>
          <cell r="AR263">
            <v>52768</v>
          </cell>
          <cell r="AS263">
            <v>0</v>
          </cell>
          <cell r="AT263">
            <v>0</v>
          </cell>
          <cell r="AU263">
            <v>2370</v>
          </cell>
          <cell r="AV263">
            <v>0</v>
          </cell>
          <cell r="AW263">
            <v>0</v>
          </cell>
          <cell r="AX263">
            <v>0</v>
          </cell>
          <cell r="AY263"/>
          <cell r="AZ263"/>
          <cell r="BA263">
            <v>0</v>
          </cell>
          <cell r="BB263"/>
          <cell r="BC263">
            <v>0</v>
          </cell>
          <cell r="BD263">
            <v>5005</v>
          </cell>
          <cell r="BE263"/>
          <cell r="BF263">
            <v>0</v>
          </cell>
          <cell r="BG263">
            <v>0</v>
          </cell>
          <cell r="BH263">
            <v>0</v>
          </cell>
          <cell r="BI263">
            <v>14029</v>
          </cell>
          <cell r="BJ263">
            <v>11548</v>
          </cell>
          <cell r="BK263">
            <v>11548</v>
          </cell>
          <cell r="BL263">
            <v>0</v>
          </cell>
          <cell r="BM263">
            <v>0</v>
          </cell>
          <cell r="BN263">
            <v>0</v>
          </cell>
          <cell r="BO263">
            <v>21889</v>
          </cell>
          <cell r="BP263">
            <v>11069.8</v>
          </cell>
          <cell r="BQ263">
            <v>19941.8604651163</v>
          </cell>
          <cell r="BR263">
            <v>0</v>
          </cell>
          <cell r="BS263">
            <v>0</v>
          </cell>
          <cell r="BT263">
            <v>22396</v>
          </cell>
          <cell r="BU263"/>
          <cell r="BV263"/>
          <cell r="BW263"/>
          <cell r="BX263"/>
          <cell r="BY263">
            <v>0</v>
          </cell>
          <cell r="BZ263">
            <v>0</v>
          </cell>
          <cell r="CA263">
            <v>0</v>
          </cell>
          <cell r="CB263">
            <v>0</v>
          </cell>
          <cell r="CC263">
            <v>1036569</v>
          </cell>
          <cell r="CD263">
            <v>3840415</v>
          </cell>
          <cell r="CE263">
            <v>1149834</v>
          </cell>
          <cell r="CF263">
            <v>0</v>
          </cell>
          <cell r="CG263">
            <v>1149834</v>
          </cell>
          <cell r="CH263">
            <v>1149834</v>
          </cell>
          <cell r="CI263">
            <v>1149834</v>
          </cell>
          <cell r="CJ263">
            <v>1149834</v>
          </cell>
          <cell r="CK263">
            <v>0</v>
          </cell>
          <cell r="CL263">
            <v>0</v>
          </cell>
          <cell r="CM263">
            <v>0</v>
          </cell>
          <cell r="CN263">
            <v>0</v>
          </cell>
          <cell r="CO263">
            <v>0</v>
          </cell>
          <cell r="CP263">
            <v>-3505</v>
          </cell>
          <cell r="CQ263">
            <v>49100</v>
          </cell>
          <cell r="CR263">
            <v>54770</v>
          </cell>
          <cell r="CS263">
            <v>56550</v>
          </cell>
          <cell r="CT263">
            <v>61698</v>
          </cell>
          <cell r="CU263">
            <v>66827</v>
          </cell>
          <cell r="CV263">
            <v>28410</v>
          </cell>
          <cell r="CW263">
            <v>0</v>
          </cell>
          <cell r="CX263">
            <v>0</v>
          </cell>
          <cell r="CY263">
            <v>0</v>
          </cell>
          <cell r="CZ263">
            <v>0</v>
          </cell>
          <cell r="DA263">
            <v>0</v>
          </cell>
          <cell r="DB263"/>
          <cell r="DC263">
            <v>0</v>
          </cell>
          <cell r="DD263">
            <v>0</v>
          </cell>
          <cell r="DE263">
            <v>0</v>
          </cell>
          <cell r="DF263">
            <v>0</v>
          </cell>
          <cell r="DG263">
            <v>0</v>
          </cell>
          <cell r="DH263">
            <v>0</v>
          </cell>
          <cell r="DI263">
            <v>0</v>
          </cell>
          <cell r="DJ263">
            <v>0</v>
          </cell>
          <cell r="DK263">
            <v>0</v>
          </cell>
          <cell r="DL263">
            <v>0</v>
          </cell>
          <cell r="DM263"/>
          <cell r="DN263"/>
          <cell r="DO263"/>
          <cell r="DP263"/>
        </row>
        <row r="264">
          <cell r="A264">
            <v>707</v>
          </cell>
          <cell r="B264" t="str">
            <v>Zederik</v>
          </cell>
          <cell r="C264">
            <v>8</v>
          </cell>
          <cell r="D264">
            <v>-10974</v>
          </cell>
          <cell r="E264">
            <v>-5487</v>
          </cell>
          <cell r="F264">
            <v>0</v>
          </cell>
          <cell r="G264">
            <v>0</v>
          </cell>
          <cell r="H264">
            <v>-19968</v>
          </cell>
          <cell r="I264">
            <v>-15126</v>
          </cell>
          <cell r="J264"/>
          <cell r="K264">
            <v>0</v>
          </cell>
          <cell r="L264">
            <v>28989</v>
          </cell>
          <cell r="M264">
            <v>33949</v>
          </cell>
          <cell r="N264">
            <v>0</v>
          </cell>
          <cell r="O264">
            <v>0</v>
          </cell>
          <cell r="P264">
            <v>0</v>
          </cell>
          <cell r="Q264">
            <v>0</v>
          </cell>
          <cell r="R264">
            <v>0</v>
          </cell>
          <cell r="S264">
            <v>0</v>
          </cell>
          <cell r="T264">
            <v>0</v>
          </cell>
          <cell r="U264">
            <v>0</v>
          </cell>
          <cell r="V264">
            <v>0</v>
          </cell>
          <cell r="W264">
            <v>62201</v>
          </cell>
          <cell r="X264">
            <v>0</v>
          </cell>
          <cell r="Y264"/>
          <cell r="Z264">
            <v>0</v>
          </cell>
          <cell r="AA264">
            <v>0</v>
          </cell>
          <cell r="AB264">
            <v>0</v>
          </cell>
          <cell r="AC264"/>
          <cell r="AD264">
            <v>20000</v>
          </cell>
          <cell r="AE264">
            <v>0</v>
          </cell>
          <cell r="AF264">
            <v>0</v>
          </cell>
          <cell r="AG264">
            <v>0</v>
          </cell>
          <cell r="AH264">
            <v>0</v>
          </cell>
          <cell r="AI264">
            <v>0</v>
          </cell>
          <cell r="AJ264">
            <v>0</v>
          </cell>
          <cell r="AK264">
            <v>0</v>
          </cell>
          <cell r="AL264"/>
          <cell r="AM264">
            <v>58692</v>
          </cell>
          <cell r="AN264">
            <v>60041</v>
          </cell>
          <cell r="AO264">
            <v>61422</v>
          </cell>
          <cell r="AP264">
            <v>62835</v>
          </cell>
          <cell r="AQ264">
            <v>64280</v>
          </cell>
          <cell r="AR264">
            <v>65759</v>
          </cell>
          <cell r="AS264">
            <v>0</v>
          </cell>
          <cell r="AT264">
            <v>0</v>
          </cell>
          <cell r="AU264">
            <v>0</v>
          </cell>
          <cell r="AV264">
            <v>0</v>
          </cell>
          <cell r="AW264">
            <v>0</v>
          </cell>
          <cell r="AX264">
            <v>0</v>
          </cell>
          <cell r="AY264"/>
          <cell r="AZ264"/>
          <cell r="BA264">
            <v>0</v>
          </cell>
          <cell r="BB264"/>
          <cell r="BC264">
            <v>0</v>
          </cell>
          <cell r="BD264">
            <v>24285</v>
          </cell>
          <cell r="BE264"/>
          <cell r="BF264">
            <v>0</v>
          </cell>
          <cell r="BG264">
            <v>0</v>
          </cell>
          <cell r="BH264">
            <v>0</v>
          </cell>
          <cell r="BI264">
            <v>12968</v>
          </cell>
          <cell r="BJ264">
            <v>10675</v>
          </cell>
          <cell r="BK264">
            <v>10675</v>
          </cell>
          <cell r="BL264">
            <v>0</v>
          </cell>
          <cell r="BM264">
            <v>0</v>
          </cell>
          <cell r="BN264">
            <v>0</v>
          </cell>
          <cell r="BO264">
            <v>32104</v>
          </cell>
          <cell r="BP264">
            <v>0</v>
          </cell>
          <cell r="BQ264">
            <v>0</v>
          </cell>
          <cell r="BR264">
            <v>0</v>
          </cell>
          <cell r="BS264">
            <v>0</v>
          </cell>
          <cell r="BT264">
            <v>28302</v>
          </cell>
          <cell r="BU264"/>
          <cell r="BV264"/>
          <cell r="BW264"/>
          <cell r="BX264"/>
          <cell r="BY264">
            <v>0</v>
          </cell>
          <cell r="BZ264">
            <v>0</v>
          </cell>
          <cell r="CA264">
            <v>0</v>
          </cell>
          <cell r="CB264">
            <v>0</v>
          </cell>
          <cell r="CC264">
            <v>882958</v>
          </cell>
          <cell r="CD264">
            <v>4382139</v>
          </cell>
          <cell r="CE264">
            <v>433995</v>
          </cell>
          <cell r="CF264">
            <v>-32362</v>
          </cell>
          <cell r="CG264">
            <v>433995</v>
          </cell>
          <cell r="CH264">
            <v>433995</v>
          </cell>
          <cell r="CI264">
            <v>433995</v>
          </cell>
          <cell r="CJ264">
            <v>433995</v>
          </cell>
          <cell r="CK264">
            <v>0</v>
          </cell>
          <cell r="CL264">
            <v>0</v>
          </cell>
          <cell r="CM264">
            <v>0</v>
          </cell>
          <cell r="CN264">
            <v>0</v>
          </cell>
          <cell r="CO264">
            <v>0</v>
          </cell>
          <cell r="CP264">
            <v>-605</v>
          </cell>
          <cell r="CQ264">
            <v>610977</v>
          </cell>
          <cell r="CR264">
            <v>597299</v>
          </cell>
          <cell r="CS264">
            <v>585039</v>
          </cell>
          <cell r="CT264">
            <v>583672</v>
          </cell>
          <cell r="CU264">
            <v>566042</v>
          </cell>
          <cell r="CV264">
            <v>-10880</v>
          </cell>
          <cell r="CW264">
            <v>0</v>
          </cell>
          <cell r="CX264">
            <v>0</v>
          </cell>
          <cell r="CY264">
            <v>0</v>
          </cell>
          <cell r="CZ264">
            <v>0</v>
          </cell>
          <cell r="DA264">
            <v>0</v>
          </cell>
          <cell r="DB264"/>
          <cell r="DC264">
            <v>0</v>
          </cell>
          <cell r="DD264">
            <v>0</v>
          </cell>
          <cell r="DE264">
            <v>0</v>
          </cell>
          <cell r="DF264">
            <v>0</v>
          </cell>
          <cell r="DG264">
            <v>0</v>
          </cell>
          <cell r="DH264">
            <v>0</v>
          </cell>
          <cell r="DI264">
            <v>0</v>
          </cell>
          <cell r="DJ264">
            <v>0</v>
          </cell>
          <cell r="DK264">
            <v>0</v>
          </cell>
          <cell r="DL264">
            <v>0</v>
          </cell>
          <cell r="DM264"/>
          <cell r="DN264"/>
          <cell r="DO264"/>
          <cell r="DP264"/>
        </row>
        <row r="265">
          <cell r="A265">
            <v>637</v>
          </cell>
          <cell r="B265" t="str">
            <v>Zoetermeer</v>
          </cell>
          <cell r="C265">
            <v>8</v>
          </cell>
          <cell r="D265">
            <v>515418</v>
          </cell>
          <cell r="E265">
            <v>257709</v>
          </cell>
          <cell r="F265">
            <v>0</v>
          </cell>
          <cell r="G265">
            <v>0</v>
          </cell>
          <cell r="H265">
            <v>0</v>
          </cell>
          <cell r="I265">
            <v>-17743</v>
          </cell>
          <cell r="J265"/>
          <cell r="K265">
            <v>7500</v>
          </cell>
          <cell r="L265">
            <v>825610</v>
          </cell>
          <cell r="M265">
            <v>832494</v>
          </cell>
          <cell r="N265">
            <v>0</v>
          </cell>
          <cell r="O265">
            <v>0</v>
          </cell>
          <cell r="P265">
            <v>150000</v>
          </cell>
          <cell r="Q265">
            <v>0</v>
          </cell>
          <cell r="R265">
            <v>0</v>
          </cell>
          <cell r="S265">
            <v>0</v>
          </cell>
          <cell r="T265">
            <v>0</v>
          </cell>
          <cell r="U265">
            <v>0</v>
          </cell>
          <cell r="V265">
            <v>44500</v>
          </cell>
          <cell r="W265">
            <v>357604</v>
          </cell>
          <cell r="X265">
            <v>0</v>
          </cell>
          <cell r="Y265"/>
          <cell r="Z265">
            <v>0</v>
          </cell>
          <cell r="AA265">
            <v>13000</v>
          </cell>
          <cell r="AB265">
            <v>0</v>
          </cell>
          <cell r="AC265"/>
          <cell r="AD265">
            <v>28356</v>
          </cell>
          <cell r="AE265">
            <v>0</v>
          </cell>
          <cell r="AF265">
            <v>0</v>
          </cell>
          <cell r="AG265">
            <v>0</v>
          </cell>
          <cell r="AH265">
            <v>0</v>
          </cell>
          <cell r="AI265">
            <v>0</v>
          </cell>
          <cell r="AJ265">
            <v>0</v>
          </cell>
          <cell r="AK265">
            <v>104477</v>
          </cell>
          <cell r="AL265"/>
          <cell r="AM265">
            <v>0</v>
          </cell>
          <cell r="AN265">
            <v>0</v>
          </cell>
          <cell r="AO265">
            <v>0</v>
          </cell>
          <cell r="AP265">
            <v>0</v>
          </cell>
          <cell r="AQ265">
            <v>0</v>
          </cell>
          <cell r="AR265">
            <v>0</v>
          </cell>
          <cell r="AS265">
            <v>0</v>
          </cell>
          <cell r="AT265">
            <v>20000</v>
          </cell>
          <cell r="AU265">
            <v>7110</v>
          </cell>
          <cell r="AV265">
            <v>0</v>
          </cell>
          <cell r="AW265">
            <v>0</v>
          </cell>
          <cell r="AX265">
            <v>0</v>
          </cell>
          <cell r="AY265"/>
          <cell r="AZ265"/>
          <cell r="BA265">
            <v>0</v>
          </cell>
          <cell r="BB265"/>
          <cell r="BC265">
            <v>0</v>
          </cell>
          <cell r="BD265">
            <v>43796</v>
          </cell>
          <cell r="BE265"/>
          <cell r="BF265">
            <v>0</v>
          </cell>
          <cell r="BG265">
            <v>0</v>
          </cell>
          <cell r="BH265">
            <v>0</v>
          </cell>
          <cell r="BI265">
            <v>169762</v>
          </cell>
          <cell r="BJ265">
            <v>139739</v>
          </cell>
          <cell r="BK265">
            <v>139739</v>
          </cell>
          <cell r="BL265">
            <v>0</v>
          </cell>
          <cell r="BM265">
            <v>31191</v>
          </cell>
          <cell r="BN265">
            <v>0</v>
          </cell>
          <cell r="BO265">
            <v>89503</v>
          </cell>
          <cell r="BP265">
            <v>28465.200000000001</v>
          </cell>
          <cell r="BQ265">
            <v>51279.069767441899</v>
          </cell>
          <cell r="BR265">
            <v>245000</v>
          </cell>
          <cell r="BS265">
            <v>0</v>
          </cell>
          <cell r="BT265">
            <v>202347</v>
          </cell>
          <cell r="BU265"/>
          <cell r="BV265"/>
          <cell r="BW265"/>
          <cell r="BX265"/>
          <cell r="BY265">
            <v>0</v>
          </cell>
          <cell r="BZ265">
            <v>0</v>
          </cell>
          <cell r="CA265">
            <v>0</v>
          </cell>
          <cell r="CB265">
            <v>0</v>
          </cell>
          <cell r="CC265">
            <v>8690636</v>
          </cell>
          <cell r="CD265">
            <v>58856406</v>
          </cell>
          <cell r="CE265">
            <v>4198851</v>
          </cell>
          <cell r="CF265">
            <v>0</v>
          </cell>
          <cell r="CG265">
            <v>4198851</v>
          </cell>
          <cell r="CH265">
            <v>4198851</v>
          </cell>
          <cell r="CI265">
            <v>4198851</v>
          </cell>
          <cell r="CJ265">
            <v>4198851</v>
          </cell>
          <cell r="CK265">
            <v>0</v>
          </cell>
          <cell r="CL265">
            <v>0</v>
          </cell>
          <cell r="CM265">
            <v>0</v>
          </cell>
          <cell r="CN265">
            <v>0</v>
          </cell>
          <cell r="CO265">
            <v>0</v>
          </cell>
          <cell r="CP265">
            <v>-6386</v>
          </cell>
          <cell r="CQ265">
            <v>8198389</v>
          </cell>
          <cell r="CR265">
            <v>7975219</v>
          </cell>
          <cell r="CS265">
            <v>7847076</v>
          </cell>
          <cell r="CT265">
            <v>7759052</v>
          </cell>
          <cell r="CU265">
            <v>7628445</v>
          </cell>
          <cell r="CV265">
            <v>-32048</v>
          </cell>
          <cell r="CW265">
            <v>0</v>
          </cell>
          <cell r="CX265">
            <v>0</v>
          </cell>
          <cell r="CY265">
            <v>0</v>
          </cell>
          <cell r="CZ265">
            <v>0</v>
          </cell>
          <cell r="DA265">
            <v>0</v>
          </cell>
          <cell r="DB265"/>
          <cell r="DC265">
            <v>0</v>
          </cell>
          <cell r="DD265">
            <v>0</v>
          </cell>
          <cell r="DE265">
            <v>0</v>
          </cell>
          <cell r="DF265">
            <v>0</v>
          </cell>
          <cell r="DG265">
            <v>0</v>
          </cell>
          <cell r="DH265">
            <v>0</v>
          </cell>
          <cell r="DI265">
            <v>0</v>
          </cell>
          <cell r="DJ265">
            <v>0</v>
          </cell>
          <cell r="DK265">
            <v>0</v>
          </cell>
          <cell r="DL265">
            <v>0</v>
          </cell>
          <cell r="DM265"/>
          <cell r="DN265"/>
          <cell r="DO265"/>
          <cell r="DP265"/>
        </row>
        <row r="266">
          <cell r="A266">
            <v>638</v>
          </cell>
          <cell r="B266" t="str">
            <v>Zoeterwoude</v>
          </cell>
          <cell r="C266">
            <v>8</v>
          </cell>
          <cell r="D266">
            <v>-2249</v>
          </cell>
          <cell r="E266">
            <v>-1125</v>
          </cell>
          <cell r="F266">
            <v>0</v>
          </cell>
          <cell r="G266">
            <v>0</v>
          </cell>
          <cell r="H266">
            <v>-10413</v>
          </cell>
          <cell r="I266">
            <v>-8623</v>
          </cell>
          <cell r="J266"/>
          <cell r="K266">
            <v>0</v>
          </cell>
          <cell r="L266">
            <v>17310</v>
          </cell>
          <cell r="M266">
            <v>16070</v>
          </cell>
          <cell r="N266">
            <v>0</v>
          </cell>
          <cell r="O266">
            <v>0</v>
          </cell>
          <cell r="P266">
            <v>0</v>
          </cell>
          <cell r="Q266">
            <v>0</v>
          </cell>
          <cell r="R266">
            <v>0</v>
          </cell>
          <cell r="S266">
            <v>0</v>
          </cell>
          <cell r="T266">
            <v>0</v>
          </cell>
          <cell r="U266">
            <v>0</v>
          </cell>
          <cell r="V266">
            <v>3000</v>
          </cell>
          <cell r="W266">
            <v>0</v>
          </cell>
          <cell r="X266">
            <v>0</v>
          </cell>
          <cell r="Y266"/>
          <cell r="Z266">
            <v>0</v>
          </cell>
          <cell r="AA266">
            <v>0</v>
          </cell>
          <cell r="AB266">
            <v>0</v>
          </cell>
          <cell r="AC266"/>
          <cell r="AD266">
            <v>0</v>
          </cell>
          <cell r="AE266">
            <v>0</v>
          </cell>
          <cell r="AF266">
            <v>0</v>
          </cell>
          <cell r="AG266">
            <v>0</v>
          </cell>
          <cell r="AH266">
            <v>0</v>
          </cell>
          <cell r="AI266">
            <v>0</v>
          </cell>
          <cell r="AJ266">
            <v>0</v>
          </cell>
          <cell r="AK266">
            <v>0</v>
          </cell>
          <cell r="AL266"/>
          <cell r="AM266">
            <v>0</v>
          </cell>
          <cell r="AN266">
            <v>0</v>
          </cell>
          <cell r="AO266">
            <v>0</v>
          </cell>
          <cell r="AP266">
            <v>0</v>
          </cell>
          <cell r="AQ266">
            <v>0</v>
          </cell>
          <cell r="AR266">
            <v>0</v>
          </cell>
          <cell r="AS266">
            <v>0</v>
          </cell>
          <cell r="AT266">
            <v>0</v>
          </cell>
          <cell r="AU266">
            <v>0</v>
          </cell>
          <cell r="AV266">
            <v>0</v>
          </cell>
          <cell r="AW266">
            <v>0</v>
          </cell>
          <cell r="AX266">
            <v>0</v>
          </cell>
          <cell r="AY266"/>
          <cell r="AZ266"/>
          <cell r="BA266">
            <v>0</v>
          </cell>
          <cell r="BB266"/>
          <cell r="BC266">
            <v>0</v>
          </cell>
          <cell r="BD266">
            <v>2937</v>
          </cell>
          <cell r="BE266"/>
          <cell r="BF266">
            <v>0</v>
          </cell>
          <cell r="BG266">
            <v>0</v>
          </cell>
          <cell r="BH266">
            <v>0</v>
          </cell>
          <cell r="BI266">
            <v>7724</v>
          </cell>
          <cell r="BJ266">
            <v>6358</v>
          </cell>
          <cell r="BK266">
            <v>6358</v>
          </cell>
          <cell r="BL266">
            <v>0</v>
          </cell>
          <cell r="BM266">
            <v>0</v>
          </cell>
          <cell r="BN266">
            <v>0</v>
          </cell>
          <cell r="BO266">
            <v>52048</v>
          </cell>
          <cell r="BP266">
            <v>1581.4</v>
          </cell>
          <cell r="BQ266">
            <v>2848.8372093023299</v>
          </cell>
          <cell r="BR266">
            <v>0</v>
          </cell>
          <cell r="BS266">
            <v>0</v>
          </cell>
          <cell r="BT266">
            <v>13768</v>
          </cell>
          <cell r="BU266"/>
          <cell r="BV266"/>
          <cell r="BW266"/>
          <cell r="BX266"/>
          <cell r="BY266">
            <v>0</v>
          </cell>
          <cell r="BZ266">
            <v>0</v>
          </cell>
          <cell r="CA266">
            <v>0</v>
          </cell>
          <cell r="CB266">
            <v>0</v>
          </cell>
          <cell r="CC266">
            <v>656655</v>
          </cell>
          <cell r="CD266">
            <v>2712345</v>
          </cell>
          <cell r="CE266">
            <v>85603</v>
          </cell>
          <cell r="CF266">
            <v>0</v>
          </cell>
          <cell r="CG266">
            <v>85603</v>
          </cell>
          <cell r="CH266">
            <v>85603</v>
          </cell>
          <cell r="CI266">
            <v>85603</v>
          </cell>
          <cell r="CJ266">
            <v>85603</v>
          </cell>
          <cell r="CK266">
            <v>0</v>
          </cell>
          <cell r="CL266">
            <v>0</v>
          </cell>
          <cell r="CM266">
            <v>0</v>
          </cell>
          <cell r="CN266">
            <v>0</v>
          </cell>
          <cell r="CO266">
            <v>0</v>
          </cell>
          <cell r="CP266">
            <v>-3100</v>
          </cell>
          <cell r="CQ266">
            <v>30550</v>
          </cell>
          <cell r="CR266">
            <v>33942</v>
          </cell>
          <cell r="CS266">
            <v>35079</v>
          </cell>
          <cell r="CT266">
            <v>38169</v>
          </cell>
          <cell r="CU266">
            <v>41245</v>
          </cell>
          <cell r="CV266">
            <v>1987</v>
          </cell>
          <cell r="CW266">
            <v>0</v>
          </cell>
          <cell r="CX266">
            <v>0</v>
          </cell>
          <cell r="CY266">
            <v>0</v>
          </cell>
          <cell r="CZ266">
            <v>0</v>
          </cell>
          <cell r="DA266">
            <v>0</v>
          </cell>
          <cell r="DB266"/>
          <cell r="DC266">
            <v>0</v>
          </cell>
          <cell r="DD266">
            <v>0</v>
          </cell>
          <cell r="DE266">
            <v>0</v>
          </cell>
          <cell r="DF266">
            <v>0</v>
          </cell>
          <cell r="DG266">
            <v>0</v>
          </cell>
          <cell r="DH266">
            <v>0</v>
          </cell>
          <cell r="DI266">
            <v>0</v>
          </cell>
          <cell r="DJ266">
            <v>0</v>
          </cell>
          <cell r="DK266">
            <v>0</v>
          </cell>
          <cell r="DL266">
            <v>0</v>
          </cell>
          <cell r="DM266"/>
          <cell r="DN266"/>
          <cell r="DO266"/>
          <cell r="DP266"/>
        </row>
        <row r="267">
          <cell r="A267">
            <v>1892</v>
          </cell>
          <cell r="B267" t="str">
            <v>Zuidplas</v>
          </cell>
          <cell r="C267">
            <v>8</v>
          </cell>
          <cell r="D267">
            <v>33538</v>
          </cell>
          <cell r="E267">
            <v>16769</v>
          </cell>
          <cell r="F267">
            <v>0</v>
          </cell>
          <cell r="G267">
            <v>0</v>
          </cell>
          <cell r="H267">
            <v>0</v>
          </cell>
          <cell r="I267">
            <v>-21664</v>
          </cell>
          <cell r="J267"/>
          <cell r="K267">
            <v>0</v>
          </cell>
          <cell r="L267">
            <v>129564</v>
          </cell>
          <cell r="M267">
            <v>127798</v>
          </cell>
          <cell r="N267">
            <v>0</v>
          </cell>
          <cell r="O267">
            <v>0</v>
          </cell>
          <cell r="P267">
            <v>0</v>
          </cell>
          <cell r="Q267">
            <v>0</v>
          </cell>
          <cell r="R267">
            <v>0</v>
          </cell>
          <cell r="S267">
            <v>0</v>
          </cell>
          <cell r="T267">
            <v>0</v>
          </cell>
          <cell r="U267">
            <v>0</v>
          </cell>
          <cell r="V267">
            <v>12000</v>
          </cell>
          <cell r="W267">
            <v>163447</v>
          </cell>
          <cell r="X267">
            <v>0</v>
          </cell>
          <cell r="Y267"/>
          <cell r="Z267">
            <v>0</v>
          </cell>
          <cell r="AA267">
            <v>0</v>
          </cell>
          <cell r="AB267">
            <v>0</v>
          </cell>
          <cell r="AC267"/>
          <cell r="AD267">
            <v>0</v>
          </cell>
          <cell r="AE267">
            <v>0</v>
          </cell>
          <cell r="AF267">
            <v>0</v>
          </cell>
          <cell r="AG267">
            <v>0</v>
          </cell>
          <cell r="AH267">
            <v>0</v>
          </cell>
          <cell r="AI267">
            <v>0</v>
          </cell>
          <cell r="AJ267">
            <v>0</v>
          </cell>
          <cell r="AK267">
            <v>0</v>
          </cell>
          <cell r="AL267"/>
          <cell r="AM267">
            <v>0</v>
          </cell>
          <cell r="AN267">
            <v>0</v>
          </cell>
          <cell r="AO267">
            <v>0</v>
          </cell>
          <cell r="AP267">
            <v>0</v>
          </cell>
          <cell r="AQ267">
            <v>0</v>
          </cell>
          <cell r="AR267">
            <v>0</v>
          </cell>
          <cell r="AS267">
            <v>0</v>
          </cell>
          <cell r="AT267">
            <v>0</v>
          </cell>
          <cell r="AU267">
            <v>0</v>
          </cell>
          <cell r="AV267">
            <v>0</v>
          </cell>
          <cell r="AW267">
            <v>0</v>
          </cell>
          <cell r="AX267">
            <v>0</v>
          </cell>
          <cell r="AY267"/>
          <cell r="AZ267"/>
          <cell r="BA267">
            <v>0</v>
          </cell>
          <cell r="BB267"/>
          <cell r="BC267">
            <v>0</v>
          </cell>
          <cell r="BD267">
            <v>14557</v>
          </cell>
          <cell r="BE267"/>
          <cell r="BF267">
            <v>0</v>
          </cell>
          <cell r="BG267">
            <v>0</v>
          </cell>
          <cell r="BH267">
            <v>0</v>
          </cell>
          <cell r="BI267">
            <v>39649</v>
          </cell>
          <cell r="BJ267">
            <v>32637</v>
          </cell>
          <cell r="BK267">
            <v>32637</v>
          </cell>
          <cell r="BL267">
            <v>0</v>
          </cell>
          <cell r="BM267">
            <v>0</v>
          </cell>
          <cell r="BN267">
            <v>0</v>
          </cell>
          <cell r="BO267">
            <v>138146</v>
          </cell>
          <cell r="BP267">
            <v>11069.8</v>
          </cell>
          <cell r="BQ267">
            <v>19941.8604651163</v>
          </cell>
          <cell r="BR267">
            <v>0</v>
          </cell>
          <cell r="BS267">
            <v>0</v>
          </cell>
          <cell r="BT267">
            <v>71898</v>
          </cell>
          <cell r="BU267"/>
          <cell r="BV267"/>
          <cell r="BW267"/>
          <cell r="BX267"/>
          <cell r="BY267">
            <v>0</v>
          </cell>
          <cell r="BZ267">
            <v>0</v>
          </cell>
          <cell r="CA267">
            <v>0</v>
          </cell>
          <cell r="CB267">
            <v>0</v>
          </cell>
          <cell r="CC267">
            <v>2336946</v>
          </cell>
          <cell r="CD267">
            <v>13821925</v>
          </cell>
          <cell r="CE267">
            <v>6124689</v>
          </cell>
          <cell r="CF267">
            <v>0</v>
          </cell>
          <cell r="CG267">
            <v>6124689</v>
          </cell>
          <cell r="CH267">
            <v>6124689</v>
          </cell>
          <cell r="CI267">
            <v>6124689</v>
          </cell>
          <cell r="CJ267">
            <v>6124689</v>
          </cell>
          <cell r="CK267">
            <v>0</v>
          </cell>
          <cell r="CL267">
            <v>0</v>
          </cell>
          <cell r="CM267">
            <v>0</v>
          </cell>
          <cell r="CN267">
            <v>0</v>
          </cell>
          <cell r="CO267">
            <v>0</v>
          </cell>
          <cell r="CP267">
            <v>-7849</v>
          </cell>
          <cell r="CQ267">
            <v>2084672</v>
          </cell>
          <cell r="CR267">
            <v>2030347</v>
          </cell>
          <cell r="CS267">
            <v>1980128</v>
          </cell>
          <cell r="CT267">
            <v>1900874</v>
          </cell>
          <cell r="CU267">
            <v>1829791</v>
          </cell>
          <cell r="CV267">
            <v>-86383</v>
          </cell>
          <cell r="CW267">
            <v>0</v>
          </cell>
          <cell r="CX267">
            <v>0</v>
          </cell>
          <cell r="CY267">
            <v>0</v>
          </cell>
          <cell r="CZ267">
            <v>0</v>
          </cell>
          <cell r="DA267">
            <v>0</v>
          </cell>
          <cell r="DB267"/>
          <cell r="DC267">
            <v>0</v>
          </cell>
          <cell r="DD267">
            <v>0</v>
          </cell>
          <cell r="DE267">
            <v>0</v>
          </cell>
          <cell r="DF267">
            <v>0</v>
          </cell>
          <cell r="DG267">
            <v>0</v>
          </cell>
          <cell r="DH267">
            <v>0</v>
          </cell>
          <cell r="DI267">
            <v>0</v>
          </cell>
          <cell r="DJ267">
            <v>0</v>
          </cell>
          <cell r="DK267">
            <v>0</v>
          </cell>
          <cell r="DL267">
            <v>0</v>
          </cell>
          <cell r="DM267"/>
          <cell r="DN267"/>
          <cell r="DO267"/>
          <cell r="DP267"/>
        </row>
        <row r="268">
          <cell r="A268">
            <v>642</v>
          </cell>
          <cell r="B268" t="str">
            <v>Zwijndrecht</v>
          </cell>
          <cell r="C268">
            <v>8</v>
          </cell>
          <cell r="D268">
            <v>50103</v>
          </cell>
          <cell r="E268">
            <v>25052</v>
          </cell>
          <cell r="F268">
            <v>0</v>
          </cell>
          <cell r="G268">
            <v>0</v>
          </cell>
          <cell r="H268">
            <v>0</v>
          </cell>
          <cell r="I268">
            <v>0</v>
          </cell>
          <cell r="J268"/>
          <cell r="K268">
            <v>0</v>
          </cell>
          <cell r="L268">
            <v>275760</v>
          </cell>
          <cell r="M268">
            <v>275974</v>
          </cell>
          <cell r="N268">
            <v>3900</v>
          </cell>
          <cell r="O268">
            <v>2000</v>
          </cell>
          <cell r="P268">
            <v>0</v>
          </cell>
          <cell r="Q268">
            <v>0</v>
          </cell>
          <cell r="R268">
            <v>0</v>
          </cell>
          <cell r="S268">
            <v>0</v>
          </cell>
          <cell r="T268">
            <v>0</v>
          </cell>
          <cell r="U268">
            <v>0</v>
          </cell>
          <cell r="V268">
            <v>3000</v>
          </cell>
          <cell r="W268">
            <v>166776</v>
          </cell>
          <cell r="X268">
            <v>0</v>
          </cell>
          <cell r="Y268"/>
          <cell r="Z268">
            <v>0</v>
          </cell>
          <cell r="AA268">
            <v>0</v>
          </cell>
          <cell r="AB268">
            <v>0</v>
          </cell>
          <cell r="AC268"/>
          <cell r="AD268">
            <v>45956</v>
          </cell>
          <cell r="AE268">
            <v>0</v>
          </cell>
          <cell r="AF268">
            <v>0</v>
          </cell>
          <cell r="AG268">
            <v>0</v>
          </cell>
          <cell r="AH268">
            <v>0</v>
          </cell>
          <cell r="AI268">
            <v>0</v>
          </cell>
          <cell r="AJ268">
            <v>0</v>
          </cell>
          <cell r="AK268">
            <v>0</v>
          </cell>
          <cell r="AL268"/>
          <cell r="AM268">
            <v>16168</v>
          </cell>
          <cell r="AN268">
            <v>16540</v>
          </cell>
          <cell r="AO268">
            <v>16920</v>
          </cell>
          <cell r="AP268">
            <v>17309</v>
          </cell>
          <cell r="AQ268">
            <v>17708</v>
          </cell>
          <cell r="AR268">
            <v>18115</v>
          </cell>
          <cell r="AS268">
            <v>0</v>
          </cell>
          <cell r="AT268">
            <v>0</v>
          </cell>
          <cell r="AU268">
            <v>14220</v>
          </cell>
          <cell r="AV268">
            <v>0</v>
          </cell>
          <cell r="AW268">
            <v>0</v>
          </cell>
          <cell r="AX268">
            <v>0</v>
          </cell>
          <cell r="AY268"/>
          <cell r="AZ268"/>
          <cell r="BA268">
            <v>0</v>
          </cell>
          <cell r="BB268"/>
          <cell r="BC268">
            <v>0</v>
          </cell>
          <cell r="BD268">
            <v>15592</v>
          </cell>
          <cell r="BE268"/>
          <cell r="BF268">
            <v>0</v>
          </cell>
          <cell r="BG268">
            <v>0</v>
          </cell>
          <cell r="BH268">
            <v>0</v>
          </cell>
          <cell r="BI268">
            <v>74697</v>
          </cell>
          <cell r="BJ268">
            <v>61487</v>
          </cell>
          <cell r="BK268">
            <v>61487</v>
          </cell>
          <cell r="BL268">
            <v>0</v>
          </cell>
          <cell r="BM268">
            <v>0</v>
          </cell>
          <cell r="BN268">
            <v>0</v>
          </cell>
          <cell r="BO268">
            <v>197490</v>
          </cell>
          <cell r="BP268">
            <v>33209.4</v>
          </cell>
          <cell r="BQ268">
            <v>59825.581395348803</v>
          </cell>
          <cell r="BR268">
            <v>0</v>
          </cell>
          <cell r="BS268">
            <v>0</v>
          </cell>
          <cell r="BT268">
            <v>69604</v>
          </cell>
          <cell r="BU268"/>
          <cell r="BV268"/>
          <cell r="BW268"/>
          <cell r="BX268"/>
          <cell r="BY268">
            <v>0</v>
          </cell>
          <cell r="BZ268">
            <v>0</v>
          </cell>
          <cell r="CA268">
            <v>0</v>
          </cell>
          <cell r="CB268">
            <v>0</v>
          </cell>
          <cell r="CC268">
            <v>4073609</v>
          </cell>
          <cell r="CD268">
            <v>21154937</v>
          </cell>
          <cell r="CE268">
            <v>1159079</v>
          </cell>
          <cell r="CF268">
            <v>0</v>
          </cell>
          <cell r="CG268">
            <v>1159079</v>
          </cell>
          <cell r="CH268">
            <v>1159079</v>
          </cell>
          <cell r="CI268">
            <v>1159079</v>
          </cell>
          <cell r="CJ268">
            <v>1159079</v>
          </cell>
          <cell r="CK268">
            <v>0</v>
          </cell>
          <cell r="CL268">
            <v>0</v>
          </cell>
          <cell r="CM268">
            <v>0</v>
          </cell>
          <cell r="CN268">
            <v>0</v>
          </cell>
          <cell r="CO268">
            <v>0</v>
          </cell>
          <cell r="CP268">
            <v>0</v>
          </cell>
          <cell r="CQ268">
            <v>3638147</v>
          </cell>
          <cell r="CR268">
            <v>3555518</v>
          </cell>
          <cell r="CS268">
            <v>3496163</v>
          </cell>
          <cell r="CT268">
            <v>3366900</v>
          </cell>
          <cell r="CU268">
            <v>3242054</v>
          </cell>
          <cell r="CV268">
            <v>43479</v>
          </cell>
          <cell r="CW268">
            <v>0</v>
          </cell>
          <cell r="CX268">
            <v>0</v>
          </cell>
          <cell r="CY268">
            <v>0</v>
          </cell>
          <cell r="CZ268">
            <v>0</v>
          </cell>
          <cell r="DA268">
            <v>0</v>
          </cell>
          <cell r="DB268"/>
          <cell r="DC268">
            <v>0</v>
          </cell>
          <cell r="DD268">
            <v>0</v>
          </cell>
          <cell r="DE268">
            <v>0</v>
          </cell>
          <cell r="DF268">
            <v>0</v>
          </cell>
          <cell r="DG268">
            <v>0</v>
          </cell>
          <cell r="DH268">
            <v>0</v>
          </cell>
          <cell r="DI268">
            <v>0</v>
          </cell>
          <cell r="DJ268">
            <v>0</v>
          </cell>
          <cell r="DK268">
            <v>0</v>
          </cell>
          <cell r="DL268">
            <v>0</v>
          </cell>
          <cell r="DM268"/>
          <cell r="DN268"/>
          <cell r="DO268"/>
          <cell r="DP268"/>
        </row>
        <row r="269">
          <cell r="A269">
            <v>654</v>
          </cell>
          <cell r="B269" t="str">
            <v>Borsele</v>
          </cell>
          <cell r="C269">
            <v>9</v>
          </cell>
          <cell r="D269">
            <v>47725</v>
          </cell>
          <cell r="E269">
            <v>23862</v>
          </cell>
          <cell r="F269">
            <v>0</v>
          </cell>
          <cell r="G269">
            <v>87944</v>
          </cell>
          <cell r="H269">
            <v>0</v>
          </cell>
          <cell r="I269">
            <v>-3690</v>
          </cell>
          <cell r="J269"/>
          <cell r="K269">
            <v>0</v>
          </cell>
          <cell r="L269">
            <v>75605</v>
          </cell>
          <cell r="M269">
            <v>67851</v>
          </cell>
          <cell r="N269">
            <v>0</v>
          </cell>
          <cell r="O269">
            <v>0</v>
          </cell>
          <cell r="P269">
            <v>0</v>
          </cell>
          <cell r="Q269">
            <v>0</v>
          </cell>
          <cell r="R269">
            <v>0</v>
          </cell>
          <cell r="S269">
            <v>0</v>
          </cell>
          <cell r="T269">
            <v>0</v>
          </cell>
          <cell r="U269">
            <v>0</v>
          </cell>
          <cell r="V269">
            <v>0</v>
          </cell>
          <cell r="W269">
            <v>99910</v>
          </cell>
          <cell r="X269">
            <v>0</v>
          </cell>
          <cell r="Y269"/>
          <cell r="Z269">
            <v>0</v>
          </cell>
          <cell r="AA269">
            <v>0</v>
          </cell>
          <cell r="AB269">
            <v>0</v>
          </cell>
          <cell r="AC269"/>
          <cell r="AD269">
            <v>0</v>
          </cell>
          <cell r="AE269">
            <v>0</v>
          </cell>
          <cell r="AF269">
            <v>0</v>
          </cell>
          <cell r="AG269">
            <v>0</v>
          </cell>
          <cell r="AH269">
            <v>0</v>
          </cell>
          <cell r="AI269">
            <v>0</v>
          </cell>
          <cell r="AJ269">
            <v>0</v>
          </cell>
          <cell r="AK269">
            <v>0</v>
          </cell>
          <cell r="AL269"/>
          <cell r="AM269">
            <v>114314</v>
          </cell>
          <cell r="AN269">
            <v>116943</v>
          </cell>
          <cell r="AO269">
            <v>119633</v>
          </cell>
          <cell r="AP269">
            <v>122385</v>
          </cell>
          <cell r="AQ269">
            <v>125199</v>
          </cell>
          <cell r="AR269">
            <v>128079</v>
          </cell>
          <cell r="AS269">
            <v>0</v>
          </cell>
          <cell r="AT269">
            <v>0</v>
          </cell>
          <cell r="AU269">
            <v>7110</v>
          </cell>
          <cell r="AV269">
            <v>0</v>
          </cell>
          <cell r="AW269">
            <v>0</v>
          </cell>
          <cell r="AX269">
            <v>0</v>
          </cell>
          <cell r="AY269"/>
          <cell r="AZ269"/>
          <cell r="BA269">
            <v>0</v>
          </cell>
          <cell r="BB269"/>
          <cell r="BC269">
            <v>0</v>
          </cell>
          <cell r="BD269">
            <v>7964</v>
          </cell>
          <cell r="BE269"/>
          <cell r="BF269">
            <v>0</v>
          </cell>
          <cell r="BG269">
            <v>0</v>
          </cell>
          <cell r="BH269">
            <v>0</v>
          </cell>
          <cell r="BI269">
            <v>27942</v>
          </cell>
          <cell r="BJ269">
            <v>23001</v>
          </cell>
          <cell r="BK269">
            <v>23001</v>
          </cell>
          <cell r="BL269">
            <v>0</v>
          </cell>
          <cell r="BM269">
            <v>0</v>
          </cell>
          <cell r="BN269">
            <v>0</v>
          </cell>
          <cell r="BO269">
            <v>331744</v>
          </cell>
          <cell r="BP269">
            <v>23721</v>
          </cell>
          <cell r="BQ269">
            <v>42732.5581395349</v>
          </cell>
          <cell r="BR269">
            <v>0</v>
          </cell>
          <cell r="BS269">
            <v>0</v>
          </cell>
          <cell r="BT269">
            <v>48501</v>
          </cell>
          <cell r="BU269"/>
          <cell r="BV269"/>
          <cell r="BW269"/>
          <cell r="BX269"/>
          <cell r="BY269">
            <v>0</v>
          </cell>
          <cell r="BZ269">
            <v>0</v>
          </cell>
          <cell r="CA269">
            <v>0</v>
          </cell>
          <cell r="CB269">
            <v>0</v>
          </cell>
          <cell r="CC269">
            <v>1585640</v>
          </cell>
          <cell r="CD269">
            <v>8524570</v>
          </cell>
          <cell r="CE269">
            <v>642712</v>
          </cell>
          <cell r="CF269">
            <v>0</v>
          </cell>
          <cell r="CG269">
            <v>642712</v>
          </cell>
          <cell r="CH269">
            <v>642712</v>
          </cell>
          <cell r="CI269">
            <v>642712</v>
          </cell>
          <cell r="CJ269">
            <v>642712</v>
          </cell>
          <cell r="CK269">
            <v>0</v>
          </cell>
          <cell r="CL269">
            <v>0</v>
          </cell>
          <cell r="CM269">
            <v>0</v>
          </cell>
          <cell r="CN269">
            <v>0</v>
          </cell>
          <cell r="CO269">
            <v>0</v>
          </cell>
          <cell r="CP269">
            <v>-1334</v>
          </cell>
          <cell r="CQ269">
            <v>1577381</v>
          </cell>
          <cell r="CR269">
            <v>1513795</v>
          </cell>
          <cell r="CS269">
            <v>1492961</v>
          </cell>
          <cell r="CT269">
            <v>1460043</v>
          </cell>
          <cell r="CU269">
            <v>1464592</v>
          </cell>
          <cell r="CV269">
            <v>-18891</v>
          </cell>
          <cell r="CW269">
            <v>0</v>
          </cell>
          <cell r="CX269">
            <v>0</v>
          </cell>
          <cell r="CY269">
            <v>0</v>
          </cell>
          <cell r="CZ269">
            <v>0</v>
          </cell>
          <cell r="DA269">
            <v>0</v>
          </cell>
          <cell r="DB269"/>
          <cell r="DC269">
            <v>0</v>
          </cell>
          <cell r="DD269">
            <v>0</v>
          </cell>
          <cell r="DE269">
            <v>0</v>
          </cell>
          <cell r="DF269">
            <v>0</v>
          </cell>
          <cell r="DG269">
            <v>0</v>
          </cell>
          <cell r="DH269">
            <v>0</v>
          </cell>
          <cell r="DI269">
            <v>0</v>
          </cell>
          <cell r="DJ269">
            <v>0</v>
          </cell>
          <cell r="DK269">
            <v>0</v>
          </cell>
          <cell r="DL269">
            <v>0</v>
          </cell>
          <cell r="DM269"/>
          <cell r="DN269"/>
          <cell r="DO269"/>
          <cell r="DP269"/>
        </row>
        <row r="270">
          <cell r="A270">
            <v>664</v>
          </cell>
          <cell r="B270" t="str">
            <v>Goes</v>
          </cell>
          <cell r="C270">
            <v>9</v>
          </cell>
          <cell r="D270">
            <v>133758</v>
          </cell>
          <cell r="E270">
            <v>66879</v>
          </cell>
          <cell r="F270">
            <v>0</v>
          </cell>
          <cell r="G270">
            <v>99630</v>
          </cell>
          <cell r="H270">
            <v>-9326</v>
          </cell>
          <cell r="I270">
            <v>-17105</v>
          </cell>
          <cell r="J270"/>
          <cell r="K270">
            <v>7500</v>
          </cell>
          <cell r="L270">
            <v>134637</v>
          </cell>
          <cell r="M270">
            <v>124417</v>
          </cell>
          <cell r="N270">
            <v>0</v>
          </cell>
          <cell r="O270">
            <v>0</v>
          </cell>
          <cell r="P270">
            <v>0</v>
          </cell>
          <cell r="Q270">
            <v>0</v>
          </cell>
          <cell r="R270">
            <v>0</v>
          </cell>
          <cell r="S270">
            <v>0</v>
          </cell>
          <cell r="T270">
            <v>0</v>
          </cell>
          <cell r="U270">
            <v>0</v>
          </cell>
          <cell r="V270">
            <v>4000</v>
          </cell>
          <cell r="W270">
            <v>138203</v>
          </cell>
          <cell r="X270">
            <v>0</v>
          </cell>
          <cell r="Y270"/>
          <cell r="Z270">
            <v>0</v>
          </cell>
          <cell r="AA270">
            <v>37000</v>
          </cell>
          <cell r="AB270">
            <v>0</v>
          </cell>
          <cell r="AC270"/>
          <cell r="AD270">
            <v>41067</v>
          </cell>
          <cell r="AE270">
            <v>0</v>
          </cell>
          <cell r="AF270">
            <v>0</v>
          </cell>
          <cell r="AG270">
            <v>0</v>
          </cell>
          <cell r="AH270">
            <v>0</v>
          </cell>
          <cell r="AI270">
            <v>0</v>
          </cell>
          <cell r="AJ270">
            <v>0</v>
          </cell>
          <cell r="AK270">
            <v>0</v>
          </cell>
          <cell r="AL270"/>
          <cell r="AM270">
            <v>73376</v>
          </cell>
          <cell r="AN270">
            <v>75063</v>
          </cell>
          <cell r="AO270">
            <v>76790</v>
          </cell>
          <cell r="AP270">
            <v>78556</v>
          </cell>
          <cell r="AQ270">
            <v>80363</v>
          </cell>
          <cell r="AR270">
            <v>82211</v>
          </cell>
          <cell r="AS270">
            <v>0</v>
          </cell>
          <cell r="AT270">
            <v>20000</v>
          </cell>
          <cell r="AU270">
            <v>0</v>
          </cell>
          <cell r="AV270">
            <v>0</v>
          </cell>
          <cell r="AW270">
            <v>64160</v>
          </cell>
          <cell r="AX270">
            <v>0</v>
          </cell>
          <cell r="AY270"/>
          <cell r="AZ270"/>
          <cell r="BA270">
            <v>0</v>
          </cell>
          <cell r="BB270"/>
          <cell r="BC270">
            <v>0</v>
          </cell>
          <cell r="BD270">
            <v>13084</v>
          </cell>
          <cell r="BE270"/>
          <cell r="BF270">
            <v>0</v>
          </cell>
          <cell r="BG270">
            <v>0</v>
          </cell>
          <cell r="BH270">
            <v>0</v>
          </cell>
          <cell r="BI270">
            <v>66299</v>
          </cell>
          <cell r="BJ270">
            <v>54574</v>
          </cell>
          <cell r="BK270">
            <v>54574</v>
          </cell>
          <cell r="BL270">
            <v>0</v>
          </cell>
          <cell r="BM270">
            <v>0</v>
          </cell>
          <cell r="BN270">
            <v>0</v>
          </cell>
          <cell r="BO270">
            <v>186302</v>
          </cell>
          <cell r="BP270">
            <v>1581.4</v>
          </cell>
          <cell r="BQ270">
            <v>2848.8372093023299</v>
          </cell>
          <cell r="BR270">
            <v>0</v>
          </cell>
          <cell r="BS270">
            <v>0</v>
          </cell>
          <cell r="BT270">
            <v>57614</v>
          </cell>
          <cell r="BU270"/>
          <cell r="BV270"/>
          <cell r="BW270"/>
          <cell r="BX270"/>
          <cell r="BY270">
            <v>0</v>
          </cell>
          <cell r="BZ270">
            <v>0</v>
          </cell>
          <cell r="CA270">
            <v>0</v>
          </cell>
          <cell r="CB270">
            <v>0</v>
          </cell>
          <cell r="CC270">
            <v>3742971</v>
          </cell>
          <cell r="CD270">
            <v>20556260</v>
          </cell>
          <cell r="CE270">
            <v>1131819</v>
          </cell>
          <cell r="CF270">
            <v>-19223</v>
          </cell>
          <cell r="CG270">
            <v>1131819</v>
          </cell>
          <cell r="CH270">
            <v>1131819</v>
          </cell>
          <cell r="CI270">
            <v>1131819</v>
          </cell>
          <cell r="CJ270">
            <v>1131819</v>
          </cell>
          <cell r="CK270">
            <v>0</v>
          </cell>
          <cell r="CL270">
            <v>0</v>
          </cell>
          <cell r="CM270">
            <v>0</v>
          </cell>
          <cell r="CN270">
            <v>0</v>
          </cell>
          <cell r="CO270">
            <v>0</v>
          </cell>
          <cell r="CP270">
            <v>-3274</v>
          </cell>
          <cell r="CQ270">
            <v>5867655</v>
          </cell>
          <cell r="CR270">
            <v>5521921</v>
          </cell>
          <cell r="CS270">
            <v>5439463</v>
          </cell>
          <cell r="CT270">
            <v>5365409</v>
          </cell>
          <cell r="CU270">
            <v>5254654</v>
          </cell>
          <cell r="CV270">
            <v>129332</v>
          </cell>
          <cell r="CW270">
            <v>0</v>
          </cell>
          <cell r="CX270">
            <v>0</v>
          </cell>
          <cell r="CY270">
            <v>0</v>
          </cell>
          <cell r="CZ270">
            <v>0</v>
          </cell>
          <cell r="DA270">
            <v>0</v>
          </cell>
          <cell r="DB270"/>
          <cell r="DC270">
            <v>0</v>
          </cell>
          <cell r="DD270">
            <v>0</v>
          </cell>
          <cell r="DE270">
            <v>0</v>
          </cell>
          <cell r="DF270">
            <v>0</v>
          </cell>
          <cell r="DG270">
            <v>0</v>
          </cell>
          <cell r="DH270">
            <v>0</v>
          </cell>
          <cell r="DI270">
            <v>0</v>
          </cell>
          <cell r="DJ270">
            <v>0</v>
          </cell>
          <cell r="DK270">
            <v>0</v>
          </cell>
          <cell r="DL270">
            <v>0</v>
          </cell>
          <cell r="DM270"/>
          <cell r="DN270"/>
          <cell r="DO270"/>
          <cell r="DP270"/>
        </row>
        <row r="271">
          <cell r="A271">
            <v>677</v>
          </cell>
          <cell r="B271" t="str">
            <v>Hulst</v>
          </cell>
          <cell r="C271">
            <v>9</v>
          </cell>
          <cell r="D271">
            <v>2786</v>
          </cell>
          <cell r="E271">
            <v>1393</v>
          </cell>
          <cell r="F271">
            <v>0</v>
          </cell>
          <cell r="G271">
            <v>0</v>
          </cell>
          <cell r="H271">
            <v>-8077</v>
          </cell>
          <cell r="I271">
            <v>0</v>
          </cell>
          <cell r="J271"/>
          <cell r="K271">
            <v>0</v>
          </cell>
          <cell r="L271">
            <v>74431</v>
          </cell>
          <cell r="M271">
            <v>71779</v>
          </cell>
          <cell r="N271">
            <v>0</v>
          </cell>
          <cell r="O271">
            <v>0</v>
          </cell>
          <cell r="P271">
            <v>0</v>
          </cell>
          <cell r="Q271">
            <v>0</v>
          </cell>
          <cell r="R271">
            <v>0</v>
          </cell>
          <cell r="S271">
            <v>0</v>
          </cell>
          <cell r="T271">
            <v>0</v>
          </cell>
          <cell r="U271">
            <v>0</v>
          </cell>
          <cell r="V271">
            <v>15000</v>
          </cell>
          <cell r="W271">
            <v>91926</v>
          </cell>
          <cell r="X271">
            <v>0</v>
          </cell>
          <cell r="Y271"/>
          <cell r="Z271">
            <v>0</v>
          </cell>
          <cell r="AA271">
            <v>0</v>
          </cell>
          <cell r="AB271">
            <v>0</v>
          </cell>
          <cell r="AC271"/>
          <cell r="AD271">
            <v>62579</v>
          </cell>
          <cell r="AE271">
            <v>0</v>
          </cell>
          <cell r="AF271">
            <v>0</v>
          </cell>
          <cell r="AG271">
            <v>0</v>
          </cell>
          <cell r="AH271">
            <v>0</v>
          </cell>
          <cell r="AI271">
            <v>0</v>
          </cell>
          <cell r="AJ271">
            <v>0</v>
          </cell>
          <cell r="AK271">
            <v>0</v>
          </cell>
          <cell r="AL271"/>
          <cell r="AM271">
            <v>156183</v>
          </cell>
          <cell r="AN271">
            <v>159775</v>
          </cell>
          <cell r="AO271">
            <v>163450</v>
          </cell>
          <cell r="AP271">
            <v>167209</v>
          </cell>
          <cell r="AQ271">
            <v>171055</v>
          </cell>
          <cell r="AR271">
            <v>174989</v>
          </cell>
          <cell r="AS271">
            <v>0</v>
          </cell>
          <cell r="AT271">
            <v>0</v>
          </cell>
          <cell r="AU271">
            <v>7110</v>
          </cell>
          <cell r="AV271">
            <v>0</v>
          </cell>
          <cell r="AW271">
            <v>0</v>
          </cell>
          <cell r="AX271">
            <v>0</v>
          </cell>
          <cell r="AY271"/>
          <cell r="AZ271"/>
          <cell r="BA271">
            <v>0</v>
          </cell>
          <cell r="BB271"/>
          <cell r="BC271">
            <v>0</v>
          </cell>
          <cell r="BD271">
            <v>9617</v>
          </cell>
          <cell r="BE271"/>
          <cell r="BF271">
            <v>0</v>
          </cell>
          <cell r="BG271">
            <v>0</v>
          </cell>
          <cell r="BH271">
            <v>0</v>
          </cell>
          <cell r="BI271">
            <v>42131</v>
          </cell>
          <cell r="BJ271">
            <v>34680</v>
          </cell>
          <cell r="BK271">
            <v>34680</v>
          </cell>
          <cell r="BL271">
            <v>0</v>
          </cell>
          <cell r="BM271">
            <v>0</v>
          </cell>
          <cell r="BN271">
            <v>0</v>
          </cell>
          <cell r="BO271">
            <v>156630</v>
          </cell>
          <cell r="BP271">
            <v>25302.400000000001</v>
          </cell>
          <cell r="BQ271">
            <v>45581.395348837199</v>
          </cell>
          <cell r="BR271">
            <v>0</v>
          </cell>
          <cell r="BS271">
            <v>0</v>
          </cell>
          <cell r="BT271">
            <v>47288</v>
          </cell>
          <cell r="BU271"/>
          <cell r="BV271"/>
          <cell r="BW271"/>
          <cell r="BX271"/>
          <cell r="BY271">
            <v>0</v>
          </cell>
          <cell r="BZ271">
            <v>0</v>
          </cell>
          <cell r="CA271">
            <v>0</v>
          </cell>
          <cell r="CB271">
            <v>0</v>
          </cell>
          <cell r="CC271">
            <v>2451406</v>
          </cell>
          <cell r="CD271">
            <v>12974278</v>
          </cell>
          <cell r="CE271">
            <v>825802</v>
          </cell>
          <cell r="CF271">
            <v>0</v>
          </cell>
          <cell r="CG271">
            <v>825802</v>
          </cell>
          <cell r="CH271">
            <v>825802</v>
          </cell>
          <cell r="CI271">
            <v>825802</v>
          </cell>
          <cell r="CJ271">
            <v>825802</v>
          </cell>
          <cell r="CK271">
            <v>0</v>
          </cell>
          <cell r="CL271">
            <v>0</v>
          </cell>
          <cell r="CM271">
            <v>0</v>
          </cell>
          <cell r="CN271">
            <v>0</v>
          </cell>
          <cell r="CO271">
            <v>0</v>
          </cell>
          <cell r="CP271">
            <v>0</v>
          </cell>
          <cell r="CQ271">
            <v>3911901</v>
          </cell>
          <cell r="CR271">
            <v>3714255</v>
          </cell>
          <cell r="CS271">
            <v>3624775</v>
          </cell>
          <cell r="CT271">
            <v>3545388</v>
          </cell>
          <cell r="CU271">
            <v>3407574</v>
          </cell>
          <cell r="CV271">
            <v>8038</v>
          </cell>
          <cell r="CW271">
            <v>0</v>
          </cell>
          <cell r="CX271">
            <v>0</v>
          </cell>
          <cell r="CY271">
            <v>0</v>
          </cell>
          <cell r="CZ271">
            <v>0</v>
          </cell>
          <cell r="DA271">
            <v>0</v>
          </cell>
          <cell r="DB271"/>
          <cell r="DC271">
            <v>0</v>
          </cell>
          <cell r="DD271">
            <v>0</v>
          </cell>
          <cell r="DE271">
            <v>0</v>
          </cell>
          <cell r="DF271">
            <v>0</v>
          </cell>
          <cell r="DG271">
            <v>0</v>
          </cell>
          <cell r="DH271">
            <v>0</v>
          </cell>
          <cell r="DI271">
            <v>0</v>
          </cell>
          <cell r="DJ271">
            <v>0</v>
          </cell>
          <cell r="DK271">
            <v>0</v>
          </cell>
          <cell r="DL271">
            <v>0</v>
          </cell>
          <cell r="DM271"/>
          <cell r="DN271"/>
          <cell r="DO271"/>
          <cell r="DP271"/>
        </row>
        <row r="272">
          <cell r="A272">
            <v>678</v>
          </cell>
          <cell r="B272" t="str">
            <v>Kapelle</v>
          </cell>
          <cell r="C272">
            <v>9</v>
          </cell>
          <cell r="D272">
            <v>4873</v>
          </cell>
          <cell r="E272">
            <v>2436</v>
          </cell>
          <cell r="F272">
            <v>0</v>
          </cell>
          <cell r="G272">
            <v>0</v>
          </cell>
          <cell r="H272">
            <v>-18661</v>
          </cell>
          <cell r="I272">
            <v>-12895</v>
          </cell>
          <cell r="J272"/>
          <cell r="K272">
            <v>0</v>
          </cell>
          <cell r="L272">
            <v>37882</v>
          </cell>
          <cell r="M272">
            <v>33140</v>
          </cell>
          <cell r="N272">
            <v>0</v>
          </cell>
          <cell r="O272">
            <v>0</v>
          </cell>
          <cell r="P272">
            <v>0</v>
          </cell>
          <cell r="Q272">
            <v>0</v>
          </cell>
          <cell r="R272">
            <v>0</v>
          </cell>
          <cell r="S272">
            <v>0</v>
          </cell>
          <cell r="T272">
            <v>0</v>
          </cell>
          <cell r="U272">
            <v>0</v>
          </cell>
          <cell r="V272">
            <v>0</v>
          </cell>
          <cell r="W272">
            <v>54620</v>
          </cell>
          <cell r="X272">
            <v>0</v>
          </cell>
          <cell r="Y272"/>
          <cell r="Z272">
            <v>0</v>
          </cell>
          <cell r="AA272">
            <v>0</v>
          </cell>
          <cell r="AB272">
            <v>0</v>
          </cell>
          <cell r="AC272"/>
          <cell r="AD272">
            <v>0</v>
          </cell>
          <cell r="AE272">
            <v>0</v>
          </cell>
          <cell r="AF272">
            <v>0</v>
          </cell>
          <cell r="AG272">
            <v>0</v>
          </cell>
          <cell r="AH272">
            <v>0</v>
          </cell>
          <cell r="AI272">
            <v>0</v>
          </cell>
          <cell r="AJ272">
            <v>0</v>
          </cell>
          <cell r="AK272">
            <v>0</v>
          </cell>
          <cell r="AL272"/>
          <cell r="AM272">
            <v>29056</v>
          </cell>
          <cell r="AN272">
            <v>29724</v>
          </cell>
          <cell r="AO272">
            <v>30408</v>
          </cell>
          <cell r="AP272">
            <v>31107</v>
          </cell>
          <cell r="AQ272">
            <v>31823</v>
          </cell>
          <cell r="AR272">
            <v>32555</v>
          </cell>
          <cell r="AS272">
            <v>0</v>
          </cell>
          <cell r="AT272">
            <v>0</v>
          </cell>
          <cell r="AU272">
            <v>0</v>
          </cell>
          <cell r="AV272">
            <v>0</v>
          </cell>
          <cell r="AW272">
            <v>0</v>
          </cell>
          <cell r="AX272">
            <v>0</v>
          </cell>
          <cell r="AY272"/>
          <cell r="AZ272"/>
          <cell r="BA272">
            <v>0</v>
          </cell>
          <cell r="BB272"/>
          <cell r="BC272">
            <v>0</v>
          </cell>
          <cell r="BD272">
            <v>4431</v>
          </cell>
          <cell r="BE272"/>
          <cell r="BF272">
            <v>0</v>
          </cell>
          <cell r="BG272">
            <v>0</v>
          </cell>
          <cell r="BH272">
            <v>0</v>
          </cell>
          <cell r="BI272">
            <v>11315</v>
          </cell>
          <cell r="BJ272">
            <v>9314</v>
          </cell>
          <cell r="BK272">
            <v>9314</v>
          </cell>
          <cell r="BL272">
            <v>0</v>
          </cell>
          <cell r="BM272">
            <v>0</v>
          </cell>
          <cell r="BN272">
            <v>0</v>
          </cell>
          <cell r="BO272">
            <v>81720</v>
          </cell>
          <cell r="BP272">
            <v>0</v>
          </cell>
          <cell r="BQ272">
            <v>0</v>
          </cell>
          <cell r="BR272">
            <v>0</v>
          </cell>
          <cell r="BS272">
            <v>0</v>
          </cell>
          <cell r="BT272">
            <v>20251</v>
          </cell>
          <cell r="BU272"/>
          <cell r="BV272"/>
          <cell r="BW272"/>
          <cell r="BX272"/>
          <cell r="BY272">
            <v>0</v>
          </cell>
          <cell r="BZ272">
            <v>0</v>
          </cell>
          <cell r="CA272">
            <v>0</v>
          </cell>
          <cell r="CB272">
            <v>0</v>
          </cell>
          <cell r="CC272">
            <v>841544</v>
          </cell>
          <cell r="CD272">
            <v>4207489</v>
          </cell>
          <cell r="CE272">
            <v>275977</v>
          </cell>
          <cell r="CF272">
            <v>-31067</v>
          </cell>
          <cell r="CG272">
            <v>275977</v>
          </cell>
          <cell r="CH272">
            <v>275977</v>
          </cell>
          <cell r="CI272">
            <v>275977</v>
          </cell>
          <cell r="CJ272">
            <v>275977</v>
          </cell>
          <cell r="CK272">
            <v>0</v>
          </cell>
          <cell r="CL272">
            <v>0</v>
          </cell>
          <cell r="CM272">
            <v>0</v>
          </cell>
          <cell r="CN272">
            <v>0</v>
          </cell>
          <cell r="CO272">
            <v>0</v>
          </cell>
          <cell r="CP272">
            <v>0</v>
          </cell>
          <cell r="CQ272">
            <v>606429</v>
          </cell>
          <cell r="CR272">
            <v>592752</v>
          </cell>
          <cell r="CS272">
            <v>536003</v>
          </cell>
          <cell r="CT272">
            <v>540396</v>
          </cell>
          <cell r="CU272">
            <v>542375</v>
          </cell>
          <cell r="CV272">
            <v>-18952</v>
          </cell>
          <cell r="CW272">
            <v>0</v>
          </cell>
          <cell r="CX272">
            <v>0</v>
          </cell>
          <cell r="CY272">
            <v>0</v>
          </cell>
          <cell r="CZ272">
            <v>0</v>
          </cell>
          <cell r="DA272">
            <v>0</v>
          </cell>
          <cell r="DB272"/>
          <cell r="DC272">
            <v>0</v>
          </cell>
          <cell r="DD272">
            <v>0</v>
          </cell>
          <cell r="DE272">
            <v>0</v>
          </cell>
          <cell r="DF272">
            <v>0</v>
          </cell>
          <cell r="DG272">
            <v>0</v>
          </cell>
          <cell r="DH272">
            <v>0</v>
          </cell>
          <cell r="DI272">
            <v>0</v>
          </cell>
          <cell r="DJ272">
            <v>0</v>
          </cell>
          <cell r="DK272">
            <v>0</v>
          </cell>
          <cell r="DL272">
            <v>0</v>
          </cell>
          <cell r="DM272"/>
          <cell r="DN272"/>
          <cell r="DO272"/>
          <cell r="DP272"/>
        </row>
        <row r="273">
          <cell r="A273">
            <v>687</v>
          </cell>
          <cell r="B273" t="str">
            <v>Middelburg</v>
          </cell>
          <cell r="C273">
            <v>9</v>
          </cell>
          <cell r="D273">
            <v>37013</v>
          </cell>
          <cell r="E273">
            <v>18506</v>
          </cell>
          <cell r="F273">
            <v>0</v>
          </cell>
          <cell r="G273">
            <v>0</v>
          </cell>
          <cell r="H273">
            <v>-2586</v>
          </cell>
          <cell r="I273">
            <v>-5691</v>
          </cell>
          <cell r="J273"/>
          <cell r="K273">
            <v>0</v>
          </cell>
          <cell r="L273">
            <v>249796</v>
          </cell>
          <cell r="M273">
            <v>247977</v>
          </cell>
          <cell r="N273">
            <v>0</v>
          </cell>
          <cell r="O273">
            <v>0</v>
          </cell>
          <cell r="P273">
            <v>150000</v>
          </cell>
          <cell r="Q273">
            <v>0</v>
          </cell>
          <cell r="R273">
            <v>0</v>
          </cell>
          <cell r="S273">
            <v>0</v>
          </cell>
          <cell r="T273">
            <v>0</v>
          </cell>
          <cell r="U273">
            <v>0</v>
          </cell>
          <cell r="V273">
            <v>27000</v>
          </cell>
          <cell r="W273">
            <v>186214</v>
          </cell>
          <cell r="X273">
            <v>0</v>
          </cell>
          <cell r="Y273"/>
          <cell r="Z273">
            <v>0</v>
          </cell>
          <cell r="AA273">
            <v>0</v>
          </cell>
          <cell r="AB273">
            <v>0</v>
          </cell>
          <cell r="AC273"/>
          <cell r="AD273">
            <v>0</v>
          </cell>
          <cell r="AE273">
            <v>0</v>
          </cell>
          <cell r="AF273">
            <v>0</v>
          </cell>
          <cell r="AG273">
            <v>0</v>
          </cell>
          <cell r="AH273">
            <v>0</v>
          </cell>
          <cell r="AI273">
            <v>0</v>
          </cell>
          <cell r="AJ273">
            <v>0</v>
          </cell>
          <cell r="AK273">
            <v>0</v>
          </cell>
          <cell r="AL273"/>
          <cell r="AM273">
            <v>40548</v>
          </cell>
          <cell r="AN273">
            <v>41480</v>
          </cell>
          <cell r="AO273">
            <v>42434</v>
          </cell>
          <cell r="AP273">
            <v>43410</v>
          </cell>
          <cell r="AQ273">
            <v>44409</v>
          </cell>
          <cell r="AR273">
            <v>45430</v>
          </cell>
          <cell r="AS273">
            <v>0</v>
          </cell>
          <cell r="AT273">
            <v>20000</v>
          </cell>
          <cell r="AU273">
            <v>9480</v>
          </cell>
          <cell r="AV273">
            <v>0</v>
          </cell>
          <cell r="AW273">
            <v>0</v>
          </cell>
          <cell r="AX273">
            <v>0</v>
          </cell>
          <cell r="AY273"/>
          <cell r="AZ273"/>
          <cell r="BA273">
            <v>0</v>
          </cell>
          <cell r="BB273"/>
          <cell r="BC273">
            <v>0</v>
          </cell>
          <cell r="BD273">
            <v>16856</v>
          </cell>
          <cell r="BE273"/>
          <cell r="BF273">
            <v>0</v>
          </cell>
          <cell r="BG273">
            <v>0</v>
          </cell>
          <cell r="BH273">
            <v>0</v>
          </cell>
          <cell r="BI273">
            <v>83748</v>
          </cell>
          <cell r="BJ273">
            <v>68937</v>
          </cell>
          <cell r="BK273">
            <v>68937</v>
          </cell>
          <cell r="BL273">
            <v>0</v>
          </cell>
          <cell r="BM273">
            <v>0</v>
          </cell>
          <cell r="BN273">
            <v>161700</v>
          </cell>
          <cell r="BO273">
            <v>176087</v>
          </cell>
          <cell r="BP273">
            <v>22139.599999999999</v>
          </cell>
          <cell r="BQ273">
            <v>39883.720930232601</v>
          </cell>
          <cell r="BR273">
            <v>0</v>
          </cell>
          <cell r="BS273">
            <v>0</v>
          </cell>
          <cell r="BT273">
            <v>82110</v>
          </cell>
          <cell r="BU273"/>
          <cell r="BV273"/>
          <cell r="BW273"/>
          <cell r="BX273"/>
          <cell r="BY273">
            <v>0</v>
          </cell>
          <cell r="BZ273">
            <v>0</v>
          </cell>
          <cell r="CA273">
            <v>0</v>
          </cell>
          <cell r="CB273">
            <v>0</v>
          </cell>
          <cell r="CC273">
            <v>4165595</v>
          </cell>
          <cell r="CD273">
            <v>26376234</v>
          </cell>
          <cell r="CE273">
            <v>2095456</v>
          </cell>
          <cell r="CF273">
            <v>-13768</v>
          </cell>
          <cell r="CG273">
            <v>2095456</v>
          </cell>
          <cell r="CH273">
            <v>2095456</v>
          </cell>
          <cell r="CI273">
            <v>2095456</v>
          </cell>
          <cell r="CJ273">
            <v>2095456</v>
          </cell>
          <cell r="CK273">
            <v>0</v>
          </cell>
          <cell r="CL273">
            <v>0</v>
          </cell>
          <cell r="CM273">
            <v>0</v>
          </cell>
          <cell r="CN273">
            <v>0</v>
          </cell>
          <cell r="CO273">
            <v>0</v>
          </cell>
          <cell r="CP273">
            <v>0</v>
          </cell>
          <cell r="CQ273">
            <v>5860931</v>
          </cell>
          <cell r="CR273">
            <v>5594898</v>
          </cell>
          <cell r="CS273">
            <v>5455625</v>
          </cell>
          <cell r="CT273">
            <v>5266178</v>
          </cell>
          <cell r="CU273">
            <v>5066382</v>
          </cell>
          <cell r="CV273">
            <v>113143</v>
          </cell>
          <cell r="CW273">
            <v>0</v>
          </cell>
          <cell r="CX273">
            <v>0</v>
          </cell>
          <cell r="CY273">
            <v>0</v>
          </cell>
          <cell r="CZ273">
            <v>0</v>
          </cell>
          <cell r="DA273">
            <v>0</v>
          </cell>
          <cell r="DB273"/>
          <cell r="DC273">
            <v>0</v>
          </cell>
          <cell r="DD273">
            <v>0</v>
          </cell>
          <cell r="DE273">
            <v>0</v>
          </cell>
          <cell r="DF273">
            <v>0</v>
          </cell>
          <cell r="DG273">
            <v>0</v>
          </cell>
          <cell r="DH273">
            <v>0</v>
          </cell>
          <cell r="DI273">
            <v>0</v>
          </cell>
          <cell r="DJ273">
            <v>0</v>
          </cell>
          <cell r="DK273">
            <v>0</v>
          </cell>
          <cell r="DL273">
            <v>0</v>
          </cell>
          <cell r="DM273"/>
          <cell r="DN273"/>
          <cell r="DO273"/>
          <cell r="DP273"/>
        </row>
        <row r="274">
          <cell r="A274">
            <v>1695</v>
          </cell>
          <cell r="B274" t="str">
            <v>Noord-Beveland</v>
          </cell>
          <cell r="C274">
            <v>9</v>
          </cell>
          <cell r="D274">
            <v>25539</v>
          </cell>
          <cell r="E274">
            <v>12769</v>
          </cell>
          <cell r="F274">
            <v>0</v>
          </cell>
          <cell r="G274">
            <v>0</v>
          </cell>
          <cell r="H274">
            <v>0</v>
          </cell>
          <cell r="I274">
            <v>0</v>
          </cell>
          <cell r="J274"/>
          <cell r="K274">
            <v>0</v>
          </cell>
          <cell r="L274">
            <v>24114</v>
          </cell>
          <cell r="M274">
            <v>26855</v>
          </cell>
          <cell r="N274">
            <v>0</v>
          </cell>
          <cell r="O274">
            <v>0</v>
          </cell>
          <cell r="P274">
            <v>0</v>
          </cell>
          <cell r="Q274">
            <v>0</v>
          </cell>
          <cell r="R274">
            <v>0</v>
          </cell>
          <cell r="S274">
            <v>0</v>
          </cell>
          <cell r="T274">
            <v>0</v>
          </cell>
          <cell r="U274">
            <v>0</v>
          </cell>
          <cell r="V274">
            <v>0</v>
          </cell>
          <cell r="W274">
            <v>22022</v>
          </cell>
          <cell r="X274">
            <v>0</v>
          </cell>
          <cell r="Y274"/>
          <cell r="Z274">
            <v>0</v>
          </cell>
          <cell r="AA274">
            <v>0</v>
          </cell>
          <cell r="AB274">
            <v>0</v>
          </cell>
          <cell r="AC274"/>
          <cell r="AD274">
            <v>0</v>
          </cell>
          <cell r="AE274">
            <v>0</v>
          </cell>
          <cell r="AF274">
            <v>0</v>
          </cell>
          <cell r="AG274">
            <v>0</v>
          </cell>
          <cell r="AH274">
            <v>0</v>
          </cell>
          <cell r="AI274">
            <v>0</v>
          </cell>
          <cell r="AJ274">
            <v>0</v>
          </cell>
          <cell r="AK274">
            <v>0</v>
          </cell>
          <cell r="AL274"/>
          <cell r="AM274">
            <v>73188</v>
          </cell>
          <cell r="AN274">
            <v>74871</v>
          </cell>
          <cell r="AO274">
            <v>76593</v>
          </cell>
          <cell r="AP274">
            <v>78355</v>
          </cell>
          <cell r="AQ274">
            <v>80157</v>
          </cell>
          <cell r="AR274">
            <v>82000</v>
          </cell>
          <cell r="AS274">
            <v>0</v>
          </cell>
          <cell r="AT274">
            <v>0</v>
          </cell>
          <cell r="AU274">
            <v>0</v>
          </cell>
          <cell r="AV274">
            <v>0</v>
          </cell>
          <cell r="AW274">
            <v>0</v>
          </cell>
          <cell r="AX274">
            <v>0</v>
          </cell>
          <cell r="AY274"/>
          <cell r="AZ274"/>
          <cell r="BA274">
            <v>0</v>
          </cell>
          <cell r="BB274"/>
          <cell r="BC274">
            <v>0</v>
          </cell>
          <cell r="BD274">
            <v>2591</v>
          </cell>
          <cell r="BE274"/>
          <cell r="BF274">
            <v>0</v>
          </cell>
          <cell r="BG274">
            <v>0</v>
          </cell>
          <cell r="BH274">
            <v>0</v>
          </cell>
          <cell r="BI274">
            <v>8594</v>
          </cell>
          <cell r="BJ274">
            <v>7074</v>
          </cell>
          <cell r="BK274">
            <v>7074</v>
          </cell>
          <cell r="BL274">
            <v>0</v>
          </cell>
          <cell r="BM274">
            <v>0</v>
          </cell>
          <cell r="BN274">
            <v>0</v>
          </cell>
          <cell r="BO274">
            <v>59831</v>
          </cell>
          <cell r="BP274">
            <v>7907</v>
          </cell>
          <cell r="BQ274">
            <v>14244.186046511601</v>
          </cell>
          <cell r="BR274">
            <v>0</v>
          </cell>
          <cell r="BS274">
            <v>0</v>
          </cell>
          <cell r="BT274">
            <v>20895</v>
          </cell>
          <cell r="BU274"/>
          <cell r="BV274"/>
          <cell r="BW274"/>
          <cell r="BX274"/>
          <cell r="BY274">
            <v>0</v>
          </cell>
          <cell r="BZ274">
            <v>0</v>
          </cell>
          <cell r="CA274">
            <v>0</v>
          </cell>
          <cell r="CB274">
            <v>0</v>
          </cell>
          <cell r="CC274">
            <v>611183</v>
          </cell>
          <cell r="CD274">
            <v>3166014</v>
          </cell>
          <cell r="CE274">
            <v>218159</v>
          </cell>
          <cell r="CF274">
            <v>45180</v>
          </cell>
          <cell r="CG274">
            <v>218159</v>
          </cell>
          <cell r="CH274">
            <v>218159</v>
          </cell>
          <cell r="CI274">
            <v>218159</v>
          </cell>
          <cell r="CJ274">
            <v>218159</v>
          </cell>
          <cell r="CK274">
            <v>0</v>
          </cell>
          <cell r="CL274">
            <v>0</v>
          </cell>
          <cell r="CM274">
            <v>0</v>
          </cell>
          <cell r="CN274">
            <v>0</v>
          </cell>
          <cell r="CO274">
            <v>0</v>
          </cell>
          <cell r="CP274">
            <v>-1668</v>
          </cell>
          <cell r="CQ274">
            <v>580812</v>
          </cell>
          <cell r="CR274">
            <v>569704</v>
          </cell>
          <cell r="CS274">
            <v>565442</v>
          </cell>
          <cell r="CT274">
            <v>545789</v>
          </cell>
          <cell r="CU274">
            <v>545616</v>
          </cell>
          <cell r="CV274">
            <v>-21748</v>
          </cell>
          <cell r="CW274">
            <v>0</v>
          </cell>
          <cell r="CX274">
            <v>0</v>
          </cell>
          <cell r="CY274">
            <v>0</v>
          </cell>
          <cell r="CZ274">
            <v>0</v>
          </cell>
          <cell r="DA274">
            <v>0</v>
          </cell>
          <cell r="DB274"/>
          <cell r="DC274">
            <v>0</v>
          </cell>
          <cell r="DD274">
            <v>0</v>
          </cell>
          <cell r="DE274">
            <v>0</v>
          </cell>
          <cell r="DF274">
            <v>0</v>
          </cell>
          <cell r="DG274">
            <v>0</v>
          </cell>
          <cell r="DH274">
            <v>0</v>
          </cell>
          <cell r="DI274">
            <v>0</v>
          </cell>
          <cell r="DJ274">
            <v>0</v>
          </cell>
          <cell r="DK274">
            <v>0</v>
          </cell>
          <cell r="DL274">
            <v>0</v>
          </cell>
          <cell r="DM274"/>
          <cell r="DN274"/>
          <cell r="DO274"/>
          <cell r="DP274"/>
        </row>
        <row r="275">
          <cell r="A275">
            <v>703</v>
          </cell>
          <cell r="B275" t="str">
            <v>Reimerswaal</v>
          </cell>
          <cell r="C275">
            <v>9</v>
          </cell>
          <cell r="D275">
            <v>9227</v>
          </cell>
          <cell r="E275">
            <v>4614</v>
          </cell>
          <cell r="F275">
            <v>0</v>
          </cell>
          <cell r="G275">
            <v>0</v>
          </cell>
          <cell r="H275">
            <v>-8760</v>
          </cell>
          <cell r="I275">
            <v>-9918</v>
          </cell>
          <cell r="J275"/>
          <cell r="K275">
            <v>0</v>
          </cell>
          <cell r="L275">
            <v>79883</v>
          </cell>
          <cell r="M275">
            <v>74636</v>
          </cell>
          <cell r="N275">
            <v>0</v>
          </cell>
          <cell r="O275">
            <v>0</v>
          </cell>
          <cell r="P275">
            <v>0</v>
          </cell>
          <cell r="Q275">
            <v>0</v>
          </cell>
          <cell r="R275">
            <v>0</v>
          </cell>
          <cell r="S275">
            <v>0</v>
          </cell>
          <cell r="T275">
            <v>0</v>
          </cell>
          <cell r="U275">
            <v>0</v>
          </cell>
          <cell r="V275">
            <v>3000</v>
          </cell>
          <cell r="W275">
            <v>74753</v>
          </cell>
          <cell r="X275">
            <v>0</v>
          </cell>
          <cell r="Y275"/>
          <cell r="Z275">
            <v>0</v>
          </cell>
          <cell r="AA275">
            <v>0</v>
          </cell>
          <cell r="AB275">
            <v>0</v>
          </cell>
          <cell r="AC275"/>
          <cell r="AD275">
            <v>0</v>
          </cell>
          <cell r="AE275">
            <v>0</v>
          </cell>
          <cell r="AF275">
            <v>0</v>
          </cell>
          <cell r="AG275">
            <v>0</v>
          </cell>
          <cell r="AH275">
            <v>0</v>
          </cell>
          <cell r="AI275">
            <v>0</v>
          </cell>
          <cell r="AJ275">
            <v>0</v>
          </cell>
          <cell r="AK275">
            <v>0</v>
          </cell>
          <cell r="AL275"/>
          <cell r="AM275">
            <v>84034</v>
          </cell>
          <cell r="AN275">
            <v>85966</v>
          </cell>
          <cell r="AO275">
            <v>87944</v>
          </cell>
          <cell r="AP275">
            <v>89966</v>
          </cell>
          <cell r="AQ275">
            <v>92036</v>
          </cell>
          <cell r="AR275">
            <v>94152</v>
          </cell>
          <cell r="AS275">
            <v>0</v>
          </cell>
          <cell r="AT275">
            <v>0</v>
          </cell>
          <cell r="AU275">
            <v>0</v>
          </cell>
          <cell r="AV275">
            <v>0</v>
          </cell>
          <cell r="AW275">
            <v>0</v>
          </cell>
          <cell r="AX275">
            <v>0</v>
          </cell>
          <cell r="AY275"/>
          <cell r="AZ275"/>
          <cell r="BA275">
            <v>0</v>
          </cell>
          <cell r="BB275"/>
          <cell r="BC275">
            <v>0</v>
          </cell>
          <cell r="BD275">
            <v>7848</v>
          </cell>
          <cell r="BE275"/>
          <cell r="BF275">
            <v>0</v>
          </cell>
          <cell r="BG275">
            <v>0</v>
          </cell>
          <cell r="BH275">
            <v>0</v>
          </cell>
          <cell r="BI275">
            <v>27946</v>
          </cell>
          <cell r="BJ275">
            <v>23003</v>
          </cell>
          <cell r="BK275">
            <v>23003</v>
          </cell>
          <cell r="BL275">
            <v>0</v>
          </cell>
          <cell r="BM275">
            <v>0</v>
          </cell>
          <cell r="BN275">
            <v>0</v>
          </cell>
          <cell r="BO275">
            <v>106528</v>
          </cell>
          <cell r="BP275">
            <v>15814</v>
          </cell>
          <cell r="BQ275">
            <v>28488.372093023299</v>
          </cell>
          <cell r="BR275">
            <v>0</v>
          </cell>
          <cell r="BS275">
            <v>0</v>
          </cell>
          <cell r="BT275">
            <v>45944</v>
          </cell>
          <cell r="BU275"/>
          <cell r="BV275"/>
          <cell r="BW275"/>
          <cell r="BX275"/>
          <cell r="BY275">
            <v>0</v>
          </cell>
          <cell r="BZ275">
            <v>0</v>
          </cell>
          <cell r="CA275">
            <v>0</v>
          </cell>
          <cell r="CB275">
            <v>0</v>
          </cell>
          <cell r="CC275">
            <v>1573742</v>
          </cell>
          <cell r="CD275">
            <v>8740591</v>
          </cell>
          <cell r="CE275">
            <v>729734</v>
          </cell>
          <cell r="CF275">
            <v>0</v>
          </cell>
          <cell r="CG275">
            <v>729734</v>
          </cell>
          <cell r="CH275">
            <v>729734</v>
          </cell>
          <cell r="CI275">
            <v>729734</v>
          </cell>
          <cell r="CJ275">
            <v>729734</v>
          </cell>
          <cell r="CK275">
            <v>0</v>
          </cell>
          <cell r="CL275">
            <v>0</v>
          </cell>
          <cell r="CM275">
            <v>0</v>
          </cell>
          <cell r="CN275">
            <v>0</v>
          </cell>
          <cell r="CO275">
            <v>0</v>
          </cell>
          <cell r="CP275">
            <v>-3561</v>
          </cell>
          <cell r="CQ275">
            <v>1369751</v>
          </cell>
          <cell r="CR275">
            <v>1319677</v>
          </cell>
          <cell r="CS275">
            <v>1299704</v>
          </cell>
          <cell r="CT275">
            <v>1284695</v>
          </cell>
          <cell r="CU275">
            <v>1235619</v>
          </cell>
          <cell r="CV275">
            <v>-3689</v>
          </cell>
          <cell r="CW275">
            <v>0</v>
          </cell>
          <cell r="CX275">
            <v>0</v>
          </cell>
          <cell r="CY275">
            <v>0</v>
          </cell>
          <cell r="CZ275">
            <v>0</v>
          </cell>
          <cell r="DA275">
            <v>0</v>
          </cell>
          <cell r="DB275"/>
          <cell r="DC275">
            <v>0</v>
          </cell>
          <cell r="DD275">
            <v>0</v>
          </cell>
          <cell r="DE275">
            <v>0</v>
          </cell>
          <cell r="DF275">
            <v>0</v>
          </cell>
          <cell r="DG275">
            <v>0</v>
          </cell>
          <cell r="DH275">
            <v>0</v>
          </cell>
          <cell r="DI275">
            <v>0</v>
          </cell>
          <cell r="DJ275">
            <v>0</v>
          </cell>
          <cell r="DK275">
            <v>0</v>
          </cell>
          <cell r="DL275">
            <v>0</v>
          </cell>
          <cell r="DM275"/>
          <cell r="DN275"/>
          <cell r="DO275"/>
          <cell r="DP275"/>
        </row>
        <row r="276">
          <cell r="A276">
            <v>1676</v>
          </cell>
          <cell r="B276" t="str">
            <v>Schouwen-Duiveland</v>
          </cell>
          <cell r="C276">
            <v>9</v>
          </cell>
          <cell r="D276">
            <v>18477</v>
          </cell>
          <cell r="E276">
            <v>9239</v>
          </cell>
          <cell r="F276">
            <v>0</v>
          </cell>
          <cell r="G276">
            <v>38801</v>
          </cell>
          <cell r="H276">
            <v>-19089</v>
          </cell>
          <cell r="I276">
            <v>-7720</v>
          </cell>
          <cell r="J276"/>
          <cell r="K276">
            <v>0</v>
          </cell>
          <cell r="L276">
            <v>116989</v>
          </cell>
          <cell r="M276">
            <v>109990</v>
          </cell>
          <cell r="N276">
            <v>0</v>
          </cell>
          <cell r="O276">
            <v>0</v>
          </cell>
          <cell r="P276">
            <v>0</v>
          </cell>
          <cell r="Q276">
            <v>0</v>
          </cell>
          <cell r="R276">
            <v>0</v>
          </cell>
          <cell r="S276">
            <v>0</v>
          </cell>
          <cell r="T276">
            <v>0</v>
          </cell>
          <cell r="U276">
            <v>0</v>
          </cell>
          <cell r="V276">
            <v>18000</v>
          </cell>
          <cell r="W276">
            <v>56166</v>
          </cell>
          <cell r="X276">
            <v>0</v>
          </cell>
          <cell r="Y276"/>
          <cell r="Z276">
            <v>0</v>
          </cell>
          <cell r="AA276">
            <v>0</v>
          </cell>
          <cell r="AB276">
            <v>0</v>
          </cell>
          <cell r="AC276"/>
          <cell r="AD276">
            <v>20000</v>
          </cell>
          <cell r="AE276">
            <v>0</v>
          </cell>
          <cell r="AF276">
            <v>0</v>
          </cell>
          <cell r="AG276">
            <v>0</v>
          </cell>
          <cell r="AH276">
            <v>0</v>
          </cell>
          <cell r="AI276">
            <v>0</v>
          </cell>
          <cell r="AJ276">
            <v>0</v>
          </cell>
          <cell r="AK276">
            <v>0</v>
          </cell>
          <cell r="AL276"/>
          <cell r="AM276">
            <v>209646</v>
          </cell>
          <cell r="AN276">
            <v>214467</v>
          </cell>
          <cell r="AO276">
            <v>219400</v>
          </cell>
          <cell r="AP276">
            <v>224446</v>
          </cell>
          <cell r="AQ276">
            <v>229609</v>
          </cell>
          <cell r="AR276">
            <v>234890</v>
          </cell>
          <cell r="AS276">
            <v>0</v>
          </cell>
          <cell r="AT276">
            <v>0</v>
          </cell>
          <cell r="AU276">
            <v>4740</v>
          </cell>
          <cell r="AV276">
            <v>0</v>
          </cell>
          <cell r="AW276">
            <v>0</v>
          </cell>
          <cell r="AX276">
            <v>0</v>
          </cell>
          <cell r="AY276"/>
          <cell r="AZ276"/>
          <cell r="BA276">
            <v>0</v>
          </cell>
          <cell r="BB276"/>
          <cell r="BC276">
            <v>0</v>
          </cell>
          <cell r="BD276">
            <v>11853</v>
          </cell>
          <cell r="BE276"/>
          <cell r="BF276">
            <v>0</v>
          </cell>
          <cell r="BG276">
            <v>0</v>
          </cell>
          <cell r="BH276">
            <v>0</v>
          </cell>
          <cell r="BI276">
            <v>43639</v>
          </cell>
          <cell r="BJ276">
            <v>35922</v>
          </cell>
          <cell r="BK276">
            <v>35922</v>
          </cell>
          <cell r="BL276">
            <v>0</v>
          </cell>
          <cell r="BM276">
            <v>0</v>
          </cell>
          <cell r="BN276">
            <v>0</v>
          </cell>
          <cell r="BO276">
            <v>133281</v>
          </cell>
          <cell r="BP276">
            <v>33209.4</v>
          </cell>
          <cell r="BQ276">
            <v>59825.581395348803</v>
          </cell>
          <cell r="BR276">
            <v>0</v>
          </cell>
          <cell r="BS276">
            <v>0</v>
          </cell>
          <cell r="BT276">
            <v>61803</v>
          </cell>
          <cell r="BU276"/>
          <cell r="BV276"/>
          <cell r="BW276"/>
          <cell r="BX276"/>
          <cell r="BY276">
            <v>0</v>
          </cell>
          <cell r="BZ276">
            <v>0</v>
          </cell>
          <cell r="CA276">
            <v>0</v>
          </cell>
          <cell r="CB276">
            <v>0</v>
          </cell>
          <cell r="CC276">
            <v>2995382</v>
          </cell>
          <cell r="CD276">
            <v>16020243</v>
          </cell>
          <cell r="CE276">
            <v>1318680</v>
          </cell>
          <cell r="CF276">
            <v>-1957</v>
          </cell>
          <cell r="CG276">
            <v>1318680</v>
          </cell>
          <cell r="CH276">
            <v>1318680</v>
          </cell>
          <cell r="CI276">
            <v>1318680</v>
          </cell>
          <cell r="CJ276">
            <v>1318680</v>
          </cell>
          <cell r="CK276">
            <v>0</v>
          </cell>
          <cell r="CL276">
            <v>0</v>
          </cell>
          <cell r="CM276">
            <v>0</v>
          </cell>
          <cell r="CN276">
            <v>0</v>
          </cell>
          <cell r="CO276">
            <v>0</v>
          </cell>
          <cell r="CP276">
            <v>-2499</v>
          </cell>
          <cell r="CQ276">
            <v>4742888</v>
          </cell>
          <cell r="CR276">
            <v>4470789</v>
          </cell>
          <cell r="CS276">
            <v>4345494</v>
          </cell>
          <cell r="CT276">
            <v>4173254</v>
          </cell>
          <cell r="CU276">
            <v>4090468</v>
          </cell>
          <cell r="CV276">
            <v>42611</v>
          </cell>
          <cell r="CW276">
            <v>0</v>
          </cell>
          <cell r="CX276">
            <v>0</v>
          </cell>
          <cell r="CY276">
            <v>0</v>
          </cell>
          <cell r="CZ276">
            <v>0</v>
          </cell>
          <cell r="DA276">
            <v>0</v>
          </cell>
          <cell r="DB276"/>
          <cell r="DC276">
            <v>0</v>
          </cell>
          <cell r="DD276">
            <v>0</v>
          </cell>
          <cell r="DE276">
            <v>0</v>
          </cell>
          <cell r="DF276">
            <v>0</v>
          </cell>
          <cell r="DG276">
            <v>0</v>
          </cell>
          <cell r="DH276">
            <v>0</v>
          </cell>
          <cell r="DI276">
            <v>0</v>
          </cell>
          <cell r="DJ276">
            <v>0</v>
          </cell>
          <cell r="DK276">
            <v>0</v>
          </cell>
          <cell r="DL276">
            <v>0</v>
          </cell>
          <cell r="DM276"/>
          <cell r="DN276"/>
          <cell r="DO276"/>
          <cell r="DP276"/>
        </row>
        <row r="277">
          <cell r="A277">
            <v>1714</v>
          </cell>
          <cell r="B277" t="str">
            <v>Sluis</v>
          </cell>
          <cell r="C277">
            <v>9</v>
          </cell>
          <cell r="D277">
            <v>-8970</v>
          </cell>
          <cell r="E277">
            <v>-4485</v>
          </cell>
          <cell r="F277">
            <v>0</v>
          </cell>
          <cell r="G277">
            <v>876139</v>
          </cell>
          <cell r="H277">
            <v>-30476</v>
          </cell>
          <cell r="I277">
            <v>-10218</v>
          </cell>
          <cell r="J277"/>
          <cell r="K277">
            <v>0</v>
          </cell>
          <cell r="L277">
            <v>80937</v>
          </cell>
          <cell r="M277">
            <v>67708</v>
          </cell>
          <cell r="N277">
            <v>0</v>
          </cell>
          <cell r="O277">
            <v>0</v>
          </cell>
          <cell r="P277">
            <v>0</v>
          </cell>
          <cell r="Q277">
            <v>0</v>
          </cell>
          <cell r="R277">
            <v>0</v>
          </cell>
          <cell r="S277">
            <v>0</v>
          </cell>
          <cell r="T277">
            <v>0</v>
          </cell>
          <cell r="U277">
            <v>0</v>
          </cell>
          <cell r="V277">
            <v>3000</v>
          </cell>
          <cell r="W277">
            <v>81056</v>
          </cell>
          <cell r="X277">
            <v>0</v>
          </cell>
          <cell r="Y277"/>
          <cell r="Z277">
            <v>0</v>
          </cell>
          <cell r="AA277">
            <v>0</v>
          </cell>
          <cell r="AB277">
            <v>0</v>
          </cell>
          <cell r="AC277"/>
          <cell r="AD277">
            <v>20000</v>
          </cell>
          <cell r="AE277">
            <v>0</v>
          </cell>
          <cell r="AF277">
            <v>0</v>
          </cell>
          <cell r="AG277">
            <v>0</v>
          </cell>
          <cell r="AH277">
            <v>0</v>
          </cell>
          <cell r="AI277">
            <v>0</v>
          </cell>
          <cell r="AJ277">
            <v>0</v>
          </cell>
          <cell r="AK277">
            <v>0</v>
          </cell>
          <cell r="AL277"/>
          <cell r="AM277">
            <v>221758</v>
          </cell>
          <cell r="AN277">
            <v>226858</v>
          </cell>
          <cell r="AO277">
            <v>232076</v>
          </cell>
          <cell r="AP277">
            <v>237414</v>
          </cell>
          <cell r="AQ277">
            <v>242874</v>
          </cell>
          <cell r="AR277">
            <v>248460</v>
          </cell>
          <cell r="AS277">
            <v>0</v>
          </cell>
          <cell r="AT277">
            <v>0</v>
          </cell>
          <cell r="AU277">
            <v>7110</v>
          </cell>
          <cell r="AV277">
            <v>0</v>
          </cell>
          <cell r="AW277">
            <v>0</v>
          </cell>
          <cell r="AX277">
            <v>0</v>
          </cell>
          <cell r="AY277"/>
          <cell r="AZ277"/>
          <cell r="BA277">
            <v>0</v>
          </cell>
          <cell r="BB277"/>
          <cell r="BC277">
            <v>0</v>
          </cell>
          <cell r="BD277">
            <v>8305</v>
          </cell>
          <cell r="BE277"/>
          <cell r="BF277">
            <v>0</v>
          </cell>
          <cell r="BG277">
            <v>0</v>
          </cell>
          <cell r="BH277">
            <v>0</v>
          </cell>
          <cell r="BI277">
            <v>35515</v>
          </cell>
          <cell r="BJ277">
            <v>29234</v>
          </cell>
          <cell r="BK277">
            <v>29234</v>
          </cell>
          <cell r="BL277">
            <v>0</v>
          </cell>
          <cell r="BM277">
            <v>0</v>
          </cell>
          <cell r="BN277">
            <v>0</v>
          </cell>
          <cell r="BO277">
            <v>76369</v>
          </cell>
          <cell r="BP277">
            <v>11069.8</v>
          </cell>
          <cell r="BQ277">
            <v>19941.8604651163</v>
          </cell>
          <cell r="BR277">
            <v>0</v>
          </cell>
          <cell r="BS277">
            <v>0</v>
          </cell>
          <cell r="BT277">
            <v>48422</v>
          </cell>
          <cell r="BU277"/>
          <cell r="BV277"/>
          <cell r="BW277"/>
          <cell r="BX277"/>
          <cell r="BY277">
            <v>0</v>
          </cell>
          <cell r="BZ277">
            <v>0</v>
          </cell>
          <cell r="CA277">
            <v>0</v>
          </cell>
          <cell r="CB277">
            <v>0</v>
          </cell>
          <cell r="CC277">
            <v>2261154</v>
          </cell>
          <cell r="CD277">
            <v>9445174</v>
          </cell>
          <cell r="CE277">
            <v>793186</v>
          </cell>
          <cell r="CF277">
            <v>-24782</v>
          </cell>
          <cell r="CG277">
            <v>793186</v>
          </cell>
          <cell r="CH277">
            <v>793186</v>
          </cell>
          <cell r="CI277">
            <v>793186</v>
          </cell>
          <cell r="CJ277">
            <v>793186</v>
          </cell>
          <cell r="CK277">
            <v>0</v>
          </cell>
          <cell r="CL277">
            <v>0</v>
          </cell>
          <cell r="CM277">
            <v>0</v>
          </cell>
          <cell r="CN277">
            <v>0</v>
          </cell>
          <cell r="CO277">
            <v>0</v>
          </cell>
          <cell r="CP277">
            <v>0</v>
          </cell>
          <cell r="CQ277">
            <v>2162049</v>
          </cell>
          <cell r="CR277">
            <v>2064599</v>
          </cell>
          <cell r="CS277">
            <v>1993952</v>
          </cell>
          <cell r="CT277">
            <v>1917329</v>
          </cell>
          <cell r="CU277">
            <v>1839800</v>
          </cell>
          <cell r="CV277">
            <v>13039</v>
          </cell>
          <cell r="CW277">
            <v>0</v>
          </cell>
          <cell r="CX277">
            <v>0</v>
          </cell>
          <cell r="CY277">
            <v>0</v>
          </cell>
          <cell r="CZ277">
            <v>0</v>
          </cell>
          <cell r="DA277">
            <v>0</v>
          </cell>
          <cell r="DB277"/>
          <cell r="DC277">
            <v>0</v>
          </cell>
          <cell r="DD277">
            <v>0</v>
          </cell>
          <cell r="DE277">
            <v>0</v>
          </cell>
          <cell r="DF277">
            <v>0</v>
          </cell>
          <cell r="DG277">
            <v>0</v>
          </cell>
          <cell r="DH277">
            <v>0</v>
          </cell>
          <cell r="DI277">
            <v>0</v>
          </cell>
          <cell r="DJ277">
            <v>0</v>
          </cell>
          <cell r="DK277">
            <v>0</v>
          </cell>
          <cell r="DL277">
            <v>0</v>
          </cell>
          <cell r="DM277"/>
          <cell r="DN277"/>
          <cell r="DO277"/>
          <cell r="DP277"/>
        </row>
        <row r="278">
          <cell r="A278">
            <v>715</v>
          </cell>
          <cell r="B278" t="str">
            <v>Terneuzen</v>
          </cell>
          <cell r="C278">
            <v>9</v>
          </cell>
          <cell r="D278">
            <v>77074</v>
          </cell>
          <cell r="E278">
            <v>38537</v>
          </cell>
          <cell r="F278">
            <v>0</v>
          </cell>
          <cell r="G278">
            <v>0</v>
          </cell>
          <cell r="H278">
            <v>-11851</v>
          </cell>
          <cell r="I278">
            <v>0</v>
          </cell>
          <cell r="J278"/>
          <cell r="K278">
            <v>0</v>
          </cell>
          <cell r="L278">
            <v>253497</v>
          </cell>
          <cell r="M278">
            <v>235216</v>
          </cell>
          <cell r="N278">
            <v>0</v>
          </cell>
          <cell r="O278">
            <v>0</v>
          </cell>
          <cell r="P278">
            <v>0</v>
          </cell>
          <cell r="Q278">
            <v>0</v>
          </cell>
          <cell r="R278">
            <v>395667</v>
          </cell>
          <cell r="S278">
            <v>0</v>
          </cell>
          <cell r="T278">
            <v>0</v>
          </cell>
          <cell r="U278">
            <v>0</v>
          </cell>
          <cell r="V278">
            <v>21000</v>
          </cell>
          <cell r="W278">
            <v>183449</v>
          </cell>
          <cell r="X278">
            <v>0</v>
          </cell>
          <cell r="Y278"/>
          <cell r="Z278">
            <v>0</v>
          </cell>
          <cell r="AA278">
            <v>0</v>
          </cell>
          <cell r="AB278">
            <v>0</v>
          </cell>
          <cell r="AC278"/>
          <cell r="AD278">
            <v>104624</v>
          </cell>
          <cell r="AE278">
            <v>0</v>
          </cell>
          <cell r="AF278">
            <v>0</v>
          </cell>
          <cell r="AG278">
            <v>0</v>
          </cell>
          <cell r="AH278">
            <v>0</v>
          </cell>
          <cell r="AI278">
            <v>0</v>
          </cell>
          <cell r="AJ278">
            <v>0</v>
          </cell>
          <cell r="AK278">
            <v>0</v>
          </cell>
          <cell r="AL278"/>
          <cell r="AM278">
            <v>204684</v>
          </cell>
          <cell r="AN278">
            <v>209392</v>
          </cell>
          <cell r="AO278">
            <v>214208</v>
          </cell>
          <cell r="AP278">
            <v>219134</v>
          </cell>
          <cell r="AQ278">
            <v>224175</v>
          </cell>
          <cell r="AR278">
            <v>229331</v>
          </cell>
          <cell r="AS278">
            <v>0</v>
          </cell>
          <cell r="AT278">
            <v>0</v>
          </cell>
          <cell r="AU278">
            <v>4740</v>
          </cell>
          <cell r="AV278">
            <v>0</v>
          </cell>
          <cell r="AW278">
            <v>0</v>
          </cell>
          <cell r="AX278">
            <v>0</v>
          </cell>
          <cell r="AY278"/>
          <cell r="AZ278"/>
          <cell r="BA278">
            <v>0</v>
          </cell>
          <cell r="BB278"/>
          <cell r="BC278">
            <v>0</v>
          </cell>
          <cell r="BD278">
            <v>19162</v>
          </cell>
          <cell r="BE278"/>
          <cell r="BF278">
            <v>0</v>
          </cell>
          <cell r="BG278">
            <v>0</v>
          </cell>
          <cell r="BH278">
            <v>0</v>
          </cell>
          <cell r="BI278">
            <v>97012</v>
          </cell>
          <cell r="BJ278">
            <v>79855</v>
          </cell>
          <cell r="BK278">
            <v>79855</v>
          </cell>
          <cell r="BL278">
            <v>0</v>
          </cell>
          <cell r="BM278">
            <v>0</v>
          </cell>
          <cell r="BN278">
            <v>0</v>
          </cell>
          <cell r="BO278">
            <v>423192</v>
          </cell>
          <cell r="BP278">
            <v>17395.400000000001</v>
          </cell>
          <cell r="BQ278">
            <v>31337.209302325598</v>
          </cell>
          <cell r="BR278">
            <v>0</v>
          </cell>
          <cell r="BS278">
            <v>0</v>
          </cell>
          <cell r="BT278">
            <v>98250</v>
          </cell>
          <cell r="BU278"/>
          <cell r="BV278"/>
          <cell r="BW278"/>
          <cell r="BX278"/>
          <cell r="BY278">
            <v>0</v>
          </cell>
          <cell r="BZ278">
            <v>0</v>
          </cell>
          <cell r="CA278">
            <v>0</v>
          </cell>
          <cell r="CB278">
            <v>0</v>
          </cell>
          <cell r="CC278">
            <v>5268521</v>
          </cell>
          <cell r="CD278">
            <v>30613661</v>
          </cell>
          <cell r="CE278">
            <v>1545946</v>
          </cell>
          <cell r="CF278">
            <v>0</v>
          </cell>
          <cell r="CG278">
            <v>1545946</v>
          </cell>
          <cell r="CH278">
            <v>1545946</v>
          </cell>
          <cell r="CI278">
            <v>1545946</v>
          </cell>
          <cell r="CJ278">
            <v>1545946</v>
          </cell>
          <cell r="CK278">
            <v>0</v>
          </cell>
          <cell r="CL278">
            <v>0</v>
          </cell>
          <cell r="CM278">
            <v>0</v>
          </cell>
          <cell r="CN278">
            <v>0</v>
          </cell>
          <cell r="CO278">
            <v>0</v>
          </cell>
          <cell r="CP278">
            <v>0</v>
          </cell>
          <cell r="CQ278">
            <v>9132160</v>
          </cell>
          <cell r="CR278">
            <v>8759871</v>
          </cell>
          <cell r="CS278">
            <v>8584123</v>
          </cell>
          <cell r="CT278">
            <v>8360464</v>
          </cell>
          <cell r="CU278">
            <v>8176392</v>
          </cell>
          <cell r="CV278">
            <v>-27409</v>
          </cell>
          <cell r="CW278">
            <v>0</v>
          </cell>
          <cell r="CX278">
            <v>0</v>
          </cell>
          <cell r="CY278">
            <v>0</v>
          </cell>
          <cell r="CZ278">
            <v>0</v>
          </cell>
          <cell r="DA278">
            <v>0</v>
          </cell>
          <cell r="DB278"/>
          <cell r="DC278">
            <v>0</v>
          </cell>
          <cell r="DD278">
            <v>0</v>
          </cell>
          <cell r="DE278">
            <v>0</v>
          </cell>
          <cell r="DF278">
            <v>0</v>
          </cell>
          <cell r="DG278">
            <v>0</v>
          </cell>
          <cell r="DH278">
            <v>0</v>
          </cell>
          <cell r="DI278">
            <v>0</v>
          </cell>
          <cell r="DJ278">
            <v>0</v>
          </cell>
          <cell r="DK278">
            <v>0</v>
          </cell>
          <cell r="DL278">
            <v>0</v>
          </cell>
          <cell r="DM278"/>
          <cell r="DN278"/>
          <cell r="DO278"/>
          <cell r="DP278"/>
        </row>
        <row r="279">
          <cell r="A279">
            <v>716</v>
          </cell>
          <cell r="B279" t="str">
            <v>Tholen</v>
          </cell>
          <cell r="C279">
            <v>9</v>
          </cell>
          <cell r="D279">
            <v>-12266</v>
          </cell>
          <cell r="E279">
            <v>-6133</v>
          </cell>
          <cell r="F279">
            <v>0</v>
          </cell>
          <cell r="G279">
            <v>0</v>
          </cell>
          <cell r="H279">
            <v>-33759</v>
          </cell>
          <cell r="I279">
            <v>-27240</v>
          </cell>
          <cell r="J279"/>
          <cell r="K279">
            <v>0</v>
          </cell>
          <cell r="L279">
            <v>105012</v>
          </cell>
          <cell r="M279">
            <v>100800</v>
          </cell>
          <cell r="N279">
            <v>0</v>
          </cell>
          <cell r="O279">
            <v>0</v>
          </cell>
          <cell r="P279">
            <v>0</v>
          </cell>
          <cell r="Q279">
            <v>0</v>
          </cell>
          <cell r="R279">
            <v>0</v>
          </cell>
          <cell r="S279">
            <v>0</v>
          </cell>
          <cell r="T279">
            <v>0</v>
          </cell>
          <cell r="U279">
            <v>0</v>
          </cell>
          <cell r="V279">
            <v>3000</v>
          </cell>
          <cell r="W279">
            <v>116238</v>
          </cell>
          <cell r="X279">
            <v>0</v>
          </cell>
          <cell r="Y279"/>
          <cell r="Z279">
            <v>0</v>
          </cell>
          <cell r="AA279">
            <v>0</v>
          </cell>
          <cell r="AB279">
            <v>0</v>
          </cell>
          <cell r="AC279"/>
          <cell r="AD279">
            <v>20000</v>
          </cell>
          <cell r="AE279">
            <v>0</v>
          </cell>
          <cell r="AF279">
            <v>0</v>
          </cell>
          <cell r="AG279">
            <v>0</v>
          </cell>
          <cell r="AH279">
            <v>0</v>
          </cell>
          <cell r="AI279">
            <v>0</v>
          </cell>
          <cell r="AJ279">
            <v>0</v>
          </cell>
          <cell r="AK279">
            <v>0</v>
          </cell>
          <cell r="AL279"/>
          <cell r="AM279">
            <v>128108</v>
          </cell>
          <cell r="AN279">
            <v>131055</v>
          </cell>
          <cell r="AO279">
            <v>134069</v>
          </cell>
          <cell r="AP279">
            <v>137153</v>
          </cell>
          <cell r="AQ279">
            <v>140307</v>
          </cell>
          <cell r="AR279">
            <v>143534</v>
          </cell>
          <cell r="AS279">
            <v>0</v>
          </cell>
          <cell r="AT279">
            <v>0</v>
          </cell>
          <cell r="AU279">
            <v>7110</v>
          </cell>
          <cell r="AV279">
            <v>0</v>
          </cell>
          <cell r="AW279">
            <v>0</v>
          </cell>
          <cell r="AX279">
            <v>0</v>
          </cell>
          <cell r="AY279"/>
          <cell r="AZ279"/>
          <cell r="BA279">
            <v>0</v>
          </cell>
          <cell r="BB279"/>
          <cell r="BC279">
            <v>0</v>
          </cell>
          <cell r="BD279">
            <v>8961</v>
          </cell>
          <cell r="BE279"/>
          <cell r="BF279">
            <v>0</v>
          </cell>
          <cell r="BG279">
            <v>0</v>
          </cell>
          <cell r="BH279">
            <v>0</v>
          </cell>
          <cell r="BI279">
            <v>34584</v>
          </cell>
          <cell r="BJ279">
            <v>28467</v>
          </cell>
          <cell r="BK279">
            <v>28467</v>
          </cell>
          <cell r="BL279">
            <v>0</v>
          </cell>
          <cell r="BM279">
            <v>0</v>
          </cell>
          <cell r="BN279">
            <v>0</v>
          </cell>
          <cell r="BO279">
            <v>35509</v>
          </cell>
          <cell r="BP279">
            <v>36372.199999999997</v>
          </cell>
          <cell r="BQ279">
            <v>65523.255813953503</v>
          </cell>
          <cell r="BR279">
            <v>0</v>
          </cell>
          <cell r="BS279">
            <v>0</v>
          </cell>
          <cell r="BT279">
            <v>48895</v>
          </cell>
          <cell r="BU279"/>
          <cell r="BV279"/>
          <cell r="BW279"/>
          <cell r="BX279"/>
          <cell r="BY279">
            <v>0</v>
          </cell>
          <cell r="BZ279">
            <v>0</v>
          </cell>
          <cell r="CA279">
            <v>0</v>
          </cell>
          <cell r="CB279">
            <v>0</v>
          </cell>
          <cell r="CC279">
            <v>1990124</v>
          </cell>
          <cell r="CD279">
            <v>11491219</v>
          </cell>
          <cell r="CE279">
            <v>722531</v>
          </cell>
          <cell r="CF279">
            <v>-29372</v>
          </cell>
          <cell r="CG279">
            <v>722531</v>
          </cell>
          <cell r="CH279">
            <v>722531</v>
          </cell>
          <cell r="CI279">
            <v>722531</v>
          </cell>
          <cell r="CJ279">
            <v>722531</v>
          </cell>
          <cell r="CK279">
            <v>0</v>
          </cell>
          <cell r="CL279">
            <v>0</v>
          </cell>
          <cell r="CM279">
            <v>0</v>
          </cell>
          <cell r="CN279">
            <v>0</v>
          </cell>
          <cell r="CO279">
            <v>0</v>
          </cell>
          <cell r="CP279">
            <v>-5440</v>
          </cell>
          <cell r="CQ279">
            <v>1984259</v>
          </cell>
          <cell r="CR279">
            <v>1937930</v>
          </cell>
          <cell r="CS279">
            <v>1923980</v>
          </cell>
          <cell r="CT279">
            <v>1908502</v>
          </cell>
          <cell r="CU279">
            <v>1897546</v>
          </cell>
          <cell r="CV279">
            <v>-30965</v>
          </cell>
          <cell r="CW279">
            <v>0</v>
          </cell>
          <cell r="CX279">
            <v>0</v>
          </cell>
          <cell r="CY279">
            <v>0</v>
          </cell>
          <cell r="CZ279">
            <v>0</v>
          </cell>
          <cell r="DA279">
            <v>0</v>
          </cell>
          <cell r="DB279"/>
          <cell r="DC279">
            <v>0</v>
          </cell>
          <cell r="DD279">
            <v>0</v>
          </cell>
          <cell r="DE279">
            <v>0</v>
          </cell>
          <cell r="DF279">
            <v>0</v>
          </cell>
          <cell r="DG279">
            <v>0</v>
          </cell>
          <cell r="DH279">
            <v>0</v>
          </cell>
          <cell r="DI279">
            <v>0</v>
          </cell>
          <cell r="DJ279">
            <v>0</v>
          </cell>
          <cell r="DK279">
            <v>0</v>
          </cell>
          <cell r="DL279">
            <v>0</v>
          </cell>
          <cell r="DM279"/>
          <cell r="DN279"/>
          <cell r="DO279"/>
          <cell r="DP279"/>
        </row>
        <row r="280">
          <cell r="A280">
            <v>717</v>
          </cell>
          <cell r="B280" t="str">
            <v>Veere</v>
          </cell>
          <cell r="C280">
            <v>9</v>
          </cell>
          <cell r="D280">
            <v>-16562</v>
          </cell>
          <cell r="E280">
            <v>-8281</v>
          </cell>
          <cell r="F280">
            <v>0</v>
          </cell>
          <cell r="G280">
            <v>43069</v>
          </cell>
          <cell r="H280">
            <v>-6845</v>
          </cell>
          <cell r="I280">
            <v>0</v>
          </cell>
          <cell r="J280"/>
          <cell r="K280">
            <v>0</v>
          </cell>
          <cell r="L280">
            <v>60166</v>
          </cell>
          <cell r="M280">
            <v>49995</v>
          </cell>
          <cell r="N280">
            <v>0</v>
          </cell>
          <cell r="O280">
            <v>0</v>
          </cell>
          <cell r="P280">
            <v>0</v>
          </cell>
          <cell r="Q280">
            <v>0</v>
          </cell>
          <cell r="R280">
            <v>0</v>
          </cell>
          <cell r="S280">
            <v>0</v>
          </cell>
          <cell r="T280">
            <v>0</v>
          </cell>
          <cell r="U280">
            <v>0</v>
          </cell>
          <cell r="V280">
            <v>6000</v>
          </cell>
          <cell r="W280">
            <v>65662</v>
          </cell>
          <cell r="X280">
            <v>0</v>
          </cell>
          <cell r="Y280"/>
          <cell r="Z280">
            <v>0</v>
          </cell>
          <cell r="AA280">
            <v>0</v>
          </cell>
          <cell r="AB280">
            <v>0</v>
          </cell>
          <cell r="AC280"/>
          <cell r="AD280">
            <v>0</v>
          </cell>
          <cell r="AE280">
            <v>0</v>
          </cell>
          <cell r="AF280">
            <v>0</v>
          </cell>
          <cell r="AG280">
            <v>0</v>
          </cell>
          <cell r="AH280">
            <v>0</v>
          </cell>
          <cell r="AI280">
            <v>0</v>
          </cell>
          <cell r="AJ280">
            <v>0</v>
          </cell>
          <cell r="AK280">
            <v>0</v>
          </cell>
          <cell r="AL280"/>
          <cell r="AM280">
            <v>120037</v>
          </cell>
          <cell r="AN280">
            <v>122797</v>
          </cell>
          <cell r="AO280">
            <v>125622</v>
          </cell>
          <cell r="AP280">
            <v>128511</v>
          </cell>
          <cell r="AQ280">
            <v>131467</v>
          </cell>
          <cell r="AR280">
            <v>134490</v>
          </cell>
          <cell r="AS280">
            <v>0</v>
          </cell>
          <cell r="AT280">
            <v>0</v>
          </cell>
          <cell r="AU280">
            <v>0</v>
          </cell>
          <cell r="AV280">
            <v>0</v>
          </cell>
          <cell r="AW280">
            <v>0</v>
          </cell>
          <cell r="AX280">
            <v>0</v>
          </cell>
          <cell r="AY280"/>
          <cell r="AZ280"/>
          <cell r="BA280">
            <v>0</v>
          </cell>
          <cell r="BB280"/>
          <cell r="BC280">
            <v>0</v>
          </cell>
          <cell r="BD280">
            <v>7688</v>
          </cell>
          <cell r="BE280"/>
          <cell r="BF280">
            <v>0</v>
          </cell>
          <cell r="BG280">
            <v>0</v>
          </cell>
          <cell r="BH280">
            <v>0</v>
          </cell>
          <cell r="BI280">
            <v>16204</v>
          </cell>
          <cell r="BJ280">
            <v>13338</v>
          </cell>
          <cell r="BK280">
            <v>13338</v>
          </cell>
          <cell r="BL280">
            <v>0</v>
          </cell>
          <cell r="BM280">
            <v>0</v>
          </cell>
          <cell r="BN280">
            <v>0</v>
          </cell>
          <cell r="BO280">
            <v>44751</v>
          </cell>
          <cell r="BP280">
            <v>6325.6</v>
          </cell>
          <cell r="BQ280">
            <v>11395.3488372093</v>
          </cell>
          <cell r="BR280">
            <v>0</v>
          </cell>
          <cell r="BS280">
            <v>0</v>
          </cell>
          <cell r="BT280">
            <v>44875</v>
          </cell>
          <cell r="BU280"/>
          <cell r="BV280"/>
          <cell r="BW280"/>
          <cell r="BX280"/>
          <cell r="BY280">
            <v>0</v>
          </cell>
          <cell r="BZ280">
            <v>0</v>
          </cell>
          <cell r="CA280">
            <v>0</v>
          </cell>
          <cell r="CB280">
            <v>0</v>
          </cell>
          <cell r="CC280">
            <v>1498599</v>
          </cell>
          <cell r="CD280">
            <v>6625014</v>
          </cell>
          <cell r="CE280">
            <v>333684</v>
          </cell>
          <cell r="CF280">
            <v>0</v>
          </cell>
          <cell r="CG280">
            <v>333684</v>
          </cell>
          <cell r="CH280">
            <v>333684</v>
          </cell>
          <cell r="CI280">
            <v>333684</v>
          </cell>
          <cell r="CJ280">
            <v>333684</v>
          </cell>
          <cell r="CK280">
            <v>0</v>
          </cell>
          <cell r="CL280">
            <v>0</v>
          </cell>
          <cell r="CM280">
            <v>0</v>
          </cell>
          <cell r="CN280">
            <v>0</v>
          </cell>
          <cell r="CO280">
            <v>0</v>
          </cell>
          <cell r="CP280">
            <v>0</v>
          </cell>
          <cell r="CQ280">
            <v>1142799</v>
          </cell>
          <cell r="CR280">
            <v>1082495</v>
          </cell>
          <cell r="CS280">
            <v>1058947</v>
          </cell>
          <cell r="CT280">
            <v>1031445</v>
          </cell>
          <cell r="CU280">
            <v>1003719</v>
          </cell>
          <cell r="CV280">
            <v>14845</v>
          </cell>
          <cell r="CW280">
            <v>0</v>
          </cell>
          <cell r="CX280">
            <v>0</v>
          </cell>
          <cell r="CY280">
            <v>0</v>
          </cell>
          <cell r="CZ280">
            <v>0</v>
          </cell>
          <cell r="DA280">
            <v>0</v>
          </cell>
          <cell r="DB280"/>
          <cell r="DC280">
            <v>0</v>
          </cell>
          <cell r="DD280">
            <v>0</v>
          </cell>
          <cell r="DE280">
            <v>0</v>
          </cell>
          <cell r="DF280">
            <v>0</v>
          </cell>
          <cell r="DG280">
            <v>0</v>
          </cell>
          <cell r="DH280">
            <v>0</v>
          </cell>
          <cell r="DI280">
            <v>0</v>
          </cell>
          <cell r="DJ280">
            <v>0</v>
          </cell>
          <cell r="DK280">
            <v>0</v>
          </cell>
          <cell r="DL280">
            <v>0</v>
          </cell>
          <cell r="DM280"/>
          <cell r="DN280"/>
          <cell r="DO280"/>
          <cell r="DP280"/>
        </row>
        <row r="281">
          <cell r="A281">
            <v>718</v>
          </cell>
          <cell r="B281" t="str">
            <v>Vlissingen</v>
          </cell>
          <cell r="C281">
            <v>9</v>
          </cell>
          <cell r="D281">
            <v>104652</v>
          </cell>
          <cell r="E281">
            <v>52326</v>
          </cell>
          <cell r="F281">
            <v>0</v>
          </cell>
          <cell r="G281">
            <v>348412</v>
          </cell>
          <cell r="H281">
            <v>45141</v>
          </cell>
          <cell r="I281">
            <v>0</v>
          </cell>
          <cell r="J281"/>
          <cell r="K281">
            <v>0</v>
          </cell>
          <cell r="L281">
            <v>237261</v>
          </cell>
          <cell r="M281">
            <v>244263</v>
          </cell>
          <cell r="N281">
            <v>0</v>
          </cell>
          <cell r="O281">
            <v>0</v>
          </cell>
          <cell r="P281">
            <v>0</v>
          </cell>
          <cell r="Q281">
            <v>0</v>
          </cell>
          <cell r="R281">
            <v>0</v>
          </cell>
          <cell r="S281">
            <v>0</v>
          </cell>
          <cell r="T281">
            <v>0</v>
          </cell>
          <cell r="U281">
            <v>0</v>
          </cell>
          <cell r="V281">
            <v>15000</v>
          </cell>
          <cell r="W281">
            <v>157057</v>
          </cell>
          <cell r="X281">
            <v>0</v>
          </cell>
          <cell r="Y281"/>
          <cell r="Z281">
            <v>0</v>
          </cell>
          <cell r="AA281">
            <v>0</v>
          </cell>
          <cell r="AB281">
            <v>0</v>
          </cell>
          <cell r="AC281"/>
          <cell r="AD281">
            <v>38134</v>
          </cell>
          <cell r="AE281">
            <v>0</v>
          </cell>
          <cell r="AF281">
            <v>0</v>
          </cell>
          <cell r="AG281">
            <v>0</v>
          </cell>
          <cell r="AH281">
            <v>0</v>
          </cell>
          <cell r="AI281">
            <v>0</v>
          </cell>
          <cell r="AJ281">
            <v>0</v>
          </cell>
          <cell r="AK281">
            <v>0</v>
          </cell>
          <cell r="AL281"/>
          <cell r="AM281">
            <v>29758</v>
          </cell>
          <cell r="AN281">
            <v>30442</v>
          </cell>
          <cell r="AO281">
            <v>31142</v>
          </cell>
          <cell r="AP281">
            <v>31858</v>
          </cell>
          <cell r="AQ281">
            <v>32591</v>
          </cell>
          <cell r="AR281">
            <v>33341</v>
          </cell>
          <cell r="AS281">
            <v>0</v>
          </cell>
          <cell r="AT281">
            <v>0</v>
          </cell>
          <cell r="AU281">
            <v>4740</v>
          </cell>
          <cell r="AV281">
            <v>6708789.6562429098</v>
          </cell>
          <cell r="AW281">
            <v>0</v>
          </cell>
          <cell r="AX281">
            <v>0</v>
          </cell>
          <cell r="AY281"/>
          <cell r="AZ281"/>
          <cell r="BA281">
            <v>0</v>
          </cell>
          <cell r="BB281"/>
          <cell r="BC281">
            <v>0</v>
          </cell>
          <cell r="BD281">
            <v>15584</v>
          </cell>
          <cell r="BE281"/>
          <cell r="BF281">
            <v>0</v>
          </cell>
          <cell r="BG281">
            <v>0</v>
          </cell>
          <cell r="BH281">
            <v>0</v>
          </cell>
          <cell r="BI281">
            <v>90913</v>
          </cell>
          <cell r="BJ281">
            <v>74835</v>
          </cell>
          <cell r="BK281">
            <v>74835</v>
          </cell>
          <cell r="BL281">
            <v>0</v>
          </cell>
          <cell r="BM281">
            <v>0</v>
          </cell>
          <cell r="BN281">
            <v>0</v>
          </cell>
          <cell r="BO281">
            <v>308395</v>
          </cell>
          <cell r="BP281">
            <v>14232.6</v>
          </cell>
          <cell r="BQ281">
            <v>25639.534883720899</v>
          </cell>
          <cell r="BR281">
            <v>0</v>
          </cell>
          <cell r="BS281">
            <v>0</v>
          </cell>
          <cell r="BT281">
            <v>82921</v>
          </cell>
          <cell r="BU281"/>
          <cell r="BV281"/>
          <cell r="BW281"/>
          <cell r="BX281"/>
          <cell r="BY281">
            <v>2343626.89079173</v>
          </cell>
          <cell r="BZ281">
            <v>2713051.7711161701</v>
          </cell>
          <cell r="CA281">
            <v>2744610.68049062</v>
          </cell>
          <cell r="CB281">
            <v>2833718.1893126001</v>
          </cell>
          <cell r="CC281">
            <v>4402407</v>
          </cell>
          <cell r="CD281">
            <v>68278844</v>
          </cell>
          <cell r="CE281">
            <v>1090245</v>
          </cell>
          <cell r="CF281">
            <v>0</v>
          </cell>
          <cell r="CG281">
            <v>1090245</v>
          </cell>
          <cell r="CH281">
            <v>1090245</v>
          </cell>
          <cell r="CI281">
            <v>1090245</v>
          </cell>
          <cell r="CJ281">
            <v>1090245</v>
          </cell>
          <cell r="CK281">
            <v>44353968</v>
          </cell>
          <cell r="CL281">
            <v>44331707</v>
          </cell>
          <cell r="CM281">
            <v>44331347</v>
          </cell>
          <cell r="CN281">
            <v>44330555</v>
          </cell>
          <cell r="CO281">
            <v>44331652</v>
          </cell>
          <cell r="CP281">
            <v>0</v>
          </cell>
          <cell r="CQ281">
            <v>7199624</v>
          </cell>
          <cell r="CR281">
            <v>6853608</v>
          </cell>
          <cell r="CS281">
            <v>6641440</v>
          </cell>
          <cell r="CT281">
            <v>6450719</v>
          </cell>
          <cell r="CU281">
            <v>6288088</v>
          </cell>
          <cell r="CV281">
            <v>12076</v>
          </cell>
          <cell r="CW281">
            <v>0</v>
          </cell>
          <cell r="CX281">
            <v>0</v>
          </cell>
          <cell r="CY281">
            <v>0</v>
          </cell>
          <cell r="CZ281">
            <v>0</v>
          </cell>
          <cell r="DA281">
            <v>0</v>
          </cell>
          <cell r="DB281"/>
          <cell r="DC281">
            <v>0</v>
          </cell>
          <cell r="DD281">
            <v>0</v>
          </cell>
          <cell r="DE281">
            <v>0</v>
          </cell>
          <cell r="DF281">
            <v>0</v>
          </cell>
          <cell r="DG281">
            <v>0</v>
          </cell>
          <cell r="DH281">
            <v>0</v>
          </cell>
          <cell r="DI281">
            <v>0</v>
          </cell>
          <cell r="DJ281">
            <v>0</v>
          </cell>
          <cell r="DK281">
            <v>0</v>
          </cell>
          <cell r="DL281">
            <v>0</v>
          </cell>
          <cell r="DM281"/>
          <cell r="DN281"/>
          <cell r="DO281"/>
          <cell r="DP281"/>
        </row>
        <row r="282">
          <cell r="A282">
            <v>738</v>
          </cell>
          <cell r="B282" t="str">
            <v>Aalburg</v>
          </cell>
          <cell r="C282">
            <v>10</v>
          </cell>
          <cell r="D282">
            <v>5295</v>
          </cell>
          <cell r="E282">
            <v>2648</v>
          </cell>
          <cell r="F282">
            <v>0</v>
          </cell>
          <cell r="G282">
            <v>76866</v>
          </cell>
          <cell r="H282">
            <v>-23100</v>
          </cell>
          <cell r="I282">
            <v>-15749</v>
          </cell>
          <cell r="J282"/>
          <cell r="K282">
            <v>0</v>
          </cell>
          <cell r="L282">
            <v>33306</v>
          </cell>
          <cell r="M282">
            <v>33211</v>
          </cell>
          <cell r="N282">
            <v>0</v>
          </cell>
          <cell r="O282">
            <v>0</v>
          </cell>
          <cell r="P282">
            <v>0</v>
          </cell>
          <cell r="Q282">
            <v>0</v>
          </cell>
          <cell r="R282">
            <v>0</v>
          </cell>
          <cell r="S282">
            <v>0</v>
          </cell>
          <cell r="T282">
            <v>0</v>
          </cell>
          <cell r="U282">
            <v>0</v>
          </cell>
          <cell r="V282">
            <v>3000</v>
          </cell>
          <cell r="W282">
            <v>53136</v>
          </cell>
          <cell r="X282">
            <v>0</v>
          </cell>
          <cell r="Y282"/>
          <cell r="Z282">
            <v>0</v>
          </cell>
          <cell r="AA282">
            <v>0</v>
          </cell>
          <cell r="AB282">
            <v>0</v>
          </cell>
          <cell r="AC282"/>
          <cell r="AD282">
            <v>0</v>
          </cell>
          <cell r="AE282">
            <v>0</v>
          </cell>
          <cell r="AF282">
            <v>0</v>
          </cell>
          <cell r="AG282">
            <v>0</v>
          </cell>
          <cell r="AH282">
            <v>0</v>
          </cell>
          <cell r="AI282">
            <v>0</v>
          </cell>
          <cell r="AJ282">
            <v>0</v>
          </cell>
          <cell r="AK282">
            <v>0</v>
          </cell>
          <cell r="AL282"/>
          <cell r="AM282">
            <v>0</v>
          </cell>
          <cell r="AN282">
            <v>0</v>
          </cell>
          <cell r="AO282">
            <v>0</v>
          </cell>
          <cell r="AP282">
            <v>0</v>
          </cell>
          <cell r="AQ282">
            <v>0</v>
          </cell>
          <cell r="AR282">
            <v>0</v>
          </cell>
          <cell r="AS282">
            <v>0</v>
          </cell>
          <cell r="AT282">
            <v>0</v>
          </cell>
          <cell r="AU282">
            <v>0</v>
          </cell>
          <cell r="AV282">
            <v>0</v>
          </cell>
          <cell r="AW282">
            <v>0</v>
          </cell>
          <cell r="AX282">
            <v>0</v>
          </cell>
          <cell r="AY282"/>
          <cell r="AZ282"/>
          <cell r="BA282">
            <v>0</v>
          </cell>
          <cell r="BB282"/>
          <cell r="BC282">
            <v>0</v>
          </cell>
          <cell r="BD282">
            <v>22925</v>
          </cell>
          <cell r="BE282"/>
          <cell r="BF282">
            <v>0</v>
          </cell>
          <cell r="BG282">
            <v>0</v>
          </cell>
          <cell r="BH282">
            <v>0</v>
          </cell>
          <cell r="BI282">
            <v>14070</v>
          </cell>
          <cell r="BJ282">
            <v>11582</v>
          </cell>
          <cell r="BK282">
            <v>11582</v>
          </cell>
          <cell r="BL282">
            <v>0</v>
          </cell>
          <cell r="BM282">
            <v>0</v>
          </cell>
          <cell r="BN282">
            <v>0</v>
          </cell>
          <cell r="BO282">
            <v>16052</v>
          </cell>
          <cell r="BP282">
            <v>0</v>
          </cell>
          <cell r="BQ282">
            <v>0</v>
          </cell>
          <cell r="BR282">
            <v>0</v>
          </cell>
          <cell r="BS282">
            <v>0</v>
          </cell>
          <cell r="BT282">
            <v>25607</v>
          </cell>
          <cell r="BU282"/>
          <cell r="BV282"/>
          <cell r="BW282"/>
          <cell r="BX282"/>
          <cell r="BY282">
            <v>0</v>
          </cell>
          <cell r="BZ282">
            <v>0</v>
          </cell>
          <cell r="CA282">
            <v>0</v>
          </cell>
          <cell r="CB282">
            <v>0</v>
          </cell>
          <cell r="CC282">
            <v>838567</v>
          </cell>
          <cell r="CD282">
            <v>5111536</v>
          </cell>
          <cell r="CE282">
            <v>381787</v>
          </cell>
          <cell r="CF282">
            <v>-33412</v>
          </cell>
          <cell r="CG282">
            <v>381787</v>
          </cell>
          <cell r="CH282">
            <v>381787</v>
          </cell>
          <cell r="CI282">
            <v>381787</v>
          </cell>
          <cell r="CJ282">
            <v>381787</v>
          </cell>
          <cell r="CK282">
            <v>0</v>
          </cell>
          <cell r="CL282">
            <v>0</v>
          </cell>
          <cell r="CM282">
            <v>0</v>
          </cell>
          <cell r="CN282">
            <v>0</v>
          </cell>
          <cell r="CO282">
            <v>0</v>
          </cell>
          <cell r="CP282">
            <v>-664</v>
          </cell>
          <cell r="CQ282">
            <v>846492</v>
          </cell>
          <cell r="CR282">
            <v>781055</v>
          </cell>
          <cell r="CS282">
            <v>738729</v>
          </cell>
          <cell r="CT282">
            <v>725997</v>
          </cell>
          <cell r="CU282">
            <v>720609</v>
          </cell>
          <cell r="CV282">
            <v>8024</v>
          </cell>
          <cell r="CW282">
            <v>0</v>
          </cell>
          <cell r="CX282">
            <v>0</v>
          </cell>
          <cell r="CY282">
            <v>0</v>
          </cell>
          <cell r="CZ282">
            <v>0</v>
          </cell>
          <cell r="DA282">
            <v>0</v>
          </cell>
          <cell r="DB282"/>
          <cell r="DC282">
            <v>0</v>
          </cell>
          <cell r="DD282">
            <v>0</v>
          </cell>
          <cell r="DE282">
            <v>0</v>
          </cell>
          <cell r="DF282">
            <v>0</v>
          </cell>
          <cell r="DG282">
            <v>0</v>
          </cell>
          <cell r="DH282">
            <v>0</v>
          </cell>
          <cell r="DI282">
            <v>0</v>
          </cell>
          <cell r="DJ282">
            <v>0</v>
          </cell>
          <cell r="DK282">
            <v>0</v>
          </cell>
          <cell r="DL282">
            <v>0</v>
          </cell>
          <cell r="DM282"/>
          <cell r="DN282"/>
          <cell r="DO282"/>
          <cell r="DP282"/>
        </row>
        <row r="283">
          <cell r="A283">
            <v>1723</v>
          </cell>
          <cell r="B283" t="str">
            <v>Alphen-Chaam</v>
          </cell>
          <cell r="C283">
            <v>10</v>
          </cell>
          <cell r="D283">
            <v>-3600</v>
          </cell>
          <cell r="E283">
            <v>-1800</v>
          </cell>
          <cell r="F283">
            <v>0</v>
          </cell>
          <cell r="G283">
            <v>23907</v>
          </cell>
          <cell r="H283">
            <v>-7505</v>
          </cell>
          <cell r="I283">
            <v>-233</v>
          </cell>
          <cell r="J283"/>
          <cell r="K283">
            <v>0</v>
          </cell>
          <cell r="L283">
            <v>30441</v>
          </cell>
          <cell r="M283">
            <v>22712</v>
          </cell>
          <cell r="N283">
            <v>0</v>
          </cell>
          <cell r="O283">
            <v>0</v>
          </cell>
          <cell r="P283">
            <v>0</v>
          </cell>
          <cell r="Q283">
            <v>0</v>
          </cell>
          <cell r="R283">
            <v>0</v>
          </cell>
          <cell r="S283">
            <v>0</v>
          </cell>
          <cell r="T283">
            <v>0</v>
          </cell>
          <cell r="U283">
            <v>0</v>
          </cell>
          <cell r="V283">
            <v>0</v>
          </cell>
          <cell r="W283">
            <v>38876</v>
          </cell>
          <cell r="X283">
            <v>0</v>
          </cell>
          <cell r="Y283"/>
          <cell r="Z283">
            <v>0</v>
          </cell>
          <cell r="AA283">
            <v>0</v>
          </cell>
          <cell r="AB283">
            <v>0</v>
          </cell>
          <cell r="AC283"/>
          <cell r="AD283">
            <v>0</v>
          </cell>
          <cell r="AE283">
            <v>0</v>
          </cell>
          <cell r="AF283">
            <v>0</v>
          </cell>
          <cell r="AG283">
            <v>0</v>
          </cell>
          <cell r="AH283">
            <v>0</v>
          </cell>
          <cell r="AI283">
            <v>0</v>
          </cell>
          <cell r="AJ283">
            <v>0</v>
          </cell>
          <cell r="AK283">
            <v>0</v>
          </cell>
          <cell r="AL283"/>
          <cell r="AM283">
            <v>0</v>
          </cell>
          <cell r="AN283">
            <v>0</v>
          </cell>
          <cell r="AO283">
            <v>0</v>
          </cell>
          <cell r="AP283">
            <v>0</v>
          </cell>
          <cell r="AQ283">
            <v>0</v>
          </cell>
          <cell r="AR283">
            <v>0</v>
          </cell>
          <cell r="AS283">
            <v>0</v>
          </cell>
          <cell r="AT283">
            <v>0</v>
          </cell>
          <cell r="AU283">
            <v>0</v>
          </cell>
          <cell r="AV283">
            <v>0</v>
          </cell>
          <cell r="AW283">
            <v>0</v>
          </cell>
          <cell r="AX283">
            <v>0</v>
          </cell>
          <cell r="AY283"/>
          <cell r="AZ283"/>
          <cell r="BA283">
            <v>0</v>
          </cell>
          <cell r="BB283"/>
          <cell r="BC283">
            <v>0</v>
          </cell>
          <cell r="BD283">
            <v>3531</v>
          </cell>
          <cell r="BE283"/>
          <cell r="BF283">
            <v>0</v>
          </cell>
          <cell r="BG283">
            <v>0</v>
          </cell>
          <cell r="BH283">
            <v>0</v>
          </cell>
          <cell r="BI283">
            <v>8305</v>
          </cell>
          <cell r="BJ283">
            <v>6836</v>
          </cell>
          <cell r="BK283">
            <v>6836</v>
          </cell>
          <cell r="BL283">
            <v>0</v>
          </cell>
          <cell r="BM283">
            <v>0</v>
          </cell>
          <cell r="BN283">
            <v>0</v>
          </cell>
          <cell r="BO283">
            <v>0</v>
          </cell>
          <cell r="BP283">
            <v>0</v>
          </cell>
          <cell r="BQ283">
            <v>0</v>
          </cell>
          <cell r="BR283">
            <v>0</v>
          </cell>
          <cell r="BS283">
            <v>0</v>
          </cell>
          <cell r="BT283">
            <v>19231</v>
          </cell>
          <cell r="BU283"/>
          <cell r="BV283"/>
          <cell r="BW283"/>
          <cell r="BX283"/>
          <cell r="BY283">
            <v>0</v>
          </cell>
          <cell r="BZ283">
            <v>0</v>
          </cell>
          <cell r="CA283">
            <v>0</v>
          </cell>
          <cell r="CB283">
            <v>0</v>
          </cell>
          <cell r="CC283">
            <v>639672</v>
          </cell>
          <cell r="CD283">
            <v>3962342</v>
          </cell>
          <cell r="CE283">
            <v>377077</v>
          </cell>
          <cell r="CF283">
            <v>-562</v>
          </cell>
          <cell r="CG283">
            <v>377077</v>
          </cell>
          <cell r="CH283">
            <v>377077</v>
          </cell>
          <cell r="CI283">
            <v>377077</v>
          </cell>
          <cell r="CJ283">
            <v>377077</v>
          </cell>
          <cell r="CK283">
            <v>0</v>
          </cell>
          <cell r="CL283">
            <v>0</v>
          </cell>
          <cell r="CM283">
            <v>0</v>
          </cell>
          <cell r="CN283">
            <v>0</v>
          </cell>
          <cell r="CO283">
            <v>0</v>
          </cell>
          <cell r="CP283">
            <v>0</v>
          </cell>
          <cell r="CQ283">
            <v>579507</v>
          </cell>
          <cell r="CR283">
            <v>554795</v>
          </cell>
          <cell r="CS283">
            <v>533876</v>
          </cell>
          <cell r="CT283">
            <v>508900</v>
          </cell>
          <cell r="CU283">
            <v>497281</v>
          </cell>
          <cell r="CV283">
            <v>5075</v>
          </cell>
          <cell r="CW283">
            <v>0</v>
          </cell>
          <cell r="CX283">
            <v>0</v>
          </cell>
          <cell r="CY283">
            <v>0</v>
          </cell>
          <cell r="CZ283">
            <v>0</v>
          </cell>
          <cell r="DA283">
            <v>0</v>
          </cell>
          <cell r="DB283"/>
          <cell r="DC283">
            <v>0</v>
          </cell>
          <cell r="DD283">
            <v>0</v>
          </cell>
          <cell r="DE283">
            <v>0</v>
          </cell>
          <cell r="DF283">
            <v>0</v>
          </cell>
          <cell r="DG283">
            <v>0</v>
          </cell>
          <cell r="DH283">
            <v>0</v>
          </cell>
          <cell r="DI283">
            <v>0</v>
          </cell>
          <cell r="DJ283">
            <v>0</v>
          </cell>
          <cell r="DK283">
            <v>0</v>
          </cell>
          <cell r="DL283">
            <v>0</v>
          </cell>
          <cell r="DM283"/>
          <cell r="DN283"/>
          <cell r="DO283"/>
          <cell r="DP283"/>
        </row>
        <row r="284">
          <cell r="A284">
            <v>743</v>
          </cell>
          <cell r="B284" t="str">
            <v>Asten</v>
          </cell>
          <cell r="C284">
            <v>10</v>
          </cell>
          <cell r="D284">
            <v>-21977</v>
          </cell>
          <cell r="E284">
            <v>-10989</v>
          </cell>
          <cell r="F284">
            <v>0</v>
          </cell>
          <cell r="G284">
            <v>19916</v>
          </cell>
          <cell r="H284">
            <v>-9519</v>
          </cell>
          <cell r="I284">
            <v>0</v>
          </cell>
          <cell r="J284"/>
          <cell r="K284">
            <v>0</v>
          </cell>
          <cell r="L284">
            <v>56465</v>
          </cell>
          <cell r="M284">
            <v>60494</v>
          </cell>
          <cell r="N284">
            <v>0</v>
          </cell>
          <cell r="O284">
            <v>0</v>
          </cell>
          <cell r="P284">
            <v>0</v>
          </cell>
          <cell r="Q284">
            <v>0</v>
          </cell>
          <cell r="R284">
            <v>0</v>
          </cell>
          <cell r="S284">
            <v>0</v>
          </cell>
          <cell r="T284">
            <v>0</v>
          </cell>
          <cell r="U284">
            <v>0</v>
          </cell>
          <cell r="V284">
            <v>0</v>
          </cell>
          <cell r="W284">
            <v>70170</v>
          </cell>
          <cell r="X284">
            <v>0</v>
          </cell>
          <cell r="Y284"/>
          <cell r="Z284">
            <v>0</v>
          </cell>
          <cell r="AA284">
            <v>0</v>
          </cell>
          <cell r="AB284">
            <v>0</v>
          </cell>
          <cell r="AC284"/>
          <cell r="AD284">
            <v>0</v>
          </cell>
          <cell r="AE284">
            <v>0</v>
          </cell>
          <cell r="AF284">
            <v>0</v>
          </cell>
          <cell r="AG284">
            <v>0</v>
          </cell>
          <cell r="AH284">
            <v>0</v>
          </cell>
          <cell r="AI284">
            <v>0</v>
          </cell>
          <cell r="AJ284">
            <v>0</v>
          </cell>
          <cell r="AK284">
            <v>0</v>
          </cell>
          <cell r="AL284"/>
          <cell r="AM284">
            <v>0</v>
          </cell>
          <cell r="AN284">
            <v>0</v>
          </cell>
          <cell r="AO284">
            <v>0</v>
          </cell>
          <cell r="AP284">
            <v>0</v>
          </cell>
          <cell r="AQ284">
            <v>0</v>
          </cell>
          <cell r="AR284">
            <v>0</v>
          </cell>
          <cell r="AS284">
            <v>0</v>
          </cell>
          <cell r="AT284">
            <v>0</v>
          </cell>
          <cell r="AU284">
            <v>2370</v>
          </cell>
          <cell r="AV284">
            <v>0</v>
          </cell>
          <cell r="AW284">
            <v>0</v>
          </cell>
          <cell r="AX284">
            <v>0</v>
          </cell>
          <cell r="AY284"/>
          <cell r="AZ284"/>
          <cell r="BA284">
            <v>0</v>
          </cell>
          <cell r="BB284"/>
          <cell r="BC284">
            <v>0</v>
          </cell>
          <cell r="BD284">
            <v>5867</v>
          </cell>
          <cell r="BE284"/>
          <cell r="BF284">
            <v>0</v>
          </cell>
          <cell r="BG284">
            <v>0</v>
          </cell>
          <cell r="BH284">
            <v>0</v>
          </cell>
          <cell r="BI284">
            <v>25238</v>
          </cell>
          <cell r="BJ284">
            <v>20774</v>
          </cell>
          <cell r="BK284">
            <v>20774</v>
          </cell>
          <cell r="BL284">
            <v>0</v>
          </cell>
          <cell r="BM284">
            <v>0</v>
          </cell>
          <cell r="BN284">
            <v>0</v>
          </cell>
          <cell r="BO284">
            <v>32591</v>
          </cell>
          <cell r="BP284">
            <v>7907</v>
          </cell>
          <cell r="BQ284">
            <v>14244.186046511601</v>
          </cell>
          <cell r="BR284">
            <v>0</v>
          </cell>
          <cell r="BS284">
            <v>0</v>
          </cell>
          <cell r="BT284">
            <v>24111</v>
          </cell>
          <cell r="BU284"/>
          <cell r="BV284"/>
          <cell r="BW284"/>
          <cell r="BX284"/>
          <cell r="BY284">
            <v>0</v>
          </cell>
          <cell r="BZ284">
            <v>0</v>
          </cell>
          <cell r="CA284">
            <v>0</v>
          </cell>
          <cell r="CB284">
            <v>0</v>
          </cell>
          <cell r="CC284">
            <v>1180471</v>
          </cell>
          <cell r="CD284">
            <v>6480426</v>
          </cell>
          <cell r="CE284">
            <v>385783</v>
          </cell>
          <cell r="CF284">
            <v>0</v>
          </cell>
          <cell r="CG284">
            <v>385783</v>
          </cell>
          <cell r="CH284">
            <v>385783</v>
          </cell>
          <cell r="CI284">
            <v>385783</v>
          </cell>
          <cell r="CJ284">
            <v>385783</v>
          </cell>
          <cell r="CK284">
            <v>0</v>
          </cell>
          <cell r="CL284">
            <v>0</v>
          </cell>
          <cell r="CM284">
            <v>0</v>
          </cell>
          <cell r="CN284">
            <v>0</v>
          </cell>
          <cell r="CO284">
            <v>0</v>
          </cell>
          <cell r="CP284">
            <v>0</v>
          </cell>
          <cell r="CQ284">
            <v>1775723</v>
          </cell>
          <cell r="CR284">
            <v>1660237</v>
          </cell>
          <cell r="CS284">
            <v>1602860</v>
          </cell>
          <cell r="CT284">
            <v>1534373</v>
          </cell>
          <cell r="CU284">
            <v>1495788</v>
          </cell>
          <cell r="CV284">
            <v>-52891</v>
          </cell>
          <cell r="CW284">
            <v>0</v>
          </cell>
          <cell r="CX284">
            <v>0</v>
          </cell>
          <cell r="CY284">
            <v>0</v>
          </cell>
          <cell r="CZ284">
            <v>0</v>
          </cell>
          <cell r="DA284">
            <v>0</v>
          </cell>
          <cell r="DB284"/>
          <cell r="DC284">
            <v>0</v>
          </cell>
          <cell r="DD284">
            <v>0</v>
          </cell>
          <cell r="DE284">
            <v>0</v>
          </cell>
          <cell r="DF284">
            <v>0</v>
          </cell>
          <cell r="DG284">
            <v>0</v>
          </cell>
          <cell r="DH284">
            <v>0</v>
          </cell>
          <cell r="DI284">
            <v>0</v>
          </cell>
          <cell r="DJ284">
            <v>0</v>
          </cell>
          <cell r="DK284">
            <v>0</v>
          </cell>
          <cell r="DL284">
            <v>0</v>
          </cell>
          <cell r="DM284"/>
          <cell r="DN284"/>
          <cell r="DO284"/>
          <cell r="DP284"/>
        </row>
        <row r="285">
          <cell r="A285">
            <v>744</v>
          </cell>
          <cell r="B285" t="str">
            <v>Baarle-Nassau</v>
          </cell>
          <cell r="C285">
            <v>10</v>
          </cell>
          <cell r="D285">
            <v>279</v>
          </cell>
          <cell r="E285">
            <v>140</v>
          </cell>
          <cell r="F285">
            <v>0</v>
          </cell>
          <cell r="G285">
            <v>14515</v>
          </cell>
          <cell r="H285">
            <v>-8484</v>
          </cell>
          <cell r="I285">
            <v>-8992</v>
          </cell>
          <cell r="J285"/>
          <cell r="K285">
            <v>0</v>
          </cell>
          <cell r="L285">
            <v>22483</v>
          </cell>
          <cell r="M285">
            <v>25236</v>
          </cell>
          <cell r="N285">
            <v>0</v>
          </cell>
          <cell r="O285">
            <v>0</v>
          </cell>
          <cell r="P285">
            <v>0</v>
          </cell>
          <cell r="Q285">
            <v>0</v>
          </cell>
          <cell r="R285">
            <v>0</v>
          </cell>
          <cell r="S285">
            <v>0</v>
          </cell>
          <cell r="T285">
            <v>0</v>
          </cell>
          <cell r="U285">
            <v>0</v>
          </cell>
          <cell r="V285">
            <v>0</v>
          </cell>
          <cell r="W285">
            <v>21576</v>
          </cell>
          <cell r="X285">
            <v>0</v>
          </cell>
          <cell r="Y285"/>
          <cell r="Z285">
            <v>0</v>
          </cell>
          <cell r="AA285">
            <v>0</v>
          </cell>
          <cell r="AB285">
            <v>0</v>
          </cell>
          <cell r="AC285"/>
          <cell r="AD285">
            <v>0</v>
          </cell>
          <cell r="AE285">
            <v>0</v>
          </cell>
          <cell r="AF285">
            <v>0</v>
          </cell>
          <cell r="AG285">
            <v>0</v>
          </cell>
          <cell r="AH285">
            <v>0</v>
          </cell>
          <cell r="AI285">
            <v>0</v>
          </cell>
          <cell r="AJ285">
            <v>0</v>
          </cell>
          <cell r="AK285">
            <v>0</v>
          </cell>
          <cell r="AL285"/>
          <cell r="AM285">
            <v>0</v>
          </cell>
          <cell r="AN285">
            <v>0</v>
          </cell>
          <cell r="AO285">
            <v>0</v>
          </cell>
          <cell r="AP285">
            <v>0</v>
          </cell>
          <cell r="AQ285">
            <v>0</v>
          </cell>
          <cell r="AR285">
            <v>0</v>
          </cell>
          <cell r="AS285">
            <v>0</v>
          </cell>
          <cell r="AT285">
            <v>0</v>
          </cell>
          <cell r="AU285">
            <v>0</v>
          </cell>
          <cell r="AV285">
            <v>0</v>
          </cell>
          <cell r="AW285">
            <v>0</v>
          </cell>
          <cell r="AX285">
            <v>0</v>
          </cell>
          <cell r="AY285"/>
          <cell r="AZ285"/>
          <cell r="BA285">
            <v>0</v>
          </cell>
          <cell r="BB285"/>
          <cell r="BC285">
            <v>0</v>
          </cell>
          <cell r="BD285">
            <v>2337</v>
          </cell>
          <cell r="BE285"/>
          <cell r="BF285">
            <v>0</v>
          </cell>
          <cell r="BG285">
            <v>0</v>
          </cell>
          <cell r="BH285">
            <v>0</v>
          </cell>
          <cell r="BI285">
            <v>8960</v>
          </cell>
          <cell r="BJ285">
            <v>7375</v>
          </cell>
          <cell r="BK285">
            <v>7375</v>
          </cell>
          <cell r="BL285">
            <v>0</v>
          </cell>
          <cell r="BM285">
            <v>0</v>
          </cell>
          <cell r="BN285">
            <v>0</v>
          </cell>
          <cell r="BO285">
            <v>29186</v>
          </cell>
          <cell r="BP285">
            <v>0</v>
          </cell>
          <cell r="BQ285">
            <v>0</v>
          </cell>
          <cell r="BR285">
            <v>0</v>
          </cell>
          <cell r="BS285">
            <v>0</v>
          </cell>
          <cell r="BT285">
            <v>13448</v>
          </cell>
          <cell r="BU285"/>
          <cell r="BV285"/>
          <cell r="BW285"/>
          <cell r="BX285"/>
          <cell r="BY285">
            <v>0</v>
          </cell>
          <cell r="BZ285">
            <v>0</v>
          </cell>
          <cell r="CA285">
            <v>0</v>
          </cell>
          <cell r="CB285">
            <v>0</v>
          </cell>
          <cell r="CC285">
            <v>652254</v>
          </cell>
          <cell r="CD285">
            <v>2114566</v>
          </cell>
          <cell r="CE285">
            <v>26995</v>
          </cell>
          <cell r="CF285">
            <v>-21784</v>
          </cell>
          <cell r="CG285">
            <v>26995</v>
          </cell>
          <cell r="CH285">
            <v>26995</v>
          </cell>
          <cell r="CI285">
            <v>26995</v>
          </cell>
          <cell r="CJ285">
            <v>26995</v>
          </cell>
          <cell r="CK285">
            <v>0</v>
          </cell>
          <cell r="CL285">
            <v>0</v>
          </cell>
          <cell r="CM285">
            <v>0</v>
          </cell>
          <cell r="CN285">
            <v>0</v>
          </cell>
          <cell r="CO285">
            <v>0</v>
          </cell>
          <cell r="CP285">
            <v>0</v>
          </cell>
          <cell r="CQ285">
            <v>25381</v>
          </cell>
          <cell r="CR285">
            <v>28341</v>
          </cell>
          <cell r="CS285">
            <v>29255</v>
          </cell>
          <cell r="CT285">
            <v>31941</v>
          </cell>
          <cell r="CU285">
            <v>34617</v>
          </cell>
          <cell r="CV285">
            <v>-7252</v>
          </cell>
          <cell r="CW285">
            <v>0</v>
          </cell>
          <cell r="CX285">
            <v>0</v>
          </cell>
          <cell r="CY285">
            <v>0</v>
          </cell>
          <cell r="CZ285">
            <v>0</v>
          </cell>
          <cell r="DA285">
            <v>0</v>
          </cell>
          <cell r="DB285"/>
          <cell r="DC285">
            <v>0</v>
          </cell>
          <cell r="DD285">
            <v>0</v>
          </cell>
          <cell r="DE285">
            <v>0</v>
          </cell>
          <cell r="DF285">
            <v>0</v>
          </cell>
          <cell r="DG285">
            <v>0</v>
          </cell>
          <cell r="DH285">
            <v>0</v>
          </cell>
          <cell r="DI285">
            <v>0</v>
          </cell>
          <cell r="DJ285">
            <v>0</v>
          </cell>
          <cell r="DK285">
            <v>0</v>
          </cell>
          <cell r="DL285">
            <v>0</v>
          </cell>
          <cell r="DM285"/>
          <cell r="DN285"/>
          <cell r="DO285"/>
          <cell r="DP285"/>
        </row>
        <row r="286">
          <cell r="A286">
            <v>1724</v>
          </cell>
          <cell r="B286" t="str">
            <v>Bergeijk</v>
          </cell>
          <cell r="C286">
            <v>10</v>
          </cell>
          <cell r="D286">
            <v>-29014</v>
          </cell>
          <cell r="E286">
            <v>-14507</v>
          </cell>
          <cell r="F286">
            <v>0</v>
          </cell>
          <cell r="G286">
            <v>0</v>
          </cell>
          <cell r="H286">
            <v>-16311</v>
          </cell>
          <cell r="I286">
            <v>-7519</v>
          </cell>
          <cell r="J286"/>
          <cell r="K286">
            <v>0</v>
          </cell>
          <cell r="L286">
            <v>52287</v>
          </cell>
          <cell r="M286">
            <v>47996</v>
          </cell>
          <cell r="N286">
            <v>0</v>
          </cell>
          <cell r="O286">
            <v>0</v>
          </cell>
          <cell r="P286">
            <v>0</v>
          </cell>
          <cell r="Q286">
            <v>0</v>
          </cell>
          <cell r="R286">
            <v>0</v>
          </cell>
          <cell r="S286">
            <v>0</v>
          </cell>
          <cell r="T286">
            <v>0</v>
          </cell>
          <cell r="U286">
            <v>0</v>
          </cell>
          <cell r="V286">
            <v>6000</v>
          </cell>
          <cell r="W286">
            <v>76391</v>
          </cell>
          <cell r="X286">
            <v>0</v>
          </cell>
          <cell r="Y286"/>
          <cell r="Z286">
            <v>0</v>
          </cell>
          <cell r="AA286">
            <v>0</v>
          </cell>
          <cell r="AB286">
            <v>0</v>
          </cell>
          <cell r="AC286"/>
          <cell r="AD286">
            <v>0</v>
          </cell>
          <cell r="AE286">
            <v>0</v>
          </cell>
          <cell r="AF286">
            <v>0</v>
          </cell>
          <cell r="AG286">
            <v>0</v>
          </cell>
          <cell r="AH286">
            <v>0</v>
          </cell>
          <cell r="AI286">
            <v>0</v>
          </cell>
          <cell r="AJ286">
            <v>0</v>
          </cell>
          <cell r="AK286">
            <v>0</v>
          </cell>
          <cell r="AL286"/>
          <cell r="AM286">
            <v>0</v>
          </cell>
          <cell r="AN286">
            <v>0</v>
          </cell>
          <cell r="AO286">
            <v>0</v>
          </cell>
          <cell r="AP286">
            <v>0</v>
          </cell>
          <cell r="AQ286">
            <v>0</v>
          </cell>
          <cell r="AR286">
            <v>0</v>
          </cell>
          <cell r="AS286">
            <v>0</v>
          </cell>
          <cell r="AT286">
            <v>0</v>
          </cell>
          <cell r="AU286">
            <v>0</v>
          </cell>
          <cell r="AV286">
            <v>0</v>
          </cell>
          <cell r="AW286">
            <v>0</v>
          </cell>
          <cell r="AX286">
            <v>0</v>
          </cell>
          <cell r="AY286"/>
          <cell r="AZ286"/>
          <cell r="BA286">
            <v>0</v>
          </cell>
          <cell r="BB286"/>
          <cell r="BC286">
            <v>0</v>
          </cell>
          <cell r="BD286">
            <v>6439</v>
          </cell>
          <cell r="BE286"/>
          <cell r="BF286">
            <v>0</v>
          </cell>
          <cell r="BG286">
            <v>0</v>
          </cell>
          <cell r="BH286">
            <v>0</v>
          </cell>
          <cell r="BI286">
            <v>16842</v>
          </cell>
          <cell r="BJ286">
            <v>13863</v>
          </cell>
          <cell r="BK286">
            <v>13863</v>
          </cell>
          <cell r="BL286">
            <v>0</v>
          </cell>
          <cell r="BM286">
            <v>0</v>
          </cell>
          <cell r="BN286">
            <v>0</v>
          </cell>
          <cell r="BO286">
            <v>16052</v>
          </cell>
          <cell r="BP286">
            <v>4744.2</v>
          </cell>
          <cell r="BQ286">
            <v>8546.5116279069807</v>
          </cell>
          <cell r="BR286">
            <v>0</v>
          </cell>
          <cell r="BS286">
            <v>0</v>
          </cell>
          <cell r="BT286">
            <v>31790</v>
          </cell>
          <cell r="BU286"/>
          <cell r="BV286"/>
          <cell r="BW286"/>
          <cell r="BX286"/>
          <cell r="BY286">
            <v>0</v>
          </cell>
          <cell r="BZ286">
            <v>0</v>
          </cell>
          <cell r="CA286">
            <v>0</v>
          </cell>
          <cell r="CB286">
            <v>0</v>
          </cell>
          <cell r="CC286">
            <v>1248648</v>
          </cell>
          <cell r="CD286">
            <v>7861630</v>
          </cell>
          <cell r="CE286">
            <v>684634</v>
          </cell>
          <cell r="CF286">
            <v>-13718</v>
          </cell>
          <cell r="CG286">
            <v>684634</v>
          </cell>
          <cell r="CH286">
            <v>684634</v>
          </cell>
          <cell r="CI286">
            <v>684634</v>
          </cell>
          <cell r="CJ286">
            <v>684634</v>
          </cell>
          <cell r="CK286">
            <v>0</v>
          </cell>
          <cell r="CL286">
            <v>0</v>
          </cell>
          <cell r="CM286">
            <v>0</v>
          </cell>
          <cell r="CN286">
            <v>0</v>
          </cell>
          <cell r="CO286">
            <v>0</v>
          </cell>
          <cell r="CP286">
            <v>-674</v>
          </cell>
          <cell r="CQ286">
            <v>2500068</v>
          </cell>
          <cell r="CR286">
            <v>2386087</v>
          </cell>
          <cell r="CS286">
            <v>2328416</v>
          </cell>
          <cell r="CT286">
            <v>2270152</v>
          </cell>
          <cell r="CU286">
            <v>2186624</v>
          </cell>
          <cell r="CV286">
            <v>17293</v>
          </cell>
          <cell r="CW286">
            <v>0</v>
          </cell>
          <cell r="CX286">
            <v>0</v>
          </cell>
          <cell r="CY286">
            <v>0</v>
          </cell>
          <cell r="CZ286">
            <v>0</v>
          </cell>
          <cell r="DA286">
            <v>0</v>
          </cell>
          <cell r="DB286"/>
          <cell r="DC286">
            <v>0</v>
          </cell>
          <cell r="DD286">
            <v>0</v>
          </cell>
          <cell r="DE286">
            <v>0</v>
          </cell>
          <cell r="DF286">
            <v>0</v>
          </cell>
          <cell r="DG286">
            <v>0</v>
          </cell>
          <cell r="DH286">
            <v>0</v>
          </cell>
          <cell r="DI286">
            <v>0</v>
          </cell>
          <cell r="DJ286">
            <v>0</v>
          </cell>
          <cell r="DK286">
            <v>0</v>
          </cell>
          <cell r="DL286">
            <v>0</v>
          </cell>
          <cell r="DM286"/>
          <cell r="DN286"/>
          <cell r="DO286"/>
          <cell r="DP286"/>
        </row>
        <row r="287">
          <cell r="A287">
            <v>748</v>
          </cell>
          <cell r="B287" t="str">
            <v>Bergen op Zoom</v>
          </cell>
          <cell r="C287">
            <v>10</v>
          </cell>
          <cell r="D287">
            <v>4584</v>
          </cell>
          <cell r="E287">
            <v>2292</v>
          </cell>
          <cell r="F287">
            <v>0</v>
          </cell>
          <cell r="G287">
            <v>49117</v>
          </cell>
          <cell r="H287">
            <v>-24705</v>
          </cell>
          <cell r="I287">
            <v>-6777</v>
          </cell>
          <cell r="J287"/>
          <cell r="K287">
            <v>0</v>
          </cell>
          <cell r="L287">
            <v>377967</v>
          </cell>
          <cell r="M287">
            <v>386012</v>
          </cell>
          <cell r="N287">
            <v>0</v>
          </cell>
          <cell r="O287">
            <v>0</v>
          </cell>
          <cell r="P287">
            <v>0</v>
          </cell>
          <cell r="Q287">
            <v>0</v>
          </cell>
          <cell r="R287">
            <v>0</v>
          </cell>
          <cell r="S287">
            <v>0</v>
          </cell>
          <cell r="T287">
            <v>0</v>
          </cell>
          <cell r="U287">
            <v>0</v>
          </cell>
          <cell r="V287">
            <v>37500</v>
          </cell>
          <cell r="W287">
            <v>249776</v>
          </cell>
          <cell r="X287">
            <v>0</v>
          </cell>
          <cell r="Y287"/>
          <cell r="Z287">
            <v>0</v>
          </cell>
          <cell r="AA287">
            <v>0</v>
          </cell>
          <cell r="AB287">
            <v>0</v>
          </cell>
          <cell r="AC287"/>
          <cell r="AD287">
            <v>138847</v>
          </cell>
          <cell r="AE287">
            <v>0</v>
          </cell>
          <cell r="AF287">
            <v>0</v>
          </cell>
          <cell r="AG287">
            <v>0</v>
          </cell>
          <cell r="AH287">
            <v>0</v>
          </cell>
          <cell r="AI287">
            <v>0</v>
          </cell>
          <cell r="AJ287">
            <v>0</v>
          </cell>
          <cell r="AK287">
            <v>0</v>
          </cell>
          <cell r="AL287"/>
          <cell r="AM287">
            <v>0</v>
          </cell>
          <cell r="AN287">
            <v>0</v>
          </cell>
          <cell r="AO287">
            <v>0</v>
          </cell>
          <cell r="AP287">
            <v>0</v>
          </cell>
          <cell r="AQ287">
            <v>0</v>
          </cell>
          <cell r="AR287">
            <v>0</v>
          </cell>
          <cell r="AS287">
            <v>0</v>
          </cell>
          <cell r="AT287">
            <v>0</v>
          </cell>
          <cell r="AU287">
            <v>7110</v>
          </cell>
          <cell r="AV287">
            <v>2957280.7741564899</v>
          </cell>
          <cell r="AW287">
            <v>0</v>
          </cell>
          <cell r="AX287">
            <v>0</v>
          </cell>
          <cell r="AY287"/>
          <cell r="AZ287"/>
          <cell r="BA287">
            <v>0</v>
          </cell>
          <cell r="BB287"/>
          <cell r="BC287">
            <v>0</v>
          </cell>
          <cell r="BD287">
            <v>23226</v>
          </cell>
          <cell r="BE287"/>
          <cell r="BF287">
            <v>0</v>
          </cell>
          <cell r="BG287">
            <v>0</v>
          </cell>
          <cell r="BH287">
            <v>0</v>
          </cell>
          <cell r="BI287">
            <v>109671</v>
          </cell>
          <cell r="BJ287">
            <v>90275</v>
          </cell>
          <cell r="BK287">
            <v>90275</v>
          </cell>
          <cell r="BL287">
            <v>0</v>
          </cell>
          <cell r="BM287">
            <v>0</v>
          </cell>
          <cell r="BN287">
            <v>0</v>
          </cell>
          <cell r="BO287">
            <v>130849</v>
          </cell>
          <cell r="BP287">
            <v>22139.599999999999</v>
          </cell>
          <cell r="BQ287">
            <v>39883.720930232601</v>
          </cell>
          <cell r="BR287">
            <v>0</v>
          </cell>
          <cell r="BS287">
            <v>0</v>
          </cell>
          <cell r="BT287">
            <v>110530</v>
          </cell>
          <cell r="BU287"/>
          <cell r="BV287"/>
          <cell r="BW287"/>
          <cell r="BX287"/>
          <cell r="BY287">
            <v>0</v>
          </cell>
          <cell r="BZ287">
            <v>0</v>
          </cell>
          <cell r="CA287">
            <v>0</v>
          </cell>
          <cell r="CB287">
            <v>0</v>
          </cell>
          <cell r="CC287">
            <v>5893508</v>
          </cell>
          <cell r="CD287">
            <v>48186828</v>
          </cell>
          <cell r="CE287">
            <v>1506996</v>
          </cell>
          <cell r="CF287">
            <v>0</v>
          </cell>
          <cell r="CG287">
            <v>1506996</v>
          </cell>
          <cell r="CH287">
            <v>1506996</v>
          </cell>
          <cell r="CI287">
            <v>1506996</v>
          </cell>
          <cell r="CJ287">
            <v>1506996</v>
          </cell>
          <cell r="CK287">
            <v>11042631</v>
          </cell>
          <cell r="CL287">
            <v>11037089</v>
          </cell>
          <cell r="CM287">
            <v>11036999</v>
          </cell>
          <cell r="CN287">
            <v>11036802</v>
          </cell>
          <cell r="CO287">
            <v>11037075</v>
          </cell>
          <cell r="CP287">
            <v>-2452</v>
          </cell>
          <cell r="CQ287">
            <v>10987492</v>
          </cell>
          <cell r="CR287">
            <v>10543454</v>
          </cell>
          <cell r="CS287">
            <v>10306705</v>
          </cell>
          <cell r="CT287">
            <v>10122359</v>
          </cell>
          <cell r="CU287">
            <v>9898470</v>
          </cell>
          <cell r="CV287">
            <v>-23733</v>
          </cell>
          <cell r="CW287">
            <v>0</v>
          </cell>
          <cell r="CX287">
            <v>0</v>
          </cell>
          <cell r="CY287">
            <v>0</v>
          </cell>
          <cell r="CZ287">
            <v>0</v>
          </cell>
          <cell r="DA287">
            <v>0</v>
          </cell>
          <cell r="DB287"/>
          <cell r="DC287">
            <v>0</v>
          </cell>
          <cell r="DD287">
            <v>0</v>
          </cell>
          <cell r="DE287">
            <v>0</v>
          </cell>
          <cell r="DF287">
            <v>0</v>
          </cell>
          <cell r="DG287">
            <v>0</v>
          </cell>
          <cell r="DH287">
            <v>0</v>
          </cell>
          <cell r="DI287">
            <v>0</v>
          </cell>
          <cell r="DJ287">
            <v>0</v>
          </cell>
          <cell r="DK287">
            <v>0</v>
          </cell>
          <cell r="DL287">
            <v>0</v>
          </cell>
          <cell r="DM287"/>
          <cell r="DN287"/>
          <cell r="DO287"/>
          <cell r="DP287"/>
        </row>
        <row r="288">
          <cell r="A288">
            <v>1721</v>
          </cell>
          <cell r="B288" t="str">
            <v>Bernheze</v>
          </cell>
          <cell r="C288">
            <v>10</v>
          </cell>
          <cell r="D288">
            <v>-1183</v>
          </cell>
          <cell r="E288">
            <v>-591</v>
          </cell>
          <cell r="F288">
            <v>0</v>
          </cell>
          <cell r="G288">
            <v>0</v>
          </cell>
          <cell r="H288">
            <v>-20522</v>
          </cell>
          <cell r="I288">
            <v>-9721</v>
          </cell>
          <cell r="J288"/>
          <cell r="K288">
            <v>0</v>
          </cell>
          <cell r="L288">
            <v>92955</v>
          </cell>
          <cell r="M288">
            <v>86849</v>
          </cell>
          <cell r="N288">
            <v>0</v>
          </cell>
          <cell r="O288">
            <v>0</v>
          </cell>
          <cell r="P288">
            <v>0</v>
          </cell>
          <cell r="Q288">
            <v>0</v>
          </cell>
          <cell r="R288">
            <v>0</v>
          </cell>
          <cell r="S288">
            <v>0</v>
          </cell>
          <cell r="T288">
            <v>0</v>
          </cell>
          <cell r="U288">
            <v>0</v>
          </cell>
          <cell r="V288">
            <v>6000</v>
          </cell>
          <cell r="W288">
            <v>57984</v>
          </cell>
          <cell r="X288">
            <v>0</v>
          </cell>
          <cell r="Y288"/>
          <cell r="Z288">
            <v>0</v>
          </cell>
          <cell r="AA288">
            <v>0</v>
          </cell>
          <cell r="AB288">
            <v>0</v>
          </cell>
          <cell r="AC288"/>
          <cell r="AD288">
            <v>0</v>
          </cell>
          <cell r="AE288">
            <v>0</v>
          </cell>
          <cell r="AF288">
            <v>0</v>
          </cell>
          <cell r="AG288">
            <v>0</v>
          </cell>
          <cell r="AH288">
            <v>0</v>
          </cell>
          <cell r="AI288">
            <v>0</v>
          </cell>
          <cell r="AJ288">
            <v>0</v>
          </cell>
          <cell r="AK288">
            <v>0</v>
          </cell>
          <cell r="AL288"/>
          <cell r="AM288">
            <v>0</v>
          </cell>
          <cell r="AN288">
            <v>0</v>
          </cell>
          <cell r="AO288">
            <v>0</v>
          </cell>
          <cell r="AP288">
            <v>0</v>
          </cell>
          <cell r="AQ288">
            <v>0</v>
          </cell>
          <cell r="AR288">
            <v>0</v>
          </cell>
          <cell r="AS288">
            <v>0</v>
          </cell>
          <cell r="AT288">
            <v>0</v>
          </cell>
          <cell r="AU288">
            <v>2370</v>
          </cell>
          <cell r="AV288">
            <v>0</v>
          </cell>
          <cell r="AW288">
            <v>0</v>
          </cell>
          <cell r="AX288">
            <v>0</v>
          </cell>
          <cell r="AY288"/>
          <cell r="AZ288"/>
          <cell r="BA288">
            <v>0</v>
          </cell>
          <cell r="BB288"/>
          <cell r="BC288">
            <v>0</v>
          </cell>
          <cell r="BD288">
            <v>10620</v>
          </cell>
          <cell r="BE288"/>
          <cell r="BF288">
            <v>0</v>
          </cell>
          <cell r="BG288">
            <v>0</v>
          </cell>
          <cell r="BH288">
            <v>0</v>
          </cell>
          <cell r="BI288">
            <v>32123</v>
          </cell>
          <cell r="BJ288">
            <v>26442</v>
          </cell>
          <cell r="BK288">
            <v>26442</v>
          </cell>
          <cell r="BL288">
            <v>0</v>
          </cell>
          <cell r="BM288">
            <v>0</v>
          </cell>
          <cell r="BN288">
            <v>0</v>
          </cell>
          <cell r="BO288">
            <v>57398</v>
          </cell>
          <cell r="BP288">
            <v>6325.6</v>
          </cell>
          <cell r="BQ288">
            <v>11395.3488372093</v>
          </cell>
          <cell r="BR288">
            <v>0</v>
          </cell>
          <cell r="BS288">
            <v>0</v>
          </cell>
          <cell r="BT288">
            <v>48912</v>
          </cell>
          <cell r="BU288"/>
          <cell r="BV288"/>
          <cell r="BW288"/>
          <cell r="BX288"/>
          <cell r="BY288">
            <v>0</v>
          </cell>
          <cell r="BZ288">
            <v>0</v>
          </cell>
          <cell r="CA288">
            <v>0</v>
          </cell>
          <cell r="CB288">
            <v>0</v>
          </cell>
          <cell r="CC288">
            <v>2031896</v>
          </cell>
          <cell r="CD288">
            <v>13003043</v>
          </cell>
          <cell r="CE288">
            <v>413306</v>
          </cell>
          <cell r="CF288">
            <v>0</v>
          </cell>
          <cell r="CG288">
            <v>413306</v>
          </cell>
          <cell r="CH288">
            <v>413306</v>
          </cell>
          <cell r="CI288">
            <v>413306</v>
          </cell>
          <cell r="CJ288">
            <v>413306</v>
          </cell>
          <cell r="CK288">
            <v>0</v>
          </cell>
          <cell r="CL288">
            <v>0</v>
          </cell>
          <cell r="CM288">
            <v>0</v>
          </cell>
          <cell r="CN288">
            <v>0</v>
          </cell>
          <cell r="CO288">
            <v>0</v>
          </cell>
          <cell r="CP288">
            <v>-3507</v>
          </cell>
          <cell r="CQ288">
            <v>4382377</v>
          </cell>
          <cell r="CR288">
            <v>4138127</v>
          </cell>
          <cell r="CS288">
            <v>4022194</v>
          </cell>
          <cell r="CT288">
            <v>3916412</v>
          </cell>
          <cell r="CU288">
            <v>3857698</v>
          </cell>
          <cell r="CV288">
            <v>-6611</v>
          </cell>
          <cell r="CW288">
            <v>0</v>
          </cell>
          <cell r="CX288">
            <v>0</v>
          </cell>
          <cell r="CY288">
            <v>0</v>
          </cell>
          <cell r="CZ288">
            <v>0</v>
          </cell>
          <cell r="DA288">
            <v>0</v>
          </cell>
          <cell r="DB288"/>
          <cell r="DC288">
            <v>0</v>
          </cell>
          <cell r="DD288">
            <v>0</v>
          </cell>
          <cell r="DE288">
            <v>0</v>
          </cell>
          <cell r="DF288">
            <v>0</v>
          </cell>
          <cell r="DG288">
            <v>0</v>
          </cell>
          <cell r="DH288">
            <v>0</v>
          </cell>
          <cell r="DI288">
            <v>0</v>
          </cell>
          <cell r="DJ288">
            <v>0</v>
          </cell>
          <cell r="DK288">
            <v>0</v>
          </cell>
          <cell r="DL288">
            <v>0</v>
          </cell>
          <cell r="DM288"/>
          <cell r="DN288"/>
          <cell r="DO288"/>
          <cell r="DP288"/>
        </row>
        <row r="289">
          <cell r="A289">
            <v>753</v>
          </cell>
          <cell r="B289" t="str">
            <v>Best</v>
          </cell>
          <cell r="C289">
            <v>10</v>
          </cell>
          <cell r="D289">
            <v>-54901</v>
          </cell>
          <cell r="E289">
            <v>-27450</v>
          </cell>
          <cell r="F289">
            <v>0</v>
          </cell>
          <cell r="G289">
            <v>0</v>
          </cell>
          <cell r="H289">
            <v>-51406</v>
          </cell>
          <cell r="I289">
            <v>-41683</v>
          </cell>
          <cell r="J289"/>
          <cell r="K289">
            <v>0</v>
          </cell>
          <cell r="L289">
            <v>82370</v>
          </cell>
          <cell r="M289">
            <v>84278</v>
          </cell>
          <cell r="N289">
            <v>0</v>
          </cell>
          <cell r="O289">
            <v>0</v>
          </cell>
          <cell r="P289">
            <v>0</v>
          </cell>
          <cell r="Q289">
            <v>0</v>
          </cell>
          <cell r="R289">
            <v>0</v>
          </cell>
          <cell r="S289">
            <v>0</v>
          </cell>
          <cell r="T289">
            <v>0</v>
          </cell>
          <cell r="U289">
            <v>0</v>
          </cell>
          <cell r="V289">
            <v>3000</v>
          </cell>
          <cell r="W289">
            <v>76168</v>
          </cell>
          <cell r="X289">
            <v>0</v>
          </cell>
          <cell r="Y289"/>
          <cell r="Z289">
            <v>0</v>
          </cell>
          <cell r="AA289">
            <v>0</v>
          </cell>
          <cell r="AB289">
            <v>0</v>
          </cell>
          <cell r="AC289"/>
          <cell r="AD289">
            <v>0</v>
          </cell>
          <cell r="AE289">
            <v>0</v>
          </cell>
          <cell r="AF289">
            <v>0</v>
          </cell>
          <cell r="AG289">
            <v>0</v>
          </cell>
          <cell r="AH289">
            <v>0</v>
          </cell>
          <cell r="AI289">
            <v>0</v>
          </cell>
          <cell r="AJ289">
            <v>0</v>
          </cell>
          <cell r="AK289">
            <v>0</v>
          </cell>
          <cell r="AL289"/>
          <cell r="AM289">
            <v>0</v>
          </cell>
          <cell r="AN289">
            <v>0</v>
          </cell>
          <cell r="AO289">
            <v>0</v>
          </cell>
          <cell r="AP289">
            <v>0</v>
          </cell>
          <cell r="AQ289">
            <v>0</v>
          </cell>
          <cell r="AR289">
            <v>0</v>
          </cell>
          <cell r="AS289">
            <v>0</v>
          </cell>
          <cell r="AT289">
            <v>0</v>
          </cell>
          <cell r="AU289">
            <v>0</v>
          </cell>
          <cell r="AV289">
            <v>0</v>
          </cell>
          <cell r="AW289">
            <v>0</v>
          </cell>
          <cell r="AX289">
            <v>0</v>
          </cell>
          <cell r="AY289"/>
          <cell r="AZ289"/>
          <cell r="BA289">
            <v>0</v>
          </cell>
          <cell r="BB289"/>
          <cell r="BC289">
            <v>0</v>
          </cell>
          <cell r="BD289">
            <v>10243</v>
          </cell>
          <cell r="BE289"/>
          <cell r="BF289">
            <v>0</v>
          </cell>
          <cell r="BG289">
            <v>0</v>
          </cell>
          <cell r="BH289">
            <v>0</v>
          </cell>
          <cell r="BI289">
            <v>29530</v>
          </cell>
          <cell r="BJ289">
            <v>24308</v>
          </cell>
          <cell r="BK289">
            <v>24308</v>
          </cell>
          <cell r="BL289">
            <v>0</v>
          </cell>
          <cell r="BM289">
            <v>0</v>
          </cell>
          <cell r="BN289">
            <v>0</v>
          </cell>
          <cell r="BO289">
            <v>27240</v>
          </cell>
          <cell r="BP289">
            <v>22139.599999999999</v>
          </cell>
          <cell r="BQ289">
            <v>39883.720930232601</v>
          </cell>
          <cell r="BR289">
            <v>0</v>
          </cell>
          <cell r="BS289">
            <v>0</v>
          </cell>
          <cell r="BT289">
            <v>44164</v>
          </cell>
          <cell r="BU289"/>
          <cell r="BV289"/>
          <cell r="BW289"/>
          <cell r="BX289"/>
          <cell r="BY289">
            <v>0</v>
          </cell>
          <cell r="BZ289">
            <v>0</v>
          </cell>
          <cell r="CA289">
            <v>0</v>
          </cell>
          <cell r="CB289">
            <v>0</v>
          </cell>
          <cell r="CC289">
            <v>2039664</v>
          </cell>
          <cell r="CD289">
            <v>11802521</v>
          </cell>
          <cell r="CE289">
            <v>581832</v>
          </cell>
          <cell r="CF289">
            <v>-77741</v>
          </cell>
          <cell r="CG289">
            <v>581832</v>
          </cell>
          <cell r="CH289">
            <v>581832</v>
          </cell>
          <cell r="CI289">
            <v>581832</v>
          </cell>
          <cell r="CJ289">
            <v>581832</v>
          </cell>
          <cell r="CK289">
            <v>0</v>
          </cell>
          <cell r="CL289">
            <v>0</v>
          </cell>
          <cell r="CM289">
            <v>0</v>
          </cell>
          <cell r="CN289">
            <v>0</v>
          </cell>
          <cell r="CO289">
            <v>0</v>
          </cell>
          <cell r="CP289">
            <v>-3380</v>
          </cell>
          <cell r="CQ289">
            <v>3115127</v>
          </cell>
          <cell r="CR289">
            <v>2968048</v>
          </cell>
          <cell r="CS289">
            <v>2865458</v>
          </cell>
          <cell r="CT289">
            <v>2816813</v>
          </cell>
          <cell r="CU289">
            <v>2753241</v>
          </cell>
          <cell r="CV289">
            <v>32404</v>
          </cell>
          <cell r="CW289">
            <v>0</v>
          </cell>
          <cell r="CX289">
            <v>0</v>
          </cell>
          <cell r="CY289">
            <v>0</v>
          </cell>
          <cell r="CZ289">
            <v>0</v>
          </cell>
          <cell r="DA289">
            <v>0</v>
          </cell>
          <cell r="DB289"/>
          <cell r="DC289">
            <v>0</v>
          </cell>
          <cell r="DD289">
            <v>0</v>
          </cell>
          <cell r="DE289">
            <v>0</v>
          </cell>
          <cell r="DF289">
            <v>0</v>
          </cell>
          <cell r="DG289">
            <v>0</v>
          </cell>
          <cell r="DH289">
            <v>0</v>
          </cell>
          <cell r="DI289">
            <v>0</v>
          </cell>
          <cell r="DJ289">
            <v>0</v>
          </cell>
          <cell r="DK289">
            <v>0</v>
          </cell>
          <cell r="DL289">
            <v>0</v>
          </cell>
          <cell r="DM289"/>
          <cell r="DN289"/>
          <cell r="DO289"/>
          <cell r="DP289"/>
        </row>
        <row r="290">
          <cell r="A290">
            <v>1728</v>
          </cell>
          <cell r="B290" t="str">
            <v>Bladel</v>
          </cell>
          <cell r="C290">
            <v>10</v>
          </cell>
          <cell r="D290">
            <v>-8050</v>
          </cell>
          <cell r="E290">
            <v>-4025</v>
          </cell>
          <cell r="F290">
            <v>0</v>
          </cell>
          <cell r="G290">
            <v>0</v>
          </cell>
          <cell r="H290">
            <v>-15371</v>
          </cell>
          <cell r="I290">
            <v>-6029</v>
          </cell>
          <cell r="J290"/>
          <cell r="K290">
            <v>0</v>
          </cell>
          <cell r="L290">
            <v>53541</v>
          </cell>
          <cell r="M290">
            <v>53328</v>
          </cell>
          <cell r="N290">
            <v>0</v>
          </cell>
          <cell r="O290">
            <v>0</v>
          </cell>
          <cell r="P290">
            <v>0</v>
          </cell>
          <cell r="Q290">
            <v>0</v>
          </cell>
          <cell r="R290">
            <v>0</v>
          </cell>
          <cell r="S290">
            <v>0</v>
          </cell>
          <cell r="T290">
            <v>0</v>
          </cell>
          <cell r="U290">
            <v>0</v>
          </cell>
          <cell r="V290">
            <v>9000</v>
          </cell>
          <cell r="W290">
            <v>80278</v>
          </cell>
          <cell r="X290">
            <v>0</v>
          </cell>
          <cell r="Y290"/>
          <cell r="Z290">
            <v>0</v>
          </cell>
          <cell r="AA290">
            <v>0</v>
          </cell>
          <cell r="AB290">
            <v>0</v>
          </cell>
          <cell r="AC290"/>
          <cell r="AD290">
            <v>0</v>
          </cell>
          <cell r="AE290">
            <v>0</v>
          </cell>
          <cell r="AF290">
            <v>0</v>
          </cell>
          <cell r="AG290">
            <v>0</v>
          </cell>
          <cell r="AH290">
            <v>0</v>
          </cell>
          <cell r="AI290">
            <v>0</v>
          </cell>
          <cell r="AJ290">
            <v>0</v>
          </cell>
          <cell r="AK290">
            <v>0</v>
          </cell>
          <cell r="AL290"/>
          <cell r="AM290">
            <v>0</v>
          </cell>
          <cell r="AN290">
            <v>0</v>
          </cell>
          <cell r="AO290">
            <v>0</v>
          </cell>
          <cell r="AP290">
            <v>0</v>
          </cell>
          <cell r="AQ290">
            <v>0</v>
          </cell>
          <cell r="AR290">
            <v>0</v>
          </cell>
          <cell r="AS290">
            <v>0</v>
          </cell>
          <cell r="AT290">
            <v>0</v>
          </cell>
          <cell r="AU290">
            <v>0</v>
          </cell>
          <cell r="AV290">
            <v>0</v>
          </cell>
          <cell r="AW290">
            <v>0</v>
          </cell>
          <cell r="AX290">
            <v>0</v>
          </cell>
          <cell r="AY290"/>
          <cell r="AZ290"/>
          <cell r="BA290">
            <v>0</v>
          </cell>
          <cell r="BB290"/>
          <cell r="BC290">
            <v>0</v>
          </cell>
          <cell r="BD290">
            <v>7043</v>
          </cell>
          <cell r="BE290"/>
          <cell r="BF290">
            <v>0</v>
          </cell>
          <cell r="BG290">
            <v>0</v>
          </cell>
          <cell r="BH290">
            <v>0</v>
          </cell>
          <cell r="BI290">
            <v>22809</v>
          </cell>
          <cell r="BJ290">
            <v>18776</v>
          </cell>
          <cell r="BK290">
            <v>18776</v>
          </cell>
          <cell r="BL290">
            <v>0</v>
          </cell>
          <cell r="BM290">
            <v>0</v>
          </cell>
          <cell r="BN290">
            <v>0</v>
          </cell>
          <cell r="BO290">
            <v>81720</v>
          </cell>
          <cell r="BP290">
            <v>1581.4</v>
          </cell>
          <cell r="BQ290">
            <v>2848.8372093023299</v>
          </cell>
          <cell r="BR290">
            <v>0</v>
          </cell>
          <cell r="BS290">
            <v>0</v>
          </cell>
          <cell r="BT290">
            <v>32684</v>
          </cell>
          <cell r="BU290"/>
          <cell r="BV290"/>
          <cell r="BW290"/>
          <cell r="BX290"/>
          <cell r="BY290">
            <v>0</v>
          </cell>
          <cell r="BZ290">
            <v>0</v>
          </cell>
          <cell r="CA290">
            <v>0</v>
          </cell>
          <cell r="CB290">
            <v>0</v>
          </cell>
          <cell r="CC290">
            <v>1451766</v>
          </cell>
          <cell r="CD290">
            <v>10833568</v>
          </cell>
          <cell r="CE290">
            <v>359253</v>
          </cell>
          <cell r="CF290">
            <v>-5732</v>
          </cell>
          <cell r="CG290">
            <v>359253</v>
          </cell>
          <cell r="CH290">
            <v>359253</v>
          </cell>
          <cell r="CI290">
            <v>359253</v>
          </cell>
          <cell r="CJ290">
            <v>359253</v>
          </cell>
          <cell r="CK290">
            <v>0</v>
          </cell>
          <cell r="CL290">
            <v>0</v>
          </cell>
          <cell r="CM290">
            <v>0</v>
          </cell>
          <cell r="CN290">
            <v>0</v>
          </cell>
          <cell r="CO290">
            <v>0</v>
          </cell>
          <cell r="CP290">
            <v>-1318</v>
          </cell>
          <cell r="CQ290">
            <v>5019199</v>
          </cell>
          <cell r="CR290">
            <v>4771414</v>
          </cell>
          <cell r="CS290">
            <v>4620125</v>
          </cell>
          <cell r="CT290">
            <v>4482887</v>
          </cell>
          <cell r="CU290">
            <v>4362393</v>
          </cell>
          <cell r="CV290">
            <v>44977</v>
          </cell>
          <cell r="CW290">
            <v>0</v>
          </cell>
          <cell r="CX290">
            <v>0</v>
          </cell>
          <cell r="CY290">
            <v>0</v>
          </cell>
          <cell r="CZ290">
            <v>0</v>
          </cell>
          <cell r="DA290">
            <v>0</v>
          </cell>
          <cell r="DB290"/>
          <cell r="DC290">
            <v>0</v>
          </cell>
          <cell r="DD290">
            <v>0</v>
          </cell>
          <cell r="DE290">
            <v>0</v>
          </cell>
          <cell r="DF290">
            <v>0</v>
          </cell>
          <cell r="DG290">
            <v>0</v>
          </cell>
          <cell r="DH290">
            <v>0</v>
          </cell>
          <cell r="DI290">
            <v>0</v>
          </cell>
          <cell r="DJ290">
            <v>0</v>
          </cell>
          <cell r="DK290">
            <v>0</v>
          </cell>
          <cell r="DL290">
            <v>0</v>
          </cell>
          <cell r="DM290"/>
          <cell r="DN290"/>
          <cell r="DO290"/>
          <cell r="DP290"/>
        </row>
        <row r="291">
          <cell r="A291">
            <v>755</v>
          </cell>
          <cell r="B291" t="str">
            <v>Boekel</v>
          </cell>
          <cell r="C291">
            <v>10</v>
          </cell>
          <cell r="D291">
            <v>-6321</v>
          </cell>
          <cell r="E291">
            <v>-3161</v>
          </cell>
          <cell r="F291">
            <v>0</v>
          </cell>
          <cell r="G291">
            <v>0</v>
          </cell>
          <cell r="H291">
            <v>-11348</v>
          </cell>
          <cell r="I291">
            <v>0</v>
          </cell>
          <cell r="J291"/>
          <cell r="K291">
            <v>0</v>
          </cell>
          <cell r="L291">
            <v>35455</v>
          </cell>
          <cell r="M291">
            <v>31426</v>
          </cell>
          <cell r="N291">
            <v>0</v>
          </cell>
          <cell r="O291">
            <v>0</v>
          </cell>
          <cell r="P291">
            <v>0</v>
          </cell>
          <cell r="Q291">
            <v>0</v>
          </cell>
          <cell r="R291">
            <v>0</v>
          </cell>
          <cell r="S291">
            <v>0</v>
          </cell>
          <cell r="T291">
            <v>0</v>
          </cell>
          <cell r="U291">
            <v>0</v>
          </cell>
          <cell r="V291">
            <v>3000</v>
          </cell>
          <cell r="W291">
            <v>40003</v>
          </cell>
          <cell r="X291">
            <v>0</v>
          </cell>
          <cell r="Y291"/>
          <cell r="Z291">
            <v>0</v>
          </cell>
          <cell r="AA291">
            <v>0</v>
          </cell>
          <cell r="AB291">
            <v>0</v>
          </cell>
          <cell r="AC291"/>
          <cell r="AD291">
            <v>0</v>
          </cell>
          <cell r="AE291">
            <v>0</v>
          </cell>
          <cell r="AF291">
            <v>0</v>
          </cell>
          <cell r="AG291">
            <v>0</v>
          </cell>
          <cell r="AH291">
            <v>0</v>
          </cell>
          <cell r="AI291">
            <v>0</v>
          </cell>
          <cell r="AJ291">
            <v>0</v>
          </cell>
          <cell r="AK291">
            <v>0</v>
          </cell>
          <cell r="AL291"/>
          <cell r="AM291">
            <v>0</v>
          </cell>
          <cell r="AN291">
            <v>0</v>
          </cell>
          <cell r="AO291">
            <v>0</v>
          </cell>
          <cell r="AP291">
            <v>0</v>
          </cell>
          <cell r="AQ291">
            <v>0</v>
          </cell>
          <cell r="AR291">
            <v>0</v>
          </cell>
          <cell r="AS291">
            <v>0</v>
          </cell>
          <cell r="AT291">
            <v>0</v>
          </cell>
          <cell r="AU291">
            <v>2370</v>
          </cell>
          <cell r="AV291">
            <v>0</v>
          </cell>
          <cell r="AW291">
            <v>0</v>
          </cell>
          <cell r="AX291">
            <v>0</v>
          </cell>
          <cell r="AY291"/>
          <cell r="AZ291"/>
          <cell r="BA291">
            <v>0</v>
          </cell>
          <cell r="BB291"/>
          <cell r="BC291">
            <v>0</v>
          </cell>
          <cell r="BD291">
            <v>3656</v>
          </cell>
          <cell r="BE291"/>
          <cell r="BF291">
            <v>0</v>
          </cell>
          <cell r="BG291">
            <v>0</v>
          </cell>
          <cell r="BH291">
            <v>0</v>
          </cell>
          <cell r="BI291">
            <v>10497</v>
          </cell>
          <cell r="BJ291">
            <v>8641</v>
          </cell>
          <cell r="BK291">
            <v>8641</v>
          </cell>
          <cell r="BL291">
            <v>0</v>
          </cell>
          <cell r="BM291">
            <v>0</v>
          </cell>
          <cell r="BN291">
            <v>0</v>
          </cell>
          <cell r="BO291">
            <v>0</v>
          </cell>
          <cell r="BP291">
            <v>0</v>
          </cell>
          <cell r="BQ291">
            <v>0</v>
          </cell>
          <cell r="BR291">
            <v>0</v>
          </cell>
          <cell r="BS291">
            <v>0</v>
          </cell>
          <cell r="BT291">
            <v>19717</v>
          </cell>
          <cell r="BU291"/>
          <cell r="BV291"/>
          <cell r="BW291"/>
          <cell r="BX291"/>
          <cell r="BY291">
            <v>0</v>
          </cell>
          <cell r="BZ291">
            <v>0</v>
          </cell>
          <cell r="CA291">
            <v>0</v>
          </cell>
          <cell r="CB291">
            <v>0</v>
          </cell>
          <cell r="CC291">
            <v>661441</v>
          </cell>
          <cell r="CD291">
            <v>4360977</v>
          </cell>
          <cell r="CE291">
            <v>160567</v>
          </cell>
          <cell r="CF291">
            <v>0</v>
          </cell>
          <cell r="CG291">
            <v>160567</v>
          </cell>
          <cell r="CH291">
            <v>160567</v>
          </cell>
          <cell r="CI291">
            <v>160567</v>
          </cell>
          <cell r="CJ291">
            <v>160567</v>
          </cell>
          <cell r="CK291">
            <v>0</v>
          </cell>
          <cell r="CL291">
            <v>0</v>
          </cell>
          <cell r="CM291">
            <v>0</v>
          </cell>
          <cell r="CN291">
            <v>0</v>
          </cell>
          <cell r="CO291">
            <v>0</v>
          </cell>
          <cell r="CP291">
            <v>0</v>
          </cell>
          <cell r="CQ291">
            <v>1248382</v>
          </cell>
          <cell r="CR291">
            <v>1206018</v>
          </cell>
          <cell r="CS291">
            <v>1196303</v>
          </cell>
          <cell r="CT291">
            <v>1191932</v>
          </cell>
          <cell r="CU291">
            <v>1156088</v>
          </cell>
          <cell r="CV291">
            <v>1913</v>
          </cell>
          <cell r="CW291">
            <v>0</v>
          </cell>
          <cell r="CX291">
            <v>0</v>
          </cell>
          <cell r="CY291">
            <v>0</v>
          </cell>
          <cell r="CZ291">
            <v>0</v>
          </cell>
          <cell r="DA291">
            <v>0</v>
          </cell>
          <cell r="DB291"/>
          <cell r="DC291">
            <v>0</v>
          </cell>
          <cell r="DD291">
            <v>0</v>
          </cell>
          <cell r="DE291">
            <v>0</v>
          </cell>
          <cell r="DF291">
            <v>0</v>
          </cell>
          <cell r="DG291">
            <v>0</v>
          </cell>
          <cell r="DH291">
            <v>0</v>
          </cell>
          <cell r="DI291">
            <v>0</v>
          </cell>
          <cell r="DJ291">
            <v>0</v>
          </cell>
          <cell r="DK291">
            <v>0</v>
          </cell>
          <cell r="DL291">
            <v>0</v>
          </cell>
          <cell r="DM291"/>
          <cell r="DN291"/>
          <cell r="DO291"/>
          <cell r="DP291"/>
        </row>
        <row r="292">
          <cell r="A292">
            <v>756</v>
          </cell>
          <cell r="B292" t="str">
            <v>Boxmeer</v>
          </cell>
          <cell r="C292">
            <v>10</v>
          </cell>
          <cell r="D292">
            <v>16598</v>
          </cell>
          <cell r="E292">
            <v>8299</v>
          </cell>
          <cell r="F292">
            <v>0</v>
          </cell>
          <cell r="G292">
            <v>0</v>
          </cell>
          <cell r="H292">
            <v>0</v>
          </cell>
          <cell r="I292">
            <v>-15639</v>
          </cell>
          <cell r="J292"/>
          <cell r="K292">
            <v>0</v>
          </cell>
          <cell r="L292">
            <v>79505</v>
          </cell>
          <cell r="M292">
            <v>78564</v>
          </cell>
          <cell r="N292">
            <v>0</v>
          </cell>
          <cell r="O292">
            <v>0</v>
          </cell>
          <cell r="P292">
            <v>0</v>
          </cell>
          <cell r="Q292">
            <v>0</v>
          </cell>
          <cell r="R292">
            <v>0</v>
          </cell>
          <cell r="S292">
            <v>0</v>
          </cell>
          <cell r="T292">
            <v>0</v>
          </cell>
          <cell r="U292">
            <v>0</v>
          </cell>
          <cell r="V292">
            <v>9000</v>
          </cell>
          <cell r="W292">
            <v>121292</v>
          </cell>
          <cell r="X292">
            <v>0</v>
          </cell>
          <cell r="Y292"/>
          <cell r="Z292">
            <v>0</v>
          </cell>
          <cell r="AA292">
            <v>0</v>
          </cell>
          <cell r="AB292">
            <v>0</v>
          </cell>
          <cell r="AC292"/>
          <cell r="AD292">
            <v>0</v>
          </cell>
          <cell r="AE292">
            <v>0</v>
          </cell>
          <cell r="AF292">
            <v>0</v>
          </cell>
          <cell r="AG292">
            <v>0</v>
          </cell>
          <cell r="AH292">
            <v>0</v>
          </cell>
          <cell r="AI292">
            <v>0</v>
          </cell>
          <cell r="AJ292">
            <v>0</v>
          </cell>
          <cell r="AK292">
            <v>0</v>
          </cell>
          <cell r="AL292"/>
          <cell r="AM292">
            <v>0</v>
          </cell>
          <cell r="AN292">
            <v>0</v>
          </cell>
          <cell r="AO292">
            <v>0</v>
          </cell>
          <cell r="AP292">
            <v>0</v>
          </cell>
          <cell r="AQ292">
            <v>0</v>
          </cell>
          <cell r="AR292">
            <v>0</v>
          </cell>
          <cell r="AS292">
            <v>0</v>
          </cell>
          <cell r="AT292">
            <v>0</v>
          </cell>
          <cell r="AU292">
            <v>0</v>
          </cell>
          <cell r="AV292">
            <v>0</v>
          </cell>
          <cell r="AW292">
            <v>0</v>
          </cell>
          <cell r="AX292">
            <v>0</v>
          </cell>
          <cell r="AY292"/>
          <cell r="AZ292"/>
          <cell r="BA292">
            <v>0</v>
          </cell>
          <cell r="BB292"/>
          <cell r="BC292">
            <v>0</v>
          </cell>
          <cell r="BD292">
            <v>10078</v>
          </cell>
          <cell r="BE292"/>
          <cell r="BF292">
            <v>0</v>
          </cell>
          <cell r="BG292">
            <v>0</v>
          </cell>
          <cell r="BH292">
            <v>0</v>
          </cell>
          <cell r="BI292">
            <v>37467</v>
          </cell>
          <cell r="BJ292">
            <v>30841</v>
          </cell>
          <cell r="BK292">
            <v>30841</v>
          </cell>
          <cell r="BL292">
            <v>0</v>
          </cell>
          <cell r="BM292">
            <v>0</v>
          </cell>
          <cell r="BN292">
            <v>0</v>
          </cell>
          <cell r="BO292">
            <v>131336</v>
          </cell>
          <cell r="BP292">
            <v>0</v>
          </cell>
          <cell r="BQ292">
            <v>0</v>
          </cell>
          <cell r="BR292">
            <v>0</v>
          </cell>
          <cell r="BS292">
            <v>0</v>
          </cell>
          <cell r="BT292">
            <v>48704</v>
          </cell>
          <cell r="BU292"/>
          <cell r="BV292"/>
          <cell r="BW292"/>
          <cell r="BX292"/>
          <cell r="BY292">
            <v>0</v>
          </cell>
          <cell r="BZ292">
            <v>0</v>
          </cell>
          <cell r="CA292">
            <v>0</v>
          </cell>
          <cell r="CB292">
            <v>0</v>
          </cell>
          <cell r="CC292">
            <v>2312835</v>
          </cell>
          <cell r="CD292">
            <v>13721793</v>
          </cell>
          <cell r="CE292">
            <v>498933</v>
          </cell>
          <cell r="CF292">
            <v>0</v>
          </cell>
          <cell r="CG292">
            <v>498933</v>
          </cell>
          <cell r="CH292">
            <v>498933</v>
          </cell>
          <cell r="CI292">
            <v>498933</v>
          </cell>
          <cell r="CJ292">
            <v>498933</v>
          </cell>
          <cell r="CK292">
            <v>0</v>
          </cell>
          <cell r="CL292">
            <v>0</v>
          </cell>
          <cell r="CM292">
            <v>0</v>
          </cell>
          <cell r="CN292">
            <v>0</v>
          </cell>
          <cell r="CO292">
            <v>0</v>
          </cell>
          <cell r="CP292">
            <v>-5611</v>
          </cell>
          <cell r="CQ292">
            <v>4519784</v>
          </cell>
          <cell r="CR292">
            <v>4293655</v>
          </cell>
          <cell r="CS292">
            <v>4202070</v>
          </cell>
          <cell r="CT292">
            <v>4135199</v>
          </cell>
          <cell r="CU292">
            <v>4013430</v>
          </cell>
          <cell r="CV292">
            <v>-21758</v>
          </cell>
          <cell r="CW292">
            <v>0</v>
          </cell>
          <cell r="CX292">
            <v>0</v>
          </cell>
          <cell r="CY292">
            <v>0</v>
          </cell>
          <cell r="CZ292">
            <v>0</v>
          </cell>
          <cell r="DA292">
            <v>0</v>
          </cell>
          <cell r="DB292"/>
          <cell r="DC292">
            <v>0</v>
          </cell>
          <cell r="DD292">
            <v>0</v>
          </cell>
          <cell r="DE292">
            <v>0</v>
          </cell>
          <cell r="DF292">
            <v>0</v>
          </cell>
          <cell r="DG292">
            <v>0</v>
          </cell>
          <cell r="DH292">
            <v>0</v>
          </cell>
          <cell r="DI292">
            <v>0</v>
          </cell>
          <cell r="DJ292">
            <v>0</v>
          </cell>
          <cell r="DK292">
            <v>0</v>
          </cell>
          <cell r="DL292">
            <v>0</v>
          </cell>
          <cell r="DM292"/>
          <cell r="DN292"/>
          <cell r="DO292"/>
          <cell r="DP292"/>
        </row>
        <row r="293">
          <cell r="A293">
            <v>757</v>
          </cell>
          <cell r="B293" t="str">
            <v>Boxtel</v>
          </cell>
          <cell r="C293">
            <v>10</v>
          </cell>
          <cell r="D293">
            <v>-14140</v>
          </cell>
          <cell r="E293">
            <v>-7070</v>
          </cell>
          <cell r="F293">
            <v>0</v>
          </cell>
          <cell r="G293">
            <v>0</v>
          </cell>
          <cell r="H293">
            <v>-20278</v>
          </cell>
          <cell r="I293">
            <v>-15954</v>
          </cell>
          <cell r="J293"/>
          <cell r="K293">
            <v>0</v>
          </cell>
          <cell r="L293">
            <v>129126</v>
          </cell>
          <cell r="M293">
            <v>126417</v>
          </cell>
          <cell r="N293">
            <v>0</v>
          </cell>
          <cell r="O293">
            <v>0</v>
          </cell>
          <cell r="P293">
            <v>0</v>
          </cell>
          <cell r="Q293">
            <v>0</v>
          </cell>
          <cell r="R293">
            <v>0</v>
          </cell>
          <cell r="S293">
            <v>0</v>
          </cell>
          <cell r="T293">
            <v>0</v>
          </cell>
          <cell r="U293">
            <v>0</v>
          </cell>
          <cell r="V293">
            <v>0</v>
          </cell>
          <cell r="W293">
            <v>90310</v>
          </cell>
          <cell r="X293">
            <v>0</v>
          </cell>
          <cell r="Y293"/>
          <cell r="Z293">
            <v>0</v>
          </cell>
          <cell r="AA293">
            <v>0</v>
          </cell>
          <cell r="AB293">
            <v>0</v>
          </cell>
          <cell r="AC293"/>
          <cell r="AD293">
            <v>31289</v>
          </cell>
          <cell r="AE293">
            <v>0</v>
          </cell>
          <cell r="AF293">
            <v>0</v>
          </cell>
          <cell r="AG293">
            <v>0</v>
          </cell>
          <cell r="AH293">
            <v>0</v>
          </cell>
          <cell r="AI293">
            <v>0</v>
          </cell>
          <cell r="AJ293">
            <v>0</v>
          </cell>
          <cell r="AK293">
            <v>0</v>
          </cell>
          <cell r="AL293"/>
          <cell r="AM293">
            <v>0</v>
          </cell>
          <cell r="AN293">
            <v>0</v>
          </cell>
          <cell r="AO293">
            <v>0</v>
          </cell>
          <cell r="AP293">
            <v>0</v>
          </cell>
          <cell r="AQ293">
            <v>0</v>
          </cell>
          <cell r="AR293">
            <v>0</v>
          </cell>
          <cell r="AS293">
            <v>0</v>
          </cell>
          <cell r="AT293">
            <v>0</v>
          </cell>
          <cell r="AU293">
            <v>2370</v>
          </cell>
          <cell r="AV293">
            <v>0</v>
          </cell>
          <cell r="AW293">
            <v>0</v>
          </cell>
          <cell r="AX293">
            <v>0</v>
          </cell>
          <cell r="AY293"/>
          <cell r="AZ293"/>
          <cell r="BA293">
            <v>0</v>
          </cell>
          <cell r="BB293"/>
          <cell r="BC293">
            <v>0</v>
          </cell>
          <cell r="BD293">
            <v>10761</v>
          </cell>
          <cell r="BE293"/>
          <cell r="BF293">
            <v>0</v>
          </cell>
          <cell r="BG293">
            <v>0</v>
          </cell>
          <cell r="BH293">
            <v>0</v>
          </cell>
          <cell r="BI293">
            <v>43292</v>
          </cell>
          <cell r="BJ293">
            <v>35636</v>
          </cell>
          <cell r="BK293">
            <v>35636</v>
          </cell>
          <cell r="BL293">
            <v>0</v>
          </cell>
          <cell r="BM293">
            <v>0</v>
          </cell>
          <cell r="BN293">
            <v>0</v>
          </cell>
          <cell r="BO293">
            <v>41833</v>
          </cell>
          <cell r="BP293">
            <v>15814</v>
          </cell>
          <cell r="BQ293">
            <v>28488.372093023299</v>
          </cell>
          <cell r="BR293">
            <v>0</v>
          </cell>
          <cell r="BS293">
            <v>0</v>
          </cell>
          <cell r="BT293">
            <v>45862</v>
          </cell>
          <cell r="BU293"/>
          <cell r="BV293"/>
          <cell r="BW293"/>
          <cell r="BX293"/>
          <cell r="BY293">
            <v>0</v>
          </cell>
          <cell r="BZ293">
            <v>0</v>
          </cell>
          <cell r="CA293">
            <v>0</v>
          </cell>
          <cell r="CB293">
            <v>0</v>
          </cell>
          <cell r="CC293">
            <v>2381984</v>
          </cell>
          <cell r="CD293">
            <v>22045627</v>
          </cell>
          <cell r="CE293">
            <v>3047750</v>
          </cell>
          <cell r="CF293">
            <v>-38555</v>
          </cell>
          <cell r="CG293">
            <v>3047750</v>
          </cell>
          <cell r="CH293">
            <v>3047750</v>
          </cell>
          <cell r="CI293">
            <v>3047750</v>
          </cell>
          <cell r="CJ293">
            <v>3047750</v>
          </cell>
          <cell r="CK293">
            <v>0</v>
          </cell>
          <cell r="CL293">
            <v>0</v>
          </cell>
          <cell r="CM293">
            <v>0</v>
          </cell>
          <cell r="CN293">
            <v>0</v>
          </cell>
          <cell r="CO293">
            <v>0</v>
          </cell>
          <cell r="CP293">
            <v>0</v>
          </cell>
          <cell r="CQ293">
            <v>8797248</v>
          </cell>
          <cell r="CR293">
            <v>8306993</v>
          </cell>
          <cell r="CS293">
            <v>8046386</v>
          </cell>
          <cell r="CT293">
            <v>7779996</v>
          </cell>
          <cell r="CU293">
            <v>7573506</v>
          </cell>
          <cell r="CV293">
            <v>-5161</v>
          </cell>
          <cell r="CW293">
            <v>0</v>
          </cell>
          <cell r="CX293">
            <v>0</v>
          </cell>
          <cell r="CY293">
            <v>0</v>
          </cell>
          <cell r="CZ293">
            <v>0</v>
          </cell>
          <cell r="DA293">
            <v>0</v>
          </cell>
          <cell r="DB293"/>
          <cell r="DC293">
            <v>0</v>
          </cell>
          <cell r="DD293">
            <v>0</v>
          </cell>
          <cell r="DE293">
            <v>0</v>
          </cell>
          <cell r="DF293">
            <v>0</v>
          </cell>
          <cell r="DG293">
            <v>0</v>
          </cell>
          <cell r="DH293">
            <v>0</v>
          </cell>
          <cell r="DI293">
            <v>0</v>
          </cell>
          <cell r="DJ293">
            <v>0</v>
          </cell>
          <cell r="DK293">
            <v>0</v>
          </cell>
          <cell r="DL293">
            <v>0</v>
          </cell>
          <cell r="DM293"/>
          <cell r="DN293"/>
          <cell r="DO293"/>
          <cell r="DP293"/>
        </row>
        <row r="294">
          <cell r="A294">
            <v>758</v>
          </cell>
          <cell r="B294" t="str">
            <v>Breda</v>
          </cell>
          <cell r="C294">
            <v>10</v>
          </cell>
          <cell r="D294">
            <v>-44935</v>
          </cell>
          <cell r="E294">
            <v>-22467</v>
          </cell>
          <cell r="F294">
            <v>0</v>
          </cell>
          <cell r="G294">
            <v>0</v>
          </cell>
          <cell r="H294">
            <v>-140795</v>
          </cell>
          <cell r="I294">
            <v>-56228</v>
          </cell>
          <cell r="J294"/>
          <cell r="K294">
            <v>0</v>
          </cell>
          <cell r="L294">
            <v>863333</v>
          </cell>
          <cell r="M294">
            <v>871633</v>
          </cell>
          <cell r="N294">
            <v>0</v>
          </cell>
          <cell r="O294">
            <v>0</v>
          </cell>
          <cell r="P294">
            <v>150000</v>
          </cell>
          <cell r="Q294">
            <v>0</v>
          </cell>
          <cell r="R294">
            <v>0</v>
          </cell>
          <cell r="S294">
            <v>963858</v>
          </cell>
          <cell r="T294">
            <v>963858</v>
          </cell>
          <cell r="U294">
            <v>963858</v>
          </cell>
          <cell r="V294">
            <v>116500</v>
          </cell>
          <cell r="W294">
            <v>641448</v>
          </cell>
          <cell r="X294">
            <v>0</v>
          </cell>
          <cell r="Y294"/>
          <cell r="Z294">
            <v>0</v>
          </cell>
          <cell r="AA294">
            <v>0</v>
          </cell>
          <cell r="AB294">
            <v>0</v>
          </cell>
          <cell r="AC294"/>
          <cell r="AD294">
            <v>190671</v>
          </cell>
          <cell r="AE294">
            <v>0</v>
          </cell>
          <cell r="AF294">
            <v>0</v>
          </cell>
          <cell r="AG294">
            <v>0</v>
          </cell>
          <cell r="AH294">
            <v>0</v>
          </cell>
          <cell r="AI294">
            <v>0</v>
          </cell>
          <cell r="AJ294">
            <v>0</v>
          </cell>
          <cell r="AK294">
            <v>436799</v>
          </cell>
          <cell r="AL294"/>
          <cell r="AM294">
            <v>0</v>
          </cell>
          <cell r="AN294">
            <v>0</v>
          </cell>
          <cell r="AO294">
            <v>0</v>
          </cell>
          <cell r="AP294">
            <v>0</v>
          </cell>
          <cell r="AQ294">
            <v>0</v>
          </cell>
          <cell r="AR294">
            <v>0</v>
          </cell>
          <cell r="AS294">
            <v>0</v>
          </cell>
          <cell r="AT294">
            <v>20000</v>
          </cell>
          <cell r="AU294">
            <v>26070</v>
          </cell>
          <cell r="AV294">
            <v>6273717.4781885296</v>
          </cell>
          <cell r="AW294">
            <v>145099</v>
          </cell>
          <cell r="AX294">
            <v>0</v>
          </cell>
          <cell r="AY294"/>
          <cell r="AZ294"/>
          <cell r="BA294">
            <v>0</v>
          </cell>
          <cell r="BB294"/>
          <cell r="BC294">
            <v>0</v>
          </cell>
          <cell r="BD294">
            <v>63995</v>
          </cell>
          <cell r="BE294"/>
          <cell r="BF294">
            <v>0</v>
          </cell>
          <cell r="BG294">
            <v>0</v>
          </cell>
          <cell r="BH294">
            <v>0</v>
          </cell>
          <cell r="BI294">
            <v>293016</v>
          </cell>
          <cell r="BJ294">
            <v>241196</v>
          </cell>
          <cell r="BK294">
            <v>241196</v>
          </cell>
          <cell r="BL294">
            <v>0</v>
          </cell>
          <cell r="BM294">
            <v>0</v>
          </cell>
          <cell r="BN294">
            <v>0</v>
          </cell>
          <cell r="BO294">
            <v>319097</v>
          </cell>
          <cell r="BP294">
            <v>68000.2</v>
          </cell>
          <cell r="BQ294">
            <v>122500</v>
          </cell>
          <cell r="BR294">
            <v>0</v>
          </cell>
          <cell r="BS294">
            <v>0</v>
          </cell>
          <cell r="BT294">
            <v>292859</v>
          </cell>
          <cell r="BU294"/>
          <cell r="BV294"/>
          <cell r="BW294"/>
          <cell r="BX294"/>
          <cell r="BY294">
            <v>4569650.6239193296</v>
          </cell>
          <cell r="BZ294">
            <v>5271813.0744170398</v>
          </cell>
          <cell r="CA294">
            <v>5331796.8013439802</v>
          </cell>
          <cell r="CB294">
            <v>5501162.6185494596</v>
          </cell>
          <cell r="CC294">
            <v>13398824</v>
          </cell>
          <cell r="CD294">
            <v>122560597</v>
          </cell>
          <cell r="CE294">
            <v>7753699</v>
          </cell>
          <cell r="CF294">
            <v>-134968</v>
          </cell>
          <cell r="CG294">
            <v>7753699</v>
          </cell>
          <cell r="CH294">
            <v>7753699</v>
          </cell>
          <cell r="CI294">
            <v>7753699</v>
          </cell>
          <cell r="CJ294">
            <v>7753699</v>
          </cell>
          <cell r="CK294">
            <v>33350517</v>
          </cell>
          <cell r="CL294">
            <v>33333779</v>
          </cell>
          <cell r="CM294">
            <v>33333508</v>
          </cell>
          <cell r="CN294">
            <v>33332912</v>
          </cell>
          <cell r="CO294">
            <v>33333738</v>
          </cell>
          <cell r="CP294">
            <v>0</v>
          </cell>
          <cell r="CQ294">
            <v>24481530</v>
          </cell>
          <cell r="CR294">
            <v>23255991</v>
          </cell>
          <cell r="CS294">
            <v>22540821</v>
          </cell>
          <cell r="CT294">
            <v>21763372</v>
          </cell>
          <cell r="CU294">
            <v>21144349</v>
          </cell>
          <cell r="CV294">
            <v>265692</v>
          </cell>
          <cell r="CW294">
            <v>0</v>
          </cell>
          <cell r="CX294">
            <v>0</v>
          </cell>
          <cell r="CY294">
            <v>0</v>
          </cell>
          <cell r="CZ294">
            <v>0</v>
          </cell>
          <cell r="DA294">
            <v>0</v>
          </cell>
          <cell r="DB294"/>
          <cell r="DC294">
            <v>0</v>
          </cell>
          <cell r="DD294">
            <v>0</v>
          </cell>
          <cell r="DE294">
            <v>0</v>
          </cell>
          <cell r="DF294">
            <v>0</v>
          </cell>
          <cell r="DG294">
            <v>0</v>
          </cell>
          <cell r="DH294">
            <v>0</v>
          </cell>
          <cell r="DI294">
            <v>0</v>
          </cell>
          <cell r="DJ294">
            <v>0</v>
          </cell>
          <cell r="DK294">
            <v>0</v>
          </cell>
          <cell r="DL294">
            <v>0</v>
          </cell>
          <cell r="DM294"/>
          <cell r="DN294"/>
          <cell r="DO294"/>
          <cell r="DP294"/>
        </row>
        <row r="295">
          <cell r="A295">
            <v>1706</v>
          </cell>
          <cell r="B295" t="str">
            <v>Cranendonck</v>
          </cell>
          <cell r="C295">
            <v>10</v>
          </cell>
          <cell r="D295">
            <v>11461</v>
          </cell>
          <cell r="E295">
            <v>5731</v>
          </cell>
          <cell r="F295">
            <v>0</v>
          </cell>
          <cell r="G295">
            <v>0</v>
          </cell>
          <cell r="H295">
            <v>-12767</v>
          </cell>
          <cell r="I295">
            <v>0</v>
          </cell>
          <cell r="J295"/>
          <cell r="K295">
            <v>0</v>
          </cell>
          <cell r="L295">
            <v>69199</v>
          </cell>
          <cell r="M295">
            <v>62542</v>
          </cell>
          <cell r="N295">
            <v>0</v>
          </cell>
          <cell r="O295">
            <v>0</v>
          </cell>
          <cell r="P295">
            <v>0</v>
          </cell>
          <cell r="Q295">
            <v>0</v>
          </cell>
          <cell r="R295">
            <v>0</v>
          </cell>
          <cell r="S295">
            <v>0</v>
          </cell>
          <cell r="T295">
            <v>0</v>
          </cell>
          <cell r="U295">
            <v>0</v>
          </cell>
          <cell r="V295">
            <v>0</v>
          </cell>
          <cell r="W295">
            <v>76391</v>
          </cell>
          <cell r="X295">
            <v>682184</v>
          </cell>
          <cell r="Y295"/>
          <cell r="Z295">
            <v>0</v>
          </cell>
          <cell r="AA295">
            <v>0</v>
          </cell>
          <cell r="AB295">
            <v>0</v>
          </cell>
          <cell r="AC295"/>
          <cell r="AD295">
            <v>0</v>
          </cell>
          <cell r="AE295">
            <v>0</v>
          </cell>
          <cell r="AF295">
            <v>0</v>
          </cell>
          <cell r="AG295">
            <v>0</v>
          </cell>
          <cell r="AH295">
            <v>0</v>
          </cell>
          <cell r="AI295">
            <v>0</v>
          </cell>
          <cell r="AJ295">
            <v>0</v>
          </cell>
          <cell r="AK295">
            <v>0</v>
          </cell>
          <cell r="AL295"/>
          <cell r="AM295">
            <v>0</v>
          </cell>
          <cell r="AN295">
            <v>0</v>
          </cell>
          <cell r="AO295">
            <v>0</v>
          </cell>
          <cell r="AP295">
            <v>0</v>
          </cell>
          <cell r="AQ295">
            <v>0</v>
          </cell>
          <cell r="AR295">
            <v>0</v>
          </cell>
          <cell r="AS295">
            <v>0</v>
          </cell>
          <cell r="AT295">
            <v>0</v>
          </cell>
          <cell r="AU295">
            <v>0</v>
          </cell>
          <cell r="AV295">
            <v>0</v>
          </cell>
          <cell r="AW295">
            <v>0</v>
          </cell>
          <cell r="AX295">
            <v>0</v>
          </cell>
          <cell r="AY295"/>
          <cell r="AZ295"/>
          <cell r="BA295">
            <v>0</v>
          </cell>
          <cell r="BB295"/>
          <cell r="BC295">
            <v>0</v>
          </cell>
          <cell r="BD295">
            <v>7258</v>
          </cell>
          <cell r="BE295"/>
          <cell r="BF295">
            <v>0</v>
          </cell>
          <cell r="BG295">
            <v>0</v>
          </cell>
          <cell r="BH295">
            <v>0</v>
          </cell>
          <cell r="BI295">
            <v>27059</v>
          </cell>
          <cell r="BJ295">
            <v>22274</v>
          </cell>
          <cell r="BK295">
            <v>22274</v>
          </cell>
          <cell r="BL295">
            <v>0</v>
          </cell>
          <cell r="BM295">
            <v>0</v>
          </cell>
          <cell r="BN295">
            <v>0</v>
          </cell>
          <cell r="BO295">
            <v>100204</v>
          </cell>
          <cell r="BP295">
            <v>0</v>
          </cell>
          <cell r="BQ295">
            <v>0</v>
          </cell>
          <cell r="BR295">
            <v>0</v>
          </cell>
          <cell r="BS295">
            <v>0</v>
          </cell>
          <cell r="BT295">
            <v>35499</v>
          </cell>
          <cell r="BU295"/>
          <cell r="BV295"/>
          <cell r="BW295"/>
          <cell r="BX295"/>
          <cell r="BY295">
            <v>0</v>
          </cell>
          <cell r="BZ295">
            <v>0</v>
          </cell>
          <cell r="CA295">
            <v>0</v>
          </cell>
          <cell r="CB295">
            <v>0</v>
          </cell>
          <cell r="CC295">
            <v>1592275</v>
          </cell>
          <cell r="CD295">
            <v>7855523</v>
          </cell>
          <cell r="CE295">
            <v>374993</v>
          </cell>
          <cell r="CF295">
            <v>0</v>
          </cell>
          <cell r="CG295">
            <v>374993</v>
          </cell>
          <cell r="CH295">
            <v>374993</v>
          </cell>
          <cell r="CI295">
            <v>374993</v>
          </cell>
          <cell r="CJ295">
            <v>374993</v>
          </cell>
          <cell r="CK295">
            <v>0</v>
          </cell>
          <cell r="CL295">
            <v>0</v>
          </cell>
          <cell r="CM295">
            <v>0</v>
          </cell>
          <cell r="CN295">
            <v>0</v>
          </cell>
          <cell r="CO295">
            <v>0</v>
          </cell>
          <cell r="CP295">
            <v>0</v>
          </cell>
          <cell r="CQ295">
            <v>1995582</v>
          </cell>
          <cell r="CR295">
            <v>1917468</v>
          </cell>
          <cell r="CS295">
            <v>1889354</v>
          </cell>
          <cell r="CT295">
            <v>1864821</v>
          </cell>
          <cell r="CU295">
            <v>1780410</v>
          </cell>
          <cell r="CV295">
            <v>-56779</v>
          </cell>
          <cell r="CW295">
            <v>0</v>
          </cell>
          <cell r="CX295">
            <v>0</v>
          </cell>
          <cell r="CY295">
            <v>0</v>
          </cell>
          <cell r="CZ295">
            <v>0</v>
          </cell>
          <cell r="DA295">
            <v>0</v>
          </cell>
          <cell r="DB295"/>
          <cell r="DC295">
            <v>0</v>
          </cell>
          <cell r="DD295">
            <v>0</v>
          </cell>
          <cell r="DE295">
            <v>0</v>
          </cell>
          <cell r="DF295">
            <v>0</v>
          </cell>
          <cell r="DG295">
            <v>0</v>
          </cell>
          <cell r="DH295">
            <v>0</v>
          </cell>
          <cell r="DI295">
            <v>0</v>
          </cell>
          <cell r="DJ295">
            <v>0</v>
          </cell>
          <cell r="DK295">
            <v>0</v>
          </cell>
          <cell r="DL295">
            <v>0</v>
          </cell>
          <cell r="DM295"/>
          <cell r="DN295"/>
          <cell r="DO295"/>
          <cell r="DP295"/>
        </row>
        <row r="296">
          <cell r="A296">
            <v>1684</v>
          </cell>
          <cell r="B296" t="str">
            <v>Cuijk</v>
          </cell>
          <cell r="C296">
            <v>10</v>
          </cell>
          <cell r="D296">
            <v>-29221</v>
          </cell>
          <cell r="E296">
            <v>-14611</v>
          </cell>
          <cell r="F296">
            <v>0</v>
          </cell>
          <cell r="G296">
            <v>46715</v>
          </cell>
          <cell r="H296">
            <v>-25935</v>
          </cell>
          <cell r="I296">
            <v>-5541</v>
          </cell>
          <cell r="J296"/>
          <cell r="K296">
            <v>0</v>
          </cell>
          <cell r="L296">
            <v>96516</v>
          </cell>
          <cell r="M296">
            <v>92158</v>
          </cell>
          <cell r="N296">
            <v>0</v>
          </cell>
          <cell r="O296">
            <v>0</v>
          </cell>
          <cell r="P296">
            <v>0</v>
          </cell>
          <cell r="Q296">
            <v>0</v>
          </cell>
          <cell r="R296">
            <v>0</v>
          </cell>
          <cell r="S296">
            <v>0</v>
          </cell>
          <cell r="T296">
            <v>0</v>
          </cell>
          <cell r="U296">
            <v>0</v>
          </cell>
          <cell r="V296">
            <v>9000</v>
          </cell>
          <cell r="W296">
            <v>100493</v>
          </cell>
          <cell r="X296">
            <v>0</v>
          </cell>
          <cell r="Y296"/>
          <cell r="Z296">
            <v>0</v>
          </cell>
          <cell r="AA296">
            <v>0</v>
          </cell>
          <cell r="AB296">
            <v>0</v>
          </cell>
          <cell r="AC296"/>
          <cell r="AD296">
            <v>53779</v>
          </cell>
          <cell r="AE296">
            <v>0</v>
          </cell>
          <cell r="AF296">
            <v>0</v>
          </cell>
          <cell r="AG296">
            <v>0</v>
          </cell>
          <cell r="AH296">
            <v>0</v>
          </cell>
          <cell r="AI296">
            <v>0</v>
          </cell>
          <cell r="AJ296">
            <v>0</v>
          </cell>
          <cell r="AK296">
            <v>0</v>
          </cell>
          <cell r="AL296"/>
          <cell r="AM296">
            <v>0</v>
          </cell>
          <cell r="AN296">
            <v>0</v>
          </cell>
          <cell r="AO296">
            <v>0</v>
          </cell>
          <cell r="AP296">
            <v>0</v>
          </cell>
          <cell r="AQ296">
            <v>0</v>
          </cell>
          <cell r="AR296">
            <v>0</v>
          </cell>
          <cell r="AS296">
            <v>0</v>
          </cell>
          <cell r="AT296">
            <v>0</v>
          </cell>
          <cell r="AU296">
            <v>0</v>
          </cell>
          <cell r="AV296">
            <v>0</v>
          </cell>
          <cell r="AW296">
            <v>0</v>
          </cell>
          <cell r="AX296">
            <v>0</v>
          </cell>
          <cell r="AY296"/>
          <cell r="AZ296"/>
          <cell r="BA296">
            <v>0</v>
          </cell>
          <cell r="BB296"/>
          <cell r="BC296">
            <v>0</v>
          </cell>
          <cell r="BD296">
            <v>8669</v>
          </cell>
          <cell r="BE296"/>
          <cell r="BF296">
            <v>0</v>
          </cell>
          <cell r="BG296">
            <v>0</v>
          </cell>
          <cell r="BH296">
            <v>0</v>
          </cell>
          <cell r="BI296">
            <v>36314</v>
          </cell>
          <cell r="BJ296">
            <v>29892</v>
          </cell>
          <cell r="BK296">
            <v>29892</v>
          </cell>
          <cell r="BL296">
            <v>0</v>
          </cell>
          <cell r="BM296">
            <v>0</v>
          </cell>
          <cell r="BN296">
            <v>0</v>
          </cell>
          <cell r="BO296">
            <v>184356</v>
          </cell>
          <cell r="BP296">
            <v>7907</v>
          </cell>
          <cell r="BQ296">
            <v>14244.186046511601</v>
          </cell>
          <cell r="BR296">
            <v>0</v>
          </cell>
          <cell r="BS296">
            <v>0</v>
          </cell>
          <cell r="BT296">
            <v>41227</v>
          </cell>
          <cell r="BU296"/>
          <cell r="BV296"/>
          <cell r="BW296"/>
          <cell r="BX296"/>
          <cell r="BY296">
            <v>0</v>
          </cell>
          <cell r="BZ296">
            <v>0</v>
          </cell>
          <cell r="CA296">
            <v>0</v>
          </cell>
          <cell r="CB296">
            <v>0</v>
          </cell>
          <cell r="CC296">
            <v>2069621</v>
          </cell>
          <cell r="CD296">
            <v>14866983</v>
          </cell>
          <cell r="CE296">
            <v>697778</v>
          </cell>
          <cell r="CF296">
            <v>0</v>
          </cell>
          <cell r="CG296">
            <v>697778</v>
          </cell>
          <cell r="CH296">
            <v>697778</v>
          </cell>
          <cell r="CI296">
            <v>697778</v>
          </cell>
          <cell r="CJ296">
            <v>697778</v>
          </cell>
          <cell r="CK296">
            <v>0</v>
          </cell>
          <cell r="CL296">
            <v>0</v>
          </cell>
          <cell r="CM296">
            <v>0</v>
          </cell>
          <cell r="CN296">
            <v>0</v>
          </cell>
          <cell r="CO296">
            <v>0</v>
          </cell>
          <cell r="CP296">
            <v>-2013</v>
          </cell>
          <cell r="CQ296">
            <v>5241196</v>
          </cell>
          <cell r="CR296">
            <v>5003851</v>
          </cell>
          <cell r="CS296">
            <v>4882052</v>
          </cell>
          <cell r="CT296">
            <v>4792449</v>
          </cell>
          <cell r="CU296">
            <v>4660696</v>
          </cell>
          <cell r="CV296">
            <v>-1389</v>
          </cell>
          <cell r="CW296">
            <v>0</v>
          </cell>
          <cell r="CX296">
            <v>0</v>
          </cell>
          <cell r="CY296">
            <v>0</v>
          </cell>
          <cell r="CZ296">
            <v>0</v>
          </cell>
          <cell r="DA296">
            <v>0</v>
          </cell>
          <cell r="DB296"/>
          <cell r="DC296">
            <v>0</v>
          </cell>
          <cell r="DD296">
            <v>0</v>
          </cell>
          <cell r="DE296">
            <v>0</v>
          </cell>
          <cell r="DF296">
            <v>0</v>
          </cell>
          <cell r="DG296">
            <v>0</v>
          </cell>
          <cell r="DH296">
            <v>0</v>
          </cell>
          <cell r="DI296">
            <v>0</v>
          </cell>
          <cell r="DJ296">
            <v>0</v>
          </cell>
          <cell r="DK296">
            <v>0</v>
          </cell>
          <cell r="DL296">
            <v>0</v>
          </cell>
          <cell r="DM296"/>
          <cell r="DN296"/>
          <cell r="DO296"/>
          <cell r="DP296"/>
        </row>
        <row r="297">
          <cell r="A297">
            <v>762</v>
          </cell>
          <cell r="B297" t="str">
            <v>Deurne</v>
          </cell>
          <cell r="C297">
            <v>10</v>
          </cell>
          <cell r="D297">
            <v>-3502</v>
          </cell>
          <cell r="E297">
            <v>-1751</v>
          </cell>
          <cell r="F297">
            <v>0</v>
          </cell>
          <cell r="G297">
            <v>4859</v>
          </cell>
          <cell r="H297">
            <v>-48934</v>
          </cell>
          <cell r="I297">
            <v>-31955</v>
          </cell>
          <cell r="J297"/>
          <cell r="K297">
            <v>0</v>
          </cell>
          <cell r="L297">
            <v>118183</v>
          </cell>
          <cell r="M297">
            <v>129250</v>
          </cell>
          <cell r="N297">
            <v>0</v>
          </cell>
          <cell r="O297">
            <v>0</v>
          </cell>
          <cell r="P297">
            <v>0</v>
          </cell>
          <cell r="Q297">
            <v>0</v>
          </cell>
          <cell r="R297">
            <v>0</v>
          </cell>
          <cell r="S297">
            <v>0</v>
          </cell>
          <cell r="T297">
            <v>0</v>
          </cell>
          <cell r="U297">
            <v>0</v>
          </cell>
          <cell r="V297">
            <v>3000</v>
          </cell>
          <cell r="W297">
            <v>129456</v>
          </cell>
          <cell r="X297">
            <v>0</v>
          </cell>
          <cell r="Y297"/>
          <cell r="Z297">
            <v>0</v>
          </cell>
          <cell r="AA297">
            <v>0</v>
          </cell>
          <cell r="AB297">
            <v>0</v>
          </cell>
          <cell r="AC297"/>
          <cell r="AD297">
            <v>0</v>
          </cell>
          <cell r="AE297">
            <v>0</v>
          </cell>
          <cell r="AF297">
            <v>0</v>
          </cell>
          <cell r="AG297">
            <v>0</v>
          </cell>
          <cell r="AH297">
            <v>0</v>
          </cell>
          <cell r="AI297">
            <v>0</v>
          </cell>
          <cell r="AJ297">
            <v>0</v>
          </cell>
          <cell r="AK297">
            <v>0</v>
          </cell>
          <cell r="AL297"/>
          <cell r="AM297">
            <v>0</v>
          </cell>
          <cell r="AN297">
            <v>0</v>
          </cell>
          <cell r="AO297">
            <v>0</v>
          </cell>
          <cell r="AP297">
            <v>0</v>
          </cell>
          <cell r="AQ297">
            <v>0</v>
          </cell>
          <cell r="AR297">
            <v>0</v>
          </cell>
          <cell r="AS297">
            <v>0</v>
          </cell>
          <cell r="AT297">
            <v>0</v>
          </cell>
          <cell r="AU297">
            <v>4740</v>
          </cell>
          <cell r="AV297">
            <v>0</v>
          </cell>
          <cell r="AW297">
            <v>0</v>
          </cell>
          <cell r="AX297">
            <v>0</v>
          </cell>
          <cell r="AY297"/>
          <cell r="AZ297"/>
          <cell r="BA297">
            <v>0</v>
          </cell>
          <cell r="BB297"/>
          <cell r="BC297">
            <v>0</v>
          </cell>
          <cell r="BD297">
            <v>11210</v>
          </cell>
          <cell r="BE297"/>
          <cell r="BF297">
            <v>0</v>
          </cell>
          <cell r="BG297">
            <v>0</v>
          </cell>
          <cell r="BH297">
            <v>0</v>
          </cell>
          <cell r="BI297">
            <v>42332</v>
          </cell>
          <cell r="BJ297">
            <v>34845</v>
          </cell>
          <cell r="BK297">
            <v>34845</v>
          </cell>
          <cell r="BL297">
            <v>0</v>
          </cell>
          <cell r="BM297">
            <v>0</v>
          </cell>
          <cell r="BN297">
            <v>0</v>
          </cell>
          <cell r="BO297">
            <v>65668</v>
          </cell>
          <cell r="BP297">
            <v>11069.8</v>
          </cell>
          <cell r="BQ297">
            <v>19941.8604651163</v>
          </cell>
          <cell r="BR297">
            <v>0</v>
          </cell>
          <cell r="BS297">
            <v>0</v>
          </cell>
          <cell r="BT297">
            <v>48255</v>
          </cell>
          <cell r="BU297"/>
          <cell r="BV297"/>
          <cell r="BW297"/>
          <cell r="BX297"/>
          <cell r="BY297">
            <v>0</v>
          </cell>
          <cell r="BZ297">
            <v>0</v>
          </cell>
          <cell r="CA297">
            <v>0</v>
          </cell>
          <cell r="CB297">
            <v>0</v>
          </cell>
          <cell r="CC297">
            <v>2673432</v>
          </cell>
          <cell r="CD297">
            <v>17286839</v>
          </cell>
          <cell r="CE297">
            <v>2555869</v>
          </cell>
          <cell r="CF297">
            <v>-34768</v>
          </cell>
          <cell r="CG297">
            <v>2555869</v>
          </cell>
          <cell r="CH297">
            <v>2555869</v>
          </cell>
          <cell r="CI297">
            <v>2555869</v>
          </cell>
          <cell r="CJ297">
            <v>2555869</v>
          </cell>
          <cell r="CK297">
            <v>0</v>
          </cell>
          <cell r="CL297">
            <v>0</v>
          </cell>
          <cell r="CM297">
            <v>0</v>
          </cell>
          <cell r="CN297">
            <v>0</v>
          </cell>
          <cell r="CO297">
            <v>0</v>
          </cell>
          <cell r="CP297">
            <v>-6311</v>
          </cell>
          <cell r="CQ297">
            <v>4303947</v>
          </cell>
          <cell r="CR297">
            <v>4143899</v>
          </cell>
          <cell r="CS297">
            <v>4069043</v>
          </cell>
          <cell r="CT297">
            <v>4024390</v>
          </cell>
          <cell r="CU297">
            <v>3949527</v>
          </cell>
          <cell r="CV297">
            <v>61339</v>
          </cell>
          <cell r="CW297">
            <v>0</v>
          </cell>
          <cell r="CX297">
            <v>0</v>
          </cell>
          <cell r="CY297">
            <v>0</v>
          </cell>
          <cell r="CZ297">
            <v>0</v>
          </cell>
          <cell r="DA297">
            <v>0</v>
          </cell>
          <cell r="DB297"/>
          <cell r="DC297">
            <v>160000</v>
          </cell>
          <cell r="DD297">
            <v>0</v>
          </cell>
          <cell r="DE297">
            <v>0</v>
          </cell>
          <cell r="DF297">
            <v>0</v>
          </cell>
          <cell r="DG297">
            <v>0</v>
          </cell>
          <cell r="DH297">
            <v>0</v>
          </cell>
          <cell r="DI297">
            <v>0</v>
          </cell>
          <cell r="DJ297">
            <v>0</v>
          </cell>
          <cell r="DK297">
            <v>0</v>
          </cell>
          <cell r="DL297">
            <v>0</v>
          </cell>
          <cell r="DM297"/>
          <cell r="DN297"/>
          <cell r="DO297"/>
          <cell r="DP297"/>
        </row>
        <row r="298">
          <cell r="A298">
            <v>766</v>
          </cell>
          <cell r="B298" t="str">
            <v>Dongen</v>
          </cell>
          <cell r="C298">
            <v>10</v>
          </cell>
          <cell r="D298">
            <v>-15852</v>
          </cell>
          <cell r="E298">
            <v>-7926</v>
          </cell>
          <cell r="F298">
            <v>0</v>
          </cell>
          <cell r="G298">
            <v>0</v>
          </cell>
          <cell r="H298">
            <v>-12501</v>
          </cell>
          <cell r="I298">
            <v>-6747</v>
          </cell>
          <cell r="J298"/>
          <cell r="K298">
            <v>0</v>
          </cell>
          <cell r="L298">
            <v>75605</v>
          </cell>
          <cell r="M298">
            <v>77374</v>
          </cell>
          <cell r="N298">
            <v>0</v>
          </cell>
          <cell r="O298">
            <v>0</v>
          </cell>
          <cell r="P298">
            <v>0</v>
          </cell>
          <cell r="Q298">
            <v>0</v>
          </cell>
          <cell r="R298">
            <v>0</v>
          </cell>
          <cell r="S298">
            <v>0</v>
          </cell>
          <cell r="T298">
            <v>0</v>
          </cell>
          <cell r="U298">
            <v>0</v>
          </cell>
          <cell r="V298">
            <v>6000</v>
          </cell>
          <cell r="W298">
            <v>103020</v>
          </cell>
          <cell r="X298">
            <v>0</v>
          </cell>
          <cell r="Y298"/>
          <cell r="Z298">
            <v>0</v>
          </cell>
          <cell r="AA298">
            <v>0</v>
          </cell>
          <cell r="AB298">
            <v>0</v>
          </cell>
          <cell r="AC298"/>
          <cell r="AD298">
            <v>0</v>
          </cell>
          <cell r="AE298">
            <v>0</v>
          </cell>
          <cell r="AF298">
            <v>0</v>
          </cell>
          <cell r="AG298">
            <v>0</v>
          </cell>
          <cell r="AH298">
            <v>0</v>
          </cell>
          <cell r="AI298">
            <v>0</v>
          </cell>
          <cell r="AJ298">
            <v>0</v>
          </cell>
          <cell r="AK298">
            <v>0</v>
          </cell>
          <cell r="AL298"/>
          <cell r="AM298">
            <v>0</v>
          </cell>
          <cell r="AN298">
            <v>0</v>
          </cell>
          <cell r="AO298">
            <v>0</v>
          </cell>
          <cell r="AP298">
            <v>0</v>
          </cell>
          <cell r="AQ298">
            <v>0</v>
          </cell>
          <cell r="AR298">
            <v>0</v>
          </cell>
          <cell r="AS298">
            <v>0</v>
          </cell>
          <cell r="AT298">
            <v>0</v>
          </cell>
          <cell r="AU298">
            <v>9480</v>
          </cell>
          <cell r="AV298">
            <v>0</v>
          </cell>
          <cell r="AW298">
            <v>0</v>
          </cell>
          <cell r="AX298">
            <v>0</v>
          </cell>
          <cell r="AY298"/>
          <cell r="AZ298"/>
          <cell r="BA298">
            <v>0</v>
          </cell>
          <cell r="BB298"/>
          <cell r="BC298">
            <v>0</v>
          </cell>
          <cell r="BD298">
            <v>8955</v>
          </cell>
          <cell r="BE298"/>
          <cell r="BF298">
            <v>0</v>
          </cell>
          <cell r="BG298">
            <v>0</v>
          </cell>
          <cell r="BH298">
            <v>0</v>
          </cell>
          <cell r="BI298">
            <v>32889</v>
          </cell>
          <cell r="BJ298">
            <v>27073</v>
          </cell>
          <cell r="BK298">
            <v>27073</v>
          </cell>
          <cell r="BL298">
            <v>0</v>
          </cell>
          <cell r="BM298">
            <v>0</v>
          </cell>
          <cell r="BN298">
            <v>0</v>
          </cell>
          <cell r="BO298">
            <v>40860</v>
          </cell>
          <cell r="BP298">
            <v>6325.6</v>
          </cell>
          <cell r="BQ298">
            <v>11395.3488372093</v>
          </cell>
          <cell r="BR298">
            <v>0</v>
          </cell>
          <cell r="BS298">
            <v>0</v>
          </cell>
          <cell r="BT298">
            <v>36626</v>
          </cell>
          <cell r="BU298"/>
          <cell r="BV298"/>
          <cell r="BW298"/>
          <cell r="BX298"/>
          <cell r="BY298">
            <v>0</v>
          </cell>
          <cell r="BZ298">
            <v>0</v>
          </cell>
          <cell r="CA298">
            <v>0</v>
          </cell>
          <cell r="CB298">
            <v>0</v>
          </cell>
          <cell r="CC298">
            <v>2028216</v>
          </cell>
          <cell r="CD298">
            <v>8817646</v>
          </cell>
          <cell r="CE298">
            <v>267257</v>
          </cell>
          <cell r="CF298">
            <v>0</v>
          </cell>
          <cell r="CG298">
            <v>267257</v>
          </cell>
          <cell r="CH298">
            <v>267257</v>
          </cell>
          <cell r="CI298">
            <v>267257</v>
          </cell>
          <cell r="CJ298">
            <v>267257</v>
          </cell>
          <cell r="CK298">
            <v>0</v>
          </cell>
          <cell r="CL298">
            <v>0</v>
          </cell>
          <cell r="CM298">
            <v>0</v>
          </cell>
          <cell r="CN298">
            <v>0</v>
          </cell>
          <cell r="CO298">
            <v>0</v>
          </cell>
          <cell r="CP298">
            <v>-2434</v>
          </cell>
          <cell r="CQ298">
            <v>1443055</v>
          </cell>
          <cell r="CR298">
            <v>1366777</v>
          </cell>
          <cell r="CS298">
            <v>1341857</v>
          </cell>
          <cell r="CT298">
            <v>1290342</v>
          </cell>
          <cell r="CU298">
            <v>1266245</v>
          </cell>
          <cell r="CV298">
            <v>-18966</v>
          </cell>
          <cell r="CW298">
            <v>0</v>
          </cell>
          <cell r="CX298">
            <v>0</v>
          </cell>
          <cell r="CY298">
            <v>0</v>
          </cell>
          <cell r="CZ298">
            <v>0</v>
          </cell>
          <cell r="DA298">
            <v>0</v>
          </cell>
          <cell r="DB298"/>
          <cell r="DC298">
            <v>0</v>
          </cell>
          <cell r="DD298">
            <v>0</v>
          </cell>
          <cell r="DE298">
            <v>0</v>
          </cell>
          <cell r="DF298">
            <v>0</v>
          </cell>
          <cell r="DG298">
            <v>0</v>
          </cell>
          <cell r="DH298">
            <v>0</v>
          </cell>
          <cell r="DI298">
            <v>0</v>
          </cell>
          <cell r="DJ298">
            <v>0</v>
          </cell>
          <cell r="DK298">
            <v>0</v>
          </cell>
          <cell r="DL298">
            <v>0</v>
          </cell>
          <cell r="DM298"/>
          <cell r="DN298"/>
          <cell r="DO298"/>
          <cell r="DP298"/>
        </row>
        <row r="299">
          <cell r="A299">
            <v>1719</v>
          </cell>
          <cell r="B299" t="str">
            <v>Drimmelen</v>
          </cell>
          <cell r="C299">
            <v>10</v>
          </cell>
          <cell r="D299">
            <v>-41543</v>
          </cell>
          <cell r="E299">
            <v>-20771</v>
          </cell>
          <cell r="F299">
            <v>0</v>
          </cell>
          <cell r="G299">
            <v>0</v>
          </cell>
          <cell r="H299">
            <v>-5733</v>
          </cell>
          <cell r="I299">
            <v>-9833</v>
          </cell>
          <cell r="J299"/>
          <cell r="K299">
            <v>0</v>
          </cell>
          <cell r="L299">
            <v>67647</v>
          </cell>
          <cell r="M299">
            <v>58328</v>
          </cell>
          <cell r="N299">
            <v>0</v>
          </cell>
          <cell r="O299">
            <v>0</v>
          </cell>
          <cell r="P299">
            <v>0</v>
          </cell>
          <cell r="Q299">
            <v>0</v>
          </cell>
          <cell r="R299">
            <v>0</v>
          </cell>
          <cell r="S299">
            <v>0</v>
          </cell>
          <cell r="T299">
            <v>0</v>
          </cell>
          <cell r="U299">
            <v>0</v>
          </cell>
          <cell r="V299">
            <v>9000</v>
          </cell>
          <cell r="W299">
            <v>103409</v>
          </cell>
          <cell r="X299">
            <v>0</v>
          </cell>
          <cell r="Y299"/>
          <cell r="Z299">
            <v>0</v>
          </cell>
          <cell r="AA299">
            <v>0</v>
          </cell>
          <cell r="AB299">
            <v>0</v>
          </cell>
          <cell r="AC299"/>
          <cell r="AD299">
            <v>0</v>
          </cell>
          <cell r="AE299">
            <v>0</v>
          </cell>
          <cell r="AF299">
            <v>0</v>
          </cell>
          <cell r="AG299">
            <v>0</v>
          </cell>
          <cell r="AH299">
            <v>0</v>
          </cell>
          <cell r="AI299">
            <v>0</v>
          </cell>
          <cell r="AJ299">
            <v>0</v>
          </cell>
          <cell r="AK299">
            <v>0</v>
          </cell>
          <cell r="AL299"/>
          <cell r="AM299">
            <v>0</v>
          </cell>
          <cell r="AN299">
            <v>0</v>
          </cell>
          <cell r="AO299">
            <v>0</v>
          </cell>
          <cell r="AP299">
            <v>0</v>
          </cell>
          <cell r="AQ299">
            <v>0</v>
          </cell>
          <cell r="AR299">
            <v>0</v>
          </cell>
          <cell r="AS299">
            <v>0</v>
          </cell>
          <cell r="AT299">
            <v>0</v>
          </cell>
          <cell r="AU299">
            <v>4740</v>
          </cell>
          <cell r="AV299">
            <v>0</v>
          </cell>
          <cell r="AW299">
            <v>0</v>
          </cell>
          <cell r="AX299">
            <v>0</v>
          </cell>
          <cell r="AY299"/>
          <cell r="AZ299"/>
          <cell r="BA299">
            <v>0</v>
          </cell>
          <cell r="BB299"/>
          <cell r="BC299">
            <v>0</v>
          </cell>
          <cell r="BD299">
            <v>9432</v>
          </cell>
          <cell r="BE299"/>
          <cell r="BF299">
            <v>0</v>
          </cell>
          <cell r="BG299">
            <v>0</v>
          </cell>
          <cell r="BH299">
            <v>0</v>
          </cell>
          <cell r="BI299">
            <v>30174</v>
          </cell>
          <cell r="BJ299">
            <v>24838</v>
          </cell>
          <cell r="BK299">
            <v>24838</v>
          </cell>
          <cell r="BL299">
            <v>0</v>
          </cell>
          <cell r="BM299">
            <v>0</v>
          </cell>
          <cell r="BN299">
            <v>0</v>
          </cell>
          <cell r="BO299">
            <v>76369</v>
          </cell>
          <cell r="BP299">
            <v>3162.8</v>
          </cell>
          <cell r="BQ299">
            <v>5697.6744186046499</v>
          </cell>
          <cell r="BR299">
            <v>0</v>
          </cell>
          <cell r="BS299">
            <v>0</v>
          </cell>
          <cell r="BT299">
            <v>38459</v>
          </cell>
          <cell r="BU299"/>
          <cell r="BV299"/>
          <cell r="BW299"/>
          <cell r="BX299"/>
          <cell r="BY299">
            <v>0</v>
          </cell>
          <cell r="BZ299">
            <v>0</v>
          </cell>
          <cell r="CA299">
            <v>0</v>
          </cell>
          <cell r="CB299">
            <v>0</v>
          </cell>
          <cell r="CC299">
            <v>2056131</v>
          </cell>
          <cell r="CD299">
            <v>8796030</v>
          </cell>
          <cell r="CE299">
            <v>621392</v>
          </cell>
          <cell r="CF299">
            <v>-9258</v>
          </cell>
          <cell r="CG299">
            <v>621392</v>
          </cell>
          <cell r="CH299">
            <v>621392</v>
          </cell>
          <cell r="CI299">
            <v>621392</v>
          </cell>
          <cell r="CJ299">
            <v>621392</v>
          </cell>
          <cell r="CK299">
            <v>0</v>
          </cell>
          <cell r="CL299">
            <v>0</v>
          </cell>
          <cell r="CM299">
            <v>0</v>
          </cell>
          <cell r="CN299">
            <v>0</v>
          </cell>
          <cell r="CO299">
            <v>0</v>
          </cell>
          <cell r="CP299">
            <v>-2168</v>
          </cell>
          <cell r="CQ299">
            <v>1400996</v>
          </cell>
          <cell r="CR299">
            <v>1317854</v>
          </cell>
          <cell r="CS299">
            <v>1273151</v>
          </cell>
          <cell r="CT299">
            <v>1253124</v>
          </cell>
          <cell r="CU299">
            <v>1216068</v>
          </cell>
          <cell r="CV299">
            <v>17476</v>
          </cell>
          <cell r="CW299">
            <v>0</v>
          </cell>
          <cell r="CX299">
            <v>0</v>
          </cell>
          <cell r="CY299">
            <v>0</v>
          </cell>
          <cell r="CZ299">
            <v>0</v>
          </cell>
          <cell r="DA299">
            <v>0</v>
          </cell>
          <cell r="DB299"/>
          <cell r="DC299">
            <v>0</v>
          </cell>
          <cell r="DD299">
            <v>0</v>
          </cell>
          <cell r="DE299">
            <v>0</v>
          </cell>
          <cell r="DF299">
            <v>0</v>
          </cell>
          <cell r="DG299">
            <v>0</v>
          </cell>
          <cell r="DH299">
            <v>0</v>
          </cell>
          <cell r="DI299">
            <v>0</v>
          </cell>
          <cell r="DJ299">
            <v>0</v>
          </cell>
          <cell r="DK299">
            <v>0</v>
          </cell>
          <cell r="DL299">
            <v>0</v>
          </cell>
          <cell r="DM299"/>
          <cell r="DN299"/>
          <cell r="DO299"/>
          <cell r="DP299"/>
        </row>
        <row r="300">
          <cell r="A300">
            <v>770</v>
          </cell>
          <cell r="B300" t="str">
            <v>Eersel</v>
          </cell>
          <cell r="C300">
            <v>10</v>
          </cell>
          <cell r="D300">
            <v>10201</v>
          </cell>
          <cell r="E300">
            <v>5100</v>
          </cell>
          <cell r="F300">
            <v>0</v>
          </cell>
          <cell r="G300">
            <v>0</v>
          </cell>
          <cell r="H300">
            <v>-38170</v>
          </cell>
          <cell r="I300">
            <v>-27801</v>
          </cell>
          <cell r="J300"/>
          <cell r="K300">
            <v>0</v>
          </cell>
          <cell r="L300">
            <v>52088</v>
          </cell>
          <cell r="M300">
            <v>47496</v>
          </cell>
          <cell r="N300">
            <v>0</v>
          </cell>
          <cell r="O300">
            <v>0</v>
          </cell>
          <cell r="P300">
            <v>0</v>
          </cell>
          <cell r="Q300">
            <v>0</v>
          </cell>
          <cell r="R300">
            <v>0</v>
          </cell>
          <cell r="S300">
            <v>0</v>
          </cell>
          <cell r="T300">
            <v>0</v>
          </cell>
          <cell r="U300">
            <v>0</v>
          </cell>
          <cell r="V300">
            <v>6000</v>
          </cell>
          <cell r="W300">
            <v>74058</v>
          </cell>
          <cell r="X300">
            <v>0</v>
          </cell>
          <cell r="Y300"/>
          <cell r="Z300">
            <v>0</v>
          </cell>
          <cell r="AA300">
            <v>0</v>
          </cell>
          <cell r="AB300">
            <v>0</v>
          </cell>
          <cell r="AC300"/>
          <cell r="AD300">
            <v>0</v>
          </cell>
          <cell r="AE300">
            <v>0</v>
          </cell>
          <cell r="AF300">
            <v>0</v>
          </cell>
          <cell r="AG300">
            <v>0</v>
          </cell>
          <cell r="AH300">
            <v>0</v>
          </cell>
          <cell r="AI300">
            <v>0</v>
          </cell>
          <cell r="AJ300">
            <v>0</v>
          </cell>
          <cell r="AK300">
            <v>0</v>
          </cell>
          <cell r="AL300"/>
          <cell r="AM300">
            <v>0</v>
          </cell>
          <cell r="AN300">
            <v>0</v>
          </cell>
          <cell r="AO300">
            <v>0</v>
          </cell>
          <cell r="AP300">
            <v>0</v>
          </cell>
          <cell r="AQ300">
            <v>0</v>
          </cell>
          <cell r="AR300">
            <v>0</v>
          </cell>
          <cell r="AS300">
            <v>0</v>
          </cell>
          <cell r="AT300">
            <v>0</v>
          </cell>
          <cell r="AU300">
            <v>2370</v>
          </cell>
          <cell r="AV300">
            <v>0</v>
          </cell>
          <cell r="AW300">
            <v>0</v>
          </cell>
          <cell r="AX300">
            <v>0</v>
          </cell>
          <cell r="AY300"/>
          <cell r="AZ300"/>
          <cell r="BA300">
            <v>0</v>
          </cell>
          <cell r="BB300"/>
          <cell r="BC300">
            <v>0</v>
          </cell>
          <cell r="BD300">
            <v>6513</v>
          </cell>
          <cell r="BE300"/>
          <cell r="BF300">
            <v>0</v>
          </cell>
          <cell r="BG300">
            <v>0</v>
          </cell>
          <cell r="BH300">
            <v>0</v>
          </cell>
          <cell r="BI300">
            <v>16890</v>
          </cell>
          <cell r="BJ300">
            <v>13903</v>
          </cell>
          <cell r="BK300">
            <v>13903</v>
          </cell>
          <cell r="BL300">
            <v>0</v>
          </cell>
          <cell r="BM300">
            <v>0</v>
          </cell>
          <cell r="BN300">
            <v>0</v>
          </cell>
          <cell r="BO300">
            <v>94853</v>
          </cell>
          <cell r="BP300">
            <v>22139.599999999999</v>
          </cell>
          <cell r="BQ300">
            <v>39883.720930232601</v>
          </cell>
          <cell r="BR300">
            <v>0</v>
          </cell>
          <cell r="BS300">
            <v>0</v>
          </cell>
          <cell r="BT300">
            <v>33338</v>
          </cell>
          <cell r="BU300"/>
          <cell r="BV300"/>
          <cell r="BW300"/>
          <cell r="BX300"/>
          <cell r="BY300">
            <v>0</v>
          </cell>
          <cell r="BZ300">
            <v>0</v>
          </cell>
          <cell r="CA300">
            <v>0</v>
          </cell>
          <cell r="CB300">
            <v>0</v>
          </cell>
          <cell r="CC300">
            <v>1413407</v>
          </cell>
          <cell r="CD300">
            <v>9113939</v>
          </cell>
          <cell r="CE300">
            <v>767859</v>
          </cell>
          <cell r="CF300">
            <v>-50447</v>
          </cell>
          <cell r="CG300">
            <v>767859</v>
          </cell>
          <cell r="CH300">
            <v>767859</v>
          </cell>
          <cell r="CI300">
            <v>767859</v>
          </cell>
          <cell r="CJ300">
            <v>767859</v>
          </cell>
          <cell r="CK300">
            <v>0</v>
          </cell>
          <cell r="CL300">
            <v>0</v>
          </cell>
          <cell r="CM300">
            <v>0</v>
          </cell>
          <cell r="CN300">
            <v>0</v>
          </cell>
          <cell r="CO300">
            <v>0</v>
          </cell>
          <cell r="CP300">
            <v>-2416</v>
          </cell>
          <cell r="CQ300">
            <v>3047712</v>
          </cell>
          <cell r="CR300">
            <v>2869035</v>
          </cell>
          <cell r="CS300">
            <v>2782084</v>
          </cell>
          <cell r="CT300">
            <v>2740703</v>
          </cell>
          <cell r="CU300">
            <v>2639945</v>
          </cell>
          <cell r="CV300">
            <v>-19805</v>
          </cell>
          <cell r="CW300">
            <v>0</v>
          </cell>
          <cell r="CX300">
            <v>0</v>
          </cell>
          <cell r="CY300">
            <v>0</v>
          </cell>
          <cell r="CZ300">
            <v>0</v>
          </cell>
          <cell r="DA300">
            <v>0</v>
          </cell>
          <cell r="DB300"/>
          <cell r="DC300">
            <v>0</v>
          </cell>
          <cell r="DD300">
            <v>0</v>
          </cell>
          <cell r="DE300">
            <v>0</v>
          </cell>
          <cell r="DF300">
            <v>0</v>
          </cell>
          <cell r="DG300">
            <v>0</v>
          </cell>
          <cell r="DH300">
            <v>0</v>
          </cell>
          <cell r="DI300">
            <v>0</v>
          </cell>
          <cell r="DJ300">
            <v>0</v>
          </cell>
          <cell r="DK300">
            <v>0</v>
          </cell>
          <cell r="DL300">
            <v>0</v>
          </cell>
          <cell r="DM300"/>
          <cell r="DN300"/>
          <cell r="DO300"/>
          <cell r="DP300"/>
        </row>
        <row r="301">
          <cell r="A301">
            <v>772</v>
          </cell>
          <cell r="B301" t="str">
            <v>Eindhoven</v>
          </cell>
          <cell r="C301">
            <v>10</v>
          </cell>
          <cell r="D301">
            <v>-73231</v>
          </cell>
          <cell r="E301">
            <v>-36615</v>
          </cell>
          <cell r="F301">
            <v>0</v>
          </cell>
          <cell r="G301">
            <v>247929</v>
          </cell>
          <cell r="H301">
            <v>-57891</v>
          </cell>
          <cell r="I301">
            <v>-70056</v>
          </cell>
          <cell r="J301"/>
          <cell r="K301">
            <v>0</v>
          </cell>
          <cell r="L301">
            <v>1261654</v>
          </cell>
          <cell r="M301">
            <v>1285667</v>
          </cell>
          <cell r="N301">
            <v>0</v>
          </cell>
          <cell r="O301">
            <v>0</v>
          </cell>
          <cell r="P301">
            <v>550226</v>
          </cell>
          <cell r="Q301">
            <v>0</v>
          </cell>
          <cell r="R301">
            <v>0</v>
          </cell>
          <cell r="S301">
            <v>1516039</v>
          </cell>
          <cell r="T301">
            <v>1516039</v>
          </cell>
          <cell r="U301">
            <v>1516039</v>
          </cell>
          <cell r="V301">
            <v>42000</v>
          </cell>
          <cell r="W301">
            <v>705981</v>
          </cell>
          <cell r="X301">
            <v>0</v>
          </cell>
          <cell r="Y301"/>
          <cell r="Z301">
            <v>0</v>
          </cell>
          <cell r="AA301">
            <v>36000</v>
          </cell>
          <cell r="AB301">
            <v>0</v>
          </cell>
          <cell r="AC301"/>
          <cell r="AD301">
            <v>325607</v>
          </cell>
          <cell r="AE301">
            <v>0</v>
          </cell>
          <cell r="AF301">
            <v>0</v>
          </cell>
          <cell r="AG301">
            <v>0</v>
          </cell>
          <cell r="AH301">
            <v>0</v>
          </cell>
          <cell r="AI301">
            <v>0</v>
          </cell>
          <cell r="AJ301">
            <v>0</v>
          </cell>
          <cell r="AK301">
            <v>422920</v>
          </cell>
          <cell r="AL301"/>
          <cell r="AM301">
            <v>0</v>
          </cell>
          <cell r="AN301">
            <v>0</v>
          </cell>
          <cell r="AO301">
            <v>0</v>
          </cell>
          <cell r="AP301">
            <v>0</v>
          </cell>
          <cell r="AQ301">
            <v>0</v>
          </cell>
          <cell r="AR301">
            <v>0</v>
          </cell>
          <cell r="AS301">
            <v>0</v>
          </cell>
          <cell r="AT301">
            <v>20000</v>
          </cell>
          <cell r="AU301">
            <v>21330</v>
          </cell>
          <cell r="AV301">
            <v>11240506.0111244</v>
          </cell>
          <cell r="AW301">
            <v>192925</v>
          </cell>
          <cell r="AX301">
            <v>0</v>
          </cell>
          <cell r="AY301"/>
          <cell r="AZ301"/>
          <cell r="BA301">
            <v>0</v>
          </cell>
          <cell r="BB301"/>
          <cell r="BC301">
            <v>0</v>
          </cell>
          <cell r="BD301">
            <v>79639</v>
          </cell>
          <cell r="BE301"/>
          <cell r="BF301">
            <v>0</v>
          </cell>
          <cell r="BG301">
            <v>0</v>
          </cell>
          <cell r="BH301">
            <v>0</v>
          </cell>
          <cell r="BI301">
            <v>434363</v>
          </cell>
          <cell r="BJ301">
            <v>357545</v>
          </cell>
          <cell r="BK301">
            <v>357545</v>
          </cell>
          <cell r="BL301">
            <v>87000</v>
          </cell>
          <cell r="BM301">
            <v>0</v>
          </cell>
          <cell r="BN301">
            <v>319550</v>
          </cell>
          <cell r="BO301">
            <v>304017</v>
          </cell>
          <cell r="BP301">
            <v>66418.8</v>
          </cell>
          <cell r="BQ301">
            <v>119651.162790698</v>
          </cell>
          <cell r="BR301">
            <v>0</v>
          </cell>
          <cell r="BS301">
            <v>0</v>
          </cell>
          <cell r="BT301">
            <v>356184</v>
          </cell>
          <cell r="BU301"/>
          <cell r="BV301"/>
          <cell r="BW301"/>
          <cell r="BX301"/>
          <cell r="BY301">
            <v>3927246.6841789898</v>
          </cell>
          <cell r="BZ301">
            <v>4551567.0481098304</v>
          </cell>
          <cell r="CA301">
            <v>4604900.9485461405</v>
          </cell>
          <cell r="CB301">
            <v>4755490.7850721702</v>
          </cell>
          <cell r="CC301">
            <v>18286707</v>
          </cell>
          <cell r="CD301">
            <v>169066022</v>
          </cell>
          <cell r="CE301">
            <v>9333622</v>
          </cell>
          <cell r="CF301">
            <v>-102153</v>
          </cell>
          <cell r="CG301">
            <v>9333622</v>
          </cell>
          <cell r="CH301">
            <v>9333622</v>
          </cell>
          <cell r="CI301">
            <v>9333622</v>
          </cell>
          <cell r="CJ301">
            <v>9333622</v>
          </cell>
          <cell r="CK301">
            <v>49078437</v>
          </cell>
          <cell r="CL301">
            <v>49053804</v>
          </cell>
          <cell r="CM301">
            <v>49053406</v>
          </cell>
          <cell r="CN301">
            <v>49052530</v>
          </cell>
          <cell r="CO301">
            <v>49053744</v>
          </cell>
          <cell r="CP301">
            <v>-9786</v>
          </cell>
          <cell r="CQ301">
            <v>34941195</v>
          </cell>
          <cell r="CR301">
            <v>33604877</v>
          </cell>
          <cell r="CS301">
            <v>32819430</v>
          </cell>
          <cell r="CT301">
            <v>32019576</v>
          </cell>
          <cell r="CU301">
            <v>31449212</v>
          </cell>
          <cell r="CV301">
            <v>86552</v>
          </cell>
          <cell r="CW301">
            <v>0</v>
          </cell>
          <cell r="CX301">
            <v>0</v>
          </cell>
          <cell r="CY301">
            <v>0</v>
          </cell>
          <cell r="CZ301">
            <v>0</v>
          </cell>
          <cell r="DA301">
            <v>0</v>
          </cell>
          <cell r="DB301"/>
          <cell r="DC301">
            <v>0</v>
          </cell>
          <cell r="DD301">
            <v>0</v>
          </cell>
          <cell r="DE301">
            <v>0</v>
          </cell>
          <cell r="DF301">
            <v>0</v>
          </cell>
          <cell r="DG301">
            <v>0</v>
          </cell>
          <cell r="DH301">
            <v>39900000</v>
          </cell>
          <cell r="DI301">
            <v>0</v>
          </cell>
          <cell r="DJ301">
            <v>0</v>
          </cell>
          <cell r="DK301">
            <v>0</v>
          </cell>
          <cell r="DL301">
            <v>0</v>
          </cell>
          <cell r="DM301"/>
          <cell r="DN301"/>
          <cell r="DO301"/>
          <cell r="DP301"/>
        </row>
        <row r="302">
          <cell r="A302">
            <v>777</v>
          </cell>
          <cell r="B302" t="str">
            <v>Etten-Leur</v>
          </cell>
          <cell r="C302">
            <v>10</v>
          </cell>
          <cell r="D302">
            <v>-8932</v>
          </cell>
          <cell r="E302">
            <v>-4466</v>
          </cell>
          <cell r="F302">
            <v>0</v>
          </cell>
          <cell r="G302">
            <v>0</v>
          </cell>
          <cell r="H302">
            <v>-8164</v>
          </cell>
          <cell r="I302">
            <v>0</v>
          </cell>
          <cell r="J302"/>
          <cell r="K302">
            <v>0</v>
          </cell>
          <cell r="L302">
            <v>183084</v>
          </cell>
          <cell r="M302">
            <v>176079</v>
          </cell>
          <cell r="N302">
            <v>0</v>
          </cell>
          <cell r="O302">
            <v>0</v>
          </cell>
          <cell r="P302">
            <v>0</v>
          </cell>
          <cell r="Q302">
            <v>0</v>
          </cell>
          <cell r="R302">
            <v>0</v>
          </cell>
          <cell r="S302">
            <v>0</v>
          </cell>
          <cell r="T302">
            <v>0</v>
          </cell>
          <cell r="U302">
            <v>0</v>
          </cell>
          <cell r="V302">
            <v>21000</v>
          </cell>
          <cell r="W302">
            <v>119201</v>
          </cell>
          <cell r="X302">
            <v>0</v>
          </cell>
          <cell r="Y302"/>
          <cell r="Z302">
            <v>0</v>
          </cell>
          <cell r="AA302">
            <v>0</v>
          </cell>
          <cell r="AB302">
            <v>0</v>
          </cell>
          <cell r="AC302"/>
          <cell r="AD302">
            <v>0</v>
          </cell>
          <cell r="AE302">
            <v>0</v>
          </cell>
          <cell r="AF302">
            <v>0</v>
          </cell>
          <cell r="AG302">
            <v>0</v>
          </cell>
          <cell r="AH302">
            <v>0</v>
          </cell>
          <cell r="AI302">
            <v>0</v>
          </cell>
          <cell r="AJ302">
            <v>0</v>
          </cell>
          <cell r="AK302">
            <v>0</v>
          </cell>
          <cell r="AL302"/>
          <cell r="AM302">
            <v>0</v>
          </cell>
          <cell r="AN302">
            <v>0</v>
          </cell>
          <cell r="AO302">
            <v>0</v>
          </cell>
          <cell r="AP302">
            <v>0</v>
          </cell>
          <cell r="AQ302">
            <v>0</v>
          </cell>
          <cell r="AR302">
            <v>0</v>
          </cell>
          <cell r="AS302">
            <v>0</v>
          </cell>
          <cell r="AT302">
            <v>0</v>
          </cell>
          <cell r="AU302">
            <v>11850</v>
          </cell>
          <cell r="AV302">
            <v>0</v>
          </cell>
          <cell r="AW302">
            <v>0</v>
          </cell>
          <cell r="AX302">
            <v>0</v>
          </cell>
          <cell r="AY302"/>
          <cell r="AZ302"/>
          <cell r="BA302">
            <v>0</v>
          </cell>
          <cell r="BB302"/>
          <cell r="BC302">
            <v>0</v>
          </cell>
          <cell r="BD302">
            <v>15104</v>
          </cell>
          <cell r="BE302"/>
          <cell r="BF302">
            <v>0</v>
          </cell>
          <cell r="BG302">
            <v>0</v>
          </cell>
          <cell r="BH302">
            <v>0</v>
          </cell>
          <cell r="BI302">
            <v>53537</v>
          </cell>
          <cell r="BJ302">
            <v>44069</v>
          </cell>
          <cell r="BK302">
            <v>44069</v>
          </cell>
          <cell r="BL302">
            <v>0</v>
          </cell>
          <cell r="BM302">
            <v>0</v>
          </cell>
          <cell r="BN302">
            <v>0</v>
          </cell>
          <cell r="BO302">
            <v>98258</v>
          </cell>
          <cell r="BP302">
            <v>22139.599999999999</v>
          </cell>
          <cell r="BQ302">
            <v>39883.720930232601</v>
          </cell>
          <cell r="BR302">
            <v>0</v>
          </cell>
          <cell r="BS302">
            <v>0</v>
          </cell>
          <cell r="BT302">
            <v>63370</v>
          </cell>
          <cell r="BU302"/>
          <cell r="BV302"/>
          <cell r="BW302"/>
          <cell r="BX302"/>
          <cell r="BY302">
            <v>0</v>
          </cell>
          <cell r="BZ302">
            <v>0</v>
          </cell>
          <cell r="CA302">
            <v>0</v>
          </cell>
          <cell r="CB302">
            <v>0</v>
          </cell>
          <cell r="CC302">
            <v>3273721</v>
          </cell>
          <cell r="CD302">
            <v>20970039</v>
          </cell>
          <cell r="CE302">
            <v>1278828</v>
          </cell>
          <cell r="CF302">
            <v>0</v>
          </cell>
          <cell r="CG302">
            <v>1278828</v>
          </cell>
          <cell r="CH302">
            <v>1278828</v>
          </cell>
          <cell r="CI302">
            <v>1278828</v>
          </cell>
          <cell r="CJ302">
            <v>1278828</v>
          </cell>
          <cell r="CK302">
            <v>0</v>
          </cell>
          <cell r="CL302">
            <v>0</v>
          </cell>
          <cell r="CM302">
            <v>0</v>
          </cell>
          <cell r="CN302">
            <v>0</v>
          </cell>
          <cell r="CO302">
            <v>0</v>
          </cell>
          <cell r="CP302">
            <v>0</v>
          </cell>
          <cell r="CQ302">
            <v>5639590</v>
          </cell>
          <cell r="CR302">
            <v>5430157</v>
          </cell>
          <cell r="CS302">
            <v>5214428</v>
          </cell>
          <cell r="CT302">
            <v>5089432</v>
          </cell>
          <cell r="CU302">
            <v>4974252</v>
          </cell>
          <cell r="CV302">
            <v>-18831</v>
          </cell>
          <cell r="CW302">
            <v>0</v>
          </cell>
          <cell r="CX302">
            <v>0</v>
          </cell>
          <cell r="CY302">
            <v>0</v>
          </cell>
          <cell r="CZ302">
            <v>0</v>
          </cell>
          <cell r="DA302">
            <v>0</v>
          </cell>
          <cell r="DB302"/>
          <cell r="DC302">
            <v>0</v>
          </cell>
          <cell r="DD302">
            <v>0</v>
          </cell>
          <cell r="DE302">
            <v>0</v>
          </cell>
          <cell r="DF302">
            <v>0</v>
          </cell>
          <cell r="DG302">
            <v>0</v>
          </cell>
          <cell r="DH302">
            <v>0</v>
          </cell>
          <cell r="DI302">
            <v>0</v>
          </cell>
          <cell r="DJ302">
            <v>0</v>
          </cell>
          <cell r="DK302">
            <v>0</v>
          </cell>
          <cell r="DL302">
            <v>0</v>
          </cell>
          <cell r="DM302"/>
          <cell r="DN302"/>
          <cell r="DO302"/>
          <cell r="DP302"/>
        </row>
        <row r="303">
          <cell r="A303">
            <v>779</v>
          </cell>
          <cell r="B303" t="str">
            <v>Geertruidenberg</v>
          </cell>
          <cell r="C303">
            <v>10</v>
          </cell>
          <cell r="D303">
            <v>-30402</v>
          </cell>
          <cell r="E303">
            <v>-15201</v>
          </cell>
          <cell r="F303">
            <v>0</v>
          </cell>
          <cell r="G303">
            <v>0</v>
          </cell>
          <cell r="H303">
            <v>-7587</v>
          </cell>
          <cell r="I303">
            <v>0</v>
          </cell>
          <cell r="J303"/>
          <cell r="K303">
            <v>0</v>
          </cell>
          <cell r="L303">
            <v>80420</v>
          </cell>
          <cell r="M303">
            <v>70636</v>
          </cell>
          <cell r="N303">
            <v>0</v>
          </cell>
          <cell r="O303">
            <v>0</v>
          </cell>
          <cell r="P303">
            <v>0</v>
          </cell>
          <cell r="Q303">
            <v>0</v>
          </cell>
          <cell r="R303">
            <v>0</v>
          </cell>
          <cell r="S303">
            <v>0</v>
          </cell>
          <cell r="T303">
            <v>0</v>
          </cell>
          <cell r="U303">
            <v>0</v>
          </cell>
          <cell r="V303">
            <v>6000</v>
          </cell>
          <cell r="W303">
            <v>34952</v>
          </cell>
          <cell r="X303">
            <v>0</v>
          </cell>
          <cell r="Y303"/>
          <cell r="Z303">
            <v>0</v>
          </cell>
          <cell r="AA303">
            <v>0</v>
          </cell>
          <cell r="AB303">
            <v>0</v>
          </cell>
          <cell r="AC303"/>
          <cell r="AD303">
            <v>0</v>
          </cell>
          <cell r="AE303">
            <v>0</v>
          </cell>
          <cell r="AF303">
            <v>0</v>
          </cell>
          <cell r="AG303">
            <v>0</v>
          </cell>
          <cell r="AH303">
            <v>0</v>
          </cell>
          <cell r="AI303">
            <v>0</v>
          </cell>
          <cell r="AJ303">
            <v>0</v>
          </cell>
          <cell r="AK303">
            <v>0</v>
          </cell>
          <cell r="AL303"/>
          <cell r="AM303">
            <v>0</v>
          </cell>
          <cell r="AN303">
            <v>0</v>
          </cell>
          <cell r="AO303">
            <v>0</v>
          </cell>
          <cell r="AP303">
            <v>0</v>
          </cell>
          <cell r="AQ303">
            <v>0</v>
          </cell>
          <cell r="AR303">
            <v>0</v>
          </cell>
          <cell r="AS303">
            <v>0</v>
          </cell>
          <cell r="AT303">
            <v>0</v>
          </cell>
          <cell r="AU303">
            <v>9480</v>
          </cell>
          <cell r="AV303">
            <v>0</v>
          </cell>
          <cell r="AW303">
            <v>0</v>
          </cell>
          <cell r="AX303">
            <v>0</v>
          </cell>
          <cell r="AY303"/>
          <cell r="AZ303"/>
          <cell r="BA303">
            <v>0</v>
          </cell>
          <cell r="BB303"/>
          <cell r="BC303">
            <v>0</v>
          </cell>
          <cell r="BD303">
            <v>7549</v>
          </cell>
          <cell r="BE303"/>
          <cell r="BF303">
            <v>0</v>
          </cell>
          <cell r="BG303">
            <v>0</v>
          </cell>
          <cell r="BH303">
            <v>0</v>
          </cell>
          <cell r="BI303">
            <v>29812</v>
          </cell>
          <cell r="BJ303">
            <v>24540</v>
          </cell>
          <cell r="BK303">
            <v>24540</v>
          </cell>
          <cell r="BL303">
            <v>0</v>
          </cell>
          <cell r="BM303">
            <v>0</v>
          </cell>
          <cell r="BN303">
            <v>0</v>
          </cell>
          <cell r="BO303">
            <v>176573</v>
          </cell>
          <cell r="BP303">
            <v>23721</v>
          </cell>
          <cell r="BQ303">
            <v>42732.5581395349</v>
          </cell>
          <cell r="BR303">
            <v>0</v>
          </cell>
          <cell r="BS303">
            <v>0</v>
          </cell>
          <cell r="BT303">
            <v>32149</v>
          </cell>
          <cell r="BU303"/>
          <cell r="BV303"/>
          <cell r="BW303"/>
          <cell r="BX303"/>
          <cell r="BY303">
            <v>0</v>
          </cell>
          <cell r="BZ303">
            <v>0</v>
          </cell>
          <cell r="CA303">
            <v>0</v>
          </cell>
          <cell r="CB303">
            <v>0</v>
          </cell>
          <cell r="CC303">
            <v>1688656</v>
          </cell>
          <cell r="CD303">
            <v>8869157</v>
          </cell>
          <cell r="CE303">
            <v>626401</v>
          </cell>
          <cell r="CF303">
            <v>0</v>
          </cell>
          <cell r="CG303">
            <v>626401</v>
          </cell>
          <cell r="CH303">
            <v>626401</v>
          </cell>
          <cell r="CI303">
            <v>626401</v>
          </cell>
          <cell r="CJ303">
            <v>626401</v>
          </cell>
          <cell r="CK303">
            <v>0</v>
          </cell>
          <cell r="CL303">
            <v>0</v>
          </cell>
          <cell r="CM303">
            <v>0</v>
          </cell>
          <cell r="CN303">
            <v>0</v>
          </cell>
          <cell r="CO303">
            <v>0</v>
          </cell>
          <cell r="CP303">
            <v>0</v>
          </cell>
          <cell r="CQ303">
            <v>1918907</v>
          </cell>
          <cell r="CR303">
            <v>1854334</v>
          </cell>
          <cell r="CS303">
            <v>1831041</v>
          </cell>
          <cell r="CT303">
            <v>1815466</v>
          </cell>
          <cell r="CU303">
            <v>1800414</v>
          </cell>
          <cell r="CV303">
            <v>-52702</v>
          </cell>
          <cell r="CW303">
            <v>0</v>
          </cell>
          <cell r="CX303">
            <v>0</v>
          </cell>
          <cell r="CY303">
            <v>0</v>
          </cell>
          <cell r="CZ303">
            <v>0</v>
          </cell>
          <cell r="DA303">
            <v>0</v>
          </cell>
          <cell r="DB303"/>
          <cell r="DC303">
            <v>0</v>
          </cell>
          <cell r="DD303">
            <v>0</v>
          </cell>
          <cell r="DE303">
            <v>0</v>
          </cell>
          <cell r="DF303">
            <v>0</v>
          </cell>
          <cell r="DG303">
            <v>0</v>
          </cell>
          <cell r="DH303">
            <v>0</v>
          </cell>
          <cell r="DI303">
            <v>0</v>
          </cell>
          <cell r="DJ303">
            <v>0</v>
          </cell>
          <cell r="DK303">
            <v>0</v>
          </cell>
          <cell r="DL303">
            <v>0</v>
          </cell>
          <cell r="DM303"/>
          <cell r="DN303"/>
          <cell r="DO303"/>
          <cell r="DP303"/>
        </row>
        <row r="304">
          <cell r="A304">
            <v>1771</v>
          </cell>
          <cell r="B304" t="str">
            <v>Geldrop-Mierlo</v>
          </cell>
          <cell r="C304">
            <v>10</v>
          </cell>
          <cell r="D304">
            <v>-50894</v>
          </cell>
          <cell r="E304">
            <v>-25447</v>
          </cell>
          <cell r="F304">
            <v>0</v>
          </cell>
          <cell r="G304">
            <v>0</v>
          </cell>
          <cell r="H304">
            <v>-8043</v>
          </cell>
          <cell r="I304">
            <v>-9535</v>
          </cell>
          <cell r="J304"/>
          <cell r="K304">
            <v>0</v>
          </cell>
          <cell r="L304">
            <v>185989</v>
          </cell>
          <cell r="M304">
            <v>175508</v>
          </cell>
          <cell r="N304">
            <v>0</v>
          </cell>
          <cell r="O304">
            <v>0</v>
          </cell>
          <cell r="P304">
            <v>0</v>
          </cell>
          <cell r="Q304">
            <v>0</v>
          </cell>
          <cell r="R304">
            <v>0</v>
          </cell>
          <cell r="S304">
            <v>0</v>
          </cell>
          <cell r="T304">
            <v>0</v>
          </cell>
          <cell r="U304">
            <v>0</v>
          </cell>
          <cell r="V304">
            <v>3000</v>
          </cell>
          <cell r="W304">
            <v>66470</v>
          </cell>
          <cell r="X304">
            <v>0</v>
          </cell>
          <cell r="Y304"/>
          <cell r="Z304">
            <v>0</v>
          </cell>
          <cell r="AA304">
            <v>0</v>
          </cell>
          <cell r="AB304">
            <v>0</v>
          </cell>
          <cell r="AC304"/>
          <cell r="AD304">
            <v>44001</v>
          </cell>
          <cell r="AE304">
            <v>0</v>
          </cell>
          <cell r="AF304">
            <v>0</v>
          </cell>
          <cell r="AG304">
            <v>0</v>
          </cell>
          <cell r="AH304">
            <v>0</v>
          </cell>
          <cell r="AI304">
            <v>0</v>
          </cell>
          <cell r="AJ304">
            <v>0</v>
          </cell>
          <cell r="AK304">
            <v>0</v>
          </cell>
          <cell r="AL304"/>
          <cell r="AM304">
            <v>0</v>
          </cell>
          <cell r="AN304">
            <v>0</v>
          </cell>
          <cell r="AO304">
            <v>0</v>
          </cell>
          <cell r="AP304">
            <v>0</v>
          </cell>
          <cell r="AQ304">
            <v>0</v>
          </cell>
          <cell r="AR304">
            <v>0</v>
          </cell>
          <cell r="AS304">
            <v>0</v>
          </cell>
          <cell r="AT304">
            <v>0</v>
          </cell>
          <cell r="AU304">
            <v>2370</v>
          </cell>
          <cell r="AV304">
            <v>0</v>
          </cell>
          <cell r="AW304">
            <v>0</v>
          </cell>
          <cell r="AX304">
            <v>0</v>
          </cell>
          <cell r="AY304"/>
          <cell r="AZ304"/>
          <cell r="BA304">
            <v>0</v>
          </cell>
          <cell r="BB304"/>
          <cell r="BC304">
            <v>0</v>
          </cell>
          <cell r="BD304">
            <v>13718</v>
          </cell>
          <cell r="BE304"/>
          <cell r="BF304">
            <v>0</v>
          </cell>
          <cell r="BG304">
            <v>0</v>
          </cell>
          <cell r="BH304">
            <v>0</v>
          </cell>
          <cell r="BI304">
            <v>54859</v>
          </cell>
          <cell r="BJ304">
            <v>45157</v>
          </cell>
          <cell r="BK304">
            <v>45157</v>
          </cell>
          <cell r="BL304">
            <v>0</v>
          </cell>
          <cell r="BM304">
            <v>0</v>
          </cell>
          <cell r="BN304">
            <v>0</v>
          </cell>
          <cell r="BO304">
            <v>90962</v>
          </cell>
          <cell r="BP304">
            <v>18976.8</v>
          </cell>
          <cell r="BQ304">
            <v>34186.046511627901</v>
          </cell>
          <cell r="BR304">
            <v>0</v>
          </cell>
          <cell r="BS304">
            <v>0</v>
          </cell>
          <cell r="BT304">
            <v>58404</v>
          </cell>
          <cell r="BU304"/>
          <cell r="BV304"/>
          <cell r="BW304"/>
          <cell r="BX304"/>
          <cell r="BY304">
            <v>0</v>
          </cell>
          <cell r="BZ304">
            <v>0</v>
          </cell>
          <cell r="CA304">
            <v>0</v>
          </cell>
          <cell r="CB304">
            <v>0</v>
          </cell>
          <cell r="CC304">
            <v>3242988</v>
          </cell>
          <cell r="CD304">
            <v>15408914</v>
          </cell>
          <cell r="CE304">
            <v>1317404</v>
          </cell>
          <cell r="CF304">
            <v>0</v>
          </cell>
          <cell r="CG304">
            <v>1317404</v>
          </cell>
          <cell r="CH304">
            <v>1317404</v>
          </cell>
          <cell r="CI304">
            <v>1317404</v>
          </cell>
          <cell r="CJ304">
            <v>1317404</v>
          </cell>
          <cell r="CK304">
            <v>0</v>
          </cell>
          <cell r="CL304">
            <v>0</v>
          </cell>
          <cell r="CM304">
            <v>0</v>
          </cell>
          <cell r="CN304">
            <v>0</v>
          </cell>
          <cell r="CO304">
            <v>0</v>
          </cell>
          <cell r="CP304">
            <v>-3442</v>
          </cell>
          <cell r="CQ304">
            <v>1772699</v>
          </cell>
          <cell r="CR304">
            <v>1748464</v>
          </cell>
          <cell r="CS304">
            <v>1724074</v>
          </cell>
          <cell r="CT304">
            <v>1726200</v>
          </cell>
          <cell r="CU304">
            <v>1731785</v>
          </cell>
          <cell r="CV304">
            <v>-11177</v>
          </cell>
          <cell r="CW304">
            <v>0</v>
          </cell>
          <cell r="CX304">
            <v>0</v>
          </cell>
          <cell r="CY304">
            <v>0</v>
          </cell>
          <cell r="CZ304">
            <v>0</v>
          </cell>
          <cell r="DA304">
            <v>0</v>
          </cell>
          <cell r="DB304"/>
          <cell r="DC304">
            <v>0</v>
          </cell>
          <cell r="DD304">
            <v>0</v>
          </cell>
          <cell r="DE304">
            <v>0</v>
          </cell>
          <cell r="DF304">
            <v>0</v>
          </cell>
          <cell r="DG304">
            <v>0</v>
          </cell>
          <cell r="DH304">
            <v>0</v>
          </cell>
          <cell r="DI304">
            <v>0</v>
          </cell>
          <cell r="DJ304">
            <v>0</v>
          </cell>
          <cell r="DK304">
            <v>0</v>
          </cell>
          <cell r="DL304">
            <v>0</v>
          </cell>
          <cell r="DM304"/>
          <cell r="DN304"/>
          <cell r="DO304"/>
          <cell r="DP304"/>
        </row>
        <row r="305">
          <cell r="A305">
            <v>1652</v>
          </cell>
          <cell r="B305" t="str">
            <v>Gemert-Bakel</v>
          </cell>
          <cell r="C305">
            <v>10</v>
          </cell>
          <cell r="D305">
            <v>-8779</v>
          </cell>
          <cell r="E305">
            <v>-4389</v>
          </cell>
          <cell r="F305">
            <v>0</v>
          </cell>
          <cell r="G305">
            <v>0</v>
          </cell>
          <cell r="H305">
            <v>-19654</v>
          </cell>
          <cell r="I305">
            <v>-2413</v>
          </cell>
          <cell r="J305"/>
          <cell r="K305">
            <v>0</v>
          </cell>
          <cell r="L305">
            <v>106822</v>
          </cell>
          <cell r="M305">
            <v>99729</v>
          </cell>
          <cell r="N305">
            <v>0</v>
          </cell>
          <cell r="O305">
            <v>0</v>
          </cell>
          <cell r="P305">
            <v>0</v>
          </cell>
          <cell r="Q305">
            <v>0</v>
          </cell>
          <cell r="R305">
            <v>0</v>
          </cell>
          <cell r="S305">
            <v>0</v>
          </cell>
          <cell r="T305">
            <v>0</v>
          </cell>
          <cell r="U305">
            <v>0</v>
          </cell>
          <cell r="V305">
            <v>6000</v>
          </cell>
          <cell r="W305">
            <v>68490</v>
          </cell>
          <cell r="X305">
            <v>0</v>
          </cell>
          <cell r="Y305"/>
          <cell r="Z305">
            <v>0</v>
          </cell>
          <cell r="AA305">
            <v>0</v>
          </cell>
          <cell r="AB305">
            <v>0</v>
          </cell>
          <cell r="AC305"/>
          <cell r="AD305">
            <v>0</v>
          </cell>
          <cell r="AE305">
            <v>0</v>
          </cell>
          <cell r="AF305">
            <v>0</v>
          </cell>
          <cell r="AG305">
            <v>0</v>
          </cell>
          <cell r="AH305">
            <v>0</v>
          </cell>
          <cell r="AI305">
            <v>0</v>
          </cell>
          <cell r="AJ305">
            <v>0</v>
          </cell>
          <cell r="AK305">
            <v>0</v>
          </cell>
          <cell r="AL305"/>
          <cell r="AM305">
            <v>0</v>
          </cell>
          <cell r="AN305">
            <v>0</v>
          </cell>
          <cell r="AO305">
            <v>0</v>
          </cell>
          <cell r="AP305">
            <v>0</v>
          </cell>
          <cell r="AQ305">
            <v>0</v>
          </cell>
          <cell r="AR305">
            <v>0</v>
          </cell>
          <cell r="AS305">
            <v>0</v>
          </cell>
          <cell r="AT305">
            <v>0</v>
          </cell>
          <cell r="AU305">
            <v>7110</v>
          </cell>
          <cell r="AV305">
            <v>0</v>
          </cell>
          <cell r="AW305">
            <v>0</v>
          </cell>
          <cell r="AX305">
            <v>0</v>
          </cell>
          <cell r="AY305"/>
          <cell r="AZ305"/>
          <cell r="BA305">
            <v>0</v>
          </cell>
          <cell r="BB305"/>
          <cell r="BC305">
            <v>0</v>
          </cell>
          <cell r="BD305">
            <v>10539</v>
          </cell>
          <cell r="BE305"/>
          <cell r="BF305">
            <v>0</v>
          </cell>
          <cell r="BG305">
            <v>0</v>
          </cell>
          <cell r="BH305">
            <v>0</v>
          </cell>
          <cell r="BI305">
            <v>40881</v>
          </cell>
          <cell r="BJ305">
            <v>33651</v>
          </cell>
          <cell r="BK305">
            <v>33651</v>
          </cell>
          <cell r="BL305">
            <v>0</v>
          </cell>
          <cell r="BM305">
            <v>0</v>
          </cell>
          <cell r="BN305">
            <v>0</v>
          </cell>
          <cell r="BO305">
            <v>110419</v>
          </cell>
          <cell r="BP305">
            <v>26883.8</v>
          </cell>
          <cell r="BQ305">
            <v>48430.232558139498</v>
          </cell>
          <cell r="BR305">
            <v>0</v>
          </cell>
          <cell r="BS305">
            <v>0</v>
          </cell>
          <cell r="BT305">
            <v>49871</v>
          </cell>
          <cell r="BU305"/>
          <cell r="BV305"/>
          <cell r="BW305"/>
          <cell r="BX305"/>
          <cell r="BY305">
            <v>0</v>
          </cell>
          <cell r="BZ305">
            <v>0</v>
          </cell>
          <cell r="CA305">
            <v>0</v>
          </cell>
          <cell r="CB305">
            <v>0</v>
          </cell>
          <cell r="CC305">
            <v>2212739</v>
          </cell>
          <cell r="CD305">
            <v>14892472</v>
          </cell>
          <cell r="CE305">
            <v>1500835</v>
          </cell>
          <cell r="CF305">
            <v>0</v>
          </cell>
          <cell r="CG305">
            <v>1500835</v>
          </cell>
          <cell r="CH305">
            <v>1500835</v>
          </cell>
          <cell r="CI305">
            <v>1500835</v>
          </cell>
          <cell r="CJ305">
            <v>1500835</v>
          </cell>
          <cell r="CK305">
            <v>0</v>
          </cell>
          <cell r="CL305">
            <v>0</v>
          </cell>
          <cell r="CM305">
            <v>0</v>
          </cell>
          <cell r="CN305">
            <v>0</v>
          </cell>
          <cell r="CO305">
            <v>0</v>
          </cell>
          <cell r="CP305">
            <v>-866</v>
          </cell>
          <cell r="CQ305">
            <v>4483183</v>
          </cell>
          <cell r="CR305">
            <v>4229257</v>
          </cell>
          <cell r="CS305">
            <v>4134043</v>
          </cell>
          <cell r="CT305">
            <v>4086963</v>
          </cell>
          <cell r="CU305">
            <v>3989713</v>
          </cell>
          <cell r="CV305">
            <v>2216</v>
          </cell>
          <cell r="CW305">
            <v>0</v>
          </cell>
          <cell r="CX305">
            <v>0</v>
          </cell>
          <cell r="CY305">
            <v>0</v>
          </cell>
          <cell r="CZ305">
            <v>0</v>
          </cell>
          <cell r="DA305">
            <v>0</v>
          </cell>
          <cell r="DB305"/>
          <cell r="DC305">
            <v>0</v>
          </cell>
          <cell r="DD305">
            <v>0</v>
          </cell>
          <cell r="DE305">
            <v>0</v>
          </cell>
          <cell r="DF305">
            <v>0</v>
          </cell>
          <cell r="DG305">
            <v>0</v>
          </cell>
          <cell r="DH305">
            <v>0</v>
          </cell>
          <cell r="DI305">
            <v>0</v>
          </cell>
          <cell r="DJ305">
            <v>0</v>
          </cell>
          <cell r="DK305">
            <v>0</v>
          </cell>
          <cell r="DL305">
            <v>0</v>
          </cell>
          <cell r="DM305"/>
          <cell r="DN305"/>
          <cell r="DO305"/>
          <cell r="DP305"/>
        </row>
        <row r="306">
          <cell r="A306">
            <v>784</v>
          </cell>
          <cell r="B306" t="str">
            <v>Gilze en Rijen</v>
          </cell>
          <cell r="C306">
            <v>10</v>
          </cell>
          <cell r="D306">
            <v>-23891</v>
          </cell>
          <cell r="E306">
            <v>-11946</v>
          </cell>
          <cell r="F306">
            <v>0</v>
          </cell>
          <cell r="G306">
            <v>34618</v>
          </cell>
          <cell r="H306">
            <v>-22475</v>
          </cell>
          <cell r="I306">
            <v>-3738</v>
          </cell>
          <cell r="J306"/>
          <cell r="K306">
            <v>0</v>
          </cell>
          <cell r="L306">
            <v>112632</v>
          </cell>
          <cell r="M306">
            <v>112918</v>
          </cell>
          <cell r="N306">
            <v>0</v>
          </cell>
          <cell r="O306">
            <v>0</v>
          </cell>
          <cell r="P306">
            <v>0</v>
          </cell>
          <cell r="Q306">
            <v>0</v>
          </cell>
          <cell r="R306">
            <v>0</v>
          </cell>
          <cell r="S306">
            <v>0</v>
          </cell>
          <cell r="T306">
            <v>0</v>
          </cell>
          <cell r="U306">
            <v>0</v>
          </cell>
          <cell r="V306">
            <v>6000</v>
          </cell>
          <cell r="W306">
            <v>103409</v>
          </cell>
          <cell r="X306">
            <v>685985</v>
          </cell>
          <cell r="Y306"/>
          <cell r="Z306">
            <v>0</v>
          </cell>
          <cell r="AA306">
            <v>0</v>
          </cell>
          <cell r="AB306">
            <v>0</v>
          </cell>
          <cell r="AC306"/>
          <cell r="AD306">
            <v>0</v>
          </cell>
          <cell r="AE306">
            <v>0</v>
          </cell>
          <cell r="AF306">
            <v>0</v>
          </cell>
          <cell r="AG306">
            <v>0</v>
          </cell>
          <cell r="AH306">
            <v>0</v>
          </cell>
          <cell r="AI306">
            <v>0</v>
          </cell>
          <cell r="AJ306">
            <v>0</v>
          </cell>
          <cell r="AK306">
            <v>0</v>
          </cell>
          <cell r="AL306"/>
          <cell r="AM306">
            <v>0</v>
          </cell>
          <cell r="AN306">
            <v>0</v>
          </cell>
          <cell r="AO306">
            <v>0</v>
          </cell>
          <cell r="AP306">
            <v>0</v>
          </cell>
          <cell r="AQ306">
            <v>0</v>
          </cell>
          <cell r="AR306">
            <v>0</v>
          </cell>
          <cell r="AS306">
            <v>0</v>
          </cell>
          <cell r="AT306">
            <v>0</v>
          </cell>
          <cell r="AU306">
            <v>2370</v>
          </cell>
          <cell r="AV306">
            <v>0</v>
          </cell>
          <cell r="AW306">
            <v>0</v>
          </cell>
          <cell r="AX306">
            <v>0</v>
          </cell>
          <cell r="AY306"/>
          <cell r="AZ306"/>
          <cell r="BA306">
            <v>0</v>
          </cell>
          <cell r="BB306"/>
          <cell r="BC306">
            <v>0</v>
          </cell>
          <cell r="BD306">
            <v>9204</v>
          </cell>
          <cell r="BE306"/>
          <cell r="BF306">
            <v>0</v>
          </cell>
          <cell r="BG306">
            <v>0</v>
          </cell>
          <cell r="BH306">
            <v>0</v>
          </cell>
          <cell r="BI306">
            <v>35025</v>
          </cell>
          <cell r="BJ306">
            <v>28831</v>
          </cell>
          <cell r="BK306">
            <v>28831</v>
          </cell>
          <cell r="BL306">
            <v>0</v>
          </cell>
          <cell r="BM306">
            <v>0</v>
          </cell>
          <cell r="BN306">
            <v>0</v>
          </cell>
          <cell r="BO306">
            <v>0</v>
          </cell>
          <cell r="BP306">
            <v>7907</v>
          </cell>
          <cell r="BQ306">
            <v>14244.186046511601</v>
          </cell>
          <cell r="BR306">
            <v>0</v>
          </cell>
          <cell r="BS306">
            <v>0</v>
          </cell>
          <cell r="BT306">
            <v>44276</v>
          </cell>
          <cell r="BU306"/>
          <cell r="BV306"/>
          <cell r="BW306"/>
          <cell r="BX306"/>
          <cell r="BY306">
            <v>0</v>
          </cell>
          <cell r="BZ306">
            <v>0</v>
          </cell>
          <cell r="CA306">
            <v>0</v>
          </cell>
          <cell r="CB306">
            <v>0</v>
          </cell>
          <cell r="CC306">
            <v>1992773</v>
          </cell>
          <cell r="CD306">
            <v>10007897</v>
          </cell>
          <cell r="CE306">
            <v>458760</v>
          </cell>
          <cell r="CF306">
            <v>-9041</v>
          </cell>
          <cell r="CG306">
            <v>458760</v>
          </cell>
          <cell r="CH306">
            <v>458760</v>
          </cell>
          <cell r="CI306">
            <v>458760</v>
          </cell>
          <cell r="CJ306">
            <v>458760</v>
          </cell>
          <cell r="CK306">
            <v>0</v>
          </cell>
          <cell r="CL306">
            <v>0</v>
          </cell>
          <cell r="CM306">
            <v>0</v>
          </cell>
          <cell r="CN306">
            <v>0</v>
          </cell>
          <cell r="CO306">
            <v>0</v>
          </cell>
          <cell r="CP306">
            <v>0</v>
          </cell>
          <cell r="CQ306">
            <v>1709091</v>
          </cell>
          <cell r="CR306">
            <v>1585759</v>
          </cell>
          <cell r="CS306">
            <v>1577593</v>
          </cell>
          <cell r="CT306">
            <v>1537590</v>
          </cell>
          <cell r="CU306">
            <v>1505046</v>
          </cell>
          <cell r="CV306">
            <v>2992</v>
          </cell>
          <cell r="CW306">
            <v>0</v>
          </cell>
          <cell r="CX306">
            <v>0</v>
          </cell>
          <cell r="CY306">
            <v>0</v>
          </cell>
          <cell r="CZ306">
            <v>0</v>
          </cell>
          <cell r="DA306">
            <v>0</v>
          </cell>
          <cell r="DB306"/>
          <cell r="DC306">
            <v>0</v>
          </cell>
          <cell r="DD306">
            <v>0</v>
          </cell>
          <cell r="DE306">
            <v>0</v>
          </cell>
          <cell r="DF306">
            <v>0</v>
          </cell>
          <cell r="DG306">
            <v>0</v>
          </cell>
          <cell r="DH306">
            <v>0</v>
          </cell>
          <cell r="DI306">
            <v>0</v>
          </cell>
          <cell r="DJ306">
            <v>0</v>
          </cell>
          <cell r="DK306">
            <v>0</v>
          </cell>
          <cell r="DL306">
            <v>0</v>
          </cell>
          <cell r="DM306"/>
          <cell r="DN306"/>
          <cell r="DO306"/>
          <cell r="DP306"/>
        </row>
        <row r="307">
          <cell r="A307">
            <v>785</v>
          </cell>
          <cell r="B307" t="str">
            <v>Goirle</v>
          </cell>
          <cell r="C307">
            <v>10</v>
          </cell>
          <cell r="D307">
            <v>-31756</v>
          </cell>
          <cell r="E307">
            <v>-15878</v>
          </cell>
          <cell r="F307">
            <v>0</v>
          </cell>
          <cell r="G307">
            <v>0</v>
          </cell>
          <cell r="H307">
            <v>0</v>
          </cell>
          <cell r="I307">
            <v>-2822</v>
          </cell>
          <cell r="J307"/>
          <cell r="K307">
            <v>0</v>
          </cell>
          <cell r="L307">
            <v>80540</v>
          </cell>
          <cell r="M307">
            <v>72279</v>
          </cell>
          <cell r="N307">
            <v>0</v>
          </cell>
          <cell r="O307">
            <v>0</v>
          </cell>
          <cell r="P307">
            <v>0</v>
          </cell>
          <cell r="Q307">
            <v>0</v>
          </cell>
          <cell r="R307">
            <v>0</v>
          </cell>
          <cell r="S307">
            <v>0</v>
          </cell>
          <cell r="T307">
            <v>0</v>
          </cell>
          <cell r="U307">
            <v>0</v>
          </cell>
          <cell r="V307">
            <v>9000</v>
          </cell>
          <cell r="W307">
            <v>62631</v>
          </cell>
          <cell r="X307">
            <v>0</v>
          </cell>
          <cell r="Y307"/>
          <cell r="Z307">
            <v>0</v>
          </cell>
          <cell r="AA307">
            <v>0</v>
          </cell>
          <cell r="AB307">
            <v>0</v>
          </cell>
          <cell r="AC307"/>
          <cell r="AD307">
            <v>0</v>
          </cell>
          <cell r="AE307">
            <v>0</v>
          </cell>
          <cell r="AF307">
            <v>0</v>
          </cell>
          <cell r="AG307">
            <v>0</v>
          </cell>
          <cell r="AH307">
            <v>0</v>
          </cell>
          <cell r="AI307">
            <v>0</v>
          </cell>
          <cell r="AJ307">
            <v>0</v>
          </cell>
          <cell r="AK307">
            <v>0</v>
          </cell>
          <cell r="AL307"/>
          <cell r="AM307">
            <v>0</v>
          </cell>
          <cell r="AN307">
            <v>0</v>
          </cell>
          <cell r="AO307">
            <v>0</v>
          </cell>
          <cell r="AP307">
            <v>0</v>
          </cell>
          <cell r="AQ307">
            <v>0</v>
          </cell>
          <cell r="AR307">
            <v>0</v>
          </cell>
          <cell r="AS307">
            <v>0</v>
          </cell>
          <cell r="AT307">
            <v>0</v>
          </cell>
          <cell r="AU307">
            <v>2370</v>
          </cell>
          <cell r="AV307">
            <v>0</v>
          </cell>
          <cell r="AW307">
            <v>0</v>
          </cell>
          <cell r="AX307">
            <v>0</v>
          </cell>
          <cell r="AY307"/>
          <cell r="AZ307"/>
          <cell r="BA307">
            <v>0</v>
          </cell>
          <cell r="BB307"/>
          <cell r="BC307">
            <v>0</v>
          </cell>
          <cell r="BD307">
            <v>8185</v>
          </cell>
          <cell r="BE307"/>
          <cell r="BF307">
            <v>0</v>
          </cell>
          <cell r="BG307">
            <v>0</v>
          </cell>
          <cell r="BH307">
            <v>0</v>
          </cell>
          <cell r="BI307">
            <v>25963</v>
          </cell>
          <cell r="BJ307">
            <v>21371</v>
          </cell>
          <cell r="BK307">
            <v>21371</v>
          </cell>
          <cell r="BL307">
            <v>0</v>
          </cell>
          <cell r="BM307">
            <v>0</v>
          </cell>
          <cell r="BN307">
            <v>0</v>
          </cell>
          <cell r="BO307">
            <v>58371</v>
          </cell>
          <cell r="BP307">
            <v>1581.4</v>
          </cell>
          <cell r="BQ307">
            <v>2848.8372093023299</v>
          </cell>
          <cell r="BR307">
            <v>0</v>
          </cell>
          <cell r="BS307">
            <v>0</v>
          </cell>
          <cell r="BT307">
            <v>34673</v>
          </cell>
          <cell r="BU307"/>
          <cell r="BV307"/>
          <cell r="BW307"/>
          <cell r="BX307"/>
          <cell r="BY307">
            <v>0</v>
          </cell>
          <cell r="BZ307">
            <v>0</v>
          </cell>
          <cell r="CA307">
            <v>0</v>
          </cell>
          <cell r="CB307">
            <v>0</v>
          </cell>
          <cell r="CC307">
            <v>1835547</v>
          </cell>
          <cell r="CD307">
            <v>11495948</v>
          </cell>
          <cell r="CE307">
            <v>1126512</v>
          </cell>
          <cell r="CF307">
            <v>0</v>
          </cell>
          <cell r="CG307">
            <v>1126512</v>
          </cell>
          <cell r="CH307">
            <v>1126512</v>
          </cell>
          <cell r="CI307">
            <v>1126512</v>
          </cell>
          <cell r="CJ307">
            <v>1126512</v>
          </cell>
          <cell r="CK307">
            <v>0</v>
          </cell>
          <cell r="CL307">
            <v>0</v>
          </cell>
          <cell r="CM307">
            <v>0</v>
          </cell>
          <cell r="CN307">
            <v>0</v>
          </cell>
          <cell r="CO307">
            <v>0</v>
          </cell>
          <cell r="CP307">
            <v>-1023</v>
          </cell>
          <cell r="CQ307">
            <v>2574641</v>
          </cell>
          <cell r="CR307">
            <v>2460157</v>
          </cell>
          <cell r="CS307">
            <v>2366019</v>
          </cell>
          <cell r="CT307">
            <v>2303988</v>
          </cell>
          <cell r="CU307">
            <v>2206433</v>
          </cell>
          <cell r="CV307">
            <v>3511</v>
          </cell>
          <cell r="CW307">
            <v>0</v>
          </cell>
          <cell r="CX307">
            <v>0</v>
          </cell>
          <cell r="CY307">
            <v>0</v>
          </cell>
          <cell r="CZ307">
            <v>0</v>
          </cell>
          <cell r="DA307">
            <v>0</v>
          </cell>
          <cell r="DB307"/>
          <cell r="DC307">
            <v>0</v>
          </cell>
          <cell r="DD307">
            <v>0</v>
          </cell>
          <cell r="DE307">
            <v>0</v>
          </cell>
          <cell r="DF307">
            <v>0</v>
          </cell>
          <cell r="DG307">
            <v>0</v>
          </cell>
          <cell r="DH307">
            <v>0</v>
          </cell>
          <cell r="DI307">
            <v>0</v>
          </cell>
          <cell r="DJ307">
            <v>0</v>
          </cell>
          <cell r="DK307">
            <v>0</v>
          </cell>
          <cell r="DL307">
            <v>0</v>
          </cell>
          <cell r="DM307"/>
          <cell r="DN307"/>
          <cell r="DO307"/>
          <cell r="DP307"/>
        </row>
        <row r="308">
          <cell r="A308">
            <v>786</v>
          </cell>
          <cell r="B308" t="str">
            <v>Grave</v>
          </cell>
          <cell r="C308">
            <v>10</v>
          </cell>
          <cell r="D308">
            <v>2398</v>
          </cell>
          <cell r="E308">
            <v>1199</v>
          </cell>
          <cell r="F308">
            <v>0</v>
          </cell>
          <cell r="G308">
            <v>111155</v>
          </cell>
          <cell r="H308">
            <v>-20441</v>
          </cell>
          <cell r="I308">
            <v>-15733</v>
          </cell>
          <cell r="J308"/>
          <cell r="K308">
            <v>0</v>
          </cell>
          <cell r="L308">
            <v>40111</v>
          </cell>
          <cell r="M308">
            <v>38282</v>
          </cell>
          <cell r="N308">
            <v>0</v>
          </cell>
          <cell r="O308">
            <v>0</v>
          </cell>
          <cell r="P308">
            <v>0</v>
          </cell>
          <cell r="Q308">
            <v>0</v>
          </cell>
          <cell r="R308">
            <v>0</v>
          </cell>
          <cell r="S308">
            <v>0</v>
          </cell>
          <cell r="T308">
            <v>0</v>
          </cell>
          <cell r="U308">
            <v>0</v>
          </cell>
          <cell r="V308">
            <v>0</v>
          </cell>
          <cell r="W308">
            <v>53065</v>
          </cell>
          <cell r="X308">
            <v>0</v>
          </cell>
          <cell r="Y308"/>
          <cell r="Z308">
            <v>0</v>
          </cell>
          <cell r="AA308">
            <v>0</v>
          </cell>
          <cell r="AB308">
            <v>0</v>
          </cell>
          <cell r="AC308"/>
          <cell r="AD308">
            <v>0</v>
          </cell>
          <cell r="AE308">
            <v>0</v>
          </cell>
          <cell r="AF308">
            <v>0</v>
          </cell>
          <cell r="AG308">
            <v>0</v>
          </cell>
          <cell r="AH308">
            <v>0</v>
          </cell>
          <cell r="AI308">
            <v>0</v>
          </cell>
          <cell r="AJ308">
            <v>0</v>
          </cell>
          <cell r="AK308">
            <v>0</v>
          </cell>
          <cell r="AL308"/>
          <cell r="AM308">
            <v>0</v>
          </cell>
          <cell r="AN308">
            <v>0</v>
          </cell>
          <cell r="AO308">
            <v>0</v>
          </cell>
          <cell r="AP308">
            <v>0</v>
          </cell>
          <cell r="AQ308">
            <v>0</v>
          </cell>
          <cell r="AR308">
            <v>0</v>
          </cell>
          <cell r="AS308">
            <v>0</v>
          </cell>
          <cell r="AT308">
            <v>0</v>
          </cell>
          <cell r="AU308">
            <v>0</v>
          </cell>
          <cell r="AV308">
            <v>0</v>
          </cell>
          <cell r="AW308">
            <v>0</v>
          </cell>
          <cell r="AX308">
            <v>0</v>
          </cell>
          <cell r="AY308"/>
          <cell r="AZ308"/>
          <cell r="BA308">
            <v>0</v>
          </cell>
          <cell r="BB308"/>
          <cell r="BC308">
            <v>0</v>
          </cell>
          <cell r="BD308">
            <v>4342</v>
          </cell>
          <cell r="BE308"/>
          <cell r="BF308">
            <v>0</v>
          </cell>
          <cell r="BG308">
            <v>0</v>
          </cell>
          <cell r="BH308">
            <v>0</v>
          </cell>
          <cell r="BI308">
            <v>14383</v>
          </cell>
          <cell r="BJ308">
            <v>11839</v>
          </cell>
          <cell r="BK308">
            <v>11839</v>
          </cell>
          <cell r="BL308">
            <v>0</v>
          </cell>
          <cell r="BM308">
            <v>0</v>
          </cell>
          <cell r="BN308">
            <v>0</v>
          </cell>
          <cell r="BO308">
            <v>31131</v>
          </cell>
          <cell r="BP308">
            <v>0</v>
          </cell>
          <cell r="BQ308">
            <v>0</v>
          </cell>
          <cell r="BR308">
            <v>0</v>
          </cell>
          <cell r="BS308">
            <v>0</v>
          </cell>
          <cell r="BT308">
            <v>20026</v>
          </cell>
          <cell r="BU308"/>
          <cell r="BV308"/>
          <cell r="BW308"/>
          <cell r="BX308"/>
          <cell r="BY308">
            <v>0</v>
          </cell>
          <cell r="BZ308">
            <v>0</v>
          </cell>
          <cell r="CA308">
            <v>0</v>
          </cell>
          <cell r="CB308">
            <v>0</v>
          </cell>
          <cell r="CC308">
            <v>1099290</v>
          </cell>
          <cell r="CD308">
            <v>6808500</v>
          </cell>
          <cell r="CE308">
            <v>668506</v>
          </cell>
          <cell r="CF308">
            <v>-30084</v>
          </cell>
          <cell r="CG308">
            <v>668506</v>
          </cell>
          <cell r="CH308">
            <v>668506</v>
          </cell>
          <cell r="CI308">
            <v>668506</v>
          </cell>
          <cell r="CJ308">
            <v>668506</v>
          </cell>
          <cell r="CK308">
            <v>0</v>
          </cell>
          <cell r="CL308">
            <v>0</v>
          </cell>
          <cell r="CM308">
            <v>0</v>
          </cell>
          <cell r="CN308">
            <v>0</v>
          </cell>
          <cell r="CO308">
            <v>0</v>
          </cell>
          <cell r="CP308">
            <v>-1125</v>
          </cell>
          <cell r="CQ308">
            <v>1759236</v>
          </cell>
          <cell r="CR308">
            <v>1655834</v>
          </cell>
          <cell r="CS308">
            <v>1570404</v>
          </cell>
          <cell r="CT308">
            <v>1518831</v>
          </cell>
          <cell r="CU308">
            <v>1478263</v>
          </cell>
          <cell r="CV308">
            <v>18209</v>
          </cell>
          <cell r="CW308">
            <v>0</v>
          </cell>
          <cell r="CX308">
            <v>0</v>
          </cell>
          <cell r="CY308">
            <v>0</v>
          </cell>
          <cell r="CZ308">
            <v>0</v>
          </cell>
          <cell r="DA308">
            <v>0</v>
          </cell>
          <cell r="DB308"/>
          <cell r="DC308">
            <v>0</v>
          </cell>
          <cell r="DD308">
            <v>0</v>
          </cell>
          <cell r="DE308">
            <v>0</v>
          </cell>
          <cell r="DF308">
            <v>0</v>
          </cell>
          <cell r="DG308">
            <v>0</v>
          </cell>
          <cell r="DH308">
            <v>0</v>
          </cell>
          <cell r="DI308">
            <v>0</v>
          </cell>
          <cell r="DJ308">
            <v>0</v>
          </cell>
          <cell r="DK308">
            <v>0</v>
          </cell>
          <cell r="DL308">
            <v>0</v>
          </cell>
          <cell r="DM308"/>
          <cell r="DN308"/>
          <cell r="DO308"/>
          <cell r="DP308"/>
        </row>
        <row r="309">
          <cell r="A309">
            <v>788</v>
          </cell>
          <cell r="B309" t="str">
            <v>Haaren</v>
          </cell>
          <cell r="C309">
            <v>10</v>
          </cell>
          <cell r="D309">
            <v>17570</v>
          </cell>
          <cell r="E309">
            <v>8785</v>
          </cell>
          <cell r="F309">
            <v>0</v>
          </cell>
          <cell r="G309">
            <v>0</v>
          </cell>
          <cell r="H309">
            <v>-15181</v>
          </cell>
          <cell r="I309">
            <v>-11331</v>
          </cell>
          <cell r="J309"/>
          <cell r="K309">
            <v>0</v>
          </cell>
          <cell r="L309">
            <v>34142</v>
          </cell>
          <cell r="M309">
            <v>28474</v>
          </cell>
          <cell r="N309">
            <v>0</v>
          </cell>
          <cell r="O309">
            <v>0</v>
          </cell>
          <cell r="P309">
            <v>0</v>
          </cell>
          <cell r="Q309">
            <v>0</v>
          </cell>
          <cell r="R309">
            <v>0</v>
          </cell>
          <cell r="S309">
            <v>0</v>
          </cell>
          <cell r="T309">
            <v>0</v>
          </cell>
          <cell r="U309">
            <v>0</v>
          </cell>
          <cell r="V309">
            <v>0</v>
          </cell>
          <cell r="W309">
            <v>0</v>
          </cell>
          <cell r="X309">
            <v>0</v>
          </cell>
          <cell r="Y309"/>
          <cell r="Z309">
            <v>0</v>
          </cell>
          <cell r="AA309">
            <v>0</v>
          </cell>
          <cell r="AB309">
            <v>0</v>
          </cell>
          <cell r="AC309"/>
          <cell r="AD309">
            <v>0</v>
          </cell>
          <cell r="AE309">
            <v>0</v>
          </cell>
          <cell r="AF309">
            <v>0</v>
          </cell>
          <cell r="AG309">
            <v>0</v>
          </cell>
          <cell r="AH309">
            <v>0</v>
          </cell>
          <cell r="AI309">
            <v>0</v>
          </cell>
          <cell r="AJ309">
            <v>0</v>
          </cell>
          <cell r="AK309">
            <v>0</v>
          </cell>
          <cell r="AL309"/>
          <cell r="AM309">
            <v>0</v>
          </cell>
          <cell r="AN309">
            <v>0</v>
          </cell>
          <cell r="AO309">
            <v>0</v>
          </cell>
          <cell r="AP309">
            <v>0</v>
          </cell>
          <cell r="AQ309">
            <v>0</v>
          </cell>
          <cell r="AR309">
            <v>0</v>
          </cell>
          <cell r="AS309">
            <v>0</v>
          </cell>
          <cell r="AT309">
            <v>0</v>
          </cell>
          <cell r="AU309">
            <v>0</v>
          </cell>
          <cell r="AV309">
            <v>0</v>
          </cell>
          <cell r="AW309">
            <v>0</v>
          </cell>
          <cell r="AX309">
            <v>0</v>
          </cell>
          <cell r="AY309"/>
          <cell r="AZ309"/>
          <cell r="BA309">
            <v>0</v>
          </cell>
          <cell r="BB309"/>
          <cell r="BC309">
            <v>0</v>
          </cell>
          <cell r="BD309">
            <v>4884</v>
          </cell>
          <cell r="BE309"/>
          <cell r="BF309">
            <v>0</v>
          </cell>
          <cell r="BG309">
            <v>0</v>
          </cell>
          <cell r="BH309">
            <v>0</v>
          </cell>
          <cell r="BI309">
            <v>10815</v>
          </cell>
          <cell r="BJ309">
            <v>8903</v>
          </cell>
          <cell r="BK309">
            <v>8903</v>
          </cell>
          <cell r="BL309">
            <v>0</v>
          </cell>
          <cell r="BM309">
            <v>0</v>
          </cell>
          <cell r="BN309">
            <v>0</v>
          </cell>
          <cell r="BO309">
            <v>0</v>
          </cell>
          <cell r="BP309">
            <v>3162.8</v>
          </cell>
          <cell r="BQ309">
            <v>5697.6744186046499</v>
          </cell>
          <cell r="BR309">
            <v>0</v>
          </cell>
          <cell r="BS309">
            <v>0</v>
          </cell>
          <cell r="BT309">
            <v>22415</v>
          </cell>
          <cell r="BU309"/>
          <cell r="BV309"/>
          <cell r="BW309"/>
          <cell r="BX309"/>
          <cell r="BY309">
            <v>0</v>
          </cell>
          <cell r="BZ309">
            <v>0</v>
          </cell>
          <cell r="CA309">
            <v>0</v>
          </cell>
          <cell r="CB309">
            <v>0</v>
          </cell>
          <cell r="CC309">
            <v>1155686</v>
          </cell>
          <cell r="CD309">
            <v>5739274</v>
          </cell>
          <cell r="CE309">
            <v>194674</v>
          </cell>
          <cell r="CF309">
            <v>0</v>
          </cell>
          <cell r="CG309">
            <v>194674</v>
          </cell>
          <cell r="CH309">
            <v>194674</v>
          </cell>
          <cell r="CI309">
            <v>194674</v>
          </cell>
          <cell r="CJ309">
            <v>194674</v>
          </cell>
          <cell r="CK309">
            <v>0</v>
          </cell>
          <cell r="CL309">
            <v>0</v>
          </cell>
          <cell r="CM309">
            <v>0</v>
          </cell>
          <cell r="CN309">
            <v>0</v>
          </cell>
          <cell r="CO309">
            <v>0</v>
          </cell>
          <cell r="CP309">
            <v>-4113</v>
          </cell>
          <cell r="CQ309">
            <v>1705705</v>
          </cell>
          <cell r="CR309">
            <v>1631128</v>
          </cell>
          <cell r="CS309">
            <v>1611535</v>
          </cell>
          <cell r="CT309">
            <v>1574072</v>
          </cell>
          <cell r="CU309">
            <v>1536590</v>
          </cell>
          <cell r="CV309">
            <v>31976</v>
          </cell>
          <cell r="CW309">
            <v>0</v>
          </cell>
          <cell r="CX309">
            <v>0</v>
          </cell>
          <cell r="CY309">
            <v>0</v>
          </cell>
          <cell r="CZ309">
            <v>0</v>
          </cell>
          <cell r="DA309">
            <v>0</v>
          </cell>
          <cell r="DB309"/>
          <cell r="DC309">
            <v>0</v>
          </cell>
          <cell r="DD309">
            <v>0</v>
          </cell>
          <cell r="DE309">
            <v>0</v>
          </cell>
          <cell r="DF309">
            <v>0</v>
          </cell>
          <cell r="DG309">
            <v>0</v>
          </cell>
          <cell r="DH309">
            <v>0</v>
          </cell>
          <cell r="DI309">
            <v>0</v>
          </cell>
          <cell r="DJ309">
            <v>0</v>
          </cell>
          <cell r="DK309">
            <v>0</v>
          </cell>
          <cell r="DL309">
            <v>0</v>
          </cell>
          <cell r="DM309"/>
          <cell r="DN309"/>
          <cell r="DO309"/>
          <cell r="DP309"/>
        </row>
        <row r="310">
          <cell r="A310">
            <v>1655</v>
          </cell>
          <cell r="B310" t="str">
            <v>Halderberge</v>
          </cell>
          <cell r="C310">
            <v>10</v>
          </cell>
          <cell r="D310">
            <v>-15555</v>
          </cell>
          <cell r="E310">
            <v>-7777</v>
          </cell>
          <cell r="F310">
            <v>0</v>
          </cell>
          <cell r="G310">
            <v>0</v>
          </cell>
          <cell r="H310">
            <v>-21789</v>
          </cell>
          <cell r="I310">
            <v>-3615</v>
          </cell>
          <cell r="J310"/>
          <cell r="K310">
            <v>0</v>
          </cell>
          <cell r="L310">
            <v>119158</v>
          </cell>
          <cell r="M310">
            <v>117346</v>
          </cell>
          <cell r="N310">
            <v>0</v>
          </cell>
          <cell r="O310">
            <v>0</v>
          </cell>
          <cell r="P310">
            <v>0</v>
          </cell>
          <cell r="Q310">
            <v>0</v>
          </cell>
          <cell r="R310">
            <v>0</v>
          </cell>
          <cell r="S310">
            <v>0</v>
          </cell>
          <cell r="T310">
            <v>0</v>
          </cell>
          <cell r="U310">
            <v>0</v>
          </cell>
          <cell r="V310">
            <v>12000</v>
          </cell>
          <cell r="W310">
            <v>65056</v>
          </cell>
          <cell r="X310">
            <v>0</v>
          </cell>
          <cell r="Y310"/>
          <cell r="Z310">
            <v>0</v>
          </cell>
          <cell r="AA310">
            <v>0</v>
          </cell>
          <cell r="AB310">
            <v>0</v>
          </cell>
          <cell r="AC310"/>
          <cell r="AD310">
            <v>0</v>
          </cell>
          <cell r="AE310">
            <v>0</v>
          </cell>
          <cell r="AF310">
            <v>0</v>
          </cell>
          <cell r="AG310">
            <v>0</v>
          </cell>
          <cell r="AH310">
            <v>0</v>
          </cell>
          <cell r="AI310">
            <v>0</v>
          </cell>
          <cell r="AJ310">
            <v>0</v>
          </cell>
          <cell r="AK310">
            <v>0</v>
          </cell>
          <cell r="AL310"/>
          <cell r="AM310">
            <v>0</v>
          </cell>
          <cell r="AN310">
            <v>0</v>
          </cell>
          <cell r="AO310">
            <v>0</v>
          </cell>
          <cell r="AP310">
            <v>0</v>
          </cell>
          <cell r="AQ310">
            <v>0</v>
          </cell>
          <cell r="AR310">
            <v>0</v>
          </cell>
          <cell r="AS310">
            <v>0</v>
          </cell>
          <cell r="AT310">
            <v>0</v>
          </cell>
          <cell r="AU310">
            <v>2370</v>
          </cell>
          <cell r="AV310">
            <v>0</v>
          </cell>
          <cell r="AW310">
            <v>0</v>
          </cell>
          <cell r="AX310">
            <v>0</v>
          </cell>
          <cell r="AY310"/>
          <cell r="AZ310"/>
          <cell r="BA310">
            <v>0</v>
          </cell>
          <cell r="BB310"/>
          <cell r="BC310">
            <v>0</v>
          </cell>
          <cell r="BD310">
            <v>10383</v>
          </cell>
          <cell r="BE310"/>
          <cell r="BF310">
            <v>0</v>
          </cell>
          <cell r="BG310">
            <v>0</v>
          </cell>
          <cell r="BH310">
            <v>0</v>
          </cell>
          <cell r="BI310">
            <v>39555</v>
          </cell>
          <cell r="BJ310">
            <v>32560</v>
          </cell>
          <cell r="BK310">
            <v>32560</v>
          </cell>
          <cell r="BL310">
            <v>0</v>
          </cell>
          <cell r="BM310">
            <v>0</v>
          </cell>
          <cell r="BN310">
            <v>0</v>
          </cell>
          <cell r="BO310">
            <v>159548</v>
          </cell>
          <cell r="BP310">
            <v>14232.6</v>
          </cell>
          <cell r="BQ310">
            <v>25639.534883720899</v>
          </cell>
          <cell r="BR310">
            <v>0</v>
          </cell>
          <cell r="BS310">
            <v>0</v>
          </cell>
          <cell r="BT310">
            <v>46920</v>
          </cell>
          <cell r="BU310"/>
          <cell r="BV310"/>
          <cell r="BW310"/>
          <cell r="BX310"/>
          <cell r="BY310">
            <v>0</v>
          </cell>
          <cell r="BZ310">
            <v>0</v>
          </cell>
          <cell r="CA310">
            <v>0</v>
          </cell>
          <cell r="CB310">
            <v>0</v>
          </cell>
          <cell r="CC310">
            <v>2629098</v>
          </cell>
          <cell r="CD310">
            <v>15591695</v>
          </cell>
          <cell r="CE310">
            <v>602617</v>
          </cell>
          <cell r="CF310">
            <v>0</v>
          </cell>
          <cell r="CG310">
            <v>602617</v>
          </cell>
          <cell r="CH310">
            <v>602617</v>
          </cell>
          <cell r="CI310">
            <v>602617</v>
          </cell>
          <cell r="CJ310">
            <v>602617</v>
          </cell>
          <cell r="CK310">
            <v>0</v>
          </cell>
          <cell r="CL310">
            <v>0</v>
          </cell>
          <cell r="CM310">
            <v>0</v>
          </cell>
          <cell r="CN310">
            <v>0</v>
          </cell>
          <cell r="CO310">
            <v>0</v>
          </cell>
          <cell r="CP310">
            <v>-1300</v>
          </cell>
          <cell r="CQ310">
            <v>5095329</v>
          </cell>
          <cell r="CR310">
            <v>4827977</v>
          </cell>
          <cell r="CS310">
            <v>4709184</v>
          </cell>
          <cell r="CT310">
            <v>4538712</v>
          </cell>
          <cell r="CU310">
            <v>4397756</v>
          </cell>
          <cell r="CV310">
            <v>61429</v>
          </cell>
          <cell r="CW310">
            <v>0</v>
          </cell>
          <cell r="CX310">
            <v>0</v>
          </cell>
          <cell r="CY310">
            <v>0</v>
          </cell>
          <cell r="CZ310">
            <v>0</v>
          </cell>
          <cell r="DA310">
            <v>0</v>
          </cell>
          <cell r="DB310"/>
          <cell r="DC310">
            <v>0</v>
          </cell>
          <cell r="DD310">
            <v>0</v>
          </cell>
          <cell r="DE310">
            <v>0</v>
          </cell>
          <cell r="DF310">
            <v>0</v>
          </cell>
          <cell r="DG310">
            <v>0</v>
          </cell>
          <cell r="DH310">
            <v>0</v>
          </cell>
          <cell r="DI310">
            <v>0</v>
          </cell>
          <cell r="DJ310">
            <v>0</v>
          </cell>
          <cell r="DK310">
            <v>0</v>
          </cell>
          <cell r="DL310">
            <v>0</v>
          </cell>
          <cell r="DM310"/>
          <cell r="DN310"/>
          <cell r="DO310"/>
          <cell r="DP310"/>
        </row>
        <row r="311">
          <cell r="A311">
            <v>1658</v>
          </cell>
          <cell r="B311" t="str">
            <v>Heeze-Leende</v>
          </cell>
          <cell r="C311">
            <v>10</v>
          </cell>
          <cell r="D311">
            <v>-18272</v>
          </cell>
          <cell r="E311">
            <v>-9136</v>
          </cell>
          <cell r="F311">
            <v>0</v>
          </cell>
          <cell r="G311">
            <v>0</v>
          </cell>
          <cell r="H311">
            <v>-12242</v>
          </cell>
          <cell r="I311">
            <v>-9173</v>
          </cell>
          <cell r="J311"/>
          <cell r="K311">
            <v>0</v>
          </cell>
          <cell r="L311">
            <v>37504</v>
          </cell>
          <cell r="M311">
            <v>32449</v>
          </cell>
          <cell r="N311">
            <v>0</v>
          </cell>
          <cell r="O311">
            <v>0</v>
          </cell>
          <cell r="P311">
            <v>0</v>
          </cell>
          <cell r="Q311">
            <v>0</v>
          </cell>
          <cell r="R311">
            <v>0</v>
          </cell>
          <cell r="S311">
            <v>0</v>
          </cell>
          <cell r="T311">
            <v>0</v>
          </cell>
          <cell r="U311">
            <v>0</v>
          </cell>
          <cell r="V311">
            <v>3000</v>
          </cell>
          <cell r="W311">
            <v>60452</v>
          </cell>
          <cell r="X311">
            <v>0</v>
          </cell>
          <cell r="Y311"/>
          <cell r="Z311">
            <v>0</v>
          </cell>
          <cell r="AA311">
            <v>0</v>
          </cell>
          <cell r="AB311">
            <v>0</v>
          </cell>
          <cell r="AC311"/>
          <cell r="AD311">
            <v>0</v>
          </cell>
          <cell r="AE311">
            <v>0</v>
          </cell>
          <cell r="AF311">
            <v>0</v>
          </cell>
          <cell r="AG311">
            <v>0</v>
          </cell>
          <cell r="AH311">
            <v>0</v>
          </cell>
          <cell r="AI311">
            <v>0</v>
          </cell>
          <cell r="AJ311">
            <v>0</v>
          </cell>
          <cell r="AK311">
            <v>0</v>
          </cell>
          <cell r="AL311"/>
          <cell r="AM311">
            <v>0</v>
          </cell>
          <cell r="AN311">
            <v>0</v>
          </cell>
          <cell r="AO311">
            <v>0</v>
          </cell>
          <cell r="AP311">
            <v>0</v>
          </cell>
          <cell r="AQ311">
            <v>0</v>
          </cell>
          <cell r="AR311">
            <v>0</v>
          </cell>
          <cell r="AS311">
            <v>0</v>
          </cell>
          <cell r="AT311">
            <v>0</v>
          </cell>
          <cell r="AU311">
            <v>2370</v>
          </cell>
          <cell r="AV311">
            <v>0</v>
          </cell>
          <cell r="AW311">
            <v>0</v>
          </cell>
          <cell r="AX311">
            <v>0</v>
          </cell>
          <cell r="AY311"/>
          <cell r="AZ311"/>
          <cell r="BA311">
            <v>0</v>
          </cell>
          <cell r="BB311"/>
          <cell r="BC311">
            <v>0</v>
          </cell>
          <cell r="BD311">
            <v>5516</v>
          </cell>
          <cell r="BE311"/>
          <cell r="BF311">
            <v>0</v>
          </cell>
          <cell r="BG311">
            <v>0</v>
          </cell>
          <cell r="BH311">
            <v>0</v>
          </cell>
          <cell r="BI311">
            <v>14046</v>
          </cell>
          <cell r="BJ311">
            <v>11562</v>
          </cell>
          <cell r="BK311">
            <v>11562</v>
          </cell>
          <cell r="BL311">
            <v>0</v>
          </cell>
          <cell r="BM311">
            <v>0</v>
          </cell>
          <cell r="BN311">
            <v>0</v>
          </cell>
          <cell r="BO311">
            <v>40860</v>
          </cell>
          <cell r="BP311">
            <v>4744.2</v>
          </cell>
          <cell r="BQ311">
            <v>8546.5116279069807</v>
          </cell>
          <cell r="BR311">
            <v>0</v>
          </cell>
          <cell r="BS311">
            <v>0</v>
          </cell>
          <cell r="BT311">
            <v>25076</v>
          </cell>
          <cell r="BU311"/>
          <cell r="BV311"/>
          <cell r="BW311"/>
          <cell r="BX311"/>
          <cell r="BY311">
            <v>0</v>
          </cell>
          <cell r="BZ311">
            <v>0</v>
          </cell>
          <cell r="CA311">
            <v>0</v>
          </cell>
          <cell r="CB311">
            <v>0</v>
          </cell>
          <cell r="CC311">
            <v>1291128</v>
          </cell>
          <cell r="CD311">
            <v>5218130</v>
          </cell>
          <cell r="CE311">
            <v>194636</v>
          </cell>
          <cell r="CF311">
            <v>0</v>
          </cell>
          <cell r="CG311">
            <v>194636</v>
          </cell>
          <cell r="CH311">
            <v>194636</v>
          </cell>
          <cell r="CI311">
            <v>194636</v>
          </cell>
          <cell r="CJ311">
            <v>194636</v>
          </cell>
          <cell r="CK311">
            <v>0</v>
          </cell>
          <cell r="CL311">
            <v>0</v>
          </cell>
          <cell r="CM311">
            <v>0</v>
          </cell>
          <cell r="CN311">
            <v>0</v>
          </cell>
          <cell r="CO311">
            <v>0</v>
          </cell>
          <cell r="CP311">
            <v>-3287</v>
          </cell>
          <cell r="CQ311">
            <v>1033738</v>
          </cell>
          <cell r="CR311">
            <v>988655</v>
          </cell>
          <cell r="CS311">
            <v>959947</v>
          </cell>
          <cell r="CT311">
            <v>939459</v>
          </cell>
          <cell r="CU311">
            <v>937528</v>
          </cell>
          <cell r="CV311">
            <v>44723</v>
          </cell>
          <cell r="CW311">
            <v>0</v>
          </cell>
          <cell r="CX311">
            <v>0</v>
          </cell>
          <cell r="CY311">
            <v>0</v>
          </cell>
          <cell r="CZ311">
            <v>0</v>
          </cell>
          <cell r="DA311">
            <v>0</v>
          </cell>
          <cell r="DB311"/>
          <cell r="DC311">
            <v>0</v>
          </cell>
          <cell r="DD311">
            <v>0</v>
          </cell>
          <cell r="DE311">
            <v>0</v>
          </cell>
          <cell r="DF311">
            <v>0</v>
          </cell>
          <cell r="DG311">
            <v>0</v>
          </cell>
          <cell r="DH311">
            <v>0</v>
          </cell>
          <cell r="DI311">
            <v>0</v>
          </cell>
          <cell r="DJ311">
            <v>0</v>
          </cell>
          <cell r="DK311">
            <v>0</v>
          </cell>
          <cell r="DL311">
            <v>0</v>
          </cell>
          <cell r="DM311"/>
          <cell r="DN311"/>
          <cell r="DO311"/>
          <cell r="DP311"/>
        </row>
        <row r="312">
          <cell r="A312">
            <v>794</v>
          </cell>
          <cell r="B312" t="str">
            <v>Helmond</v>
          </cell>
          <cell r="C312">
            <v>10</v>
          </cell>
          <cell r="D312">
            <v>179883</v>
          </cell>
          <cell r="E312">
            <v>89941</v>
          </cell>
          <cell r="F312">
            <v>0</v>
          </cell>
          <cell r="G312">
            <v>0</v>
          </cell>
          <cell r="H312">
            <v>-20736</v>
          </cell>
          <cell r="I312">
            <v>-3667</v>
          </cell>
          <cell r="J312"/>
          <cell r="K312">
            <v>9380</v>
          </cell>
          <cell r="L312">
            <v>595929</v>
          </cell>
          <cell r="M312">
            <v>603373</v>
          </cell>
          <cell r="N312">
            <v>0</v>
          </cell>
          <cell r="O312">
            <v>0</v>
          </cell>
          <cell r="P312">
            <v>0</v>
          </cell>
          <cell r="Q312">
            <v>0</v>
          </cell>
          <cell r="R312">
            <v>0</v>
          </cell>
          <cell r="S312">
            <v>685676</v>
          </cell>
          <cell r="T312">
            <v>618554</v>
          </cell>
          <cell r="U312">
            <v>666296</v>
          </cell>
          <cell r="V312">
            <v>15500</v>
          </cell>
          <cell r="W312">
            <v>359988</v>
          </cell>
          <cell r="X312">
            <v>0</v>
          </cell>
          <cell r="Y312"/>
          <cell r="Z312">
            <v>0</v>
          </cell>
          <cell r="AA312">
            <v>40000</v>
          </cell>
          <cell r="AB312">
            <v>0</v>
          </cell>
          <cell r="AC312"/>
          <cell r="AD312">
            <v>157425</v>
          </cell>
          <cell r="AE312">
            <v>0</v>
          </cell>
          <cell r="AF312">
            <v>0</v>
          </cell>
          <cell r="AG312">
            <v>0</v>
          </cell>
          <cell r="AH312">
            <v>0</v>
          </cell>
          <cell r="AI312">
            <v>0</v>
          </cell>
          <cell r="AJ312">
            <v>0</v>
          </cell>
          <cell r="AK312">
            <v>264084</v>
          </cell>
          <cell r="AL312"/>
          <cell r="AM312">
            <v>0</v>
          </cell>
          <cell r="AN312">
            <v>0</v>
          </cell>
          <cell r="AO312">
            <v>0</v>
          </cell>
          <cell r="AP312">
            <v>0</v>
          </cell>
          <cell r="AQ312">
            <v>0</v>
          </cell>
          <cell r="AR312">
            <v>0</v>
          </cell>
          <cell r="AS312">
            <v>0</v>
          </cell>
          <cell r="AT312">
            <v>20000</v>
          </cell>
          <cell r="AU312">
            <v>21330</v>
          </cell>
          <cell r="AV312">
            <v>3083751.2513611601</v>
          </cell>
          <cell r="AW312">
            <v>0</v>
          </cell>
          <cell r="AX312">
            <v>0</v>
          </cell>
          <cell r="AY312"/>
          <cell r="AZ312"/>
          <cell r="BA312">
            <v>0</v>
          </cell>
          <cell r="BB312"/>
          <cell r="BC312">
            <v>0</v>
          </cell>
          <cell r="BD312">
            <v>31805</v>
          </cell>
          <cell r="BE312"/>
          <cell r="BF312">
            <v>0</v>
          </cell>
          <cell r="BG312">
            <v>0</v>
          </cell>
          <cell r="BH312">
            <v>0</v>
          </cell>
          <cell r="BI312">
            <v>161237</v>
          </cell>
          <cell r="BJ312">
            <v>132722</v>
          </cell>
          <cell r="BK312">
            <v>132722</v>
          </cell>
          <cell r="BL312">
            <v>0</v>
          </cell>
          <cell r="BM312">
            <v>0</v>
          </cell>
          <cell r="BN312">
            <v>0</v>
          </cell>
          <cell r="BO312">
            <v>176573</v>
          </cell>
          <cell r="BP312">
            <v>36372.199999999997</v>
          </cell>
          <cell r="BQ312">
            <v>65523.255813953503</v>
          </cell>
          <cell r="BR312">
            <v>0</v>
          </cell>
          <cell r="BS312">
            <v>0</v>
          </cell>
          <cell r="BT312">
            <v>160628</v>
          </cell>
          <cell r="BU312"/>
          <cell r="BV312"/>
          <cell r="BW312"/>
          <cell r="BX312"/>
          <cell r="BY312">
            <v>1236416.7819186701</v>
          </cell>
          <cell r="BZ312">
            <v>1433295.8331939001</v>
          </cell>
          <cell r="CA312">
            <v>1450114.64661943</v>
          </cell>
          <cell r="CB312">
            <v>1497603.0609973699</v>
          </cell>
          <cell r="CC312">
            <v>6969568</v>
          </cell>
          <cell r="CD312">
            <v>80642915</v>
          </cell>
          <cell r="CE312">
            <v>4549214</v>
          </cell>
          <cell r="CF312">
            <v>0</v>
          </cell>
          <cell r="CG312">
            <v>4549214</v>
          </cell>
          <cell r="CH312">
            <v>4549214</v>
          </cell>
          <cell r="CI312">
            <v>4549214</v>
          </cell>
          <cell r="CJ312">
            <v>4549214</v>
          </cell>
          <cell r="CK312">
            <v>20968562</v>
          </cell>
          <cell r="CL312">
            <v>20958038</v>
          </cell>
          <cell r="CM312">
            <v>20957867</v>
          </cell>
          <cell r="CN312">
            <v>20957493</v>
          </cell>
          <cell r="CO312">
            <v>20958012</v>
          </cell>
          <cell r="CP312">
            <v>-1318</v>
          </cell>
          <cell r="CQ312">
            <v>18461510</v>
          </cell>
          <cell r="CR312">
            <v>17646343</v>
          </cell>
          <cell r="CS312">
            <v>17291309</v>
          </cell>
          <cell r="CT312">
            <v>17007691</v>
          </cell>
          <cell r="CU312">
            <v>16658269</v>
          </cell>
          <cell r="CV312">
            <v>-170077</v>
          </cell>
          <cell r="CW312">
            <v>0</v>
          </cell>
          <cell r="CX312">
            <v>0</v>
          </cell>
          <cell r="CY312">
            <v>0</v>
          </cell>
          <cell r="CZ312">
            <v>0</v>
          </cell>
          <cell r="DA312">
            <v>0</v>
          </cell>
          <cell r="DB312"/>
          <cell r="DC312">
            <v>240000</v>
          </cell>
          <cell r="DD312">
            <v>0</v>
          </cell>
          <cell r="DE312">
            <v>0</v>
          </cell>
          <cell r="DF312">
            <v>0</v>
          </cell>
          <cell r="DG312">
            <v>0</v>
          </cell>
          <cell r="DH312">
            <v>0</v>
          </cell>
          <cell r="DI312">
            <v>0</v>
          </cell>
          <cell r="DJ312">
            <v>0</v>
          </cell>
          <cell r="DK312">
            <v>0</v>
          </cell>
          <cell r="DL312">
            <v>0</v>
          </cell>
          <cell r="DM312"/>
          <cell r="DN312"/>
          <cell r="DO312"/>
          <cell r="DP312"/>
        </row>
        <row r="313">
          <cell r="A313">
            <v>797</v>
          </cell>
          <cell r="B313" t="str">
            <v>Heusden</v>
          </cell>
          <cell r="C313">
            <v>10</v>
          </cell>
          <cell r="D313">
            <v>-102771</v>
          </cell>
          <cell r="E313">
            <v>-51385</v>
          </cell>
          <cell r="F313">
            <v>0</v>
          </cell>
          <cell r="G313">
            <v>42152</v>
          </cell>
          <cell r="H313">
            <v>-31927</v>
          </cell>
          <cell r="I313">
            <v>-21305</v>
          </cell>
          <cell r="J313"/>
          <cell r="K313">
            <v>0</v>
          </cell>
          <cell r="L313">
            <v>160840</v>
          </cell>
          <cell r="M313">
            <v>155605</v>
          </cell>
          <cell r="N313">
            <v>0</v>
          </cell>
          <cell r="O313">
            <v>0</v>
          </cell>
          <cell r="P313">
            <v>0</v>
          </cell>
          <cell r="Q313">
            <v>0</v>
          </cell>
          <cell r="R313">
            <v>0</v>
          </cell>
          <cell r="S313">
            <v>0</v>
          </cell>
          <cell r="T313">
            <v>0</v>
          </cell>
          <cell r="U313">
            <v>0</v>
          </cell>
          <cell r="V313">
            <v>6000</v>
          </cell>
          <cell r="W313">
            <v>180383</v>
          </cell>
          <cell r="X313">
            <v>0</v>
          </cell>
          <cell r="Y313"/>
          <cell r="Z313">
            <v>0</v>
          </cell>
          <cell r="AA313">
            <v>0</v>
          </cell>
          <cell r="AB313">
            <v>0</v>
          </cell>
          <cell r="AC313"/>
          <cell r="AD313">
            <v>0</v>
          </cell>
          <cell r="AE313">
            <v>0</v>
          </cell>
          <cell r="AF313">
            <v>0</v>
          </cell>
          <cell r="AG313">
            <v>0</v>
          </cell>
          <cell r="AH313">
            <v>0</v>
          </cell>
          <cell r="AI313">
            <v>0</v>
          </cell>
          <cell r="AJ313">
            <v>0</v>
          </cell>
          <cell r="AK313">
            <v>0</v>
          </cell>
          <cell r="AL313"/>
          <cell r="AM313">
            <v>0</v>
          </cell>
          <cell r="AN313">
            <v>0</v>
          </cell>
          <cell r="AO313">
            <v>0</v>
          </cell>
          <cell r="AP313">
            <v>0</v>
          </cell>
          <cell r="AQ313">
            <v>0</v>
          </cell>
          <cell r="AR313">
            <v>0</v>
          </cell>
          <cell r="AS313">
            <v>0</v>
          </cell>
          <cell r="AT313">
            <v>0</v>
          </cell>
          <cell r="AU313">
            <v>4740</v>
          </cell>
          <cell r="AV313">
            <v>0</v>
          </cell>
          <cell r="AW313">
            <v>0</v>
          </cell>
          <cell r="AX313">
            <v>0</v>
          </cell>
          <cell r="AY313"/>
          <cell r="AZ313"/>
          <cell r="BA313">
            <v>0</v>
          </cell>
          <cell r="BB313"/>
          <cell r="BC313">
            <v>0</v>
          </cell>
          <cell r="BD313">
            <v>15276</v>
          </cell>
          <cell r="BE313"/>
          <cell r="BF313">
            <v>0</v>
          </cell>
          <cell r="BG313">
            <v>0</v>
          </cell>
          <cell r="BH313">
            <v>0</v>
          </cell>
          <cell r="BI313">
            <v>51910</v>
          </cell>
          <cell r="BJ313">
            <v>42730</v>
          </cell>
          <cell r="BK313">
            <v>42730</v>
          </cell>
          <cell r="BL313">
            <v>0</v>
          </cell>
          <cell r="BM313">
            <v>0</v>
          </cell>
          <cell r="BN313">
            <v>0</v>
          </cell>
          <cell r="BO313">
            <v>81720</v>
          </cell>
          <cell r="BP313">
            <v>25302.400000000001</v>
          </cell>
          <cell r="BQ313">
            <v>45581.395348837199</v>
          </cell>
          <cell r="BR313">
            <v>0</v>
          </cell>
          <cell r="BS313">
            <v>0</v>
          </cell>
          <cell r="BT313">
            <v>63557</v>
          </cell>
          <cell r="BU313"/>
          <cell r="BV313"/>
          <cell r="BW313"/>
          <cell r="BX313"/>
          <cell r="BY313">
            <v>0</v>
          </cell>
          <cell r="BZ313">
            <v>0</v>
          </cell>
          <cell r="CA313">
            <v>0</v>
          </cell>
          <cell r="CB313">
            <v>0</v>
          </cell>
          <cell r="CC313">
            <v>3163174</v>
          </cell>
          <cell r="CD313">
            <v>16815720</v>
          </cell>
          <cell r="CE313">
            <v>774576</v>
          </cell>
          <cell r="CF313">
            <v>-2495</v>
          </cell>
          <cell r="CG313">
            <v>774576</v>
          </cell>
          <cell r="CH313">
            <v>774576</v>
          </cell>
          <cell r="CI313">
            <v>774576</v>
          </cell>
          <cell r="CJ313">
            <v>774576</v>
          </cell>
          <cell r="CK313">
            <v>0</v>
          </cell>
          <cell r="CL313">
            <v>0</v>
          </cell>
          <cell r="CM313">
            <v>0</v>
          </cell>
          <cell r="CN313">
            <v>0</v>
          </cell>
          <cell r="CO313">
            <v>0</v>
          </cell>
          <cell r="CP313">
            <v>-7330</v>
          </cell>
          <cell r="CQ313">
            <v>3749092</v>
          </cell>
          <cell r="CR313">
            <v>3586474</v>
          </cell>
          <cell r="CS313">
            <v>3509436</v>
          </cell>
          <cell r="CT313">
            <v>3418766</v>
          </cell>
          <cell r="CU313">
            <v>3334634</v>
          </cell>
          <cell r="CV313">
            <v>-41657</v>
          </cell>
          <cell r="CW313">
            <v>0</v>
          </cell>
          <cell r="CX313">
            <v>0</v>
          </cell>
          <cell r="CY313">
            <v>0</v>
          </cell>
          <cell r="CZ313">
            <v>0</v>
          </cell>
          <cell r="DA313">
            <v>0</v>
          </cell>
          <cell r="DB313"/>
          <cell r="DC313">
            <v>0</v>
          </cell>
          <cell r="DD313">
            <v>0</v>
          </cell>
          <cell r="DE313">
            <v>0</v>
          </cell>
          <cell r="DF313">
            <v>0</v>
          </cell>
          <cell r="DG313">
            <v>0</v>
          </cell>
          <cell r="DH313">
            <v>0</v>
          </cell>
          <cell r="DI313">
            <v>0</v>
          </cell>
          <cell r="DJ313">
            <v>0</v>
          </cell>
          <cell r="DK313">
            <v>0</v>
          </cell>
          <cell r="DL313">
            <v>0</v>
          </cell>
          <cell r="DM313"/>
          <cell r="DN313"/>
          <cell r="DO313"/>
          <cell r="DP313"/>
        </row>
        <row r="314">
          <cell r="A314">
            <v>798</v>
          </cell>
          <cell r="B314" t="str">
            <v>Hilvarenbeek</v>
          </cell>
          <cell r="C314">
            <v>10</v>
          </cell>
          <cell r="D314">
            <v>-10059</v>
          </cell>
          <cell r="E314">
            <v>-5029</v>
          </cell>
          <cell r="F314">
            <v>0</v>
          </cell>
          <cell r="G314">
            <v>0</v>
          </cell>
          <cell r="H314">
            <v>-16553</v>
          </cell>
          <cell r="I314">
            <v>-9025</v>
          </cell>
          <cell r="J314"/>
          <cell r="K314">
            <v>0</v>
          </cell>
          <cell r="L314">
            <v>38797</v>
          </cell>
          <cell r="M314">
            <v>35711</v>
          </cell>
          <cell r="N314">
            <v>0</v>
          </cell>
          <cell r="O314">
            <v>0</v>
          </cell>
          <cell r="P314">
            <v>0</v>
          </cell>
          <cell r="Q314">
            <v>0</v>
          </cell>
          <cell r="R314">
            <v>0</v>
          </cell>
          <cell r="S314">
            <v>0</v>
          </cell>
          <cell r="T314">
            <v>0</v>
          </cell>
          <cell r="U314">
            <v>0</v>
          </cell>
          <cell r="V314">
            <v>0</v>
          </cell>
          <cell r="W314">
            <v>66672</v>
          </cell>
          <cell r="X314">
            <v>0</v>
          </cell>
          <cell r="Y314"/>
          <cell r="Z314">
            <v>0</v>
          </cell>
          <cell r="AA314">
            <v>0</v>
          </cell>
          <cell r="AB314">
            <v>0</v>
          </cell>
          <cell r="AC314"/>
          <cell r="AD314">
            <v>0</v>
          </cell>
          <cell r="AE314">
            <v>0</v>
          </cell>
          <cell r="AF314">
            <v>0</v>
          </cell>
          <cell r="AG314">
            <v>0</v>
          </cell>
          <cell r="AH314">
            <v>0</v>
          </cell>
          <cell r="AI314">
            <v>0</v>
          </cell>
          <cell r="AJ314">
            <v>0</v>
          </cell>
          <cell r="AK314">
            <v>0</v>
          </cell>
          <cell r="AL314"/>
          <cell r="AM314">
            <v>0</v>
          </cell>
          <cell r="AN314">
            <v>0</v>
          </cell>
          <cell r="AO314">
            <v>0</v>
          </cell>
          <cell r="AP314">
            <v>0</v>
          </cell>
          <cell r="AQ314">
            <v>0</v>
          </cell>
          <cell r="AR314">
            <v>0</v>
          </cell>
          <cell r="AS314">
            <v>0</v>
          </cell>
          <cell r="AT314">
            <v>0</v>
          </cell>
          <cell r="AU314">
            <v>0</v>
          </cell>
          <cell r="AV314">
            <v>0</v>
          </cell>
          <cell r="AW314">
            <v>0</v>
          </cell>
          <cell r="AX314">
            <v>0</v>
          </cell>
          <cell r="AY314"/>
          <cell r="AZ314"/>
          <cell r="BA314">
            <v>0</v>
          </cell>
          <cell r="BB314"/>
          <cell r="BC314">
            <v>0</v>
          </cell>
          <cell r="BD314">
            <v>5365</v>
          </cell>
          <cell r="BE314"/>
          <cell r="BF314">
            <v>0</v>
          </cell>
          <cell r="BG314">
            <v>0</v>
          </cell>
          <cell r="BH314">
            <v>0</v>
          </cell>
          <cell r="BI314">
            <v>14719</v>
          </cell>
          <cell r="BJ314">
            <v>12116</v>
          </cell>
          <cell r="BK314">
            <v>12116</v>
          </cell>
          <cell r="BL314">
            <v>0</v>
          </cell>
          <cell r="BM314">
            <v>0</v>
          </cell>
          <cell r="BN314">
            <v>0</v>
          </cell>
          <cell r="BO314">
            <v>109933</v>
          </cell>
          <cell r="BP314">
            <v>6325.6</v>
          </cell>
          <cell r="BQ314">
            <v>11395.3488372093</v>
          </cell>
          <cell r="BR314">
            <v>0</v>
          </cell>
          <cell r="BS314">
            <v>0</v>
          </cell>
          <cell r="BT314">
            <v>26508</v>
          </cell>
          <cell r="BU314"/>
          <cell r="BV314"/>
          <cell r="BW314"/>
          <cell r="BX314"/>
          <cell r="BY314">
            <v>0</v>
          </cell>
          <cell r="BZ314">
            <v>0</v>
          </cell>
          <cell r="CA314">
            <v>0</v>
          </cell>
          <cell r="CB314">
            <v>0</v>
          </cell>
          <cell r="CC314">
            <v>1064458</v>
          </cell>
          <cell r="CD314">
            <v>5646616</v>
          </cell>
          <cell r="CE314">
            <v>222977</v>
          </cell>
          <cell r="CF314">
            <v>-6979</v>
          </cell>
          <cell r="CG314">
            <v>222977</v>
          </cell>
          <cell r="CH314">
            <v>222977</v>
          </cell>
          <cell r="CI314">
            <v>222977</v>
          </cell>
          <cell r="CJ314">
            <v>222977</v>
          </cell>
          <cell r="CK314">
            <v>0</v>
          </cell>
          <cell r="CL314">
            <v>0</v>
          </cell>
          <cell r="CM314">
            <v>0</v>
          </cell>
          <cell r="CN314">
            <v>0</v>
          </cell>
          <cell r="CO314">
            <v>0</v>
          </cell>
          <cell r="CP314">
            <v>-2228</v>
          </cell>
          <cell r="CQ314">
            <v>1506496</v>
          </cell>
          <cell r="CR314">
            <v>1422059</v>
          </cell>
          <cell r="CS314">
            <v>1346921</v>
          </cell>
          <cell r="CT314">
            <v>1318160</v>
          </cell>
          <cell r="CU314">
            <v>1312738</v>
          </cell>
          <cell r="CV314">
            <v>27781</v>
          </cell>
          <cell r="CW314">
            <v>0</v>
          </cell>
          <cell r="CX314">
            <v>0</v>
          </cell>
          <cell r="CY314">
            <v>0</v>
          </cell>
          <cell r="CZ314">
            <v>0</v>
          </cell>
          <cell r="DA314">
            <v>0</v>
          </cell>
          <cell r="DB314"/>
          <cell r="DC314">
            <v>0</v>
          </cell>
          <cell r="DD314">
            <v>0</v>
          </cell>
          <cell r="DE314">
            <v>0</v>
          </cell>
          <cell r="DF314">
            <v>0</v>
          </cell>
          <cell r="DG314">
            <v>0</v>
          </cell>
          <cell r="DH314">
            <v>0</v>
          </cell>
          <cell r="DI314">
            <v>0</v>
          </cell>
          <cell r="DJ314">
            <v>0</v>
          </cell>
          <cell r="DK314">
            <v>0</v>
          </cell>
          <cell r="DL314">
            <v>0</v>
          </cell>
          <cell r="DM314"/>
          <cell r="DN314"/>
          <cell r="DO314"/>
          <cell r="DP314"/>
        </row>
        <row r="315">
          <cell r="A315">
            <v>1659</v>
          </cell>
          <cell r="B315" t="str">
            <v>Laarbeek</v>
          </cell>
          <cell r="C315">
            <v>10</v>
          </cell>
          <cell r="D315">
            <v>-29159</v>
          </cell>
          <cell r="E315">
            <v>-14580</v>
          </cell>
          <cell r="F315">
            <v>0</v>
          </cell>
          <cell r="G315">
            <v>0</v>
          </cell>
          <cell r="H315">
            <v>-11712</v>
          </cell>
          <cell r="I315">
            <v>-5974</v>
          </cell>
          <cell r="J315"/>
          <cell r="K315">
            <v>0</v>
          </cell>
          <cell r="L315">
            <v>76162</v>
          </cell>
          <cell r="M315">
            <v>67041</v>
          </cell>
          <cell r="N315">
            <v>0</v>
          </cell>
          <cell r="O315">
            <v>0</v>
          </cell>
          <cell r="P315">
            <v>0</v>
          </cell>
          <cell r="Q315">
            <v>0</v>
          </cell>
          <cell r="R315">
            <v>0</v>
          </cell>
          <cell r="S315">
            <v>0</v>
          </cell>
          <cell r="T315">
            <v>0</v>
          </cell>
          <cell r="U315">
            <v>0</v>
          </cell>
          <cell r="V315">
            <v>0</v>
          </cell>
          <cell r="W315">
            <v>88636</v>
          </cell>
          <cell r="X315">
            <v>0</v>
          </cell>
          <cell r="Y315"/>
          <cell r="Z315">
            <v>0</v>
          </cell>
          <cell r="AA315">
            <v>0</v>
          </cell>
          <cell r="AB315">
            <v>0</v>
          </cell>
          <cell r="AC315"/>
          <cell r="AD315">
            <v>0</v>
          </cell>
          <cell r="AE315">
            <v>0</v>
          </cell>
          <cell r="AF315">
            <v>0</v>
          </cell>
          <cell r="AG315">
            <v>0</v>
          </cell>
          <cell r="AH315">
            <v>0</v>
          </cell>
          <cell r="AI315">
            <v>0</v>
          </cell>
          <cell r="AJ315">
            <v>0</v>
          </cell>
          <cell r="AK315">
            <v>0</v>
          </cell>
          <cell r="AL315"/>
          <cell r="AM315">
            <v>0</v>
          </cell>
          <cell r="AN315">
            <v>0</v>
          </cell>
          <cell r="AO315">
            <v>0</v>
          </cell>
          <cell r="AP315">
            <v>0</v>
          </cell>
          <cell r="AQ315">
            <v>0</v>
          </cell>
          <cell r="AR315">
            <v>0</v>
          </cell>
          <cell r="AS315">
            <v>0</v>
          </cell>
          <cell r="AT315">
            <v>0</v>
          </cell>
          <cell r="AU315">
            <v>2370</v>
          </cell>
          <cell r="AV315">
            <v>0</v>
          </cell>
          <cell r="AW315">
            <v>0</v>
          </cell>
          <cell r="AX315">
            <v>0</v>
          </cell>
          <cell r="AY315"/>
          <cell r="AZ315"/>
          <cell r="BA315">
            <v>0</v>
          </cell>
          <cell r="BB315"/>
          <cell r="BC315">
            <v>0</v>
          </cell>
          <cell r="BD315">
            <v>7702</v>
          </cell>
          <cell r="BE315"/>
          <cell r="BF315">
            <v>0</v>
          </cell>
          <cell r="BG315">
            <v>0</v>
          </cell>
          <cell r="BH315">
            <v>0</v>
          </cell>
          <cell r="BI315">
            <v>27454</v>
          </cell>
          <cell r="BJ315">
            <v>22599</v>
          </cell>
          <cell r="BK315">
            <v>22599</v>
          </cell>
          <cell r="BL315">
            <v>0</v>
          </cell>
          <cell r="BM315">
            <v>0</v>
          </cell>
          <cell r="BN315">
            <v>0</v>
          </cell>
          <cell r="BO315">
            <v>79288</v>
          </cell>
          <cell r="BP315">
            <v>3162.8</v>
          </cell>
          <cell r="BQ315">
            <v>5697.6744186046499</v>
          </cell>
          <cell r="BR315">
            <v>0</v>
          </cell>
          <cell r="BS315">
            <v>0</v>
          </cell>
          <cell r="BT315">
            <v>35058</v>
          </cell>
          <cell r="BU315"/>
          <cell r="BV315"/>
          <cell r="BW315"/>
          <cell r="BX315"/>
          <cell r="BY315">
            <v>0</v>
          </cell>
          <cell r="BZ315">
            <v>0</v>
          </cell>
          <cell r="CA315">
            <v>0</v>
          </cell>
          <cell r="CB315">
            <v>0</v>
          </cell>
          <cell r="CC315">
            <v>1669128</v>
          </cell>
          <cell r="CD315">
            <v>9678690</v>
          </cell>
          <cell r="CE315">
            <v>629068</v>
          </cell>
          <cell r="CF315">
            <v>-2520</v>
          </cell>
          <cell r="CG315">
            <v>629068</v>
          </cell>
          <cell r="CH315">
            <v>629068</v>
          </cell>
          <cell r="CI315">
            <v>629068</v>
          </cell>
          <cell r="CJ315">
            <v>629068</v>
          </cell>
          <cell r="CK315">
            <v>0</v>
          </cell>
          <cell r="CL315">
            <v>0</v>
          </cell>
          <cell r="CM315">
            <v>0</v>
          </cell>
          <cell r="CN315">
            <v>0</v>
          </cell>
          <cell r="CO315">
            <v>0</v>
          </cell>
          <cell r="CP315">
            <v>-1771</v>
          </cell>
          <cell r="CQ315">
            <v>2609542</v>
          </cell>
          <cell r="CR315">
            <v>2442743</v>
          </cell>
          <cell r="CS315">
            <v>2359464</v>
          </cell>
          <cell r="CT315">
            <v>2269470</v>
          </cell>
          <cell r="CU315">
            <v>2188234</v>
          </cell>
          <cell r="CV315">
            <v>3873</v>
          </cell>
          <cell r="CW315">
            <v>0</v>
          </cell>
          <cell r="CX315">
            <v>0</v>
          </cell>
          <cell r="CY315">
            <v>0</v>
          </cell>
          <cell r="CZ315">
            <v>0</v>
          </cell>
          <cell r="DA315">
            <v>0</v>
          </cell>
          <cell r="DB315"/>
          <cell r="DC315">
            <v>0</v>
          </cell>
          <cell r="DD315">
            <v>0</v>
          </cell>
          <cell r="DE315">
            <v>0</v>
          </cell>
          <cell r="DF315">
            <v>0</v>
          </cell>
          <cell r="DG315">
            <v>0</v>
          </cell>
          <cell r="DH315">
            <v>0</v>
          </cell>
          <cell r="DI315">
            <v>0</v>
          </cell>
          <cell r="DJ315">
            <v>0</v>
          </cell>
          <cell r="DK315">
            <v>0</v>
          </cell>
          <cell r="DL315">
            <v>0</v>
          </cell>
          <cell r="DM315"/>
          <cell r="DN315"/>
          <cell r="DO315"/>
          <cell r="DP315"/>
        </row>
        <row r="316">
          <cell r="A316">
            <v>1685</v>
          </cell>
          <cell r="B316" t="str">
            <v>Landerd</v>
          </cell>
          <cell r="C316">
            <v>10</v>
          </cell>
          <cell r="D316">
            <v>-24691</v>
          </cell>
          <cell r="E316">
            <v>-12346</v>
          </cell>
          <cell r="F316">
            <v>0</v>
          </cell>
          <cell r="G316">
            <v>0</v>
          </cell>
          <cell r="H316">
            <v>-9040</v>
          </cell>
          <cell r="I316">
            <v>-2812</v>
          </cell>
          <cell r="J316"/>
          <cell r="K316">
            <v>0</v>
          </cell>
          <cell r="L316">
            <v>45025</v>
          </cell>
          <cell r="M316">
            <v>36163</v>
          </cell>
          <cell r="N316">
            <v>0</v>
          </cell>
          <cell r="O316">
            <v>0</v>
          </cell>
          <cell r="P316">
            <v>0</v>
          </cell>
          <cell r="Q316">
            <v>0</v>
          </cell>
          <cell r="R316">
            <v>0</v>
          </cell>
          <cell r="S316">
            <v>0</v>
          </cell>
          <cell r="T316">
            <v>0</v>
          </cell>
          <cell r="U316">
            <v>0</v>
          </cell>
          <cell r="V316">
            <v>0</v>
          </cell>
          <cell r="W316">
            <v>46468</v>
          </cell>
          <cell r="X316">
            <v>0</v>
          </cell>
          <cell r="Y316"/>
          <cell r="Z316">
            <v>0</v>
          </cell>
          <cell r="AA316">
            <v>0</v>
          </cell>
          <cell r="AB316">
            <v>0</v>
          </cell>
          <cell r="AC316"/>
          <cell r="AD316">
            <v>0</v>
          </cell>
          <cell r="AE316">
            <v>0</v>
          </cell>
          <cell r="AF316">
            <v>0</v>
          </cell>
          <cell r="AG316">
            <v>0</v>
          </cell>
          <cell r="AH316">
            <v>0</v>
          </cell>
          <cell r="AI316">
            <v>0</v>
          </cell>
          <cell r="AJ316">
            <v>0</v>
          </cell>
          <cell r="AK316">
            <v>0</v>
          </cell>
          <cell r="AL316"/>
          <cell r="AM316">
            <v>0</v>
          </cell>
          <cell r="AN316">
            <v>0</v>
          </cell>
          <cell r="AO316">
            <v>0</v>
          </cell>
          <cell r="AP316">
            <v>0</v>
          </cell>
          <cell r="AQ316">
            <v>0</v>
          </cell>
          <cell r="AR316">
            <v>0</v>
          </cell>
          <cell r="AS316">
            <v>0</v>
          </cell>
          <cell r="AT316">
            <v>0</v>
          </cell>
          <cell r="AU316">
            <v>0</v>
          </cell>
          <cell r="AV316">
            <v>0</v>
          </cell>
          <cell r="AW316">
            <v>0</v>
          </cell>
          <cell r="AX316">
            <v>0</v>
          </cell>
          <cell r="AY316"/>
          <cell r="AZ316"/>
          <cell r="BA316">
            <v>0</v>
          </cell>
          <cell r="BB316"/>
          <cell r="BC316">
            <v>0</v>
          </cell>
          <cell r="BD316">
            <v>5382</v>
          </cell>
          <cell r="BE316"/>
          <cell r="BF316">
            <v>0</v>
          </cell>
          <cell r="BG316">
            <v>0</v>
          </cell>
          <cell r="BH316">
            <v>0</v>
          </cell>
          <cell r="BI316">
            <v>15110</v>
          </cell>
          <cell r="BJ316">
            <v>12437</v>
          </cell>
          <cell r="BK316">
            <v>12437</v>
          </cell>
          <cell r="BL316">
            <v>0</v>
          </cell>
          <cell r="BM316">
            <v>0</v>
          </cell>
          <cell r="BN316">
            <v>0</v>
          </cell>
          <cell r="BO316">
            <v>114311</v>
          </cell>
          <cell r="BP316">
            <v>0</v>
          </cell>
          <cell r="BQ316">
            <v>0</v>
          </cell>
          <cell r="BR316">
            <v>0</v>
          </cell>
          <cell r="BS316">
            <v>0</v>
          </cell>
          <cell r="BT316">
            <v>25623</v>
          </cell>
          <cell r="BU316"/>
          <cell r="BV316"/>
          <cell r="BW316"/>
          <cell r="BX316"/>
          <cell r="BY316">
            <v>0</v>
          </cell>
          <cell r="BZ316">
            <v>0</v>
          </cell>
          <cell r="CA316">
            <v>0</v>
          </cell>
          <cell r="CB316">
            <v>0</v>
          </cell>
          <cell r="CC316">
            <v>1079876</v>
          </cell>
          <cell r="CD316">
            <v>7538270</v>
          </cell>
          <cell r="CE316">
            <v>1098311</v>
          </cell>
          <cell r="CF316">
            <v>0</v>
          </cell>
          <cell r="CG316">
            <v>1098311</v>
          </cell>
          <cell r="CH316">
            <v>1098311</v>
          </cell>
          <cell r="CI316">
            <v>1098311</v>
          </cell>
          <cell r="CJ316">
            <v>1098311</v>
          </cell>
          <cell r="CK316">
            <v>0</v>
          </cell>
          <cell r="CL316">
            <v>0</v>
          </cell>
          <cell r="CM316">
            <v>0</v>
          </cell>
          <cell r="CN316">
            <v>0</v>
          </cell>
          <cell r="CO316">
            <v>0</v>
          </cell>
          <cell r="CP316">
            <v>-1014</v>
          </cell>
          <cell r="CQ316">
            <v>1990831</v>
          </cell>
          <cell r="CR316">
            <v>1837846</v>
          </cell>
          <cell r="CS316">
            <v>1739575</v>
          </cell>
          <cell r="CT316">
            <v>1660260</v>
          </cell>
          <cell r="CU316">
            <v>1589107</v>
          </cell>
          <cell r="CV316">
            <v>10954</v>
          </cell>
          <cell r="CW316">
            <v>0</v>
          </cell>
          <cell r="CX316">
            <v>0</v>
          </cell>
          <cell r="CY316">
            <v>0</v>
          </cell>
          <cell r="CZ316">
            <v>0</v>
          </cell>
          <cell r="DA316">
            <v>0</v>
          </cell>
          <cell r="DB316"/>
          <cell r="DC316">
            <v>0</v>
          </cell>
          <cell r="DD316">
            <v>0</v>
          </cell>
          <cell r="DE316">
            <v>0</v>
          </cell>
          <cell r="DF316">
            <v>0</v>
          </cell>
          <cell r="DG316">
            <v>0</v>
          </cell>
          <cell r="DH316">
            <v>0</v>
          </cell>
          <cell r="DI316">
            <v>0</v>
          </cell>
          <cell r="DJ316">
            <v>0</v>
          </cell>
          <cell r="DK316">
            <v>0</v>
          </cell>
          <cell r="DL316">
            <v>0</v>
          </cell>
          <cell r="DM316"/>
          <cell r="DN316"/>
          <cell r="DO316"/>
          <cell r="DP316"/>
        </row>
        <row r="317">
          <cell r="A317">
            <v>809</v>
          </cell>
          <cell r="B317" t="str">
            <v>Loon op Zand</v>
          </cell>
          <cell r="C317">
            <v>10</v>
          </cell>
          <cell r="D317">
            <v>-25189</v>
          </cell>
          <cell r="E317">
            <v>-12595</v>
          </cell>
          <cell r="F317">
            <v>0</v>
          </cell>
          <cell r="G317">
            <v>0</v>
          </cell>
          <cell r="H317">
            <v>-12314</v>
          </cell>
          <cell r="I317">
            <v>-7977</v>
          </cell>
          <cell r="J317"/>
          <cell r="K317">
            <v>0</v>
          </cell>
          <cell r="L317">
            <v>71009</v>
          </cell>
          <cell r="M317">
            <v>70636</v>
          </cell>
          <cell r="N317">
            <v>0</v>
          </cell>
          <cell r="O317">
            <v>0</v>
          </cell>
          <cell r="P317">
            <v>0</v>
          </cell>
          <cell r="Q317">
            <v>0</v>
          </cell>
          <cell r="R317">
            <v>0</v>
          </cell>
          <cell r="S317">
            <v>0</v>
          </cell>
          <cell r="T317">
            <v>0</v>
          </cell>
          <cell r="U317">
            <v>0</v>
          </cell>
          <cell r="V317">
            <v>3000</v>
          </cell>
          <cell r="W317">
            <v>81219</v>
          </cell>
          <cell r="X317">
            <v>0</v>
          </cell>
          <cell r="Y317"/>
          <cell r="Z317">
            <v>0</v>
          </cell>
          <cell r="AA317">
            <v>0</v>
          </cell>
          <cell r="AB317">
            <v>0</v>
          </cell>
          <cell r="AC317"/>
          <cell r="AD317">
            <v>0</v>
          </cell>
          <cell r="AE317">
            <v>0</v>
          </cell>
          <cell r="AF317">
            <v>0</v>
          </cell>
          <cell r="AG317">
            <v>0</v>
          </cell>
          <cell r="AH317">
            <v>0</v>
          </cell>
          <cell r="AI317">
            <v>0</v>
          </cell>
          <cell r="AJ317">
            <v>0</v>
          </cell>
          <cell r="AK317">
            <v>0</v>
          </cell>
          <cell r="AL317"/>
          <cell r="AM317">
            <v>0</v>
          </cell>
          <cell r="AN317">
            <v>0</v>
          </cell>
          <cell r="AO317">
            <v>0</v>
          </cell>
          <cell r="AP317">
            <v>0</v>
          </cell>
          <cell r="AQ317">
            <v>0</v>
          </cell>
          <cell r="AR317">
            <v>0</v>
          </cell>
          <cell r="AS317">
            <v>0</v>
          </cell>
          <cell r="AT317">
            <v>0</v>
          </cell>
          <cell r="AU317">
            <v>4740</v>
          </cell>
          <cell r="AV317">
            <v>0</v>
          </cell>
          <cell r="AW317">
            <v>0</v>
          </cell>
          <cell r="AX317">
            <v>0</v>
          </cell>
          <cell r="AY317"/>
          <cell r="AZ317"/>
          <cell r="BA317">
            <v>0</v>
          </cell>
          <cell r="BB317"/>
          <cell r="BC317">
            <v>0</v>
          </cell>
          <cell r="BD317">
            <v>8106</v>
          </cell>
          <cell r="BE317"/>
          <cell r="BF317">
            <v>0</v>
          </cell>
          <cell r="BG317">
            <v>0</v>
          </cell>
          <cell r="BH317">
            <v>0</v>
          </cell>
          <cell r="BI317">
            <v>30843</v>
          </cell>
          <cell r="BJ317">
            <v>25388</v>
          </cell>
          <cell r="BK317">
            <v>25388</v>
          </cell>
          <cell r="BL317">
            <v>0</v>
          </cell>
          <cell r="BM317">
            <v>0</v>
          </cell>
          <cell r="BN317">
            <v>0</v>
          </cell>
          <cell r="BO317">
            <v>51561</v>
          </cell>
          <cell r="BP317">
            <v>7907</v>
          </cell>
          <cell r="BQ317">
            <v>14244.186046511601</v>
          </cell>
          <cell r="BR317">
            <v>0</v>
          </cell>
          <cell r="BS317">
            <v>0</v>
          </cell>
          <cell r="BT317">
            <v>34315</v>
          </cell>
          <cell r="BU317"/>
          <cell r="BV317"/>
          <cell r="BW317"/>
          <cell r="BX317"/>
          <cell r="BY317">
            <v>0</v>
          </cell>
          <cell r="BZ317">
            <v>0</v>
          </cell>
          <cell r="CA317">
            <v>0</v>
          </cell>
          <cell r="CB317">
            <v>0</v>
          </cell>
          <cell r="CC317">
            <v>1956000</v>
          </cell>
          <cell r="CD317">
            <v>10523352</v>
          </cell>
          <cell r="CE317">
            <v>411046</v>
          </cell>
          <cell r="CF317">
            <v>0</v>
          </cell>
          <cell r="CG317">
            <v>411046</v>
          </cell>
          <cell r="CH317">
            <v>411046</v>
          </cell>
          <cell r="CI317">
            <v>411046</v>
          </cell>
          <cell r="CJ317">
            <v>411046</v>
          </cell>
          <cell r="CK317">
            <v>0</v>
          </cell>
          <cell r="CL317">
            <v>0</v>
          </cell>
          <cell r="CM317">
            <v>0</v>
          </cell>
          <cell r="CN317">
            <v>0</v>
          </cell>
          <cell r="CO317">
            <v>0</v>
          </cell>
          <cell r="CP317">
            <v>-2897</v>
          </cell>
          <cell r="CQ317">
            <v>2910489</v>
          </cell>
          <cell r="CR317">
            <v>2733752</v>
          </cell>
          <cell r="CS317">
            <v>2655748</v>
          </cell>
          <cell r="CT317">
            <v>2570973</v>
          </cell>
          <cell r="CU317">
            <v>2439863</v>
          </cell>
          <cell r="CV317">
            <v>17958</v>
          </cell>
          <cell r="CW317">
            <v>0</v>
          </cell>
          <cell r="CX317">
            <v>0</v>
          </cell>
          <cell r="CY317">
            <v>0</v>
          </cell>
          <cell r="CZ317">
            <v>0</v>
          </cell>
          <cell r="DA317">
            <v>0</v>
          </cell>
          <cell r="DB317"/>
          <cell r="DC317">
            <v>0</v>
          </cell>
          <cell r="DD317">
            <v>0</v>
          </cell>
          <cell r="DE317">
            <v>0</v>
          </cell>
          <cell r="DF317">
            <v>0</v>
          </cell>
          <cell r="DG317">
            <v>0</v>
          </cell>
          <cell r="DH317">
            <v>0</v>
          </cell>
          <cell r="DI317">
            <v>0</v>
          </cell>
          <cell r="DJ317">
            <v>0</v>
          </cell>
          <cell r="DK317">
            <v>0</v>
          </cell>
          <cell r="DL317">
            <v>0</v>
          </cell>
          <cell r="DM317"/>
          <cell r="DN317"/>
          <cell r="DO317"/>
          <cell r="DP317"/>
        </row>
        <row r="318">
          <cell r="A318">
            <v>1948</v>
          </cell>
          <cell r="B318" t="str">
            <v>Meierijstad</v>
          </cell>
          <cell r="C318">
            <v>10</v>
          </cell>
          <cell r="D318">
            <v>-95473</v>
          </cell>
          <cell r="E318">
            <v>-47736</v>
          </cell>
          <cell r="F318">
            <v>0</v>
          </cell>
          <cell r="G318">
            <v>0</v>
          </cell>
          <cell r="H318">
            <v>-105453</v>
          </cell>
          <cell r="I318">
            <v>-59572</v>
          </cell>
          <cell r="J318"/>
          <cell r="K318">
            <v>0</v>
          </cell>
          <cell r="L318">
            <v>296592</v>
          </cell>
          <cell r="M318">
            <v>266332</v>
          </cell>
          <cell r="N318">
            <v>0</v>
          </cell>
          <cell r="O318">
            <v>0</v>
          </cell>
          <cell r="P318">
            <v>0</v>
          </cell>
          <cell r="Q318">
            <v>0</v>
          </cell>
          <cell r="R318">
            <v>0</v>
          </cell>
          <cell r="S318">
            <v>0</v>
          </cell>
          <cell r="T318">
            <v>0</v>
          </cell>
          <cell r="U318">
            <v>0</v>
          </cell>
          <cell r="V318">
            <v>24000</v>
          </cell>
          <cell r="W318">
            <v>324028</v>
          </cell>
          <cell r="X318">
            <v>0</v>
          </cell>
          <cell r="Y318"/>
          <cell r="Z318">
            <v>0</v>
          </cell>
          <cell r="AA318">
            <v>0</v>
          </cell>
          <cell r="AB318">
            <v>0</v>
          </cell>
          <cell r="AC318"/>
          <cell r="AD318">
            <v>20000</v>
          </cell>
          <cell r="AE318">
            <v>0</v>
          </cell>
          <cell r="AF318">
            <v>0</v>
          </cell>
          <cell r="AG318">
            <v>0</v>
          </cell>
          <cell r="AH318">
            <v>0</v>
          </cell>
          <cell r="AI318">
            <v>0</v>
          </cell>
          <cell r="AJ318">
            <v>0</v>
          </cell>
          <cell r="AK318">
            <v>0</v>
          </cell>
          <cell r="AL318"/>
          <cell r="AM318">
            <v>0</v>
          </cell>
          <cell r="AN318">
            <v>0</v>
          </cell>
          <cell r="AO318">
            <v>0</v>
          </cell>
          <cell r="AP318">
            <v>0</v>
          </cell>
          <cell r="AQ318">
            <v>0</v>
          </cell>
          <cell r="AR318">
            <v>0</v>
          </cell>
          <cell r="AS318">
            <v>0</v>
          </cell>
          <cell r="AT318">
            <v>0</v>
          </cell>
          <cell r="AU318">
            <v>7110</v>
          </cell>
          <cell r="AV318">
            <v>0</v>
          </cell>
          <cell r="AW318">
            <v>0</v>
          </cell>
          <cell r="AX318">
            <v>0</v>
          </cell>
          <cell r="AY318"/>
          <cell r="AZ318"/>
          <cell r="BA318">
            <v>0</v>
          </cell>
          <cell r="BB318"/>
          <cell r="BC318">
            <v>0</v>
          </cell>
          <cell r="BD318">
            <v>140125</v>
          </cell>
          <cell r="BE318"/>
          <cell r="BF318">
            <v>0</v>
          </cell>
          <cell r="BG318">
            <v>0</v>
          </cell>
          <cell r="BH318">
            <v>0</v>
          </cell>
          <cell r="BI318">
            <v>95881</v>
          </cell>
          <cell r="BJ318">
            <v>78924</v>
          </cell>
          <cell r="BK318">
            <v>78924</v>
          </cell>
          <cell r="BL318">
            <v>0</v>
          </cell>
          <cell r="BM318">
            <v>0</v>
          </cell>
          <cell r="BN318">
            <v>0</v>
          </cell>
          <cell r="BO318">
            <v>267049</v>
          </cell>
          <cell r="BP318">
            <v>50604.800000000003</v>
          </cell>
          <cell r="BQ318">
            <v>91162.790697674398</v>
          </cell>
          <cell r="BR318">
            <v>0</v>
          </cell>
          <cell r="BS318">
            <v>0</v>
          </cell>
          <cell r="BT318">
            <v>121773</v>
          </cell>
          <cell r="BU318"/>
          <cell r="BV318"/>
          <cell r="BW318"/>
          <cell r="BX318"/>
          <cell r="BY318">
            <v>0</v>
          </cell>
          <cell r="BZ318">
            <v>0</v>
          </cell>
          <cell r="CA318">
            <v>0</v>
          </cell>
          <cell r="CB318">
            <v>0</v>
          </cell>
          <cell r="CC318">
            <v>5718897</v>
          </cell>
          <cell r="CD318">
            <v>41046284</v>
          </cell>
          <cell r="CE318">
            <v>1914460</v>
          </cell>
          <cell r="CF318">
            <v>-58032</v>
          </cell>
          <cell r="CG318">
            <v>1914460</v>
          </cell>
          <cell r="CH318">
            <v>1914460</v>
          </cell>
          <cell r="CI318">
            <v>1914460</v>
          </cell>
          <cell r="CJ318">
            <v>1914460</v>
          </cell>
          <cell r="CK318">
            <v>0</v>
          </cell>
          <cell r="CL318">
            <v>0</v>
          </cell>
          <cell r="CM318">
            <v>0</v>
          </cell>
          <cell r="CN318">
            <v>0</v>
          </cell>
          <cell r="CO318">
            <v>0</v>
          </cell>
          <cell r="CP318">
            <v>-12716</v>
          </cell>
          <cell r="CQ318">
            <v>14958885</v>
          </cell>
          <cell r="CR318">
            <v>14188429</v>
          </cell>
          <cell r="CS318">
            <v>13774925</v>
          </cell>
          <cell r="CT318">
            <v>13470340</v>
          </cell>
          <cell r="CU318">
            <v>13207151</v>
          </cell>
          <cell r="CV318">
            <v>-35535</v>
          </cell>
          <cell r="CW318">
            <v>0</v>
          </cell>
          <cell r="CX318">
            <v>0</v>
          </cell>
          <cell r="CY318">
            <v>0</v>
          </cell>
          <cell r="CZ318">
            <v>0</v>
          </cell>
          <cell r="DA318">
            <v>0</v>
          </cell>
          <cell r="DB318"/>
          <cell r="DC318">
            <v>0</v>
          </cell>
          <cell r="DD318">
            <v>0</v>
          </cell>
          <cell r="DE318">
            <v>0</v>
          </cell>
          <cell r="DF318">
            <v>0</v>
          </cell>
          <cell r="DG318">
            <v>0</v>
          </cell>
          <cell r="DH318">
            <v>0</v>
          </cell>
          <cell r="DI318">
            <v>0</v>
          </cell>
          <cell r="DJ318">
            <v>0</v>
          </cell>
          <cell r="DK318">
            <v>0</v>
          </cell>
          <cell r="DL318">
            <v>0</v>
          </cell>
          <cell r="DM318"/>
          <cell r="DN318"/>
          <cell r="DO318"/>
          <cell r="DP318"/>
        </row>
        <row r="319">
          <cell r="A319">
            <v>815</v>
          </cell>
          <cell r="B319" t="str">
            <v>Mill en Sint Hubert</v>
          </cell>
          <cell r="C319">
            <v>10</v>
          </cell>
          <cell r="D319">
            <v>-415</v>
          </cell>
          <cell r="E319">
            <v>-208</v>
          </cell>
          <cell r="F319">
            <v>0</v>
          </cell>
          <cell r="G319">
            <v>24377</v>
          </cell>
          <cell r="H319">
            <v>-20881</v>
          </cell>
          <cell r="I319">
            <v>-14183</v>
          </cell>
          <cell r="J319"/>
          <cell r="K319">
            <v>0</v>
          </cell>
          <cell r="L319">
            <v>33426</v>
          </cell>
          <cell r="M319">
            <v>25998</v>
          </cell>
          <cell r="N319">
            <v>0</v>
          </cell>
          <cell r="O319">
            <v>0</v>
          </cell>
          <cell r="P319">
            <v>0</v>
          </cell>
          <cell r="Q319">
            <v>0</v>
          </cell>
          <cell r="R319">
            <v>0</v>
          </cell>
          <cell r="S319">
            <v>0</v>
          </cell>
          <cell r="T319">
            <v>0</v>
          </cell>
          <cell r="U319">
            <v>0</v>
          </cell>
          <cell r="V319">
            <v>6000</v>
          </cell>
          <cell r="W319">
            <v>45484</v>
          </cell>
          <cell r="X319">
            <v>0</v>
          </cell>
          <cell r="Y319"/>
          <cell r="Z319">
            <v>0</v>
          </cell>
          <cell r="AA319">
            <v>0</v>
          </cell>
          <cell r="AB319">
            <v>0</v>
          </cell>
          <cell r="AC319"/>
          <cell r="AD319">
            <v>0</v>
          </cell>
          <cell r="AE319">
            <v>0</v>
          </cell>
          <cell r="AF319">
            <v>0</v>
          </cell>
          <cell r="AG319">
            <v>0</v>
          </cell>
          <cell r="AH319">
            <v>0</v>
          </cell>
          <cell r="AI319">
            <v>0</v>
          </cell>
          <cell r="AJ319">
            <v>0</v>
          </cell>
          <cell r="AK319">
            <v>0</v>
          </cell>
          <cell r="AL319"/>
          <cell r="AM319">
            <v>0</v>
          </cell>
          <cell r="AN319">
            <v>0</v>
          </cell>
          <cell r="AO319">
            <v>0</v>
          </cell>
          <cell r="AP319">
            <v>0</v>
          </cell>
          <cell r="AQ319">
            <v>0</v>
          </cell>
          <cell r="AR319">
            <v>0</v>
          </cell>
          <cell r="AS319">
            <v>0</v>
          </cell>
          <cell r="AT319">
            <v>0</v>
          </cell>
          <cell r="AU319">
            <v>0</v>
          </cell>
          <cell r="AV319">
            <v>0</v>
          </cell>
          <cell r="AW319">
            <v>0</v>
          </cell>
          <cell r="AX319">
            <v>0</v>
          </cell>
          <cell r="AY319"/>
          <cell r="AZ319"/>
          <cell r="BA319">
            <v>0</v>
          </cell>
          <cell r="BB319"/>
          <cell r="BC319">
            <v>0</v>
          </cell>
          <cell r="BD319">
            <v>3794</v>
          </cell>
          <cell r="BE319"/>
          <cell r="BF319">
            <v>0</v>
          </cell>
          <cell r="BG319">
            <v>0</v>
          </cell>
          <cell r="BH319">
            <v>0</v>
          </cell>
          <cell r="BI319">
            <v>14785</v>
          </cell>
          <cell r="BJ319">
            <v>12170</v>
          </cell>
          <cell r="BK319">
            <v>12170</v>
          </cell>
          <cell r="BL319">
            <v>0</v>
          </cell>
          <cell r="BM319">
            <v>0</v>
          </cell>
          <cell r="BN319">
            <v>0</v>
          </cell>
          <cell r="BO319">
            <v>96799</v>
          </cell>
          <cell r="BP319">
            <v>3162.8</v>
          </cell>
          <cell r="BQ319">
            <v>5697.6744186046499</v>
          </cell>
          <cell r="BR319">
            <v>0</v>
          </cell>
          <cell r="BS319">
            <v>0</v>
          </cell>
          <cell r="BT319">
            <v>19265</v>
          </cell>
          <cell r="BU319"/>
          <cell r="BV319"/>
          <cell r="BW319"/>
          <cell r="BX319"/>
          <cell r="BY319">
            <v>0</v>
          </cell>
          <cell r="BZ319">
            <v>0</v>
          </cell>
          <cell r="CA319">
            <v>0</v>
          </cell>
          <cell r="CB319">
            <v>0</v>
          </cell>
          <cell r="CC319">
            <v>879846</v>
          </cell>
          <cell r="CD319">
            <v>6244828</v>
          </cell>
          <cell r="CE319">
            <v>300957</v>
          </cell>
          <cell r="CF319">
            <v>-15051</v>
          </cell>
          <cell r="CG319">
            <v>300957</v>
          </cell>
          <cell r="CH319">
            <v>300957</v>
          </cell>
          <cell r="CI319">
            <v>300957</v>
          </cell>
          <cell r="CJ319">
            <v>300957</v>
          </cell>
          <cell r="CK319">
            <v>0</v>
          </cell>
          <cell r="CL319">
            <v>0</v>
          </cell>
          <cell r="CM319">
            <v>0</v>
          </cell>
          <cell r="CN319">
            <v>0</v>
          </cell>
          <cell r="CO319">
            <v>0</v>
          </cell>
          <cell r="CP319">
            <v>-2884</v>
          </cell>
          <cell r="CQ319">
            <v>2509907</v>
          </cell>
          <cell r="CR319">
            <v>2384298</v>
          </cell>
          <cell r="CS319">
            <v>2337325</v>
          </cell>
          <cell r="CT319">
            <v>2275204</v>
          </cell>
          <cell r="CU319">
            <v>2187253</v>
          </cell>
          <cell r="CV319">
            <v>8585</v>
          </cell>
          <cell r="CW319">
            <v>0</v>
          </cell>
          <cell r="CX319">
            <v>0</v>
          </cell>
          <cell r="CY319">
            <v>0</v>
          </cell>
          <cell r="CZ319">
            <v>0</v>
          </cell>
          <cell r="DA319">
            <v>0</v>
          </cell>
          <cell r="DB319"/>
          <cell r="DC319">
            <v>0</v>
          </cell>
          <cell r="DD319">
            <v>0</v>
          </cell>
          <cell r="DE319">
            <v>0</v>
          </cell>
          <cell r="DF319">
            <v>0</v>
          </cell>
          <cell r="DG319">
            <v>0</v>
          </cell>
          <cell r="DH319">
            <v>0</v>
          </cell>
          <cell r="DI319">
            <v>0</v>
          </cell>
          <cell r="DJ319">
            <v>0</v>
          </cell>
          <cell r="DK319">
            <v>0</v>
          </cell>
          <cell r="DL319">
            <v>0</v>
          </cell>
          <cell r="DM319"/>
          <cell r="DN319"/>
          <cell r="DO319"/>
          <cell r="DP319"/>
        </row>
        <row r="320">
          <cell r="A320">
            <v>1709</v>
          </cell>
          <cell r="B320" t="str">
            <v>Moerdijk</v>
          </cell>
          <cell r="C320">
            <v>10</v>
          </cell>
          <cell r="D320">
            <v>52042</v>
          </cell>
          <cell r="E320">
            <v>26021</v>
          </cell>
          <cell r="F320">
            <v>0</v>
          </cell>
          <cell r="G320">
            <v>1497970</v>
          </cell>
          <cell r="H320">
            <v>-22405</v>
          </cell>
          <cell r="I320">
            <v>-3010</v>
          </cell>
          <cell r="J320"/>
          <cell r="K320">
            <v>0</v>
          </cell>
          <cell r="L320">
            <v>126062</v>
          </cell>
          <cell r="M320">
            <v>121703</v>
          </cell>
          <cell r="N320">
            <v>0</v>
          </cell>
          <cell r="O320">
            <v>0</v>
          </cell>
          <cell r="P320">
            <v>0</v>
          </cell>
          <cell r="Q320">
            <v>0</v>
          </cell>
          <cell r="R320">
            <v>0</v>
          </cell>
          <cell r="S320">
            <v>0</v>
          </cell>
          <cell r="T320">
            <v>0</v>
          </cell>
          <cell r="U320">
            <v>0</v>
          </cell>
          <cell r="V320">
            <v>17500</v>
          </cell>
          <cell r="W320">
            <v>141507</v>
          </cell>
          <cell r="X320">
            <v>0</v>
          </cell>
          <cell r="Y320"/>
          <cell r="Z320">
            <v>0</v>
          </cell>
          <cell r="AA320">
            <v>0</v>
          </cell>
          <cell r="AB320">
            <v>0</v>
          </cell>
          <cell r="AC320"/>
          <cell r="AD320">
            <v>0</v>
          </cell>
          <cell r="AE320">
            <v>0</v>
          </cell>
          <cell r="AF320">
            <v>0</v>
          </cell>
          <cell r="AG320">
            <v>0</v>
          </cell>
          <cell r="AH320">
            <v>0</v>
          </cell>
          <cell r="AI320">
            <v>0</v>
          </cell>
          <cell r="AJ320">
            <v>0</v>
          </cell>
          <cell r="AK320">
            <v>0</v>
          </cell>
          <cell r="AL320"/>
          <cell r="AM320">
            <v>0</v>
          </cell>
          <cell r="AN320">
            <v>0</v>
          </cell>
          <cell r="AO320">
            <v>0</v>
          </cell>
          <cell r="AP320">
            <v>0</v>
          </cell>
          <cell r="AQ320">
            <v>0</v>
          </cell>
          <cell r="AR320">
            <v>0</v>
          </cell>
          <cell r="AS320">
            <v>0</v>
          </cell>
          <cell r="AT320">
            <v>0</v>
          </cell>
          <cell r="AU320">
            <v>26070</v>
          </cell>
          <cell r="AV320">
            <v>0</v>
          </cell>
          <cell r="AW320">
            <v>0</v>
          </cell>
          <cell r="AX320">
            <v>0</v>
          </cell>
          <cell r="AY320"/>
          <cell r="AZ320"/>
          <cell r="BA320">
            <v>0</v>
          </cell>
          <cell r="BB320"/>
          <cell r="BC320">
            <v>0</v>
          </cell>
          <cell r="BD320">
            <v>12969</v>
          </cell>
          <cell r="BE320"/>
          <cell r="BF320">
            <v>0</v>
          </cell>
          <cell r="BG320">
            <v>0</v>
          </cell>
          <cell r="BH320">
            <v>0</v>
          </cell>
          <cell r="BI320">
            <v>48212</v>
          </cell>
          <cell r="BJ320">
            <v>39686</v>
          </cell>
          <cell r="BK320">
            <v>39686</v>
          </cell>
          <cell r="BL320">
            <v>0</v>
          </cell>
          <cell r="BM320">
            <v>0</v>
          </cell>
          <cell r="BN320">
            <v>0</v>
          </cell>
          <cell r="BO320">
            <v>719913</v>
          </cell>
          <cell r="BP320">
            <v>17395.400000000001</v>
          </cell>
          <cell r="BQ320">
            <v>31337.209302325598</v>
          </cell>
          <cell r="BR320">
            <v>0</v>
          </cell>
          <cell r="BS320">
            <v>0</v>
          </cell>
          <cell r="BT320">
            <v>68372</v>
          </cell>
          <cell r="BU320"/>
          <cell r="BV320"/>
          <cell r="BW320"/>
          <cell r="BX320"/>
          <cell r="BY320">
            <v>0</v>
          </cell>
          <cell r="BZ320">
            <v>0</v>
          </cell>
          <cell r="CA320">
            <v>0</v>
          </cell>
          <cell r="CB320">
            <v>0</v>
          </cell>
          <cell r="CC320">
            <v>2906080</v>
          </cell>
          <cell r="CD320">
            <v>15406926</v>
          </cell>
          <cell r="CE320">
            <v>1892712</v>
          </cell>
          <cell r="CF320">
            <v>0</v>
          </cell>
          <cell r="CG320">
            <v>1892712</v>
          </cell>
          <cell r="CH320">
            <v>1892712</v>
          </cell>
          <cell r="CI320">
            <v>1892712</v>
          </cell>
          <cell r="CJ320">
            <v>1892712</v>
          </cell>
          <cell r="CK320">
            <v>0</v>
          </cell>
          <cell r="CL320">
            <v>0</v>
          </cell>
          <cell r="CM320">
            <v>0</v>
          </cell>
          <cell r="CN320">
            <v>0</v>
          </cell>
          <cell r="CO320">
            <v>0</v>
          </cell>
          <cell r="CP320">
            <v>-1085</v>
          </cell>
          <cell r="CQ320">
            <v>2876664</v>
          </cell>
          <cell r="CR320">
            <v>2738952</v>
          </cell>
          <cell r="CS320">
            <v>2651810</v>
          </cell>
          <cell r="CT320">
            <v>2561496</v>
          </cell>
          <cell r="CU320">
            <v>2507421</v>
          </cell>
          <cell r="CV320">
            <v>-9815</v>
          </cell>
          <cell r="CW320">
            <v>0</v>
          </cell>
          <cell r="CX320">
            <v>0</v>
          </cell>
          <cell r="CY320">
            <v>0</v>
          </cell>
          <cell r="CZ320">
            <v>0</v>
          </cell>
          <cell r="DA320">
            <v>0</v>
          </cell>
          <cell r="DB320"/>
          <cell r="DC320">
            <v>0</v>
          </cell>
          <cell r="DD320">
            <v>0</v>
          </cell>
          <cell r="DE320">
            <v>0</v>
          </cell>
          <cell r="DF320">
            <v>0</v>
          </cell>
          <cell r="DG320">
            <v>0</v>
          </cell>
          <cell r="DH320">
            <v>0</v>
          </cell>
          <cell r="DI320">
            <v>7958000</v>
          </cell>
          <cell r="DJ320">
            <v>0</v>
          </cell>
          <cell r="DK320">
            <v>0</v>
          </cell>
          <cell r="DL320">
            <v>0</v>
          </cell>
          <cell r="DM320"/>
          <cell r="DN320"/>
          <cell r="DO320"/>
          <cell r="DP320"/>
        </row>
        <row r="321">
          <cell r="A321">
            <v>820</v>
          </cell>
          <cell r="B321" t="str">
            <v>Nuenen c.a.</v>
          </cell>
          <cell r="C321">
            <v>10</v>
          </cell>
          <cell r="D321">
            <v>46384</v>
          </cell>
          <cell r="E321">
            <v>23192</v>
          </cell>
          <cell r="F321">
            <v>0</v>
          </cell>
          <cell r="G321">
            <v>0</v>
          </cell>
          <cell r="H321">
            <v>-18891</v>
          </cell>
          <cell r="I321">
            <v>-6472</v>
          </cell>
          <cell r="J321"/>
          <cell r="K321">
            <v>0</v>
          </cell>
          <cell r="L321">
            <v>66851</v>
          </cell>
          <cell r="M321">
            <v>52995</v>
          </cell>
          <cell r="N321">
            <v>0</v>
          </cell>
          <cell r="O321">
            <v>0</v>
          </cell>
          <cell r="P321">
            <v>0</v>
          </cell>
          <cell r="Q321">
            <v>0</v>
          </cell>
          <cell r="R321">
            <v>0</v>
          </cell>
          <cell r="S321">
            <v>0</v>
          </cell>
          <cell r="T321">
            <v>0</v>
          </cell>
          <cell r="U321">
            <v>0</v>
          </cell>
          <cell r="V321">
            <v>0</v>
          </cell>
          <cell r="W321">
            <v>69905</v>
          </cell>
          <cell r="X321">
            <v>0</v>
          </cell>
          <cell r="Y321"/>
          <cell r="Z321">
            <v>0</v>
          </cell>
          <cell r="AA321">
            <v>0</v>
          </cell>
          <cell r="AB321">
            <v>0</v>
          </cell>
          <cell r="AC321"/>
          <cell r="AD321">
            <v>0</v>
          </cell>
          <cell r="AE321">
            <v>0</v>
          </cell>
          <cell r="AF321">
            <v>0</v>
          </cell>
          <cell r="AG321">
            <v>0</v>
          </cell>
          <cell r="AH321">
            <v>0</v>
          </cell>
          <cell r="AI321">
            <v>0</v>
          </cell>
          <cell r="AJ321">
            <v>0</v>
          </cell>
          <cell r="AK321">
            <v>0</v>
          </cell>
          <cell r="AL321"/>
          <cell r="AM321">
            <v>0</v>
          </cell>
          <cell r="AN321">
            <v>0</v>
          </cell>
          <cell r="AO321">
            <v>0</v>
          </cell>
          <cell r="AP321">
            <v>0</v>
          </cell>
          <cell r="AQ321">
            <v>0</v>
          </cell>
          <cell r="AR321">
            <v>0</v>
          </cell>
          <cell r="AS321">
            <v>0</v>
          </cell>
          <cell r="AT321">
            <v>0</v>
          </cell>
          <cell r="AU321">
            <v>4740</v>
          </cell>
          <cell r="AV321">
            <v>0</v>
          </cell>
          <cell r="AW321">
            <v>0</v>
          </cell>
          <cell r="AX321">
            <v>0</v>
          </cell>
          <cell r="AY321"/>
          <cell r="AZ321"/>
          <cell r="BA321">
            <v>0</v>
          </cell>
          <cell r="BB321"/>
          <cell r="BC321">
            <v>0</v>
          </cell>
          <cell r="BD321">
            <v>8027</v>
          </cell>
          <cell r="BE321"/>
          <cell r="BF321">
            <v>0</v>
          </cell>
          <cell r="BG321">
            <v>0</v>
          </cell>
          <cell r="BH321">
            <v>0</v>
          </cell>
          <cell r="BI321">
            <v>17422</v>
          </cell>
          <cell r="BJ321">
            <v>14341</v>
          </cell>
          <cell r="BK321">
            <v>14341</v>
          </cell>
          <cell r="BL321">
            <v>0</v>
          </cell>
          <cell r="BM321">
            <v>0</v>
          </cell>
          <cell r="BN321">
            <v>0</v>
          </cell>
          <cell r="BO321">
            <v>0</v>
          </cell>
          <cell r="BP321">
            <v>28465.200000000001</v>
          </cell>
          <cell r="BQ321">
            <v>51279.069767441899</v>
          </cell>
          <cell r="BR321">
            <v>125000</v>
          </cell>
          <cell r="BS321">
            <v>0</v>
          </cell>
          <cell r="BT321">
            <v>33825</v>
          </cell>
          <cell r="BU321"/>
          <cell r="BV321"/>
          <cell r="BW321"/>
          <cell r="BX321"/>
          <cell r="BY321">
            <v>0</v>
          </cell>
          <cell r="BZ321">
            <v>0</v>
          </cell>
          <cell r="CA321">
            <v>0</v>
          </cell>
          <cell r="CB321">
            <v>0</v>
          </cell>
          <cell r="CC321">
            <v>1541981</v>
          </cell>
          <cell r="CD321">
            <v>7387743</v>
          </cell>
          <cell r="CE321">
            <v>541374</v>
          </cell>
          <cell r="CF321">
            <v>0</v>
          </cell>
          <cell r="CG321">
            <v>541374</v>
          </cell>
          <cell r="CH321">
            <v>541374</v>
          </cell>
          <cell r="CI321">
            <v>541374</v>
          </cell>
          <cell r="CJ321">
            <v>541374</v>
          </cell>
          <cell r="CK321">
            <v>0</v>
          </cell>
          <cell r="CL321">
            <v>0</v>
          </cell>
          <cell r="CM321">
            <v>0</v>
          </cell>
          <cell r="CN321">
            <v>0</v>
          </cell>
          <cell r="CO321">
            <v>0</v>
          </cell>
          <cell r="CP321">
            <v>-2338</v>
          </cell>
          <cell r="CQ321">
            <v>1479340</v>
          </cell>
          <cell r="CR321">
            <v>1447583</v>
          </cell>
          <cell r="CS321">
            <v>1430222</v>
          </cell>
          <cell r="CT321">
            <v>1427033</v>
          </cell>
          <cell r="CU321">
            <v>1407515</v>
          </cell>
          <cell r="CV321">
            <v>-11710</v>
          </cell>
          <cell r="CW321">
            <v>0</v>
          </cell>
          <cell r="CX321">
            <v>0</v>
          </cell>
          <cell r="CY321">
            <v>0</v>
          </cell>
          <cell r="CZ321">
            <v>0</v>
          </cell>
          <cell r="DA321">
            <v>0</v>
          </cell>
          <cell r="DB321"/>
          <cell r="DC321">
            <v>0</v>
          </cell>
          <cell r="DD321">
            <v>0</v>
          </cell>
          <cell r="DE321">
            <v>0</v>
          </cell>
          <cell r="DF321">
            <v>0</v>
          </cell>
          <cell r="DG321">
            <v>0</v>
          </cell>
          <cell r="DH321">
            <v>0</v>
          </cell>
          <cell r="DI321">
            <v>0</v>
          </cell>
          <cell r="DJ321">
            <v>0</v>
          </cell>
          <cell r="DK321">
            <v>0</v>
          </cell>
          <cell r="DL321">
            <v>0</v>
          </cell>
          <cell r="DM321"/>
          <cell r="DN321"/>
          <cell r="DO321"/>
          <cell r="DP321"/>
        </row>
        <row r="322">
          <cell r="A322">
            <v>823</v>
          </cell>
          <cell r="B322" t="str">
            <v>Oirschot</v>
          </cell>
          <cell r="C322">
            <v>10</v>
          </cell>
          <cell r="D322">
            <v>-23063</v>
          </cell>
          <cell r="E322">
            <v>-11531</v>
          </cell>
          <cell r="F322">
            <v>0</v>
          </cell>
          <cell r="G322">
            <v>0</v>
          </cell>
          <cell r="H322">
            <v>-30728</v>
          </cell>
          <cell r="I322">
            <v>-20850</v>
          </cell>
          <cell r="J322"/>
          <cell r="K322">
            <v>0</v>
          </cell>
          <cell r="L322">
            <v>42259</v>
          </cell>
          <cell r="M322">
            <v>41996</v>
          </cell>
          <cell r="N322">
            <v>0</v>
          </cell>
          <cell r="O322">
            <v>0</v>
          </cell>
          <cell r="P322">
            <v>0</v>
          </cell>
          <cell r="Q322">
            <v>0</v>
          </cell>
          <cell r="R322">
            <v>0</v>
          </cell>
          <cell r="S322">
            <v>0</v>
          </cell>
          <cell r="T322">
            <v>0</v>
          </cell>
          <cell r="U322">
            <v>0</v>
          </cell>
          <cell r="V322">
            <v>6000</v>
          </cell>
          <cell r="W322">
            <v>56368</v>
          </cell>
          <cell r="X322">
            <v>0</v>
          </cell>
          <cell r="Y322"/>
          <cell r="Z322">
            <v>0</v>
          </cell>
          <cell r="AA322">
            <v>0</v>
          </cell>
          <cell r="AB322">
            <v>0</v>
          </cell>
          <cell r="AC322"/>
          <cell r="AD322">
            <v>0</v>
          </cell>
          <cell r="AE322">
            <v>0</v>
          </cell>
          <cell r="AF322">
            <v>0</v>
          </cell>
          <cell r="AG322">
            <v>0</v>
          </cell>
          <cell r="AH322">
            <v>0</v>
          </cell>
          <cell r="AI322">
            <v>0</v>
          </cell>
          <cell r="AJ322">
            <v>0</v>
          </cell>
          <cell r="AK322">
            <v>0</v>
          </cell>
          <cell r="AL322"/>
          <cell r="AM322">
            <v>0</v>
          </cell>
          <cell r="AN322">
            <v>0</v>
          </cell>
          <cell r="AO322">
            <v>0</v>
          </cell>
          <cell r="AP322">
            <v>0</v>
          </cell>
          <cell r="AQ322">
            <v>0</v>
          </cell>
          <cell r="AR322">
            <v>0</v>
          </cell>
          <cell r="AS322">
            <v>0</v>
          </cell>
          <cell r="AT322">
            <v>0</v>
          </cell>
          <cell r="AU322">
            <v>0</v>
          </cell>
          <cell r="AV322">
            <v>0</v>
          </cell>
          <cell r="AW322">
            <v>0</v>
          </cell>
          <cell r="AX322">
            <v>0</v>
          </cell>
          <cell r="AY322"/>
          <cell r="AZ322"/>
          <cell r="BA322">
            <v>0</v>
          </cell>
          <cell r="BB322"/>
          <cell r="BC322">
            <v>0</v>
          </cell>
          <cell r="BD322">
            <v>6494</v>
          </cell>
          <cell r="BE322"/>
          <cell r="BF322">
            <v>0</v>
          </cell>
          <cell r="BG322">
            <v>0</v>
          </cell>
          <cell r="BH322">
            <v>0</v>
          </cell>
          <cell r="BI322">
            <v>18069</v>
          </cell>
          <cell r="BJ322">
            <v>14873</v>
          </cell>
          <cell r="BK322">
            <v>14873</v>
          </cell>
          <cell r="BL322">
            <v>0</v>
          </cell>
          <cell r="BM322">
            <v>0</v>
          </cell>
          <cell r="BN322">
            <v>0</v>
          </cell>
          <cell r="BO322">
            <v>58371</v>
          </cell>
          <cell r="BP322">
            <v>4744.2</v>
          </cell>
          <cell r="BQ322">
            <v>8546.5116279069807</v>
          </cell>
          <cell r="BR322">
            <v>0</v>
          </cell>
          <cell r="BS322">
            <v>0</v>
          </cell>
          <cell r="BT322">
            <v>28459</v>
          </cell>
          <cell r="BU322"/>
          <cell r="BV322"/>
          <cell r="BW322"/>
          <cell r="BX322"/>
          <cell r="BY322">
            <v>0</v>
          </cell>
          <cell r="BZ322">
            <v>0</v>
          </cell>
          <cell r="CA322">
            <v>0</v>
          </cell>
          <cell r="CB322">
            <v>0</v>
          </cell>
          <cell r="CC322">
            <v>1191869</v>
          </cell>
          <cell r="CD322">
            <v>7097620</v>
          </cell>
          <cell r="CE322">
            <v>175576</v>
          </cell>
          <cell r="CF322">
            <v>-33256</v>
          </cell>
          <cell r="CG322">
            <v>175576</v>
          </cell>
          <cell r="CH322">
            <v>175576</v>
          </cell>
          <cell r="CI322">
            <v>175576</v>
          </cell>
          <cell r="CJ322">
            <v>175576</v>
          </cell>
          <cell r="CK322">
            <v>0</v>
          </cell>
          <cell r="CL322">
            <v>0</v>
          </cell>
          <cell r="CM322">
            <v>0</v>
          </cell>
          <cell r="CN322">
            <v>0</v>
          </cell>
          <cell r="CO322">
            <v>0</v>
          </cell>
          <cell r="CP322">
            <v>-2522</v>
          </cell>
          <cell r="CQ322">
            <v>2598395</v>
          </cell>
          <cell r="CR322">
            <v>2451496</v>
          </cell>
          <cell r="CS322">
            <v>2377278</v>
          </cell>
          <cell r="CT322">
            <v>2327497</v>
          </cell>
          <cell r="CU322">
            <v>2265201</v>
          </cell>
          <cell r="CV322">
            <v>-6316</v>
          </cell>
          <cell r="CW322">
            <v>0</v>
          </cell>
          <cell r="CX322">
            <v>0</v>
          </cell>
          <cell r="CY322">
            <v>0</v>
          </cell>
          <cell r="CZ322">
            <v>0</v>
          </cell>
          <cell r="DA322">
            <v>0</v>
          </cell>
          <cell r="DB322"/>
          <cell r="DC322">
            <v>0</v>
          </cell>
          <cell r="DD322">
            <v>0</v>
          </cell>
          <cell r="DE322">
            <v>0</v>
          </cell>
          <cell r="DF322">
            <v>0</v>
          </cell>
          <cell r="DG322">
            <v>0</v>
          </cell>
          <cell r="DH322">
            <v>0</v>
          </cell>
          <cell r="DI322">
            <v>0</v>
          </cell>
          <cell r="DJ322">
            <v>0</v>
          </cell>
          <cell r="DK322">
            <v>0</v>
          </cell>
          <cell r="DL322">
            <v>0</v>
          </cell>
          <cell r="DM322"/>
          <cell r="DN322"/>
          <cell r="DO322"/>
          <cell r="DP322"/>
        </row>
        <row r="323">
          <cell r="A323">
            <v>824</v>
          </cell>
          <cell r="B323" t="str">
            <v>Oisterwijk</v>
          </cell>
          <cell r="C323">
            <v>10</v>
          </cell>
          <cell r="D323">
            <v>-43408</v>
          </cell>
          <cell r="E323">
            <v>-21704</v>
          </cell>
          <cell r="F323">
            <v>0</v>
          </cell>
          <cell r="G323">
            <v>55946</v>
          </cell>
          <cell r="H323">
            <v>-14961</v>
          </cell>
          <cell r="I323">
            <v>-8940</v>
          </cell>
          <cell r="J323"/>
          <cell r="K323">
            <v>0</v>
          </cell>
          <cell r="L323">
            <v>91681</v>
          </cell>
          <cell r="M323">
            <v>80493</v>
          </cell>
          <cell r="N323">
            <v>0</v>
          </cell>
          <cell r="O323">
            <v>0</v>
          </cell>
          <cell r="P323">
            <v>0</v>
          </cell>
          <cell r="Q323">
            <v>0</v>
          </cell>
          <cell r="R323">
            <v>0</v>
          </cell>
          <cell r="S323">
            <v>0</v>
          </cell>
          <cell r="T323">
            <v>0</v>
          </cell>
          <cell r="U323">
            <v>0</v>
          </cell>
          <cell r="V323">
            <v>6750</v>
          </cell>
          <cell r="W323">
            <v>106130</v>
          </cell>
          <cell r="X323">
            <v>0</v>
          </cell>
          <cell r="Y323"/>
          <cell r="Z323">
            <v>0</v>
          </cell>
          <cell r="AA323">
            <v>0</v>
          </cell>
          <cell r="AB323">
            <v>0</v>
          </cell>
          <cell r="AC323"/>
          <cell r="AD323">
            <v>0</v>
          </cell>
          <cell r="AE323">
            <v>0</v>
          </cell>
          <cell r="AF323">
            <v>0</v>
          </cell>
          <cell r="AG323">
            <v>0</v>
          </cell>
          <cell r="AH323">
            <v>0</v>
          </cell>
          <cell r="AI323">
            <v>0</v>
          </cell>
          <cell r="AJ323">
            <v>0</v>
          </cell>
          <cell r="AK323">
            <v>0</v>
          </cell>
          <cell r="AL323"/>
          <cell r="AM323">
            <v>0</v>
          </cell>
          <cell r="AN323">
            <v>0</v>
          </cell>
          <cell r="AO323">
            <v>0</v>
          </cell>
          <cell r="AP323">
            <v>0</v>
          </cell>
          <cell r="AQ323">
            <v>0</v>
          </cell>
          <cell r="AR323">
            <v>0</v>
          </cell>
          <cell r="AS323">
            <v>0</v>
          </cell>
          <cell r="AT323">
            <v>0</v>
          </cell>
          <cell r="AU323">
            <v>7110</v>
          </cell>
          <cell r="AV323">
            <v>0</v>
          </cell>
          <cell r="AW323">
            <v>0</v>
          </cell>
          <cell r="AX323">
            <v>0</v>
          </cell>
          <cell r="AY323"/>
          <cell r="AZ323"/>
          <cell r="BA323">
            <v>0</v>
          </cell>
          <cell r="BB323"/>
          <cell r="BC323">
            <v>0</v>
          </cell>
          <cell r="BD323">
            <v>9104</v>
          </cell>
          <cell r="BE323"/>
          <cell r="BF323">
            <v>0</v>
          </cell>
          <cell r="BG323">
            <v>0</v>
          </cell>
          <cell r="BH323">
            <v>0</v>
          </cell>
          <cell r="BI323">
            <v>31838</v>
          </cell>
          <cell r="BJ323">
            <v>26207</v>
          </cell>
          <cell r="BK323">
            <v>26207</v>
          </cell>
          <cell r="BL323">
            <v>0</v>
          </cell>
          <cell r="BM323">
            <v>0</v>
          </cell>
          <cell r="BN323">
            <v>0</v>
          </cell>
          <cell r="BO323">
            <v>0</v>
          </cell>
          <cell r="BP323">
            <v>22139.599999999999</v>
          </cell>
          <cell r="BQ323">
            <v>39883.720930232601</v>
          </cell>
          <cell r="BR323">
            <v>0</v>
          </cell>
          <cell r="BS323">
            <v>0</v>
          </cell>
          <cell r="BT323">
            <v>36674</v>
          </cell>
          <cell r="BU323"/>
          <cell r="BV323"/>
          <cell r="BW323"/>
          <cell r="BX323"/>
          <cell r="BY323">
            <v>0</v>
          </cell>
          <cell r="BZ323">
            <v>0</v>
          </cell>
          <cell r="CA323">
            <v>0</v>
          </cell>
          <cell r="CB323">
            <v>0</v>
          </cell>
          <cell r="CC323">
            <v>2074361</v>
          </cell>
          <cell r="CD323">
            <v>11897321</v>
          </cell>
          <cell r="CE323">
            <v>1756250</v>
          </cell>
          <cell r="CF323">
            <v>0</v>
          </cell>
          <cell r="CG323">
            <v>1756250</v>
          </cell>
          <cell r="CH323">
            <v>1756250</v>
          </cell>
          <cell r="CI323">
            <v>1756250</v>
          </cell>
          <cell r="CJ323">
            <v>1756250</v>
          </cell>
          <cell r="CK323">
            <v>0</v>
          </cell>
          <cell r="CL323">
            <v>0</v>
          </cell>
          <cell r="CM323">
            <v>0</v>
          </cell>
          <cell r="CN323">
            <v>0</v>
          </cell>
          <cell r="CO323">
            <v>0</v>
          </cell>
          <cell r="CP323">
            <v>-3238</v>
          </cell>
          <cell r="CQ323">
            <v>3448088</v>
          </cell>
          <cell r="CR323">
            <v>3280833</v>
          </cell>
          <cell r="CS323">
            <v>3149917</v>
          </cell>
          <cell r="CT323">
            <v>3060064</v>
          </cell>
          <cell r="CU323">
            <v>3008755</v>
          </cell>
          <cell r="CV323">
            <v>-56808</v>
          </cell>
          <cell r="CW323">
            <v>0</v>
          </cell>
          <cell r="CX323">
            <v>0</v>
          </cell>
          <cell r="CY323">
            <v>0</v>
          </cell>
          <cell r="CZ323">
            <v>0</v>
          </cell>
          <cell r="DA323">
            <v>0</v>
          </cell>
          <cell r="DB323"/>
          <cell r="DC323">
            <v>0</v>
          </cell>
          <cell r="DD323">
            <v>0</v>
          </cell>
          <cell r="DE323">
            <v>0</v>
          </cell>
          <cell r="DF323">
            <v>0</v>
          </cell>
          <cell r="DG323">
            <v>0</v>
          </cell>
          <cell r="DH323">
            <v>0</v>
          </cell>
          <cell r="DI323">
            <v>0</v>
          </cell>
          <cell r="DJ323">
            <v>0</v>
          </cell>
          <cell r="DK323">
            <v>0</v>
          </cell>
          <cell r="DL323">
            <v>0</v>
          </cell>
          <cell r="DM323"/>
          <cell r="DN323"/>
          <cell r="DO323"/>
          <cell r="DP323"/>
        </row>
        <row r="324">
          <cell r="A324">
            <v>826</v>
          </cell>
          <cell r="B324" t="str">
            <v>Oosterhout</v>
          </cell>
          <cell r="C324">
            <v>10</v>
          </cell>
          <cell r="D324">
            <v>25661</v>
          </cell>
          <cell r="E324">
            <v>12830</v>
          </cell>
          <cell r="F324">
            <v>0</v>
          </cell>
          <cell r="G324">
            <v>55775</v>
          </cell>
          <cell r="H324">
            <v>-10713</v>
          </cell>
          <cell r="I324">
            <v>0</v>
          </cell>
          <cell r="J324"/>
          <cell r="K324">
            <v>0</v>
          </cell>
          <cell r="L324">
            <v>249617</v>
          </cell>
          <cell r="M324">
            <v>257405</v>
          </cell>
          <cell r="N324">
            <v>0</v>
          </cell>
          <cell r="O324">
            <v>0</v>
          </cell>
          <cell r="P324">
            <v>0</v>
          </cell>
          <cell r="Q324">
            <v>0</v>
          </cell>
          <cell r="R324">
            <v>0</v>
          </cell>
          <cell r="S324">
            <v>0</v>
          </cell>
          <cell r="T324">
            <v>0</v>
          </cell>
          <cell r="U324">
            <v>0</v>
          </cell>
          <cell r="V324">
            <v>30000</v>
          </cell>
          <cell r="W324">
            <v>208373</v>
          </cell>
          <cell r="X324">
            <v>0</v>
          </cell>
          <cell r="Y324"/>
          <cell r="Z324">
            <v>0</v>
          </cell>
          <cell r="AA324">
            <v>0</v>
          </cell>
          <cell r="AB324">
            <v>0</v>
          </cell>
          <cell r="AC324"/>
          <cell r="AD324">
            <v>0</v>
          </cell>
          <cell r="AE324">
            <v>0</v>
          </cell>
          <cell r="AF324">
            <v>0</v>
          </cell>
          <cell r="AG324">
            <v>0</v>
          </cell>
          <cell r="AH324">
            <v>0</v>
          </cell>
          <cell r="AI324">
            <v>0</v>
          </cell>
          <cell r="AJ324">
            <v>0</v>
          </cell>
          <cell r="AK324">
            <v>0</v>
          </cell>
          <cell r="AL324"/>
          <cell r="AM324">
            <v>0</v>
          </cell>
          <cell r="AN324">
            <v>0</v>
          </cell>
          <cell r="AO324">
            <v>0</v>
          </cell>
          <cell r="AP324">
            <v>0</v>
          </cell>
          <cell r="AQ324">
            <v>0</v>
          </cell>
          <cell r="AR324">
            <v>0</v>
          </cell>
          <cell r="AS324">
            <v>0</v>
          </cell>
          <cell r="AT324">
            <v>0</v>
          </cell>
          <cell r="AU324">
            <v>7110</v>
          </cell>
          <cell r="AV324">
            <v>0</v>
          </cell>
          <cell r="AW324">
            <v>0</v>
          </cell>
          <cell r="AX324">
            <v>0</v>
          </cell>
          <cell r="AY324"/>
          <cell r="AZ324"/>
          <cell r="BA324">
            <v>0</v>
          </cell>
          <cell r="BB324"/>
          <cell r="BC324">
            <v>0</v>
          </cell>
          <cell r="BD324">
            <v>19168</v>
          </cell>
          <cell r="BE324"/>
          <cell r="BF324">
            <v>0</v>
          </cell>
          <cell r="BG324">
            <v>0</v>
          </cell>
          <cell r="BH324">
            <v>0</v>
          </cell>
          <cell r="BI324">
            <v>78969</v>
          </cell>
          <cell r="BJ324">
            <v>65003</v>
          </cell>
          <cell r="BK324">
            <v>65003</v>
          </cell>
          <cell r="BL324">
            <v>0</v>
          </cell>
          <cell r="BM324">
            <v>0</v>
          </cell>
          <cell r="BN324">
            <v>0</v>
          </cell>
          <cell r="BO324">
            <v>309855</v>
          </cell>
          <cell r="BP324">
            <v>23721</v>
          </cell>
          <cell r="BQ324">
            <v>42732.5581395349</v>
          </cell>
          <cell r="BR324">
            <v>0</v>
          </cell>
          <cell r="BS324">
            <v>0</v>
          </cell>
          <cell r="BT324">
            <v>84497</v>
          </cell>
          <cell r="BU324"/>
          <cell r="BV324"/>
          <cell r="BW324"/>
          <cell r="BX324"/>
          <cell r="BY324">
            <v>0</v>
          </cell>
          <cell r="BZ324">
            <v>0</v>
          </cell>
          <cell r="CA324">
            <v>0</v>
          </cell>
          <cell r="CB324">
            <v>0</v>
          </cell>
          <cell r="CC324">
            <v>4577550</v>
          </cell>
          <cell r="CD324">
            <v>25455324</v>
          </cell>
          <cell r="CE324">
            <v>1799399</v>
          </cell>
          <cell r="CF324">
            <v>0</v>
          </cell>
          <cell r="CG324">
            <v>1799399</v>
          </cell>
          <cell r="CH324">
            <v>1799399</v>
          </cell>
          <cell r="CI324">
            <v>1799399</v>
          </cell>
          <cell r="CJ324">
            <v>1799399</v>
          </cell>
          <cell r="CK324">
            <v>0</v>
          </cell>
          <cell r="CL324">
            <v>0</v>
          </cell>
          <cell r="CM324">
            <v>0</v>
          </cell>
          <cell r="CN324">
            <v>0</v>
          </cell>
          <cell r="CO324">
            <v>0</v>
          </cell>
          <cell r="CP324">
            <v>0</v>
          </cell>
          <cell r="CQ324">
            <v>6100234</v>
          </cell>
          <cell r="CR324">
            <v>5910920</v>
          </cell>
          <cell r="CS324">
            <v>5792457</v>
          </cell>
          <cell r="CT324">
            <v>5718749</v>
          </cell>
          <cell r="CU324">
            <v>5659044</v>
          </cell>
          <cell r="CV324">
            <v>-52095</v>
          </cell>
          <cell r="CW324">
            <v>0</v>
          </cell>
          <cell r="CX324">
            <v>0</v>
          </cell>
          <cell r="CY324">
            <v>0</v>
          </cell>
          <cell r="CZ324">
            <v>0</v>
          </cell>
          <cell r="DA324">
            <v>0</v>
          </cell>
          <cell r="DB324"/>
          <cell r="DC324">
            <v>0</v>
          </cell>
          <cell r="DD324">
            <v>0</v>
          </cell>
          <cell r="DE324">
            <v>0</v>
          </cell>
          <cell r="DF324">
            <v>0</v>
          </cell>
          <cell r="DG324">
            <v>0</v>
          </cell>
          <cell r="DH324">
            <v>0</v>
          </cell>
          <cell r="DI324">
            <v>0</v>
          </cell>
          <cell r="DJ324">
            <v>0</v>
          </cell>
          <cell r="DK324">
            <v>0</v>
          </cell>
          <cell r="DL324">
            <v>0</v>
          </cell>
          <cell r="DM324"/>
          <cell r="DN324"/>
          <cell r="DO324"/>
          <cell r="DP324"/>
        </row>
        <row r="325">
          <cell r="A325">
            <v>828</v>
          </cell>
          <cell r="B325" t="str">
            <v>Oss</v>
          </cell>
          <cell r="C325">
            <v>10</v>
          </cell>
          <cell r="D325">
            <v>-46859</v>
          </cell>
          <cell r="E325">
            <v>-23430</v>
          </cell>
          <cell r="F325">
            <v>0</v>
          </cell>
          <cell r="G325">
            <v>0</v>
          </cell>
          <cell r="H325">
            <v>-31514</v>
          </cell>
          <cell r="I325">
            <v>-29364</v>
          </cell>
          <cell r="J325"/>
          <cell r="K325">
            <v>0</v>
          </cell>
          <cell r="L325">
            <v>433159</v>
          </cell>
          <cell r="M325">
            <v>406439</v>
          </cell>
          <cell r="N325">
            <v>0</v>
          </cell>
          <cell r="O325">
            <v>0</v>
          </cell>
          <cell r="P325">
            <v>0</v>
          </cell>
          <cell r="Q325">
            <v>0</v>
          </cell>
          <cell r="R325">
            <v>0</v>
          </cell>
          <cell r="S325">
            <v>0</v>
          </cell>
          <cell r="T325">
            <v>0</v>
          </cell>
          <cell r="U325">
            <v>0</v>
          </cell>
          <cell r="V325">
            <v>118750</v>
          </cell>
          <cell r="W325">
            <v>355517</v>
          </cell>
          <cell r="X325">
            <v>0</v>
          </cell>
          <cell r="Y325"/>
          <cell r="Z325">
            <v>0</v>
          </cell>
          <cell r="AA325">
            <v>0</v>
          </cell>
          <cell r="AB325">
            <v>0</v>
          </cell>
          <cell r="AC325"/>
          <cell r="AD325">
            <v>125158</v>
          </cell>
          <cell r="AE325">
            <v>0</v>
          </cell>
          <cell r="AF325">
            <v>0</v>
          </cell>
          <cell r="AG325">
            <v>0</v>
          </cell>
          <cell r="AH325">
            <v>0</v>
          </cell>
          <cell r="AI325">
            <v>0</v>
          </cell>
          <cell r="AJ325">
            <v>0</v>
          </cell>
          <cell r="AK325">
            <v>0</v>
          </cell>
          <cell r="AL325"/>
          <cell r="AM325">
            <v>0</v>
          </cell>
          <cell r="AN325">
            <v>0</v>
          </cell>
          <cell r="AO325">
            <v>0</v>
          </cell>
          <cell r="AP325">
            <v>0</v>
          </cell>
          <cell r="AQ325">
            <v>0</v>
          </cell>
          <cell r="AR325">
            <v>0</v>
          </cell>
          <cell r="AS325">
            <v>0</v>
          </cell>
          <cell r="AT325">
            <v>19000</v>
          </cell>
          <cell r="AU325">
            <v>0</v>
          </cell>
          <cell r="AV325">
            <v>3264263.93086163</v>
          </cell>
          <cell r="AW325">
            <v>0</v>
          </cell>
          <cell r="AX325">
            <v>0</v>
          </cell>
          <cell r="AY325"/>
          <cell r="AZ325"/>
          <cell r="BA325">
            <v>0</v>
          </cell>
          <cell r="BB325"/>
          <cell r="BC325">
            <v>0</v>
          </cell>
          <cell r="BD325">
            <v>31725</v>
          </cell>
          <cell r="BE325"/>
          <cell r="BF325">
            <v>0</v>
          </cell>
          <cell r="BG325">
            <v>0</v>
          </cell>
          <cell r="BH325">
            <v>0</v>
          </cell>
          <cell r="BI325">
            <v>137817</v>
          </cell>
          <cell r="BJ325">
            <v>113444</v>
          </cell>
          <cell r="BK325">
            <v>113444</v>
          </cell>
          <cell r="BL325">
            <v>50000</v>
          </cell>
          <cell r="BM325">
            <v>0</v>
          </cell>
          <cell r="BN325">
            <v>0</v>
          </cell>
          <cell r="BO325">
            <v>334662</v>
          </cell>
          <cell r="BP325">
            <v>34790.800000000003</v>
          </cell>
          <cell r="BQ325">
            <v>62674.418604651197</v>
          </cell>
          <cell r="BR325">
            <v>0</v>
          </cell>
          <cell r="BS325">
            <v>0</v>
          </cell>
          <cell r="BT325">
            <v>150268</v>
          </cell>
          <cell r="BU325"/>
          <cell r="BV325"/>
          <cell r="BW325"/>
          <cell r="BX325"/>
          <cell r="BY325">
            <v>0</v>
          </cell>
          <cell r="BZ325">
            <v>0</v>
          </cell>
          <cell r="CA325">
            <v>0</v>
          </cell>
          <cell r="CB325">
            <v>0</v>
          </cell>
          <cell r="CC325">
            <v>7365328</v>
          </cell>
          <cell r="CD325">
            <v>74362776</v>
          </cell>
          <cell r="CE325">
            <v>3544885</v>
          </cell>
          <cell r="CF325">
            <v>0</v>
          </cell>
          <cell r="CG325">
            <v>3544885</v>
          </cell>
          <cell r="CH325">
            <v>3544885</v>
          </cell>
          <cell r="CI325">
            <v>3544885</v>
          </cell>
          <cell r="CJ325">
            <v>3544885</v>
          </cell>
          <cell r="CK325">
            <v>18704728</v>
          </cell>
          <cell r="CL325">
            <v>18695340</v>
          </cell>
          <cell r="CM325">
            <v>18695188</v>
          </cell>
          <cell r="CN325">
            <v>18694854</v>
          </cell>
          <cell r="CO325">
            <v>18695317</v>
          </cell>
          <cell r="CP325">
            <v>-10540</v>
          </cell>
          <cell r="CQ325">
            <v>19857926</v>
          </cell>
          <cell r="CR325">
            <v>18952245</v>
          </cell>
          <cell r="CS325">
            <v>18429817</v>
          </cell>
          <cell r="CT325">
            <v>18014750</v>
          </cell>
          <cell r="CU325">
            <v>17561796</v>
          </cell>
          <cell r="CV325">
            <v>122143</v>
          </cell>
          <cell r="CW325">
            <v>0</v>
          </cell>
          <cell r="CX325">
            <v>0</v>
          </cell>
          <cell r="CY325">
            <v>0</v>
          </cell>
          <cell r="CZ325">
            <v>0</v>
          </cell>
          <cell r="DA325">
            <v>80000</v>
          </cell>
          <cell r="DB325"/>
          <cell r="DC325">
            <v>0</v>
          </cell>
          <cell r="DD325">
            <v>0</v>
          </cell>
          <cell r="DE325">
            <v>0</v>
          </cell>
          <cell r="DF325">
            <v>0</v>
          </cell>
          <cell r="DG325">
            <v>0</v>
          </cell>
          <cell r="DH325">
            <v>0</v>
          </cell>
          <cell r="DI325">
            <v>0</v>
          </cell>
          <cell r="DJ325">
            <v>0</v>
          </cell>
          <cell r="DK325">
            <v>0</v>
          </cell>
          <cell r="DL325">
            <v>0</v>
          </cell>
          <cell r="DM325"/>
          <cell r="DN325"/>
          <cell r="DO325"/>
          <cell r="DP325"/>
        </row>
        <row r="326">
          <cell r="A326">
            <v>1667</v>
          </cell>
          <cell r="B326" t="str">
            <v>Reusel-De Mierden</v>
          </cell>
          <cell r="C326">
            <v>10</v>
          </cell>
          <cell r="D326">
            <v>2455</v>
          </cell>
          <cell r="E326">
            <v>1227</v>
          </cell>
          <cell r="F326">
            <v>0</v>
          </cell>
          <cell r="G326">
            <v>0</v>
          </cell>
          <cell r="H326">
            <v>-20470</v>
          </cell>
          <cell r="I326">
            <v>-10855</v>
          </cell>
          <cell r="J326"/>
          <cell r="K326">
            <v>0</v>
          </cell>
          <cell r="L326">
            <v>43772</v>
          </cell>
          <cell r="M326">
            <v>42258</v>
          </cell>
          <cell r="N326">
            <v>0</v>
          </cell>
          <cell r="O326">
            <v>0</v>
          </cell>
          <cell r="P326">
            <v>0</v>
          </cell>
          <cell r="Q326">
            <v>0</v>
          </cell>
          <cell r="R326">
            <v>0</v>
          </cell>
          <cell r="S326">
            <v>0</v>
          </cell>
          <cell r="T326">
            <v>0</v>
          </cell>
          <cell r="U326">
            <v>0</v>
          </cell>
          <cell r="V326">
            <v>0</v>
          </cell>
          <cell r="W326">
            <v>48983</v>
          </cell>
          <cell r="X326">
            <v>0</v>
          </cell>
          <cell r="Y326"/>
          <cell r="Z326">
            <v>0</v>
          </cell>
          <cell r="AA326">
            <v>0</v>
          </cell>
          <cell r="AB326">
            <v>0</v>
          </cell>
          <cell r="AC326"/>
          <cell r="AD326">
            <v>0</v>
          </cell>
          <cell r="AE326">
            <v>0</v>
          </cell>
          <cell r="AF326">
            <v>0</v>
          </cell>
          <cell r="AG326">
            <v>0</v>
          </cell>
          <cell r="AH326">
            <v>0</v>
          </cell>
          <cell r="AI326">
            <v>0</v>
          </cell>
          <cell r="AJ326">
            <v>0</v>
          </cell>
          <cell r="AK326">
            <v>0</v>
          </cell>
          <cell r="AL326"/>
          <cell r="AM326">
            <v>0</v>
          </cell>
          <cell r="AN326">
            <v>0</v>
          </cell>
          <cell r="AO326">
            <v>0</v>
          </cell>
          <cell r="AP326">
            <v>0</v>
          </cell>
          <cell r="AQ326">
            <v>0</v>
          </cell>
          <cell r="AR326">
            <v>0</v>
          </cell>
          <cell r="AS326">
            <v>0</v>
          </cell>
          <cell r="AT326">
            <v>0</v>
          </cell>
          <cell r="AU326">
            <v>2370</v>
          </cell>
          <cell r="AV326">
            <v>0</v>
          </cell>
          <cell r="AW326">
            <v>0</v>
          </cell>
          <cell r="AX326">
            <v>0</v>
          </cell>
          <cell r="AY326"/>
          <cell r="AZ326"/>
          <cell r="BA326">
            <v>0</v>
          </cell>
          <cell r="BB326"/>
          <cell r="BC326">
            <v>0</v>
          </cell>
          <cell r="BD326">
            <v>4531</v>
          </cell>
          <cell r="BE326"/>
          <cell r="BF326">
            <v>0</v>
          </cell>
          <cell r="BG326">
            <v>0</v>
          </cell>
          <cell r="BH326">
            <v>0</v>
          </cell>
          <cell r="BI326">
            <v>13090</v>
          </cell>
          <cell r="BJ326">
            <v>10775</v>
          </cell>
          <cell r="BK326">
            <v>10775</v>
          </cell>
          <cell r="BL326">
            <v>0</v>
          </cell>
          <cell r="BM326">
            <v>0</v>
          </cell>
          <cell r="BN326">
            <v>0</v>
          </cell>
          <cell r="BO326">
            <v>0</v>
          </cell>
          <cell r="BP326">
            <v>15814</v>
          </cell>
          <cell r="BQ326">
            <v>28488.372093023299</v>
          </cell>
          <cell r="BR326">
            <v>0</v>
          </cell>
          <cell r="BS326">
            <v>0</v>
          </cell>
          <cell r="BT326">
            <v>22957</v>
          </cell>
          <cell r="BU326"/>
          <cell r="BV326"/>
          <cell r="BW326"/>
          <cell r="BX326"/>
          <cell r="BY326">
            <v>0</v>
          </cell>
          <cell r="BZ326">
            <v>0</v>
          </cell>
          <cell r="CA326">
            <v>0</v>
          </cell>
          <cell r="CB326">
            <v>0</v>
          </cell>
          <cell r="CC326">
            <v>893074</v>
          </cell>
          <cell r="CD326">
            <v>6544394</v>
          </cell>
          <cell r="CE326">
            <v>298111</v>
          </cell>
          <cell r="CF326">
            <v>-19840</v>
          </cell>
          <cell r="CG326">
            <v>298111</v>
          </cell>
          <cell r="CH326">
            <v>298111</v>
          </cell>
          <cell r="CI326">
            <v>298111</v>
          </cell>
          <cell r="CJ326">
            <v>298111</v>
          </cell>
          <cell r="CK326">
            <v>0</v>
          </cell>
          <cell r="CL326">
            <v>0</v>
          </cell>
          <cell r="CM326">
            <v>0</v>
          </cell>
          <cell r="CN326">
            <v>0</v>
          </cell>
          <cell r="CO326">
            <v>0</v>
          </cell>
          <cell r="CP326">
            <v>-939</v>
          </cell>
          <cell r="CQ326">
            <v>2690117</v>
          </cell>
          <cell r="CR326">
            <v>2569627</v>
          </cell>
          <cell r="CS326">
            <v>2498657</v>
          </cell>
          <cell r="CT326">
            <v>2417543</v>
          </cell>
          <cell r="CU326">
            <v>2331179</v>
          </cell>
          <cell r="CV326">
            <v>-805</v>
          </cell>
          <cell r="CW326">
            <v>0</v>
          </cell>
          <cell r="CX326">
            <v>0</v>
          </cell>
          <cell r="CY326">
            <v>0</v>
          </cell>
          <cell r="CZ326">
            <v>0</v>
          </cell>
          <cell r="DA326">
            <v>0</v>
          </cell>
          <cell r="DB326"/>
          <cell r="DC326">
            <v>0</v>
          </cell>
          <cell r="DD326">
            <v>0</v>
          </cell>
          <cell r="DE326">
            <v>0</v>
          </cell>
          <cell r="DF326">
            <v>0</v>
          </cell>
          <cell r="DG326">
            <v>0</v>
          </cell>
          <cell r="DH326">
            <v>0</v>
          </cell>
          <cell r="DI326">
            <v>0</v>
          </cell>
          <cell r="DJ326">
            <v>0</v>
          </cell>
          <cell r="DK326">
            <v>0</v>
          </cell>
          <cell r="DL326">
            <v>0</v>
          </cell>
          <cell r="DM326"/>
          <cell r="DN326"/>
          <cell r="DO326"/>
          <cell r="DP326"/>
        </row>
        <row r="327">
          <cell r="A327">
            <v>1674</v>
          </cell>
          <cell r="B327" t="str">
            <v>Roosendaal</v>
          </cell>
          <cell r="C327">
            <v>10</v>
          </cell>
          <cell r="D327">
            <v>-18508</v>
          </cell>
          <cell r="E327">
            <v>-9254</v>
          </cell>
          <cell r="F327">
            <v>0</v>
          </cell>
          <cell r="G327">
            <v>0</v>
          </cell>
          <cell r="H327">
            <v>0</v>
          </cell>
          <cell r="I327">
            <v>0</v>
          </cell>
          <cell r="J327"/>
          <cell r="K327">
            <v>0</v>
          </cell>
          <cell r="L327">
            <v>426613</v>
          </cell>
          <cell r="M327">
            <v>425556</v>
          </cell>
          <cell r="N327">
            <v>0</v>
          </cell>
          <cell r="O327">
            <v>0</v>
          </cell>
          <cell r="P327">
            <v>0</v>
          </cell>
          <cell r="Q327">
            <v>0</v>
          </cell>
          <cell r="R327">
            <v>0</v>
          </cell>
          <cell r="S327">
            <v>0</v>
          </cell>
          <cell r="T327">
            <v>0</v>
          </cell>
          <cell r="U327">
            <v>0</v>
          </cell>
          <cell r="V327">
            <v>36000</v>
          </cell>
          <cell r="W327">
            <v>299342</v>
          </cell>
          <cell r="X327">
            <v>0</v>
          </cell>
          <cell r="Y327"/>
          <cell r="Z327">
            <v>0</v>
          </cell>
          <cell r="AA327">
            <v>0</v>
          </cell>
          <cell r="AB327">
            <v>0</v>
          </cell>
          <cell r="AC327"/>
          <cell r="AD327">
            <v>176004</v>
          </cell>
          <cell r="AE327">
            <v>0</v>
          </cell>
          <cell r="AF327">
            <v>0</v>
          </cell>
          <cell r="AG327">
            <v>0</v>
          </cell>
          <cell r="AH327">
            <v>0</v>
          </cell>
          <cell r="AI327">
            <v>0</v>
          </cell>
          <cell r="AJ327">
            <v>0</v>
          </cell>
          <cell r="AK327">
            <v>0</v>
          </cell>
          <cell r="AL327"/>
          <cell r="AM327">
            <v>0</v>
          </cell>
          <cell r="AN327">
            <v>0</v>
          </cell>
          <cell r="AO327">
            <v>0</v>
          </cell>
          <cell r="AP327">
            <v>0</v>
          </cell>
          <cell r="AQ327">
            <v>0</v>
          </cell>
          <cell r="AR327">
            <v>0</v>
          </cell>
          <cell r="AS327">
            <v>0</v>
          </cell>
          <cell r="AT327">
            <v>0</v>
          </cell>
          <cell r="AU327">
            <v>2370</v>
          </cell>
          <cell r="AV327">
            <v>0</v>
          </cell>
          <cell r="AW327">
            <v>0</v>
          </cell>
          <cell r="AX327">
            <v>0</v>
          </cell>
          <cell r="AY327"/>
          <cell r="AZ327"/>
          <cell r="BA327">
            <v>0</v>
          </cell>
          <cell r="BB327"/>
          <cell r="BC327">
            <v>20000</v>
          </cell>
          <cell r="BD327">
            <v>27087</v>
          </cell>
          <cell r="BE327"/>
          <cell r="BF327">
            <v>0</v>
          </cell>
          <cell r="BG327">
            <v>0</v>
          </cell>
          <cell r="BH327">
            <v>0</v>
          </cell>
          <cell r="BI327">
            <v>129568</v>
          </cell>
          <cell r="BJ327">
            <v>106653</v>
          </cell>
          <cell r="BK327">
            <v>106653</v>
          </cell>
          <cell r="BL327">
            <v>0</v>
          </cell>
          <cell r="BM327">
            <v>0</v>
          </cell>
          <cell r="BN327">
            <v>0</v>
          </cell>
          <cell r="BO327">
            <v>147388</v>
          </cell>
          <cell r="BP327">
            <v>1581.4</v>
          </cell>
          <cell r="BQ327">
            <v>2848.8372093023299</v>
          </cell>
          <cell r="BR327">
            <v>0</v>
          </cell>
          <cell r="BS327">
            <v>0</v>
          </cell>
          <cell r="BT327">
            <v>123780</v>
          </cell>
          <cell r="BU327"/>
          <cell r="BV327"/>
          <cell r="BW327"/>
          <cell r="BX327"/>
          <cell r="BY327">
            <v>0</v>
          </cell>
          <cell r="BZ327">
            <v>0</v>
          </cell>
          <cell r="CA327">
            <v>0</v>
          </cell>
          <cell r="CB327">
            <v>0</v>
          </cell>
          <cell r="CC327">
            <v>6673912</v>
          </cell>
          <cell r="CD327">
            <v>45525422</v>
          </cell>
          <cell r="CE327">
            <v>2020956</v>
          </cell>
          <cell r="CF327">
            <v>0</v>
          </cell>
          <cell r="CG327">
            <v>2020956</v>
          </cell>
          <cell r="CH327">
            <v>2020956</v>
          </cell>
          <cell r="CI327">
            <v>2020956</v>
          </cell>
          <cell r="CJ327">
            <v>2020956</v>
          </cell>
          <cell r="CK327">
            <v>0</v>
          </cell>
          <cell r="CL327">
            <v>0</v>
          </cell>
          <cell r="CM327">
            <v>0</v>
          </cell>
          <cell r="CN327">
            <v>0</v>
          </cell>
          <cell r="CO327">
            <v>0</v>
          </cell>
          <cell r="CP327">
            <v>0</v>
          </cell>
          <cell r="CQ327">
            <v>14326576</v>
          </cell>
          <cell r="CR327">
            <v>13720963</v>
          </cell>
          <cell r="CS327">
            <v>13425954</v>
          </cell>
          <cell r="CT327">
            <v>13191197</v>
          </cell>
          <cell r="CU327">
            <v>12884979</v>
          </cell>
          <cell r="CV327">
            <v>-151448</v>
          </cell>
          <cell r="CW327">
            <v>0</v>
          </cell>
          <cell r="CX327">
            <v>0</v>
          </cell>
          <cell r="CY327">
            <v>0</v>
          </cell>
          <cell r="CZ327">
            <v>0</v>
          </cell>
          <cell r="DA327">
            <v>0</v>
          </cell>
          <cell r="DB327"/>
          <cell r="DC327">
            <v>0</v>
          </cell>
          <cell r="DD327">
            <v>0</v>
          </cell>
          <cell r="DE327">
            <v>0</v>
          </cell>
          <cell r="DF327">
            <v>0</v>
          </cell>
          <cell r="DG327">
            <v>0</v>
          </cell>
          <cell r="DH327">
            <v>0</v>
          </cell>
          <cell r="DI327">
            <v>0</v>
          </cell>
          <cell r="DJ327">
            <v>0</v>
          </cell>
          <cell r="DK327">
            <v>0</v>
          </cell>
          <cell r="DL327">
            <v>0</v>
          </cell>
          <cell r="DM327"/>
          <cell r="DN327"/>
          <cell r="DO327"/>
          <cell r="DP327"/>
        </row>
        <row r="328">
          <cell r="A328">
            <v>840</v>
          </cell>
          <cell r="B328" t="str">
            <v>Rucphen</v>
          </cell>
          <cell r="C328">
            <v>10</v>
          </cell>
          <cell r="D328">
            <v>-2396</v>
          </cell>
          <cell r="E328">
            <v>-1198</v>
          </cell>
          <cell r="F328">
            <v>0</v>
          </cell>
          <cell r="G328">
            <v>0</v>
          </cell>
          <cell r="H328">
            <v>-32700</v>
          </cell>
          <cell r="I328">
            <v>-18131</v>
          </cell>
          <cell r="J328"/>
          <cell r="K328">
            <v>0</v>
          </cell>
          <cell r="L328">
            <v>64941</v>
          </cell>
          <cell r="M328">
            <v>61518</v>
          </cell>
          <cell r="N328">
            <v>0</v>
          </cell>
          <cell r="O328">
            <v>0</v>
          </cell>
          <cell r="P328">
            <v>0</v>
          </cell>
          <cell r="Q328">
            <v>0</v>
          </cell>
          <cell r="R328">
            <v>0</v>
          </cell>
          <cell r="S328">
            <v>0</v>
          </cell>
          <cell r="T328">
            <v>0</v>
          </cell>
          <cell r="U328">
            <v>0</v>
          </cell>
          <cell r="V328">
            <v>9000</v>
          </cell>
          <cell r="W328">
            <v>0</v>
          </cell>
          <cell r="X328">
            <v>0</v>
          </cell>
          <cell r="Y328"/>
          <cell r="Z328">
            <v>0</v>
          </cell>
          <cell r="AA328">
            <v>0</v>
          </cell>
          <cell r="AB328">
            <v>0</v>
          </cell>
          <cell r="AC328"/>
          <cell r="AD328">
            <v>44978</v>
          </cell>
          <cell r="AE328">
            <v>0</v>
          </cell>
          <cell r="AF328">
            <v>0</v>
          </cell>
          <cell r="AG328">
            <v>0</v>
          </cell>
          <cell r="AH328">
            <v>0</v>
          </cell>
          <cell r="AI328">
            <v>0</v>
          </cell>
          <cell r="AJ328">
            <v>0</v>
          </cell>
          <cell r="AK328">
            <v>0</v>
          </cell>
          <cell r="AL328"/>
          <cell r="AM328">
            <v>0</v>
          </cell>
          <cell r="AN328">
            <v>0</v>
          </cell>
          <cell r="AO328">
            <v>0</v>
          </cell>
          <cell r="AP328">
            <v>0</v>
          </cell>
          <cell r="AQ328">
            <v>0</v>
          </cell>
          <cell r="AR328">
            <v>0</v>
          </cell>
          <cell r="AS328">
            <v>0</v>
          </cell>
          <cell r="AT328">
            <v>0</v>
          </cell>
          <cell r="AU328">
            <v>0</v>
          </cell>
          <cell r="AV328">
            <v>0</v>
          </cell>
          <cell r="AW328">
            <v>0</v>
          </cell>
          <cell r="AX328">
            <v>0</v>
          </cell>
          <cell r="AY328"/>
          <cell r="AZ328"/>
          <cell r="BA328">
            <v>0</v>
          </cell>
          <cell r="BB328"/>
          <cell r="BC328">
            <v>0</v>
          </cell>
          <cell r="BD328">
            <v>7844</v>
          </cell>
          <cell r="BE328"/>
          <cell r="BF328">
            <v>0</v>
          </cell>
          <cell r="BG328">
            <v>0</v>
          </cell>
          <cell r="BH328">
            <v>0</v>
          </cell>
          <cell r="BI328">
            <v>31951</v>
          </cell>
          <cell r="BJ328">
            <v>26301</v>
          </cell>
          <cell r="BK328">
            <v>26301</v>
          </cell>
          <cell r="BL328">
            <v>0</v>
          </cell>
          <cell r="BM328">
            <v>0</v>
          </cell>
          <cell r="BN328">
            <v>0</v>
          </cell>
          <cell r="BO328">
            <v>46697</v>
          </cell>
          <cell r="BP328">
            <v>4744.2</v>
          </cell>
          <cell r="BQ328">
            <v>8546.5116279069807</v>
          </cell>
          <cell r="BR328">
            <v>0</v>
          </cell>
          <cell r="BS328">
            <v>0</v>
          </cell>
          <cell r="BT328">
            <v>31536</v>
          </cell>
          <cell r="BU328"/>
          <cell r="BV328"/>
          <cell r="BW328"/>
          <cell r="BX328"/>
          <cell r="BY328">
            <v>0</v>
          </cell>
          <cell r="BZ328">
            <v>0</v>
          </cell>
          <cell r="CA328">
            <v>0</v>
          </cell>
          <cell r="CB328">
            <v>0</v>
          </cell>
          <cell r="CC328">
            <v>2125473</v>
          </cell>
          <cell r="CD328">
            <v>14855817</v>
          </cell>
          <cell r="CE328">
            <v>352841</v>
          </cell>
          <cell r="CF328">
            <v>-29486</v>
          </cell>
          <cell r="CG328">
            <v>352841</v>
          </cell>
          <cell r="CH328">
            <v>352841</v>
          </cell>
          <cell r="CI328">
            <v>352841</v>
          </cell>
          <cell r="CJ328">
            <v>352841</v>
          </cell>
          <cell r="CK328">
            <v>0</v>
          </cell>
          <cell r="CL328">
            <v>0</v>
          </cell>
          <cell r="CM328">
            <v>0</v>
          </cell>
          <cell r="CN328">
            <v>0</v>
          </cell>
          <cell r="CO328">
            <v>0</v>
          </cell>
          <cell r="CP328">
            <v>-2129</v>
          </cell>
          <cell r="CQ328">
            <v>6354510</v>
          </cell>
          <cell r="CR328">
            <v>6056473</v>
          </cell>
          <cell r="CS328">
            <v>5918032</v>
          </cell>
          <cell r="CT328">
            <v>5761268</v>
          </cell>
          <cell r="CU328">
            <v>5556004</v>
          </cell>
          <cell r="CV328">
            <v>-24759</v>
          </cell>
          <cell r="CW328">
            <v>0</v>
          </cell>
          <cell r="CX328">
            <v>0</v>
          </cell>
          <cell r="CY328">
            <v>0</v>
          </cell>
          <cell r="CZ328">
            <v>0</v>
          </cell>
          <cell r="DA328">
            <v>0</v>
          </cell>
          <cell r="DB328"/>
          <cell r="DC328">
            <v>0</v>
          </cell>
          <cell r="DD328">
            <v>0</v>
          </cell>
          <cell r="DE328">
            <v>0</v>
          </cell>
          <cell r="DF328">
            <v>0</v>
          </cell>
          <cell r="DG328">
            <v>0</v>
          </cell>
          <cell r="DH328">
            <v>0</v>
          </cell>
          <cell r="DI328">
            <v>0</v>
          </cell>
          <cell r="DJ328">
            <v>0</v>
          </cell>
          <cell r="DK328">
            <v>0</v>
          </cell>
          <cell r="DL328">
            <v>0</v>
          </cell>
          <cell r="DM328"/>
          <cell r="DN328"/>
          <cell r="DO328"/>
          <cell r="DP328"/>
        </row>
        <row r="329">
          <cell r="A329">
            <v>796</v>
          </cell>
          <cell r="B329" t="str">
            <v>'s-Hertogenbosch</v>
          </cell>
          <cell r="C329">
            <v>10</v>
          </cell>
          <cell r="D329">
            <v>57848</v>
          </cell>
          <cell r="E329">
            <v>28924</v>
          </cell>
          <cell r="F329">
            <v>0</v>
          </cell>
          <cell r="G329">
            <v>0</v>
          </cell>
          <cell r="H329">
            <v>-101156</v>
          </cell>
          <cell r="I329">
            <v>-83839</v>
          </cell>
          <cell r="J329"/>
          <cell r="K329">
            <v>7500</v>
          </cell>
          <cell r="L329">
            <v>727721</v>
          </cell>
          <cell r="M329">
            <v>763715</v>
          </cell>
          <cell r="N329">
            <v>0</v>
          </cell>
          <cell r="O329">
            <v>0</v>
          </cell>
          <cell r="P329">
            <v>150000</v>
          </cell>
          <cell r="Q329">
            <v>0</v>
          </cell>
          <cell r="R329">
            <v>0</v>
          </cell>
          <cell r="S329">
            <v>760982</v>
          </cell>
          <cell r="T329">
            <v>760982</v>
          </cell>
          <cell r="U329">
            <v>760982</v>
          </cell>
          <cell r="V329">
            <v>170500</v>
          </cell>
          <cell r="W329">
            <v>535512</v>
          </cell>
          <cell r="X329">
            <v>0</v>
          </cell>
          <cell r="Y329"/>
          <cell r="Z329">
            <v>0</v>
          </cell>
          <cell r="AA329">
            <v>40000</v>
          </cell>
          <cell r="AB329">
            <v>0</v>
          </cell>
          <cell r="AC329"/>
          <cell r="AD329">
            <v>252272</v>
          </cell>
          <cell r="AE329">
            <v>0</v>
          </cell>
          <cell r="AF329">
            <v>0</v>
          </cell>
          <cell r="AG329">
            <v>0</v>
          </cell>
          <cell r="AH329">
            <v>0</v>
          </cell>
          <cell r="AI329">
            <v>0</v>
          </cell>
          <cell r="AJ329">
            <v>0</v>
          </cell>
          <cell r="AK329">
            <v>340803</v>
          </cell>
          <cell r="AL329"/>
          <cell r="AM329">
            <v>0</v>
          </cell>
          <cell r="AN329">
            <v>0</v>
          </cell>
          <cell r="AO329">
            <v>0</v>
          </cell>
          <cell r="AP329">
            <v>0</v>
          </cell>
          <cell r="AQ329">
            <v>0</v>
          </cell>
          <cell r="AR329">
            <v>0</v>
          </cell>
          <cell r="AS329">
            <v>0</v>
          </cell>
          <cell r="AT329">
            <v>20000</v>
          </cell>
          <cell r="AU329">
            <v>7110</v>
          </cell>
          <cell r="AV329">
            <v>5334161.9301744904</v>
          </cell>
          <cell r="AW329">
            <v>157716</v>
          </cell>
          <cell r="AX329">
            <v>0</v>
          </cell>
          <cell r="AY329"/>
          <cell r="AZ329"/>
          <cell r="BA329">
            <v>0</v>
          </cell>
          <cell r="BB329"/>
          <cell r="BC329">
            <v>0</v>
          </cell>
          <cell r="BD329">
            <v>53502</v>
          </cell>
          <cell r="BE329"/>
          <cell r="BF329">
            <v>0</v>
          </cell>
          <cell r="BG329">
            <v>0</v>
          </cell>
          <cell r="BH329">
            <v>0</v>
          </cell>
          <cell r="BI329">
            <v>240692</v>
          </cell>
          <cell r="BJ329">
            <v>198125</v>
          </cell>
          <cell r="BK329">
            <v>198125</v>
          </cell>
          <cell r="BL329">
            <v>0</v>
          </cell>
          <cell r="BM329">
            <v>0</v>
          </cell>
          <cell r="BN329">
            <v>251020</v>
          </cell>
          <cell r="BO329">
            <v>302558</v>
          </cell>
          <cell r="BP329">
            <v>33209.4</v>
          </cell>
          <cell r="BQ329">
            <v>59825.581395348803</v>
          </cell>
          <cell r="BR329">
            <v>0</v>
          </cell>
          <cell r="BS329">
            <v>0</v>
          </cell>
          <cell r="BT329">
            <v>248691</v>
          </cell>
          <cell r="BU329"/>
          <cell r="BV329"/>
          <cell r="BW329"/>
          <cell r="BX329"/>
          <cell r="BY329">
            <v>3703268.9399355501</v>
          </cell>
          <cell r="BZ329">
            <v>4291191.4359341701</v>
          </cell>
          <cell r="CA329">
            <v>4341415.9707682198</v>
          </cell>
          <cell r="CB329">
            <v>4483226.4220643695</v>
          </cell>
          <cell r="CC329">
            <v>11130756</v>
          </cell>
          <cell r="CD329">
            <v>108806530</v>
          </cell>
          <cell r="CE329">
            <v>4895083</v>
          </cell>
          <cell r="CF329">
            <v>-60974</v>
          </cell>
          <cell r="CG329">
            <v>4895083</v>
          </cell>
          <cell r="CH329">
            <v>4895083</v>
          </cell>
          <cell r="CI329">
            <v>4895083</v>
          </cell>
          <cell r="CJ329">
            <v>4895083</v>
          </cell>
          <cell r="CK329">
            <v>29501114</v>
          </cell>
          <cell r="CL329">
            <v>29486307</v>
          </cell>
          <cell r="CM329">
            <v>29486067</v>
          </cell>
          <cell r="CN329">
            <v>29485541</v>
          </cell>
          <cell r="CO329">
            <v>29486271</v>
          </cell>
          <cell r="CP329">
            <v>-21140</v>
          </cell>
          <cell r="CQ329">
            <v>23082034</v>
          </cell>
          <cell r="CR329">
            <v>22158937</v>
          </cell>
          <cell r="CS329">
            <v>21660914</v>
          </cell>
          <cell r="CT329">
            <v>21215639</v>
          </cell>
          <cell r="CU329">
            <v>20683725</v>
          </cell>
          <cell r="CV329">
            <v>-12180</v>
          </cell>
          <cell r="CW329">
            <v>0</v>
          </cell>
          <cell r="CX329">
            <v>0</v>
          </cell>
          <cell r="CY329">
            <v>0</v>
          </cell>
          <cell r="CZ329">
            <v>250000</v>
          </cell>
          <cell r="DA329">
            <v>0</v>
          </cell>
          <cell r="DB329"/>
          <cell r="DC329">
            <v>0</v>
          </cell>
          <cell r="DD329">
            <v>0</v>
          </cell>
          <cell r="DE329">
            <v>0</v>
          </cell>
          <cell r="DF329">
            <v>0</v>
          </cell>
          <cell r="DG329">
            <v>0</v>
          </cell>
          <cell r="DH329">
            <v>0</v>
          </cell>
          <cell r="DI329">
            <v>0</v>
          </cell>
          <cell r="DJ329">
            <v>0</v>
          </cell>
          <cell r="DK329">
            <v>0</v>
          </cell>
          <cell r="DL329">
            <v>0</v>
          </cell>
          <cell r="DM329"/>
          <cell r="DN329"/>
          <cell r="DO329"/>
          <cell r="DP329"/>
        </row>
        <row r="330">
          <cell r="A330">
            <v>1702</v>
          </cell>
          <cell r="B330" t="str">
            <v>Sint-Anthonis</v>
          </cell>
          <cell r="C330">
            <v>10</v>
          </cell>
          <cell r="D330">
            <v>9629</v>
          </cell>
          <cell r="E330">
            <v>4815</v>
          </cell>
          <cell r="F330">
            <v>0</v>
          </cell>
          <cell r="G330">
            <v>0</v>
          </cell>
          <cell r="H330">
            <v>-29198</v>
          </cell>
          <cell r="I330">
            <v>-14936</v>
          </cell>
          <cell r="J330"/>
          <cell r="K330">
            <v>0</v>
          </cell>
          <cell r="L330">
            <v>32033</v>
          </cell>
          <cell r="M330">
            <v>31211</v>
          </cell>
          <cell r="N330">
            <v>0</v>
          </cell>
          <cell r="O330">
            <v>0</v>
          </cell>
          <cell r="P330">
            <v>0</v>
          </cell>
          <cell r="Q330">
            <v>0</v>
          </cell>
          <cell r="R330">
            <v>0</v>
          </cell>
          <cell r="S330">
            <v>0</v>
          </cell>
          <cell r="T330">
            <v>0</v>
          </cell>
          <cell r="U330">
            <v>0</v>
          </cell>
          <cell r="V330">
            <v>3000</v>
          </cell>
          <cell r="W330">
            <v>52482</v>
          </cell>
          <cell r="X330">
            <v>0</v>
          </cell>
          <cell r="Y330"/>
          <cell r="Z330">
            <v>0</v>
          </cell>
          <cell r="AA330">
            <v>0</v>
          </cell>
          <cell r="AB330">
            <v>0</v>
          </cell>
          <cell r="AC330"/>
          <cell r="AD330">
            <v>0</v>
          </cell>
          <cell r="AE330">
            <v>0</v>
          </cell>
          <cell r="AF330">
            <v>0</v>
          </cell>
          <cell r="AG330">
            <v>0</v>
          </cell>
          <cell r="AH330">
            <v>0</v>
          </cell>
          <cell r="AI330">
            <v>0</v>
          </cell>
          <cell r="AJ330">
            <v>0</v>
          </cell>
          <cell r="AK330">
            <v>0</v>
          </cell>
          <cell r="AL330"/>
          <cell r="AM330">
            <v>0</v>
          </cell>
          <cell r="AN330">
            <v>0</v>
          </cell>
          <cell r="AO330">
            <v>0</v>
          </cell>
          <cell r="AP330">
            <v>0</v>
          </cell>
          <cell r="AQ330">
            <v>0</v>
          </cell>
          <cell r="AR330">
            <v>0</v>
          </cell>
          <cell r="AS330">
            <v>0</v>
          </cell>
          <cell r="AT330">
            <v>0</v>
          </cell>
          <cell r="AU330">
            <v>0</v>
          </cell>
          <cell r="AV330">
            <v>0</v>
          </cell>
          <cell r="AW330">
            <v>0</v>
          </cell>
          <cell r="AX330">
            <v>0</v>
          </cell>
          <cell r="AY330"/>
          <cell r="AZ330"/>
          <cell r="BA330">
            <v>0</v>
          </cell>
          <cell r="BB330"/>
          <cell r="BC330">
            <v>0</v>
          </cell>
          <cell r="BD330">
            <v>4070</v>
          </cell>
          <cell r="BE330"/>
          <cell r="BF330">
            <v>0</v>
          </cell>
          <cell r="BG330">
            <v>0</v>
          </cell>
          <cell r="BH330">
            <v>0</v>
          </cell>
          <cell r="BI330">
            <v>12138</v>
          </cell>
          <cell r="BJ330">
            <v>9992</v>
          </cell>
          <cell r="BK330">
            <v>9992</v>
          </cell>
          <cell r="BL330">
            <v>0</v>
          </cell>
          <cell r="BM330">
            <v>0</v>
          </cell>
          <cell r="BN330">
            <v>0</v>
          </cell>
          <cell r="BO330">
            <v>158576</v>
          </cell>
          <cell r="BP330">
            <v>0</v>
          </cell>
          <cell r="BQ330">
            <v>0</v>
          </cell>
          <cell r="BR330">
            <v>0</v>
          </cell>
          <cell r="BS330">
            <v>0</v>
          </cell>
          <cell r="BT330">
            <v>20980</v>
          </cell>
          <cell r="BU330"/>
          <cell r="BV330"/>
          <cell r="BW330"/>
          <cell r="BX330"/>
          <cell r="BY330">
            <v>0</v>
          </cell>
          <cell r="BZ330">
            <v>0</v>
          </cell>
          <cell r="CA330">
            <v>0</v>
          </cell>
          <cell r="CB330">
            <v>0</v>
          </cell>
          <cell r="CC330">
            <v>894955</v>
          </cell>
          <cell r="CD330">
            <v>5106310</v>
          </cell>
          <cell r="CE330">
            <v>203009</v>
          </cell>
          <cell r="CF330">
            <v>-23651</v>
          </cell>
          <cell r="CG330">
            <v>203009</v>
          </cell>
          <cell r="CH330">
            <v>203009</v>
          </cell>
          <cell r="CI330">
            <v>203009</v>
          </cell>
          <cell r="CJ330">
            <v>203009</v>
          </cell>
          <cell r="CK330">
            <v>0</v>
          </cell>
          <cell r="CL330">
            <v>0</v>
          </cell>
          <cell r="CM330">
            <v>0</v>
          </cell>
          <cell r="CN330">
            <v>0</v>
          </cell>
          <cell r="CO330">
            <v>0</v>
          </cell>
          <cell r="CP330">
            <v>-1899</v>
          </cell>
          <cell r="CQ330">
            <v>1365894</v>
          </cell>
          <cell r="CR330">
            <v>1281587</v>
          </cell>
          <cell r="CS330">
            <v>1225491</v>
          </cell>
          <cell r="CT330">
            <v>1156588</v>
          </cell>
          <cell r="CU330">
            <v>1129449</v>
          </cell>
          <cell r="CV330">
            <v>22500</v>
          </cell>
          <cell r="CW330">
            <v>0</v>
          </cell>
          <cell r="CX330">
            <v>0</v>
          </cell>
          <cell r="CY330">
            <v>0</v>
          </cell>
          <cell r="CZ330">
            <v>0</v>
          </cell>
          <cell r="DA330">
            <v>0</v>
          </cell>
          <cell r="DB330"/>
          <cell r="DC330">
            <v>0</v>
          </cell>
          <cell r="DD330">
            <v>0</v>
          </cell>
          <cell r="DE330">
            <v>0</v>
          </cell>
          <cell r="DF330">
            <v>0</v>
          </cell>
          <cell r="DG330">
            <v>0</v>
          </cell>
          <cell r="DH330">
            <v>0</v>
          </cell>
          <cell r="DI330">
            <v>0</v>
          </cell>
          <cell r="DJ330">
            <v>0</v>
          </cell>
          <cell r="DK330">
            <v>0</v>
          </cell>
          <cell r="DL330">
            <v>0</v>
          </cell>
          <cell r="DM330"/>
          <cell r="DN330"/>
          <cell r="DO330"/>
          <cell r="DP330"/>
        </row>
        <row r="331">
          <cell r="A331">
            <v>845</v>
          </cell>
          <cell r="B331" t="str">
            <v>Sint-Michielsgestel</v>
          </cell>
          <cell r="C331">
            <v>10</v>
          </cell>
          <cell r="D331">
            <v>-16472</v>
          </cell>
          <cell r="E331">
            <v>-8236</v>
          </cell>
          <cell r="F331">
            <v>0</v>
          </cell>
          <cell r="G331">
            <v>0</v>
          </cell>
          <cell r="H331">
            <v>-16690</v>
          </cell>
          <cell r="I331">
            <v>-16249</v>
          </cell>
          <cell r="J331"/>
          <cell r="K331">
            <v>0</v>
          </cell>
          <cell r="L331">
            <v>80997</v>
          </cell>
          <cell r="M331">
            <v>74445</v>
          </cell>
          <cell r="N331">
            <v>0</v>
          </cell>
          <cell r="O331">
            <v>0</v>
          </cell>
          <cell r="P331">
            <v>0</v>
          </cell>
          <cell r="Q331">
            <v>0</v>
          </cell>
          <cell r="R331">
            <v>0</v>
          </cell>
          <cell r="S331">
            <v>0</v>
          </cell>
          <cell r="T331">
            <v>0</v>
          </cell>
          <cell r="U331">
            <v>0</v>
          </cell>
          <cell r="V331">
            <v>3000</v>
          </cell>
          <cell r="W331">
            <v>87078</v>
          </cell>
          <cell r="X331">
            <v>0</v>
          </cell>
          <cell r="Y331"/>
          <cell r="Z331">
            <v>0</v>
          </cell>
          <cell r="AA331">
            <v>0</v>
          </cell>
          <cell r="AB331">
            <v>0</v>
          </cell>
          <cell r="AC331"/>
          <cell r="AD331">
            <v>0</v>
          </cell>
          <cell r="AE331">
            <v>0</v>
          </cell>
          <cell r="AF331">
            <v>0</v>
          </cell>
          <cell r="AG331">
            <v>0</v>
          </cell>
          <cell r="AH331">
            <v>0</v>
          </cell>
          <cell r="AI331">
            <v>0</v>
          </cell>
          <cell r="AJ331">
            <v>0</v>
          </cell>
          <cell r="AK331">
            <v>0</v>
          </cell>
          <cell r="AL331"/>
          <cell r="AM331">
            <v>0</v>
          </cell>
          <cell r="AN331">
            <v>0</v>
          </cell>
          <cell r="AO331">
            <v>0</v>
          </cell>
          <cell r="AP331">
            <v>0</v>
          </cell>
          <cell r="AQ331">
            <v>0</v>
          </cell>
          <cell r="AR331">
            <v>0</v>
          </cell>
          <cell r="AS331">
            <v>0</v>
          </cell>
          <cell r="AT331">
            <v>0</v>
          </cell>
          <cell r="AU331">
            <v>0</v>
          </cell>
          <cell r="AV331">
            <v>0</v>
          </cell>
          <cell r="AW331">
            <v>0</v>
          </cell>
          <cell r="AX331">
            <v>0</v>
          </cell>
          <cell r="AY331"/>
          <cell r="AZ331"/>
          <cell r="BA331">
            <v>0</v>
          </cell>
          <cell r="BB331"/>
          <cell r="BC331">
            <v>0</v>
          </cell>
          <cell r="BD331">
            <v>10034</v>
          </cell>
          <cell r="BE331"/>
          <cell r="BF331">
            <v>0</v>
          </cell>
          <cell r="BG331">
            <v>0</v>
          </cell>
          <cell r="BH331">
            <v>0</v>
          </cell>
          <cell r="BI331">
            <v>27736</v>
          </cell>
          <cell r="BJ331">
            <v>22831</v>
          </cell>
          <cell r="BK331">
            <v>22831</v>
          </cell>
          <cell r="BL331">
            <v>0</v>
          </cell>
          <cell r="BM331">
            <v>0</v>
          </cell>
          <cell r="BN331">
            <v>0</v>
          </cell>
          <cell r="BO331">
            <v>15566</v>
          </cell>
          <cell r="BP331">
            <v>0</v>
          </cell>
          <cell r="BQ331">
            <v>0</v>
          </cell>
          <cell r="BR331">
            <v>0</v>
          </cell>
          <cell r="BS331">
            <v>0</v>
          </cell>
          <cell r="BT331">
            <v>44392</v>
          </cell>
          <cell r="BU331"/>
          <cell r="BV331"/>
          <cell r="BW331"/>
          <cell r="BX331"/>
          <cell r="BY331">
            <v>0</v>
          </cell>
          <cell r="BZ331">
            <v>0</v>
          </cell>
          <cell r="CA331">
            <v>0</v>
          </cell>
          <cell r="CB331">
            <v>0</v>
          </cell>
          <cell r="CC331">
            <v>2109674</v>
          </cell>
          <cell r="CD331">
            <v>13051393</v>
          </cell>
          <cell r="CE331">
            <v>467068</v>
          </cell>
          <cell r="CF331">
            <v>0</v>
          </cell>
          <cell r="CG331">
            <v>467068</v>
          </cell>
          <cell r="CH331">
            <v>467068</v>
          </cell>
          <cell r="CI331">
            <v>467068</v>
          </cell>
          <cell r="CJ331">
            <v>467068</v>
          </cell>
          <cell r="CK331">
            <v>0</v>
          </cell>
          <cell r="CL331">
            <v>0</v>
          </cell>
          <cell r="CM331">
            <v>0</v>
          </cell>
          <cell r="CN331">
            <v>0</v>
          </cell>
          <cell r="CO331">
            <v>0</v>
          </cell>
          <cell r="CP331">
            <v>-5813</v>
          </cell>
          <cell r="CQ331">
            <v>4443913</v>
          </cell>
          <cell r="CR331">
            <v>4222591</v>
          </cell>
          <cell r="CS331">
            <v>4083194</v>
          </cell>
          <cell r="CT331">
            <v>3967282</v>
          </cell>
          <cell r="CU331">
            <v>3891946</v>
          </cell>
          <cell r="CV331">
            <v>60765</v>
          </cell>
          <cell r="CW331">
            <v>0</v>
          </cell>
          <cell r="CX331">
            <v>0</v>
          </cell>
          <cell r="CY331">
            <v>0</v>
          </cell>
          <cell r="CZ331">
            <v>0</v>
          </cell>
          <cell r="DA331">
            <v>0</v>
          </cell>
          <cell r="DB331"/>
          <cell r="DC331">
            <v>0</v>
          </cell>
          <cell r="DD331">
            <v>0</v>
          </cell>
          <cell r="DE331">
            <v>0</v>
          </cell>
          <cell r="DF331">
            <v>0</v>
          </cell>
          <cell r="DG331">
            <v>0</v>
          </cell>
          <cell r="DH331">
            <v>0</v>
          </cell>
          <cell r="DI331">
            <v>0</v>
          </cell>
          <cell r="DJ331">
            <v>0</v>
          </cell>
          <cell r="DK331">
            <v>0</v>
          </cell>
          <cell r="DL331">
            <v>0</v>
          </cell>
          <cell r="DM331"/>
          <cell r="DN331"/>
          <cell r="DO331"/>
          <cell r="DP331"/>
        </row>
        <row r="332">
          <cell r="A332">
            <v>847</v>
          </cell>
          <cell r="B332" t="str">
            <v>Someren</v>
          </cell>
          <cell r="C332">
            <v>10</v>
          </cell>
          <cell r="D332">
            <v>-20322</v>
          </cell>
          <cell r="E332">
            <v>-10161</v>
          </cell>
          <cell r="F332">
            <v>0</v>
          </cell>
          <cell r="G332">
            <v>0</v>
          </cell>
          <cell r="H332">
            <v>0</v>
          </cell>
          <cell r="I332">
            <v>-5731</v>
          </cell>
          <cell r="J332"/>
          <cell r="K332">
            <v>0</v>
          </cell>
          <cell r="L332">
            <v>71029</v>
          </cell>
          <cell r="M332">
            <v>57495</v>
          </cell>
          <cell r="N332">
            <v>0</v>
          </cell>
          <cell r="O332">
            <v>0</v>
          </cell>
          <cell r="P332">
            <v>0</v>
          </cell>
          <cell r="Q332">
            <v>0</v>
          </cell>
          <cell r="R332">
            <v>0</v>
          </cell>
          <cell r="S332">
            <v>0</v>
          </cell>
          <cell r="T332">
            <v>0</v>
          </cell>
          <cell r="U332">
            <v>0</v>
          </cell>
          <cell r="V332">
            <v>0</v>
          </cell>
          <cell r="W332">
            <v>78917</v>
          </cell>
          <cell r="X332">
            <v>0</v>
          </cell>
          <cell r="Y332"/>
          <cell r="Z332">
            <v>0</v>
          </cell>
          <cell r="AA332">
            <v>0</v>
          </cell>
          <cell r="AB332">
            <v>0</v>
          </cell>
          <cell r="AC332"/>
          <cell r="AD332">
            <v>0</v>
          </cell>
          <cell r="AE332">
            <v>0</v>
          </cell>
          <cell r="AF332">
            <v>0</v>
          </cell>
          <cell r="AG332">
            <v>0</v>
          </cell>
          <cell r="AH332">
            <v>0</v>
          </cell>
          <cell r="AI332">
            <v>0</v>
          </cell>
          <cell r="AJ332">
            <v>0</v>
          </cell>
          <cell r="AK332">
            <v>0</v>
          </cell>
          <cell r="AL332"/>
          <cell r="AM332">
            <v>0</v>
          </cell>
          <cell r="AN332">
            <v>0</v>
          </cell>
          <cell r="AO332">
            <v>0</v>
          </cell>
          <cell r="AP332">
            <v>0</v>
          </cell>
          <cell r="AQ332">
            <v>0</v>
          </cell>
          <cell r="AR332">
            <v>0</v>
          </cell>
          <cell r="AS332">
            <v>0</v>
          </cell>
          <cell r="AT332">
            <v>0</v>
          </cell>
          <cell r="AU332">
            <v>7110</v>
          </cell>
          <cell r="AV332">
            <v>0</v>
          </cell>
          <cell r="AW332">
            <v>0</v>
          </cell>
          <cell r="AX332">
            <v>0</v>
          </cell>
          <cell r="AY332"/>
          <cell r="AZ332"/>
          <cell r="BA332">
            <v>0</v>
          </cell>
          <cell r="BB332"/>
          <cell r="BC332">
            <v>0</v>
          </cell>
          <cell r="BD332">
            <v>6682</v>
          </cell>
          <cell r="BE332"/>
          <cell r="BF332">
            <v>0</v>
          </cell>
          <cell r="BG332">
            <v>0</v>
          </cell>
          <cell r="BH332">
            <v>0</v>
          </cell>
          <cell r="BI332">
            <v>25048</v>
          </cell>
          <cell r="BJ332">
            <v>20619</v>
          </cell>
          <cell r="BK332">
            <v>20619</v>
          </cell>
          <cell r="BL332">
            <v>0</v>
          </cell>
          <cell r="BM332">
            <v>0</v>
          </cell>
          <cell r="BN332">
            <v>0</v>
          </cell>
          <cell r="BO332">
            <v>18971</v>
          </cell>
          <cell r="BP332">
            <v>3162.8</v>
          </cell>
          <cell r="BQ332">
            <v>5697.6744186046499</v>
          </cell>
          <cell r="BR332">
            <v>0</v>
          </cell>
          <cell r="BS332">
            <v>0</v>
          </cell>
          <cell r="BT332">
            <v>28944</v>
          </cell>
          <cell r="BU332"/>
          <cell r="BV332"/>
          <cell r="BW332"/>
          <cell r="BX332"/>
          <cell r="BY332">
            <v>0</v>
          </cell>
          <cell r="BZ332">
            <v>0</v>
          </cell>
          <cell r="CA332">
            <v>0</v>
          </cell>
          <cell r="CB332">
            <v>0</v>
          </cell>
          <cell r="CC332">
            <v>1375307</v>
          </cell>
          <cell r="CD332">
            <v>7176389</v>
          </cell>
          <cell r="CE332">
            <v>560382</v>
          </cell>
          <cell r="CF332">
            <v>0</v>
          </cell>
          <cell r="CG332">
            <v>560382</v>
          </cell>
          <cell r="CH332">
            <v>560382</v>
          </cell>
          <cell r="CI332">
            <v>560382</v>
          </cell>
          <cell r="CJ332">
            <v>560382</v>
          </cell>
          <cell r="CK332">
            <v>0</v>
          </cell>
          <cell r="CL332">
            <v>0</v>
          </cell>
          <cell r="CM332">
            <v>0</v>
          </cell>
          <cell r="CN332">
            <v>0</v>
          </cell>
          <cell r="CO332">
            <v>0</v>
          </cell>
          <cell r="CP332">
            <v>-2070</v>
          </cell>
          <cell r="CQ332">
            <v>1800974</v>
          </cell>
          <cell r="CR332">
            <v>1692580</v>
          </cell>
          <cell r="CS332">
            <v>1610621</v>
          </cell>
          <cell r="CT332">
            <v>1586194</v>
          </cell>
          <cell r="CU332">
            <v>1567534</v>
          </cell>
          <cell r="CV332">
            <v>-8115</v>
          </cell>
          <cell r="CW332">
            <v>0</v>
          </cell>
          <cell r="CX332">
            <v>0</v>
          </cell>
          <cell r="CY332">
            <v>0</v>
          </cell>
          <cell r="CZ332">
            <v>0</v>
          </cell>
          <cell r="DA332">
            <v>0</v>
          </cell>
          <cell r="DB332"/>
          <cell r="DC332">
            <v>0</v>
          </cell>
          <cell r="DD332">
            <v>0</v>
          </cell>
          <cell r="DE332">
            <v>0</v>
          </cell>
          <cell r="DF332">
            <v>0</v>
          </cell>
          <cell r="DG332">
            <v>0</v>
          </cell>
          <cell r="DH332">
            <v>0</v>
          </cell>
          <cell r="DI332">
            <v>0</v>
          </cell>
          <cell r="DJ332">
            <v>0</v>
          </cell>
          <cell r="DK332">
            <v>0</v>
          </cell>
          <cell r="DL332">
            <v>0</v>
          </cell>
          <cell r="DM332"/>
          <cell r="DN332"/>
          <cell r="DO332"/>
          <cell r="DP332"/>
        </row>
        <row r="333">
          <cell r="A333">
            <v>848</v>
          </cell>
          <cell r="B333" t="str">
            <v>Son en Breugel</v>
          </cell>
          <cell r="C333">
            <v>10</v>
          </cell>
          <cell r="D333">
            <v>16439</v>
          </cell>
          <cell r="E333">
            <v>8219</v>
          </cell>
          <cell r="F333">
            <v>0</v>
          </cell>
          <cell r="G333">
            <v>0</v>
          </cell>
          <cell r="H333">
            <v>-12005</v>
          </cell>
          <cell r="I333">
            <v>-4342</v>
          </cell>
          <cell r="J333"/>
          <cell r="K333">
            <v>0</v>
          </cell>
          <cell r="L333">
            <v>54316</v>
          </cell>
          <cell r="M333">
            <v>53328</v>
          </cell>
          <cell r="N333">
            <v>0</v>
          </cell>
          <cell r="O333">
            <v>0</v>
          </cell>
          <cell r="P333">
            <v>0</v>
          </cell>
          <cell r="Q333">
            <v>0</v>
          </cell>
          <cell r="R333">
            <v>0</v>
          </cell>
          <cell r="S333">
            <v>0</v>
          </cell>
          <cell r="T333">
            <v>0</v>
          </cell>
          <cell r="U333">
            <v>0</v>
          </cell>
          <cell r="V333">
            <v>3000</v>
          </cell>
          <cell r="W333">
            <v>48489</v>
          </cell>
          <cell r="X333">
            <v>0</v>
          </cell>
          <cell r="Y333"/>
          <cell r="Z333">
            <v>0</v>
          </cell>
          <cell r="AA333">
            <v>0</v>
          </cell>
          <cell r="AB333">
            <v>0</v>
          </cell>
          <cell r="AC333"/>
          <cell r="AD333">
            <v>0</v>
          </cell>
          <cell r="AE333">
            <v>0</v>
          </cell>
          <cell r="AF333">
            <v>0</v>
          </cell>
          <cell r="AG333">
            <v>0</v>
          </cell>
          <cell r="AH333">
            <v>0</v>
          </cell>
          <cell r="AI333">
            <v>0</v>
          </cell>
          <cell r="AJ333">
            <v>0</v>
          </cell>
          <cell r="AK333">
            <v>0</v>
          </cell>
          <cell r="AL333"/>
          <cell r="AM333">
            <v>0</v>
          </cell>
          <cell r="AN333">
            <v>0</v>
          </cell>
          <cell r="AO333">
            <v>0</v>
          </cell>
          <cell r="AP333">
            <v>0</v>
          </cell>
          <cell r="AQ333">
            <v>0</v>
          </cell>
          <cell r="AR333">
            <v>0</v>
          </cell>
          <cell r="AS333">
            <v>0</v>
          </cell>
          <cell r="AT333">
            <v>0</v>
          </cell>
          <cell r="AU333">
            <v>4740</v>
          </cell>
          <cell r="AV333">
            <v>0</v>
          </cell>
          <cell r="AW333">
            <v>0</v>
          </cell>
          <cell r="AX333">
            <v>0</v>
          </cell>
          <cell r="AY333"/>
          <cell r="AZ333"/>
          <cell r="BA333">
            <v>0</v>
          </cell>
          <cell r="BB333"/>
          <cell r="BC333">
            <v>0</v>
          </cell>
          <cell r="BD333">
            <v>5836</v>
          </cell>
          <cell r="BE333"/>
          <cell r="BF333">
            <v>0</v>
          </cell>
          <cell r="BG333">
            <v>0</v>
          </cell>
          <cell r="BH333">
            <v>0</v>
          </cell>
          <cell r="BI333">
            <v>14041</v>
          </cell>
          <cell r="BJ333">
            <v>11558</v>
          </cell>
          <cell r="BK333">
            <v>11558</v>
          </cell>
          <cell r="BL333">
            <v>0</v>
          </cell>
          <cell r="BM333">
            <v>0</v>
          </cell>
          <cell r="BN333">
            <v>0</v>
          </cell>
          <cell r="BO333">
            <v>38914</v>
          </cell>
          <cell r="BP333">
            <v>12651.2</v>
          </cell>
          <cell r="BQ333">
            <v>22790.697674418599</v>
          </cell>
          <cell r="BR333">
            <v>0</v>
          </cell>
          <cell r="BS333">
            <v>0</v>
          </cell>
          <cell r="BT333">
            <v>25175</v>
          </cell>
          <cell r="BU333"/>
          <cell r="BV333"/>
          <cell r="BW333"/>
          <cell r="BX333"/>
          <cell r="BY333">
            <v>0</v>
          </cell>
          <cell r="BZ333">
            <v>0</v>
          </cell>
          <cell r="CA333">
            <v>0</v>
          </cell>
          <cell r="CB333">
            <v>0</v>
          </cell>
          <cell r="CC333">
            <v>1253241</v>
          </cell>
          <cell r="CD333">
            <v>5369036</v>
          </cell>
          <cell r="CE333">
            <v>296269</v>
          </cell>
          <cell r="CF333">
            <v>0</v>
          </cell>
          <cell r="CG333">
            <v>296269</v>
          </cell>
          <cell r="CH333">
            <v>296269</v>
          </cell>
          <cell r="CI333">
            <v>296269</v>
          </cell>
          <cell r="CJ333">
            <v>296269</v>
          </cell>
          <cell r="CK333">
            <v>0</v>
          </cell>
          <cell r="CL333">
            <v>0</v>
          </cell>
          <cell r="CM333">
            <v>0</v>
          </cell>
          <cell r="CN333">
            <v>0</v>
          </cell>
          <cell r="CO333">
            <v>0</v>
          </cell>
          <cell r="CP333">
            <v>-1558</v>
          </cell>
          <cell r="CQ333">
            <v>901596</v>
          </cell>
          <cell r="CR333">
            <v>858309</v>
          </cell>
          <cell r="CS333">
            <v>851673</v>
          </cell>
          <cell r="CT333">
            <v>816284</v>
          </cell>
          <cell r="CU333">
            <v>791922</v>
          </cell>
          <cell r="CV333">
            <v>29320</v>
          </cell>
          <cell r="CW333">
            <v>0</v>
          </cell>
          <cell r="CX333">
            <v>0</v>
          </cell>
          <cell r="CY333">
            <v>0</v>
          </cell>
          <cell r="CZ333">
            <v>0</v>
          </cell>
          <cell r="DA333">
            <v>0</v>
          </cell>
          <cell r="DB333"/>
          <cell r="DC333">
            <v>0</v>
          </cell>
          <cell r="DD333">
            <v>0</v>
          </cell>
          <cell r="DE333">
            <v>0</v>
          </cell>
          <cell r="DF333">
            <v>0</v>
          </cell>
          <cell r="DG333">
            <v>0</v>
          </cell>
          <cell r="DH333">
            <v>0</v>
          </cell>
          <cell r="DI333">
            <v>0</v>
          </cell>
          <cell r="DJ333">
            <v>0</v>
          </cell>
          <cell r="DK333">
            <v>0</v>
          </cell>
          <cell r="DL333">
            <v>0</v>
          </cell>
          <cell r="DM333"/>
          <cell r="DN333"/>
          <cell r="DO333"/>
          <cell r="DP333"/>
        </row>
        <row r="334">
          <cell r="A334">
            <v>851</v>
          </cell>
          <cell r="B334" t="str">
            <v>Steenbergen</v>
          </cell>
          <cell r="C334">
            <v>10</v>
          </cell>
          <cell r="D334">
            <v>1592</v>
          </cell>
          <cell r="E334">
            <v>796</v>
          </cell>
          <cell r="F334">
            <v>0</v>
          </cell>
          <cell r="G334">
            <v>0</v>
          </cell>
          <cell r="H334">
            <v>-21621</v>
          </cell>
          <cell r="I334">
            <v>-11111</v>
          </cell>
          <cell r="J334"/>
          <cell r="K334">
            <v>0</v>
          </cell>
          <cell r="L334">
            <v>88578</v>
          </cell>
          <cell r="M334">
            <v>80992</v>
          </cell>
          <cell r="N334">
            <v>0</v>
          </cell>
          <cell r="O334">
            <v>0</v>
          </cell>
          <cell r="P334">
            <v>0</v>
          </cell>
          <cell r="Q334">
            <v>0</v>
          </cell>
          <cell r="R334">
            <v>0</v>
          </cell>
          <cell r="S334">
            <v>0</v>
          </cell>
          <cell r="T334">
            <v>0</v>
          </cell>
          <cell r="U334">
            <v>0</v>
          </cell>
          <cell r="V334">
            <v>6000</v>
          </cell>
          <cell r="W334">
            <v>89608</v>
          </cell>
          <cell r="X334">
            <v>0</v>
          </cell>
          <cell r="Y334"/>
          <cell r="Z334">
            <v>0</v>
          </cell>
          <cell r="AA334">
            <v>0</v>
          </cell>
          <cell r="AB334">
            <v>0</v>
          </cell>
          <cell r="AC334"/>
          <cell r="AD334">
            <v>0</v>
          </cell>
          <cell r="AE334">
            <v>0</v>
          </cell>
          <cell r="AF334">
            <v>0</v>
          </cell>
          <cell r="AG334">
            <v>0</v>
          </cell>
          <cell r="AH334">
            <v>0</v>
          </cell>
          <cell r="AI334">
            <v>0</v>
          </cell>
          <cell r="AJ334">
            <v>0</v>
          </cell>
          <cell r="AK334">
            <v>0</v>
          </cell>
          <cell r="AL334"/>
          <cell r="AM334">
            <v>0</v>
          </cell>
          <cell r="AN334">
            <v>0</v>
          </cell>
          <cell r="AO334">
            <v>0</v>
          </cell>
          <cell r="AP334">
            <v>0</v>
          </cell>
          <cell r="AQ334">
            <v>0</v>
          </cell>
          <cell r="AR334">
            <v>0</v>
          </cell>
          <cell r="AS334">
            <v>0</v>
          </cell>
          <cell r="AT334">
            <v>0</v>
          </cell>
          <cell r="AU334">
            <v>4740</v>
          </cell>
          <cell r="AV334">
            <v>0</v>
          </cell>
          <cell r="AW334">
            <v>0</v>
          </cell>
          <cell r="AX334">
            <v>0</v>
          </cell>
          <cell r="AY334"/>
          <cell r="AZ334"/>
          <cell r="BA334">
            <v>0</v>
          </cell>
          <cell r="BB334"/>
          <cell r="BC334">
            <v>0</v>
          </cell>
          <cell r="BD334">
            <v>8414</v>
          </cell>
          <cell r="BE334"/>
          <cell r="BF334">
            <v>0</v>
          </cell>
          <cell r="BG334">
            <v>0</v>
          </cell>
          <cell r="BH334">
            <v>0</v>
          </cell>
          <cell r="BI334">
            <v>35967</v>
          </cell>
          <cell r="BJ334">
            <v>29606</v>
          </cell>
          <cell r="BK334">
            <v>29606</v>
          </cell>
          <cell r="BL334">
            <v>0</v>
          </cell>
          <cell r="BM334">
            <v>0</v>
          </cell>
          <cell r="BN334">
            <v>0</v>
          </cell>
          <cell r="BO334">
            <v>39887</v>
          </cell>
          <cell r="BP334">
            <v>14232.6</v>
          </cell>
          <cell r="BQ334">
            <v>25639.534883720899</v>
          </cell>
          <cell r="BR334">
            <v>0</v>
          </cell>
          <cell r="BS334">
            <v>0</v>
          </cell>
          <cell r="BT334">
            <v>38110</v>
          </cell>
          <cell r="BU334"/>
          <cell r="BV334"/>
          <cell r="BW334"/>
          <cell r="BX334"/>
          <cell r="BY334">
            <v>0</v>
          </cell>
          <cell r="BZ334">
            <v>0</v>
          </cell>
          <cell r="CA334">
            <v>0</v>
          </cell>
          <cell r="CB334">
            <v>0</v>
          </cell>
          <cell r="CC334">
            <v>2150904</v>
          </cell>
          <cell r="CD334">
            <v>11018848</v>
          </cell>
          <cell r="CE334">
            <v>1231223</v>
          </cell>
          <cell r="CF334">
            <v>0</v>
          </cell>
          <cell r="CG334">
            <v>1231223</v>
          </cell>
          <cell r="CH334">
            <v>1231223</v>
          </cell>
          <cell r="CI334">
            <v>1231223</v>
          </cell>
          <cell r="CJ334">
            <v>1231223</v>
          </cell>
          <cell r="CK334">
            <v>0</v>
          </cell>
          <cell r="CL334">
            <v>0</v>
          </cell>
          <cell r="CM334">
            <v>0</v>
          </cell>
          <cell r="CN334">
            <v>0</v>
          </cell>
          <cell r="CO334">
            <v>0</v>
          </cell>
          <cell r="CP334">
            <v>-3969</v>
          </cell>
          <cell r="CQ334">
            <v>2656616</v>
          </cell>
          <cell r="CR334">
            <v>2533201</v>
          </cell>
          <cell r="CS334">
            <v>2478707</v>
          </cell>
          <cell r="CT334">
            <v>2421961</v>
          </cell>
          <cell r="CU334">
            <v>2352838</v>
          </cell>
          <cell r="CV334">
            <v>91995</v>
          </cell>
          <cell r="CW334">
            <v>0</v>
          </cell>
          <cell r="CX334">
            <v>0</v>
          </cell>
          <cell r="CY334">
            <v>0</v>
          </cell>
          <cell r="CZ334">
            <v>0</v>
          </cell>
          <cell r="DA334">
            <v>0</v>
          </cell>
          <cell r="DB334"/>
          <cell r="DC334">
            <v>0</v>
          </cell>
          <cell r="DD334">
            <v>0</v>
          </cell>
          <cell r="DE334">
            <v>0</v>
          </cell>
          <cell r="DF334">
            <v>0</v>
          </cell>
          <cell r="DG334">
            <v>0</v>
          </cell>
          <cell r="DH334">
            <v>0</v>
          </cell>
          <cell r="DI334">
            <v>0</v>
          </cell>
          <cell r="DJ334">
            <v>0</v>
          </cell>
          <cell r="DK334">
            <v>0</v>
          </cell>
          <cell r="DL334">
            <v>0</v>
          </cell>
          <cell r="DM334"/>
          <cell r="DN334"/>
          <cell r="DO334"/>
          <cell r="DP334"/>
        </row>
        <row r="335">
          <cell r="A335">
            <v>855</v>
          </cell>
          <cell r="B335" t="str">
            <v>Tilburg</v>
          </cell>
          <cell r="C335">
            <v>10</v>
          </cell>
          <cell r="D335">
            <v>-59055</v>
          </cell>
          <cell r="E335">
            <v>-29527</v>
          </cell>
          <cell r="F335">
            <v>0</v>
          </cell>
          <cell r="G335">
            <v>155457</v>
          </cell>
          <cell r="H335">
            <v>-91056</v>
          </cell>
          <cell r="I335">
            <v>-64960</v>
          </cell>
          <cell r="J335"/>
          <cell r="K335">
            <v>0</v>
          </cell>
          <cell r="L335">
            <v>1274368</v>
          </cell>
          <cell r="M335">
            <v>1284643</v>
          </cell>
          <cell r="N335">
            <v>0</v>
          </cell>
          <cell r="O335">
            <v>0</v>
          </cell>
          <cell r="P335">
            <v>150000</v>
          </cell>
          <cell r="Q335">
            <v>0</v>
          </cell>
          <cell r="R335">
            <v>0</v>
          </cell>
          <cell r="S335">
            <v>2871340</v>
          </cell>
          <cell r="T335">
            <v>2366962</v>
          </cell>
          <cell r="U335">
            <v>2871340</v>
          </cell>
          <cell r="V335">
            <v>114000</v>
          </cell>
          <cell r="W335">
            <v>732222</v>
          </cell>
          <cell r="X335">
            <v>0</v>
          </cell>
          <cell r="Y335"/>
          <cell r="Z335">
            <v>0</v>
          </cell>
          <cell r="AA335">
            <v>40000</v>
          </cell>
          <cell r="AB335">
            <v>0</v>
          </cell>
          <cell r="AC335"/>
          <cell r="AD335">
            <v>532901</v>
          </cell>
          <cell r="AE335">
            <v>0</v>
          </cell>
          <cell r="AF335">
            <v>0</v>
          </cell>
          <cell r="AG335">
            <v>0</v>
          </cell>
          <cell r="AH335">
            <v>0</v>
          </cell>
          <cell r="AI335">
            <v>148777</v>
          </cell>
          <cell r="AJ335">
            <v>0</v>
          </cell>
          <cell r="AK335">
            <v>826949</v>
          </cell>
          <cell r="AL335"/>
          <cell r="AM335">
            <v>0</v>
          </cell>
          <cell r="AN335">
            <v>0</v>
          </cell>
          <cell r="AO335">
            <v>0</v>
          </cell>
          <cell r="AP335">
            <v>0</v>
          </cell>
          <cell r="AQ335">
            <v>0</v>
          </cell>
          <cell r="AR335">
            <v>0</v>
          </cell>
          <cell r="AS335">
            <v>0</v>
          </cell>
          <cell r="AT335">
            <v>20000</v>
          </cell>
          <cell r="AU335">
            <v>7110</v>
          </cell>
          <cell r="AV335">
            <v>8155169.1697052</v>
          </cell>
          <cell r="AW335">
            <v>89463</v>
          </cell>
          <cell r="AX335">
            <v>0</v>
          </cell>
          <cell r="AY335"/>
          <cell r="AZ335"/>
          <cell r="BA335">
            <v>0</v>
          </cell>
          <cell r="BB335"/>
          <cell r="BC335">
            <v>0</v>
          </cell>
          <cell r="BD335">
            <v>75053</v>
          </cell>
          <cell r="BE335"/>
          <cell r="BF335">
            <v>0</v>
          </cell>
          <cell r="BG335">
            <v>0</v>
          </cell>
          <cell r="BH335">
            <v>0</v>
          </cell>
          <cell r="BI335">
            <v>408064</v>
          </cell>
          <cell r="BJ335">
            <v>335897</v>
          </cell>
          <cell r="BK335">
            <v>335897</v>
          </cell>
          <cell r="BL335">
            <v>0</v>
          </cell>
          <cell r="BM335">
            <v>0</v>
          </cell>
          <cell r="BN335">
            <v>461230</v>
          </cell>
          <cell r="BO335">
            <v>368712</v>
          </cell>
          <cell r="BP335">
            <v>42697.8</v>
          </cell>
          <cell r="BQ335">
            <v>76918.604651162794</v>
          </cell>
          <cell r="BR335">
            <v>61000</v>
          </cell>
          <cell r="BS335">
            <v>0</v>
          </cell>
          <cell r="BT335">
            <v>369159</v>
          </cell>
          <cell r="BU335"/>
          <cell r="BV335"/>
          <cell r="BW335"/>
          <cell r="BX335"/>
          <cell r="BY335">
            <v>5192153.6065940596</v>
          </cell>
          <cell r="BZ335">
            <v>5691315.6644652998</v>
          </cell>
          <cell r="CA335">
            <v>5733957.6493085697</v>
          </cell>
          <cell r="CB335">
            <v>5854358.5476895701</v>
          </cell>
          <cell r="CC335">
            <v>17017639</v>
          </cell>
          <cell r="CD335">
            <v>177787437</v>
          </cell>
          <cell r="CE335">
            <v>9917833</v>
          </cell>
          <cell r="CF335">
            <v>-72921</v>
          </cell>
          <cell r="CG335">
            <v>9802833</v>
          </cell>
          <cell r="CH335">
            <v>9802833</v>
          </cell>
          <cell r="CI335">
            <v>9802833</v>
          </cell>
          <cell r="CJ335">
            <v>9802833</v>
          </cell>
          <cell r="CK335">
            <v>56628643</v>
          </cell>
          <cell r="CL335">
            <v>56600522</v>
          </cell>
          <cell r="CM335">
            <v>56600067</v>
          </cell>
          <cell r="CN335">
            <v>56599067</v>
          </cell>
          <cell r="CO335">
            <v>56600453</v>
          </cell>
          <cell r="CP335">
            <v>-12419</v>
          </cell>
          <cell r="CQ335">
            <v>30950533</v>
          </cell>
          <cell r="CR335">
            <v>29394971</v>
          </cell>
          <cell r="CS335">
            <v>28454112</v>
          </cell>
          <cell r="CT335">
            <v>27664173</v>
          </cell>
          <cell r="CU335">
            <v>26914346</v>
          </cell>
          <cell r="CV335">
            <v>439173</v>
          </cell>
          <cell r="CW335">
            <v>0</v>
          </cell>
          <cell r="CX335">
            <v>0</v>
          </cell>
          <cell r="CY335">
            <v>0</v>
          </cell>
          <cell r="CZ335">
            <v>0</v>
          </cell>
          <cell r="DA335">
            <v>0</v>
          </cell>
          <cell r="DB335"/>
          <cell r="DC335">
            <v>0</v>
          </cell>
          <cell r="DD335">
            <v>0</v>
          </cell>
          <cell r="DE335">
            <v>0</v>
          </cell>
          <cell r="DF335">
            <v>0</v>
          </cell>
          <cell r="DG335">
            <v>0</v>
          </cell>
          <cell r="DH335">
            <v>0</v>
          </cell>
          <cell r="DI335">
            <v>0</v>
          </cell>
          <cell r="DJ335">
            <v>0</v>
          </cell>
          <cell r="DK335">
            <v>0</v>
          </cell>
          <cell r="DL335">
            <v>0</v>
          </cell>
          <cell r="DM335"/>
          <cell r="DN335"/>
          <cell r="DO335"/>
          <cell r="DP335"/>
        </row>
        <row r="336">
          <cell r="A336">
            <v>856</v>
          </cell>
          <cell r="B336" t="str">
            <v>Uden</v>
          </cell>
          <cell r="C336">
            <v>10</v>
          </cell>
          <cell r="D336">
            <v>-8903</v>
          </cell>
          <cell r="E336">
            <v>-4452</v>
          </cell>
          <cell r="F336">
            <v>0</v>
          </cell>
          <cell r="G336">
            <v>130599</v>
          </cell>
          <cell r="H336">
            <v>-21851</v>
          </cell>
          <cell r="I336">
            <v>-11756</v>
          </cell>
          <cell r="J336"/>
          <cell r="K336">
            <v>0</v>
          </cell>
          <cell r="L336">
            <v>181095</v>
          </cell>
          <cell r="M336">
            <v>173746</v>
          </cell>
          <cell r="N336">
            <v>0</v>
          </cell>
          <cell r="O336">
            <v>0</v>
          </cell>
          <cell r="P336">
            <v>0</v>
          </cell>
          <cell r="Q336">
            <v>0</v>
          </cell>
          <cell r="R336">
            <v>0</v>
          </cell>
          <cell r="S336">
            <v>0</v>
          </cell>
          <cell r="T336">
            <v>0</v>
          </cell>
          <cell r="U336">
            <v>0</v>
          </cell>
          <cell r="V336">
            <v>3000</v>
          </cell>
          <cell r="W336">
            <v>165999</v>
          </cell>
          <cell r="X336">
            <v>0</v>
          </cell>
          <cell r="Y336"/>
          <cell r="Z336">
            <v>0</v>
          </cell>
          <cell r="AA336">
            <v>0</v>
          </cell>
          <cell r="AB336">
            <v>0</v>
          </cell>
          <cell r="AC336"/>
          <cell r="AD336">
            <v>0</v>
          </cell>
          <cell r="AE336">
            <v>0</v>
          </cell>
          <cell r="AF336">
            <v>0</v>
          </cell>
          <cell r="AG336">
            <v>0</v>
          </cell>
          <cell r="AH336">
            <v>0</v>
          </cell>
          <cell r="AI336">
            <v>0</v>
          </cell>
          <cell r="AJ336">
            <v>0</v>
          </cell>
          <cell r="AK336">
            <v>0</v>
          </cell>
          <cell r="AL336"/>
          <cell r="AM336">
            <v>0</v>
          </cell>
          <cell r="AN336">
            <v>0</v>
          </cell>
          <cell r="AO336">
            <v>0</v>
          </cell>
          <cell r="AP336">
            <v>0</v>
          </cell>
          <cell r="AQ336">
            <v>0</v>
          </cell>
          <cell r="AR336">
            <v>0</v>
          </cell>
          <cell r="AS336">
            <v>0</v>
          </cell>
          <cell r="AT336">
            <v>0</v>
          </cell>
          <cell r="AU336">
            <v>0</v>
          </cell>
          <cell r="AV336">
            <v>0</v>
          </cell>
          <cell r="AW336">
            <v>0</v>
          </cell>
          <cell r="AX336">
            <v>0</v>
          </cell>
          <cell r="AY336"/>
          <cell r="AZ336"/>
          <cell r="BA336">
            <v>0</v>
          </cell>
          <cell r="BB336"/>
          <cell r="BC336">
            <v>0</v>
          </cell>
          <cell r="BD336">
            <v>14527</v>
          </cell>
          <cell r="BE336"/>
          <cell r="BF336">
            <v>0</v>
          </cell>
          <cell r="BG336">
            <v>0</v>
          </cell>
          <cell r="BH336">
            <v>0</v>
          </cell>
          <cell r="BI336">
            <v>60842</v>
          </cell>
          <cell r="BJ336">
            <v>50082</v>
          </cell>
          <cell r="BK336">
            <v>50082</v>
          </cell>
          <cell r="BL336">
            <v>0</v>
          </cell>
          <cell r="BM336">
            <v>0</v>
          </cell>
          <cell r="BN336">
            <v>0</v>
          </cell>
          <cell r="BO336">
            <v>211596</v>
          </cell>
          <cell r="BP336">
            <v>30046.6</v>
          </cell>
          <cell r="BQ336">
            <v>54127.906976744198</v>
          </cell>
          <cell r="BR336">
            <v>0</v>
          </cell>
          <cell r="BS336">
            <v>0</v>
          </cell>
          <cell r="BT336">
            <v>65546</v>
          </cell>
          <cell r="BU336"/>
          <cell r="BV336"/>
          <cell r="BW336"/>
          <cell r="BX336"/>
          <cell r="BY336">
            <v>0</v>
          </cell>
          <cell r="BZ336">
            <v>0</v>
          </cell>
          <cell r="CA336">
            <v>0</v>
          </cell>
          <cell r="CB336">
            <v>0</v>
          </cell>
          <cell r="CC336">
            <v>3248663</v>
          </cell>
          <cell r="CD336">
            <v>23519542</v>
          </cell>
          <cell r="CE336">
            <v>1123029</v>
          </cell>
          <cell r="CF336">
            <v>0</v>
          </cell>
          <cell r="CG336">
            <v>1123029</v>
          </cell>
          <cell r="CH336">
            <v>1123029</v>
          </cell>
          <cell r="CI336">
            <v>1123029</v>
          </cell>
          <cell r="CJ336">
            <v>1123029</v>
          </cell>
          <cell r="CK336">
            <v>0</v>
          </cell>
          <cell r="CL336">
            <v>0</v>
          </cell>
          <cell r="CM336">
            <v>0</v>
          </cell>
          <cell r="CN336">
            <v>0</v>
          </cell>
          <cell r="CO336">
            <v>0</v>
          </cell>
          <cell r="CP336">
            <v>-4229</v>
          </cell>
          <cell r="CQ336">
            <v>7805082</v>
          </cell>
          <cell r="CR336">
            <v>7360815</v>
          </cell>
          <cell r="CS336">
            <v>7150081</v>
          </cell>
          <cell r="CT336">
            <v>6914145</v>
          </cell>
          <cell r="CU336">
            <v>6758124</v>
          </cell>
          <cell r="CV336">
            <v>-44572</v>
          </cell>
          <cell r="CW336">
            <v>0</v>
          </cell>
          <cell r="CX336">
            <v>0</v>
          </cell>
          <cell r="CY336">
            <v>0</v>
          </cell>
          <cell r="CZ336">
            <v>0</v>
          </cell>
          <cell r="DA336">
            <v>0</v>
          </cell>
          <cell r="DB336"/>
          <cell r="DC336">
            <v>0</v>
          </cell>
          <cell r="DD336">
            <v>0</v>
          </cell>
          <cell r="DE336">
            <v>0</v>
          </cell>
          <cell r="DF336">
            <v>0</v>
          </cell>
          <cell r="DG336">
            <v>0</v>
          </cell>
          <cell r="DH336">
            <v>0</v>
          </cell>
          <cell r="DI336">
            <v>0</v>
          </cell>
          <cell r="DJ336">
            <v>0</v>
          </cell>
          <cell r="DK336">
            <v>0</v>
          </cell>
          <cell r="DL336">
            <v>0</v>
          </cell>
          <cell r="DM336"/>
          <cell r="DN336"/>
          <cell r="DO336"/>
          <cell r="DP336"/>
        </row>
        <row r="337">
          <cell r="A337">
            <v>858</v>
          </cell>
          <cell r="B337" t="str">
            <v>Valkenswaard</v>
          </cell>
          <cell r="C337">
            <v>10</v>
          </cell>
          <cell r="D337">
            <v>-10564</v>
          </cell>
          <cell r="E337">
            <v>-5282</v>
          </cell>
          <cell r="F337">
            <v>0</v>
          </cell>
          <cell r="G337">
            <v>0</v>
          </cell>
          <cell r="H337">
            <v>-38666</v>
          </cell>
          <cell r="I337">
            <v>-31696</v>
          </cell>
          <cell r="J337"/>
          <cell r="K337">
            <v>0</v>
          </cell>
          <cell r="L337">
            <v>116910</v>
          </cell>
          <cell r="M337">
            <v>105228</v>
          </cell>
          <cell r="N337">
            <v>0</v>
          </cell>
          <cell r="O337">
            <v>0</v>
          </cell>
          <cell r="P337">
            <v>0</v>
          </cell>
          <cell r="Q337">
            <v>0</v>
          </cell>
          <cell r="R337">
            <v>0</v>
          </cell>
          <cell r="S337">
            <v>0</v>
          </cell>
          <cell r="T337">
            <v>0</v>
          </cell>
          <cell r="U337">
            <v>0</v>
          </cell>
          <cell r="V337">
            <v>0</v>
          </cell>
          <cell r="W337">
            <v>110795</v>
          </cell>
          <cell r="X337">
            <v>0</v>
          </cell>
          <cell r="Y337"/>
          <cell r="Z337">
            <v>0</v>
          </cell>
          <cell r="AA337">
            <v>0</v>
          </cell>
          <cell r="AB337">
            <v>0</v>
          </cell>
          <cell r="AC337"/>
          <cell r="AD337">
            <v>0</v>
          </cell>
          <cell r="AE337">
            <v>0</v>
          </cell>
          <cell r="AF337">
            <v>0</v>
          </cell>
          <cell r="AG337">
            <v>0</v>
          </cell>
          <cell r="AH337">
            <v>0</v>
          </cell>
          <cell r="AI337">
            <v>0</v>
          </cell>
          <cell r="AJ337">
            <v>0</v>
          </cell>
          <cell r="AK337">
            <v>0</v>
          </cell>
          <cell r="AL337"/>
          <cell r="AM337">
            <v>0</v>
          </cell>
          <cell r="AN337">
            <v>0</v>
          </cell>
          <cell r="AO337">
            <v>0</v>
          </cell>
          <cell r="AP337">
            <v>0</v>
          </cell>
          <cell r="AQ337">
            <v>0</v>
          </cell>
          <cell r="AR337">
            <v>0</v>
          </cell>
          <cell r="AS337">
            <v>0</v>
          </cell>
          <cell r="AT337">
            <v>0</v>
          </cell>
          <cell r="AU337">
            <v>0</v>
          </cell>
          <cell r="AV337">
            <v>0</v>
          </cell>
          <cell r="AW337">
            <v>0</v>
          </cell>
          <cell r="AX337">
            <v>0</v>
          </cell>
          <cell r="AY337"/>
          <cell r="AZ337"/>
          <cell r="BA337">
            <v>0</v>
          </cell>
          <cell r="BB337"/>
          <cell r="BC337">
            <v>0</v>
          </cell>
          <cell r="BD337">
            <v>10712</v>
          </cell>
          <cell r="BE337"/>
          <cell r="BF337">
            <v>0</v>
          </cell>
          <cell r="BG337">
            <v>0</v>
          </cell>
          <cell r="BH337">
            <v>0</v>
          </cell>
          <cell r="BI337">
            <v>51616</v>
          </cell>
          <cell r="BJ337">
            <v>42488</v>
          </cell>
          <cell r="BK337">
            <v>42488</v>
          </cell>
          <cell r="BL337">
            <v>0</v>
          </cell>
          <cell r="BM337">
            <v>0</v>
          </cell>
          <cell r="BN337">
            <v>0</v>
          </cell>
          <cell r="BO337">
            <v>18971</v>
          </cell>
          <cell r="BP337">
            <v>0</v>
          </cell>
          <cell r="BQ337">
            <v>0</v>
          </cell>
          <cell r="BR337">
            <v>0</v>
          </cell>
          <cell r="BS337">
            <v>0</v>
          </cell>
          <cell r="BT337">
            <v>42411</v>
          </cell>
          <cell r="BU337"/>
          <cell r="BV337"/>
          <cell r="BW337"/>
          <cell r="BX337"/>
          <cell r="BY337">
            <v>0</v>
          </cell>
          <cell r="BZ337">
            <v>0</v>
          </cell>
          <cell r="CA337">
            <v>0</v>
          </cell>
          <cell r="CB337">
            <v>0</v>
          </cell>
          <cell r="CC337">
            <v>2918145</v>
          </cell>
          <cell r="CD337">
            <v>13213496</v>
          </cell>
          <cell r="CE337">
            <v>604575</v>
          </cell>
          <cell r="CF337">
            <v>-75394</v>
          </cell>
          <cell r="CG337">
            <v>604575</v>
          </cell>
          <cell r="CH337">
            <v>604575</v>
          </cell>
          <cell r="CI337">
            <v>604575</v>
          </cell>
          <cell r="CJ337">
            <v>604575</v>
          </cell>
          <cell r="CK337">
            <v>0</v>
          </cell>
          <cell r="CL337">
            <v>0</v>
          </cell>
          <cell r="CM337">
            <v>0</v>
          </cell>
          <cell r="CN337">
            <v>0</v>
          </cell>
          <cell r="CO337">
            <v>0</v>
          </cell>
          <cell r="CP337">
            <v>-224</v>
          </cell>
          <cell r="CQ337">
            <v>3379476</v>
          </cell>
          <cell r="CR337">
            <v>3281981</v>
          </cell>
          <cell r="CS337">
            <v>3249778</v>
          </cell>
          <cell r="CT337">
            <v>3178411</v>
          </cell>
          <cell r="CU337">
            <v>3144925</v>
          </cell>
          <cell r="CV337">
            <v>12258</v>
          </cell>
          <cell r="CW337">
            <v>0</v>
          </cell>
          <cell r="CX337">
            <v>0</v>
          </cell>
          <cell r="CY337">
            <v>0</v>
          </cell>
          <cell r="CZ337">
            <v>0</v>
          </cell>
          <cell r="DA337">
            <v>0</v>
          </cell>
          <cell r="DB337"/>
          <cell r="DC337">
            <v>0</v>
          </cell>
          <cell r="DD337">
            <v>0</v>
          </cell>
          <cell r="DE337">
            <v>0</v>
          </cell>
          <cell r="DF337">
            <v>0</v>
          </cell>
          <cell r="DG337">
            <v>0</v>
          </cell>
          <cell r="DH337">
            <v>0</v>
          </cell>
          <cell r="DI337">
            <v>0</v>
          </cell>
          <cell r="DJ337">
            <v>0</v>
          </cell>
          <cell r="DK337">
            <v>0</v>
          </cell>
          <cell r="DL337">
            <v>0</v>
          </cell>
          <cell r="DM337"/>
          <cell r="DN337"/>
          <cell r="DO337"/>
          <cell r="DP337"/>
        </row>
        <row r="338">
          <cell r="A338">
            <v>861</v>
          </cell>
          <cell r="B338" t="str">
            <v>Veldhoven</v>
          </cell>
          <cell r="C338">
            <v>10</v>
          </cell>
          <cell r="D338">
            <v>-34381</v>
          </cell>
          <cell r="E338">
            <v>-17191</v>
          </cell>
          <cell r="F338">
            <v>0</v>
          </cell>
          <cell r="G338">
            <v>0</v>
          </cell>
          <cell r="H338">
            <v>-12824</v>
          </cell>
          <cell r="I338">
            <v>-13539</v>
          </cell>
          <cell r="J338"/>
          <cell r="K338">
            <v>0</v>
          </cell>
          <cell r="L338">
            <v>155230</v>
          </cell>
          <cell r="M338">
            <v>147986</v>
          </cell>
          <cell r="N338">
            <v>0</v>
          </cell>
          <cell r="O338">
            <v>0</v>
          </cell>
          <cell r="P338">
            <v>0</v>
          </cell>
          <cell r="Q338">
            <v>0</v>
          </cell>
          <cell r="R338">
            <v>0</v>
          </cell>
          <cell r="S338">
            <v>0</v>
          </cell>
          <cell r="T338">
            <v>0</v>
          </cell>
          <cell r="U338">
            <v>0</v>
          </cell>
          <cell r="V338">
            <v>9000</v>
          </cell>
          <cell r="W338">
            <v>125666</v>
          </cell>
          <cell r="X338">
            <v>0</v>
          </cell>
          <cell r="Y338"/>
          <cell r="Z338">
            <v>0</v>
          </cell>
          <cell r="AA338">
            <v>0</v>
          </cell>
          <cell r="AB338">
            <v>0</v>
          </cell>
          <cell r="AC338"/>
          <cell r="AD338">
            <v>0</v>
          </cell>
          <cell r="AE338">
            <v>0</v>
          </cell>
          <cell r="AF338">
            <v>0</v>
          </cell>
          <cell r="AG338">
            <v>0</v>
          </cell>
          <cell r="AH338">
            <v>0</v>
          </cell>
          <cell r="AI338">
            <v>0</v>
          </cell>
          <cell r="AJ338">
            <v>0</v>
          </cell>
          <cell r="AK338">
            <v>0</v>
          </cell>
          <cell r="AL338"/>
          <cell r="AM338">
            <v>0</v>
          </cell>
          <cell r="AN338">
            <v>0</v>
          </cell>
          <cell r="AO338">
            <v>0</v>
          </cell>
          <cell r="AP338">
            <v>0</v>
          </cell>
          <cell r="AQ338">
            <v>0</v>
          </cell>
          <cell r="AR338">
            <v>0</v>
          </cell>
          <cell r="AS338">
            <v>0</v>
          </cell>
          <cell r="AT338">
            <v>0</v>
          </cell>
          <cell r="AU338">
            <v>2370</v>
          </cell>
          <cell r="AV338">
            <v>0</v>
          </cell>
          <cell r="AW338">
            <v>0</v>
          </cell>
          <cell r="AX338">
            <v>0</v>
          </cell>
          <cell r="AY338"/>
          <cell r="AZ338"/>
          <cell r="BA338">
            <v>0</v>
          </cell>
          <cell r="BB338"/>
          <cell r="BC338">
            <v>0</v>
          </cell>
          <cell r="BD338">
            <v>15700</v>
          </cell>
          <cell r="BE338"/>
          <cell r="BF338">
            <v>0</v>
          </cell>
          <cell r="BG338">
            <v>0</v>
          </cell>
          <cell r="BH338">
            <v>0</v>
          </cell>
          <cell r="BI338">
            <v>53372</v>
          </cell>
          <cell r="BJ338">
            <v>43933</v>
          </cell>
          <cell r="BK338">
            <v>43933</v>
          </cell>
          <cell r="BL338">
            <v>0</v>
          </cell>
          <cell r="BM338">
            <v>0</v>
          </cell>
          <cell r="BN338">
            <v>0</v>
          </cell>
          <cell r="BO338">
            <v>103609</v>
          </cell>
          <cell r="BP338">
            <v>14232.6</v>
          </cell>
          <cell r="BQ338">
            <v>25639.534883720899</v>
          </cell>
          <cell r="BR338">
            <v>0</v>
          </cell>
          <cell r="BS338">
            <v>0</v>
          </cell>
          <cell r="BT338">
            <v>61797</v>
          </cell>
          <cell r="BU338"/>
          <cell r="BV338"/>
          <cell r="BW338"/>
          <cell r="BX338"/>
          <cell r="BY338">
            <v>0</v>
          </cell>
          <cell r="BZ338">
            <v>0</v>
          </cell>
          <cell r="CA338">
            <v>0</v>
          </cell>
          <cell r="CB338">
            <v>0</v>
          </cell>
          <cell r="CC338">
            <v>3520055</v>
          </cell>
          <cell r="CD338">
            <v>18273471</v>
          </cell>
          <cell r="CE338">
            <v>1342779</v>
          </cell>
          <cell r="CF338">
            <v>0</v>
          </cell>
          <cell r="CG338">
            <v>1342779</v>
          </cell>
          <cell r="CH338">
            <v>1342779</v>
          </cell>
          <cell r="CI338">
            <v>1342779</v>
          </cell>
          <cell r="CJ338">
            <v>1342779</v>
          </cell>
          <cell r="CK338">
            <v>0</v>
          </cell>
          <cell r="CL338">
            <v>0</v>
          </cell>
          <cell r="CM338">
            <v>0</v>
          </cell>
          <cell r="CN338">
            <v>0</v>
          </cell>
          <cell r="CO338">
            <v>0</v>
          </cell>
          <cell r="CP338">
            <v>-4890</v>
          </cell>
          <cell r="CQ338">
            <v>4085266</v>
          </cell>
          <cell r="CR338">
            <v>3840010</v>
          </cell>
          <cell r="CS338">
            <v>3745307</v>
          </cell>
          <cell r="CT338">
            <v>3648091</v>
          </cell>
          <cell r="CU338">
            <v>3518652</v>
          </cell>
          <cell r="CV338">
            <v>-8705</v>
          </cell>
          <cell r="CW338">
            <v>0</v>
          </cell>
          <cell r="CX338">
            <v>0</v>
          </cell>
          <cell r="CY338">
            <v>0</v>
          </cell>
          <cell r="CZ338">
            <v>0</v>
          </cell>
          <cell r="DA338">
            <v>0</v>
          </cell>
          <cell r="DB338"/>
          <cell r="DC338">
            <v>0</v>
          </cell>
          <cell r="DD338">
            <v>0</v>
          </cell>
          <cell r="DE338">
            <v>0</v>
          </cell>
          <cell r="DF338">
            <v>0</v>
          </cell>
          <cell r="DG338">
            <v>0</v>
          </cell>
          <cell r="DH338">
            <v>0</v>
          </cell>
          <cell r="DI338">
            <v>0</v>
          </cell>
          <cell r="DJ338">
            <v>0</v>
          </cell>
          <cell r="DK338">
            <v>0</v>
          </cell>
          <cell r="DL338">
            <v>0</v>
          </cell>
          <cell r="DM338"/>
          <cell r="DN338"/>
          <cell r="DO338"/>
          <cell r="DP338"/>
        </row>
        <row r="339">
          <cell r="A339">
            <v>865</v>
          </cell>
          <cell r="B339" t="str">
            <v>Vught</v>
          </cell>
          <cell r="C339">
            <v>10</v>
          </cell>
          <cell r="D339">
            <v>25643</v>
          </cell>
          <cell r="E339">
            <v>12821</v>
          </cell>
          <cell r="F339">
            <v>0</v>
          </cell>
          <cell r="G339">
            <v>0</v>
          </cell>
          <cell r="H339">
            <v>-17354</v>
          </cell>
          <cell r="I339">
            <v>-14025</v>
          </cell>
          <cell r="J339"/>
          <cell r="K339">
            <v>0</v>
          </cell>
          <cell r="L339">
            <v>80699</v>
          </cell>
          <cell r="M339">
            <v>79231</v>
          </cell>
          <cell r="N339">
            <v>0</v>
          </cell>
          <cell r="O339">
            <v>0</v>
          </cell>
          <cell r="P339">
            <v>0</v>
          </cell>
          <cell r="Q339">
            <v>0</v>
          </cell>
          <cell r="R339">
            <v>0</v>
          </cell>
          <cell r="S339">
            <v>0</v>
          </cell>
          <cell r="T339">
            <v>0</v>
          </cell>
          <cell r="U339">
            <v>0</v>
          </cell>
          <cell r="V339">
            <v>9000</v>
          </cell>
          <cell r="W339">
            <v>46266</v>
          </cell>
          <cell r="X339">
            <v>0</v>
          </cell>
          <cell r="Y339"/>
          <cell r="Z339">
            <v>0</v>
          </cell>
          <cell r="AA339">
            <v>0</v>
          </cell>
          <cell r="AB339">
            <v>0</v>
          </cell>
          <cell r="AC339"/>
          <cell r="AD339">
            <v>0</v>
          </cell>
          <cell r="AE339">
            <v>0</v>
          </cell>
          <cell r="AF339">
            <v>0</v>
          </cell>
          <cell r="AG339">
            <v>0</v>
          </cell>
          <cell r="AH339">
            <v>0</v>
          </cell>
          <cell r="AI339">
            <v>0</v>
          </cell>
          <cell r="AJ339">
            <v>0</v>
          </cell>
          <cell r="AK339">
            <v>0</v>
          </cell>
          <cell r="AL339"/>
          <cell r="AM339">
            <v>0</v>
          </cell>
          <cell r="AN339">
            <v>0</v>
          </cell>
          <cell r="AO339">
            <v>0</v>
          </cell>
          <cell r="AP339">
            <v>0</v>
          </cell>
          <cell r="AQ339">
            <v>0</v>
          </cell>
          <cell r="AR339">
            <v>0</v>
          </cell>
          <cell r="AS339">
            <v>0</v>
          </cell>
          <cell r="AT339">
            <v>0</v>
          </cell>
          <cell r="AU339">
            <v>7110</v>
          </cell>
          <cell r="AV339">
            <v>0</v>
          </cell>
          <cell r="AW339">
            <v>0</v>
          </cell>
          <cell r="AX339">
            <v>0</v>
          </cell>
          <cell r="AY339"/>
          <cell r="AZ339"/>
          <cell r="BA339">
            <v>0</v>
          </cell>
          <cell r="BB339"/>
          <cell r="BC339">
            <v>0</v>
          </cell>
          <cell r="BD339">
            <v>9191</v>
          </cell>
          <cell r="BE339"/>
          <cell r="BF339">
            <v>0</v>
          </cell>
          <cell r="BG339">
            <v>0</v>
          </cell>
          <cell r="BH339">
            <v>0</v>
          </cell>
          <cell r="BI339">
            <v>33331</v>
          </cell>
          <cell r="BJ339">
            <v>27436</v>
          </cell>
          <cell r="BK339">
            <v>27436</v>
          </cell>
          <cell r="BL339">
            <v>0</v>
          </cell>
          <cell r="BM339">
            <v>0</v>
          </cell>
          <cell r="BN339">
            <v>0</v>
          </cell>
          <cell r="BO339">
            <v>0</v>
          </cell>
          <cell r="BP339">
            <v>11069.8</v>
          </cell>
          <cell r="BQ339">
            <v>19941.8604651163</v>
          </cell>
          <cell r="BR339">
            <v>0</v>
          </cell>
          <cell r="BS339">
            <v>0</v>
          </cell>
          <cell r="BT339">
            <v>37801</v>
          </cell>
          <cell r="BU339"/>
          <cell r="BV339"/>
          <cell r="BW339"/>
          <cell r="BX339"/>
          <cell r="BY339">
            <v>0</v>
          </cell>
          <cell r="BZ339">
            <v>0</v>
          </cell>
          <cell r="CA339">
            <v>0</v>
          </cell>
          <cell r="CB339">
            <v>0</v>
          </cell>
          <cell r="CC339">
            <v>1892809</v>
          </cell>
          <cell r="CD339">
            <v>12480853</v>
          </cell>
          <cell r="CE339">
            <v>246167</v>
          </cell>
          <cell r="CF339">
            <v>-22228</v>
          </cell>
          <cell r="CG339">
            <v>246167</v>
          </cell>
          <cell r="CH339">
            <v>246167</v>
          </cell>
          <cell r="CI339">
            <v>246167</v>
          </cell>
          <cell r="CJ339">
            <v>246167</v>
          </cell>
          <cell r="CK339">
            <v>0</v>
          </cell>
          <cell r="CL339">
            <v>0</v>
          </cell>
          <cell r="CM339">
            <v>0</v>
          </cell>
          <cell r="CN339">
            <v>0</v>
          </cell>
          <cell r="CO339">
            <v>0</v>
          </cell>
          <cell r="CP339">
            <v>-1704</v>
          </cell>
          <cell r="CQ339">
            <v>4341719</v>
          </cell>
          <cell r="CR339">
            <v>4150192</v>
          </cell>
          <cell r="CS339">
            <v>4018146</v>
          </cell>
          <cell r="CT339">
            <v>3931094</v>
          </cell>
          <cell r="CU339">
            <v>3871568</v>
          </cell>
          <cell r="CV339">
            <v>-12387</v>
          </cell>
          <cell r="CW339">
            <v>0</v>
          </cell>
          <cell r="CX339">
            <v>0</v>
          </cell>
          <cell r="CY339">
            <v>0</v>
          </cell>
          <cell r="CZ339">
            <v>0</v>
          </cell>
          <cell r="DA339">
            <v>0</v>
          </cell>
          <cell r="DB339"/>
          <cell r="DC339">
            <v>0</v>
          </cell>
          <cell r="DD339">
            <v>0</v>
          </cell>
          <cell r="DE339">
            <v>0</v>
          </cell>
          <cell r="DF339">
            <v>0</v>
          </cell>
          <cell r="DG339">
            <v>0</v>
          </cell>
          <cell r="DH339">
            <v>0</v>
          </cell>
          <cell r="DI339">
            <v>0</v>
          </cell>
          <cell r="DJ339">
            <v>0</v>
          </cell>
          <cell r="DK339">
            <v>0</v>
          </cell>
          <cell r="DL339">
            <v>0</v>
          </cell>
          <cell r="DM339"/>
          <cell r="DN339"/>
          <cell r="DO339"/>
          <cell r="DP339"/>
        </row>
        <row r="340">
          <cell r="A340">
            <v>866</v>
          </cell>
          <cell r="B340" t="str">
            <v>Waalre</v>
          </cell>
          <cell r="C340">
            <v>10</v>
          </cell>
          <cell r="D340">
            <v>-32227</v>
          </cell>
          <cell r="E340">
            <v>-16113</v>
          </cell>
          <cell r="F340">
            <v>0</v>
          </cell>
          <cell r="G340">
            <v>0</v>
          </cell>
          <cell r="H340">
            <v>0</v>
          </cell>
          <cell r="I340">
            <v>0</v>
          </cell>
          <cell r="J340"/>
          <cell r="K340">
            <v>0</v>
          </cell>
          <cell r="L340">
            <v>55013</v>
          </cell>
          <cell r="M340">
            <v>44163</v>
          </cell>
          <cell r="N340">
            <v>0</v>
          </cell>
          <cell r="O340">
            <v>0</v>
          </cell>
          <cell r="P340">
            <v>0</v>
          </cell>
          <cell r="Q340">
            <v>0</v>
          </cell>
          <cell r="R340">
            <v>0</v>
          </cell>
          <cell r="S340">
            <v>0</v>
          </cell>
          <cell r="T340">
            <v>0</v>
          </cell>
          <cell r="U340">
            <v>0</v>
          </cell>
          <cell r="V340">
            <v>0</v>
          </cell>
          <cell r="W340">
            <v>52327</v>
          </cell>
          <cell r="X340">
            <v>0</v>
          </cell>
          <cell r="Y340"/>
          <cell r="Z340">
            <v>0</v>
          </cell>
          <cell r="AA340">
            <v>0</v>
          </cell>
          <cell r="AB340">
            <v>0</v>
          </cell>
          <cell r="AC340"/>
          <cell r="AD340">
            <v>0</v>
          </cell>
          <cell r="AE340">
            <v>0</v>
          </cell>
          <cell r="AF340">
            <v>0</v>
          </cell>
          <cell r="AG340">
            <v>0</v>
          </cell>
          <cell r="AH340">
            <v>0</v>
          </cell>
          <cell r="AI340">
            <v>0</v>
          </cell>
          <cell r="AJ340">
            <v>0</v>
          </cell>
          <cell r="AK340">
            <v>0</v>
          </cell>
          <cell r="AL340"/>
          <cell r="AM340">
            <v>0</v>
          </cell>
          <cell r="AN340">
            <v>0</v>
          </cell>
          <cell r="AO340">
            <v>0</v>
          </cell>
          <cell r="AP340">
            <v>0</v>
          </cell>
          <cell r="AQ340">
            <v>0</v>
          </cell>
          <cell r="AR340">
            <v>0</v>
          </cell>
          <cell r="AS340">
            <v>0</v>
          </cell>
          <cell r="AT340">
            <v>0</v>
          </cell>
          <cell r="AU340">
            <v>2370</v>
          </cell>
          <cell r="AV340">
            <v>0</v>
          </cell>
          <cell r="AW340">
            <v>0</v>
          </cell>
          <cell r="AX340">
            <v>0</v>
          </cell>
          <cell r="AY340"/>
          <cell r="AZ340"/>
          <cell r="BA340">
            <v>0</v>
          </cell>
          <cell r="BB340"/>
          <cell r="BC340">
            <v>0</v>
          </cell>
          <cell r="BD340">
            <v>5932</v>
          </cell>
          <cell r="BE340"/>
          <cell r="BF340">
            <v>0</v>
          </cell>
          <cell r="BG340">
            <v>0</v>
          </cell>
          <cell r="BH340">
            <v>0</v>
          </cell>
          <cell r="BI340">
            <v>16232</v>
          </cell>
          <cell r="BJ340">
            <v>13361</v>
          </cell>
          <cell r="BK340">
            <v>13361</v>
          </cell>
          <cell r="BL340">
            <v>0</v>
          </cell>
          <cell r="BM340">
            <v>0</v>
          </cell>
          <cell r="BN340">
            <v>0</v>
          </cell>
          <cell r="BO340">
            <v>16052</v>
          </cell>
          <cell r="BP340">
            <v>4744.2</v>
          </cell>
          <cell r="BQ340">
            <v>8546.5116279069807</v>
          </cell>
          <cell r="BR340">
            <v>0</v>
          </cell>
          <cell r="BS340">
            <v>0</v>
          </cell>
          <cell r="BT340">
            <v>23994</v>
          </cell>
          <cell r="BU340"/>
          <cell r="BV340"/>
          <cell r="BW340"/>
          <cell r="BX340"/>
          <cell r="BY340">
            <v>0</v>
          </cell>
          <cell r="BZ340">
            <v>0</v>
          </cell>
          <cell r="CA340">
            <v>0</v>
          </cell>
          <cell r="CB340">
            <v>0</v>
          </cell>
          <cell r="CC340">
            <v>1116030</v>
          </cell>
          <cell r="CD340">
            <v>5366407</v>
          </cell>
          <cell r="CE340">
            <v>430155</v>
          </cell>
          <cell r="CF340">
            <v>0</v>
          </cell>
          <cell r="CG340">
            <v>430155</v>
          </cell>
          <cell r="CH340">
            <v>430155</v>
          </cell>
          <cell r="CI340">
            <v>430155</v>
          </cell>
          <cell r="CJ340">
            <v>430155</v>
          </cell>
          <cell r="CK340">
            <v>0</v>
          </cell>
          <cell r="CL340">
            <v>0</v>
          </cell>
          <cell r="CM340">
            <v>0</v>
          </cell>
          <cell r="CN340">
            <v>0</v>
          </cell>
          <cell r="CO340">
            <v>0</v>
          </cell>
          <cell r="CP340">
            <v>0</v>
          </cell>
          <cell r="CQ340">
            <v>1083187</v>
          </cell>
          <cell r="CR340">
            <v>1020468</v>
          </cell>
          <cell r="CS340">
            <v>980797</v>
          </cell>
          <cell r="CT340">
            <v>967702</v>
          </cell>
          <cell r="CU340">
            <v>948892</v>
          </cell>
          <cell r="CV340">
            <v>-9062</v>
          </cell>
          <cell r="CW340">
            <v>0</v>
          </cell>
          <cell r="CX340">
            <v>0</v>
          </cell>
          <cell r="CY340">
            <v>0</v>
          </cell>
          <cell r="CZ340">
            <v>0</v>
          </cell>
          <cell r="DA340">
            <v>0</v>
          </cell>
          <cell r="DB340"/>
          <cell r="DC340">
            <v>0</v>
          </cell>
          <cell r="DD340">
            <v>0</v>
          </cell>
          <cell r="DE340">
            <v>0</v>
          </cell>
          <cell r="DF340">
            <v>0</v>
          </cell>
          <cell r="DG340">
            <v>0</v>
          </cell>
          <cell r="DH340">
            <v>0</v>
          </cell>
          <cell r="DI340">
            <v>0</v>
          </cell>
          <cell r="DJ340">
            <v>0</v>
          </cell>
          <cell r="DK340">
            <v>0</v>
          </cell>
          <cell r="DL340">
            <v>0</v>
          </cell>
          <cell r="DM340"/>
          <cell r="DN340"/>
          <cell r="DO340"/>
          <cell r="DP340"/>
        </row>
        <row r="341">
          <cell r="A341">
            <v>867</v>
          </cell>
          <cell r="B341" t="str">
            <v>Waalwijk</v>
          </cell>
          <cell r="C341">
            <v>10</v>
          </cell>
          <cell r="D341">
            <v>-32596</v>
          </cell>
          <cell r="E341">
            <v>-16298</v>
          </cell>
          <cell r="F341">
            <v>0</v>
          </cell>
          <cell r="G341">
            <v>0</v>
          </cell>
          <cell r="H341">
            <v>-68465</v>
          </cell>
          <cell r="I341">
            <v>-40634</v>
          </cell>
          <cell r="J341"/>
          <cell r="K341">
            <v>0</v>
          </cell>
          <cell r="L341">
            <v>185591</v>
          </cell>
          <cell r="M341">
            <v>175984</v>
          </cell>
          <cell r="N341">
            <v>0</v>
          </cell>
          <cell r="O341">
            <v>0</v>
          </cell>
          <cell r="P341">
            <v>0</v>
          </cell>
          <cell r="Q341">
            <v>0</v>
          </cell>
          <cell r="R341">
            <v>0</v>
          </cell>
          <cell r="S341">
            <v>0</v>
          </cell>
          <cell r="T341">
            <v>0</v>
          </cell>
          <cell r="U341">
            <v>0</v>
          </cell>
          <cell r="V341">
            <v>9000</v>
          </cell>
          <cell r="W341">
            <v>174163</v>
          </cell>
          <cell r="X341">
            <v>0</v>
          </cell>
          <cell r="Y341"/>
          <cell r="Z341">
            <v>0</v>
          </cell>
          <cell r="AA341">
            <v>0</v>
          </cell>
          <cell r="AB341">
            <v>0</v>
          </cell>
          <cell r="AC341"/>
          <cell r="AD341">
            <v>45956</v>
          </cell>
          <cell r="AE341">
            <v>0</v>
          </cell>
          <cell r="AF341">
            <v>0</v>
          </cell>
          <cell r="AG341">
            <v>0</v>
          </cell>
          <cell r="AH341">
            <v>0</v>
          </cell>
          <cell r="AI341">
            <v>0</v>
          </cell>
          <cell r="AJ341">
            <v>0</v>
          </cell>
          <cell r="AK341">
            <v>0</v>
          </cell>
          <cell r="AL341"/>
          <cell r="AM341">
            <v>0</v>
          </cell>
          <cell r="AN341">
            <v>0</v>
          </cell>
          <cell r="AO341">
            <v>0</v>
          </cell>
          <cell r="AP341">
            <v>0</v>
          </cell>
          <cell r="AQ341">
            <v>0</v>
          </cell>
          <cell r="AR341">
            <v>0</v>
          </cell>
          <cell r="AS341">
            <v>0</v>
          </cell>
          <cell r="AT341">
            <v>0</v>
          </cell>
          <cell r="AU341">
            <v>4740</v>
          </cell>
          <cell r="AV341">
            <v>0</v>
          </cell>
          <cell r="AW341">
            <v>0</v>
          </cell>
          <cell r="AX341">
            <v>0</v>
          </cell>
          <cell r="AY341"/>
          <cell r="AZ341"/>
          <cell r="BA341">
            <v>0</v>
          </cell>
          <cell r="BB341"/>
          <cell r="BC341">
            <v>0</v>
          </cell>
          <cell r="BD341">
            <v>16643</v>
          </cell>
          <cell r="BE341"/>
          <cell r="BF341">
            <v>0</v>
          </cell>
          <cell r="BG341">
            <v>0</v>
          </cell>
          <cell r="BH341">
            <v>0</v>
          </cell>
          <cell r="BI341">
            <v>79275</v>
          </cell>
          <cell r="BJ341">
            <v>65255</v>
          </cell>
          <cell r="BK341">
            <v>65255</v>
          </cell>
          <cell r="BL341">
            <v>0</v>
          </cell>
          <cell r="BM341">
            <v>0</v>
          </cell>
          <cell r="BN341">
            <v>0</v>
          </cell>
          <cell r="BO341">
            <v>395466</v>
          </cell>
          <cell r="BP341">
            <v>31628</v>
          </cell>
          <cell r="BQ341">
            <v>56976.744186046497</v>
          </cell>
          <cell r="BR341">
            <v>0</v>
          </cell>
          <cell r="BS341">
            <v>0</v>
          </cell>
          <cell r="BT341">
            <v>67454</v>
          </cell>
          <cell r="BU341"/>
          <cell r="BV341"/>
          <cell r="BW341"/>
          <cell r="BX341"/>
          <cell r="BY341">
            <v>0</v>
          </cell>
          <cell r="BZ341">
            <v>0</v>
          </cell>
          <cell r="CA341">
            <v>0</v>
          </cell>
          <cell r="CB341">
            <v>0</v>
          </cell>
          <cell r="CC341">
            <v>4047570</v>
          </cell>
          <cell r="CD341">
            <v>22246702</v>
          </cell>
          <cell r="CE341">
            <v>1366755</v>
          </cell>
          <cell r="CF341">
            <v>-56439</v>
          </cell>
          <cell r="CG341">
            <v>1366755</v>
          </cell>
          <cell r="CH341">
            <v>1366755</v>
          </cell>
          <cell r="CI341">
            <v>1366755</v>
          </cell>
          <cell r="CJ341">
            <v>1366755</v>
          </cell>
          <cell r="CK341">
            <v>0</v>
          </cell>
          <cell r="CL341">
            <v>0</v>
          </cell>
          <cell r="CM341">
            <v>0</v>
          </cell>
          <cell r="CN341">
            <v>0</v>
          </cell>
          <cell r="CO341">
            <v>0</v>
          </cell>
          <cell r="CP341">
            <v>-6179</v>
          </cell>
          <cell r="CQ341">
            <v>5702111</v>
          </cell>
          <cell r="CR341">
            <v>5380132</v>
          </cell>
          <cell r="CS341">
            <v>5273449</v>
          </cell>
          <cell r="CT341">
            <v>5119550</v>
          </cell>
          <cell r="CU341">
            <v>4952920</v>
          </cell>
          <cell r="CV341">
            <v>-5195</v>
          </cell>
          <cell r="CW341">
            <v>0</v>
          </cell>
          <cell r="CX341">
            <v>0</v>
          </cell>
          <cell r="CY341">
            <v>0</v>
          </cell>
          <cell r="CZ341">
            <v>0</v>
          </cell>
          <cell r="DA341">
            <v>0</v>
          </cell>
          <cell r="DB341"/>
          <cell r="DC341">
            <v>0</v>
          </cell>
          <cell r="DD341">
            <v>0</v>
          </cell>
          <cell r="DE341">
            <v>0</v>
          </cell>
          <cell r="DF341">
            <v>0</v>
          </cell>
          <cell r="DG341">
            <v>0</v>
          </cell>
          <cell r="DH341">
            <v>0</v>
          </cell>
          <cell r="DI341">
            <v>0</v>
          </cell>
          <cell r="DJ341">
            <v>0</v>
          </cell>
          <cell r="DK341">
            <v>0</v>
          </cell>
          <cell r="DL341">
            <v>0</v>
          </cell>
          <cell r="DM341"/>
          <cell r="DN341"/>
          <cell r="DO341"/>
          <cell r="DP341"/>
        </row>
        <row r="342">
          <cell r="A342">
            <v>870</v>
          </cell>
          <cell r="B342" t="str">
            <v>Werkendam</v>
          </cell>
          <cell r="C342">
            <v>10</v>
          </cell>
          <cell r="D342">
            <v>-13825</v>
          </cell>
          <cell r="E342">
            <v>-6913</v>
          </cell>
          <cell r="F342">
            <v>0</v>
          </cell>
          <cell r="G342">
            <v>363449</v>
          </cell>
          <cell r="H342">
            <v>-26203</v>
          </cell>
          <cell r="I342">
            <v>-23213</v>
          </cell>
          <cell r="J342"/>
          <cell r="K342">
            <v>0</v>
          </cell>
          <cell r="L342">
            <v>72700</v>
          </cell>
          <cell r="M342">
            <v>67660</v>
          </cell>
          <cell r="N342">
            <v>0</v>
          </cell>
          <cell r="O342">
            <v>0</v>
          </cell>
          <cell r="P342">
            <v>0</v>
          </cell>
          <cell r="Q342">
            <v>0</v>
          </cell>
          <cell r="R342">
            <v>0</v>
          </cell>
          <cell r="S342">
            <v>0</v>
          </cell>
          <cell r="T342">
            <v>0</v>
          </cell>
          <cell r="U342">
            <v>0</v>
          </cell>
          <cell r="V342">
            <v>3000</v>
          </cell>
          <cell r="W342">
            <v>84653</v>
          </cell>
          <cell r="X342">
            <v>0</v>
          </cell>
          <cell r="Y342"/>
          <cell r="Z342">
            <v>0</v>
          </cell>
          <cell r="AA342">
            <v>0</v>
          </cell>
          <cell r="AB342">
            <v>0</v>
          </cell>
          <cell r="AC342"/>
          <cell r="AD342">
            <v>0</v>
          </cell>
          <cell r="AE342">
            <v>0</v>
          </cell>
          <cell r="AF342">
            <v>0</v>
          </cell>
          <cell r="AG342">
            <v>0</v>
          </cell>
          <cell r="AH342">
            <v>0</v>
          </cell>
          <cell r="AI342">
            <v>0</v>
          </cell>
          <cell r="AJ342">
            <v>0</v>
          </cell>
          <cell r="AK342">
            <v>0</v>
          </cell>
          <cell r="AL342"/>
          <cell r="AM342">
            <v>0</v>
          </cell>
          <cell r="AN342">
            <v>0</v>
          </cell>
          <cell r="AO342">
            <v>0</v>
          </cell>
          <cell r="AP342">
            <v>0</v>
          </cell>
          <cell r="AQ342">
            <v>0</v>
          </cell>
          <cell r="AR342">
            <v>0</v>
          </cell>
          <cell r="AS342">
            <v>0</v>
          </cell>
          <cell r="AT342">
            <v>0</v>
          </cell>
          <cell r="AU342">
            <v>4740</v>
          </cell>
          <cell r="AV342">
            <v>0</v>
          </cell>
          <cell r="AW342">
            <v>0</v>
          </cell>
          <cell r="AX342">
            <v>0</v>
          </cell>
          <cell r="AY342"/>
          <cell r="AZ342"/>
          <cell r="BA342">
            <v>0</v>
          </cell>
          <cell r="BB342"/>
          <cell r="BC342">
            <v>0</v>
          </cell>
          <cell r="BD342">
            <v>47096</v>
          </cell>
          <cell r="BE342"/>
          <cell r="BF342">
            <v>0</v>
          </cell>
          <cell r="BG342">
            <v>0</v>
          </cell>
          <cell r="BH342">
            <v>0</v>
          </cell>
          <cell r="BI342">
            <v>27037</v>
          </cell>
          <cell r="BJ342">
            <v>22255</v>
          </cell>
          <cell r="BK342">
            <v>22255</v>
          </cell>
          <cell r="BL342">
            <v>0</v>
          </cell>
          <cell r="BM342">
            <v>0</v>
          </cell>
          <cell r="BN342">
            <v>0</v>
          </cell>
          <cell r="BO342">
            <v>338554</v>
          </cell>
          <cell r="BP342">
            <v>7907</v>
          </cell>
          <cell r="BQ342">
            <v>14244.186046511601</v>
          </cell>
          <cell r="BR342">
            <v>0</v>
          </cell>
          <cell r="BS342">
            <v>0</v>
          </cell>
          <cell r="BT342">
            <v>46178</v>
          </cell>
          <cell r="BU342"/>
          <cell r="BV342"/>
          <cell r="BW342"/>
          <cell r="BX342"/>
          <cell r="BY342">
            <v>0</v>
          </cell>
          <cell r="BZ342">
            <v>0</v>
          </cell>
          <cell r="CA342">
            <v>0</v>
          </cell>
          <cell r="CB342">
            <v>0</v>
          </cell>
          <cell r="CC342">
            <v>1795744</v>
          </cell>
          <cell r="CD342">
            <v>9641258</v>
          </cell>
          <cell r="CE342">
            <v>625819</v>
          </cell>
          <cell r="CF342">
            <v>-53381</v>
          </cell>
          <cell r="CG342">
            <v>625819</v>
          </cell>
          <cell r="CH342">
            <v>625819</v>
          </cell>
          <cell r="CI342">
            <v>625819</v>
          </cell>
          <cell r="CJ342">
            <v>625819</v>
          </cell>
          <cell r="CK342">
            <v>0</v>
          </cell>
          <cell r="CL342">
            <v>0</v>
          </cell>
          <cell r="CM342">
            <v>0</v>
          </cell>
          <cell r="CN342">
            <v>0</v>
          </cell>
          <cell r="CO342">
            <v>0</v>
          </cell>
          <cell r="CP342">
            <v>-390</v>
          </cell>
          <cell r="CQ342">
            <v>1732567</v>
          </cell>
          <cell r="CR342">
            <v>1665133</v>
          </cell>
          <cell r="CS342">
            <v>1623741</v>
          </cell>
          <cell r="CT342">
            <v>1600624</v>
          </cell>
          <cell r="CU342">
            <v>1568613</v>
          </cell>
          <cell r="CV342">
            <v>15240</v>
          </cell>
          <cell r="CW342">
            <v>0</v>
          </cell>
          <cell r="CX342">
            <v>0</v>
          </cell>
          <cell r="CY342">
            <v>0</v>
          </cell>
          <cell r="CZ342">
            <v>0</v>
          </cell>
          <cell r="DA342">
            <v>0</v>
          </cell>
          <cell r="DB342"/>
          <cell r="DC342">
            <v>0</v>
          </cell>
          <cell r="DD342">
            <v>0</v>
          </cell>
          <cell r="DE342">
            <v>0</v>
          </cell>
          <cell r="DF342">
            <v>0</v>
          </cell>
          <cell r="DG342">
            <v>0</v>
          </cell>
          <cell r="DH342">
            <v>0</v>
          </cell>
          <cell r="DI342">
            <v>0</v>
          </cell>
          <cell r="DJ342">
            <v>0</v>
          </cell>
          <cell r="DK342">
            <v>0</v>
          </cell>
          <cell r="DL342">
            <v>0</v>
          </cell>
          <cell r="DM342"/>
          <cell r="DN342"/>
          <cell r="DO342"/>
          <cell r="DP342"/>
        </row>
        <row r="343">
          <cell r="A343">
            <v>873</v>
          </cell>
          <cell r="B343" t="str">
            <v>Woensdrecht</v>
          </cell>
          <cell r="C343">
            <v>10</v>
          </cell>
          <cell r="D343">
            <v>-10201</v>
          </cell>
          <cell r="E343">
            <v>-5101</v>
          </cell>
          <cell r="F343">
            <v>0</v>
          </cell>
          <cell r="G343">
            <v>0</v>
          </cell>
          <cell r="H343">
            <v>-15446</v>
          </cell>
          <cell r="I343">
            <v>-9589</v>
          </cell>
          <cell r="J343"/>
          <cell r="K343">
            <v>0</v>
          </cell>
          <cell r="L343">
            <v>74491</v>
          </cell>
          <cell r="M343">
            <v>66946</v>
          </cell>
          <cell r="N343">
            <v>0</v>
          </cell>
          <cell r="O343">
            <v>0</v>
          </cell>
          <cell r="P343">
            <v>0</v>
          </cell>
          <cell r="Q343">
            <v>0</v>
          </cell>
          <cell r="R343">
            <v>0</v>
          </cell>
          <cell r="S343">
            <v>0</v>
          </cell>
          <cell r="T343">
            <v>0</v>
          </cell>
          <cell r="U343">
            <v>0</v>
          </cell>
          <cell r="V343">
            <v>9000</v>
          </cell>
          <cell r="W343">
            <v>34346</v>
          </cell>
          <cell r="X343">
            <v>0</v>
          </cell>
          <cell r="Y343"/>
          <cell r="Z343">
            <v>0</v>
          </cell>
          <cell r="AA343">
            <v>0</v>
          </cell>
          <cell r="AB343">
            <v>0</v>
          </cell>
          <cell r="AC343"/>
          <cell r="AD343">
            <v>0</v>
          </cell>
          <cell r="AE343">
            <v>0</v>
          </cell>
          <cell r="AF343">
            <v>0</v>
          </cell>
          <cell r="AG343">
            <v>0</v>
          </cell>
          <cell r="AH343">
            <v>0</v>
          </cell>
          <cell r="AI343">
            <v>0</v>
          </cell>
          <cell r="AJ343">
            <v>0</v>
          </cell>
          <cell r="AK343">
            <v>0</v>
          </cell>
          <cell r="AL343"/>
          <cell r="AM343">
            <v>0</v>
          </cell>
          <cell r="AN343">
            <v>0</v>
          </cell>
          <cell r="AO343">
            <v>0</v>
          </cell>
          <cell r="AP343">
            <v>0</v>
          </cell>
          <cell r="AQ343">
            <v>0</v>
          </cell>
          <cell r="AR343">
            <v>0</v>
          </cell>
          <cell r="AS343">
            <v>0</v>
          </cell>
          <cell r="AT343">
            <v>0</v>
          </cell>
          <cell r="AU343">
            <v>2370</v>
          </cell>
          <cell r="AV343">
            <v>0</v>
          </cell>
          <cell r="AW343">
            <v>0</v>
          </cell>
          <cell r="AX343">
            <v>0</v>
          </cell>
          <cell r="AY343"/>
          <cell r="AZ343"/>
          <cell r="BA343">
            <v>0</v>
          </cell>
          <cell r="BB343"/>
          <cell r="BC343">
            <v>0</v>
          </cell>
          <cell r="BD343">
            <v>7666</v>
          </cell>
          <cell r="BE343"/>
          <cell r="BF343">
            <v>0</v>
          </cell>
          <cell r="BG343">
            <v>0</v>
          </cell>
          <cell r="BH343">
            <v>0</v>
          </cell>
          <cell r="BI343">
            <v>27382</v>
          </cell>
          <cell r="BJ343">
            <v>22539</v>
          </cell>
          <cell r="BK343">
            <v>22539</v>
          </cell>
          <cell r="BL343">
            <v>0</v>
          </cell>
          <cell r="BM343">
            <v>0</v>
          </cell>
          <cell r="BN343">
            <v>0</v>
          </cell>
          <cell r="BO343">
            <v>62749</v>
          </cell>
          <cell r="BP343">
            <v>0</v>
          </cell>
          <cell r="BQ343">
            <v>0</v>
          </cell>
          <cell r="BR343">
            <v>0</v>
          </cell>
          <cell r="BS343">
            <v>0</v>
          </cell>
          <cell r="BT343">
            <v>32955</v>
          </cell>
          <cell r="BU343"/>
          <cell r="BV343"/>
          <cell r="BW343"/>
          <cell r="BX343"/>
          <cell r="BY343">
            <v>0</v>
          </cell>
          <cell r="BZ343">
            <v>0</v>
          </cell>
          <cell r="CA343">
            <v>0</v>
          </cell>
          <cell r="CB343">
            <v>0</v>
          </cell>
          <cell r="CC343">
            <v>1757599</v>
          </cell>
          <cell r="CD343">
            <v>9975393</v>
          </cell>
          <cell r="CE343">
            <v>1737586</v>
          </cell>
          <cell r="CF343">
            <v>-4999</v>
          </cell>
          <cell r="CG343">
            <v>1737586</v>
          </cell>
          <cell r="CH343">
            <v>1737586</v>
          </cell>
          <cell r="CI343">
            <v>1737586</v>
          </cell>
          <cell r="CJ343">
            <v>1737586</v>
          </cell>
          <cell r="CK343">
            <v>0</v>
          </cell>
          <cell r="CL343">
            <v>0</v>
          </cell>
          <cell r="CM343">
            <v>0</v>
          </cell>
          <cell r="CN343">
            <v>0</v>
          </cell>
          <cell r="CO343">
            <v>0</v>
          </cell>
          <cell r="CP343">
            <v>-2714</v>
          </cell>
          <cell r="CQ343">
            <v>2171082</v>
          </cell>
          <cell r="CR343">
            <v>2107179</v>
          </cell>
          <cell r="CS343">
            <v>2082599</v>
          </cell>
          <cell r="CT343">
            <v>2058451</v>
          </cell>
          <cell r="CU343">
            <v>2022927</v>
          </cell>
          <cell r="CV343">
            <v>35588</v>
          </cell>
          <cell r="CW343">
            <v>0</v>
          </cell>
          <cell r="CX343">
            <v>0</v>
          </cell>
          <cell r="CY343">
            <v>0</v>
          </cell>
          <cell r="CZ343">
            <v>0</v>
          </cell>
          <cell r="DA343">
            <v>0</v>
          </cell>
          <cell r="DB343"/>
          <cell r="DC343">
            <v>0</v>
          </cell>
          <cell r="DD343">
            <v>0</v>
          </cell>
          <cell r="DE343">
            <v>0</v>
          </cell>
          <cell r="DF343">
            <v>0</v>
          </cell>
          <cell r="DG343">
            <v>0</v>
          </cell>
          <cell r="DH343">
            <v>0</v>
          </cell>
          <cell r="DI343">
            <v>0</v>
          </cell>
          <cell r="DJ343">
            <v>0</v>
          </cell>
          <cell r="DK343">
            <v>0</v>
          </cell>
          <cell r="DL343">
            <v>0</v>
          </cell>
          <cell r="DM343"/>
          <cell r="DN343"/>
          <cell r="DO343"/>
          <cell r="DP343"/>
        </row>
        <row r="344">
          <cell r="A344">
            <v>874</v>
          </cell>
          <cell r="B344" t="str">
            <v>Woudrichem</v>
          </cell>
          <cell r="C344">
            <v>10</v>
          </cell>
          <cell r="D344">
            <v>-6960</v>
          </cell>
          <cell r="E344">
            <v>-3480</v>
          </cell>
          <cell r="F344">
            <v>0</v>
          </cell>
          <cell r="G344">
            <v>231636</v>
          </cell>
          <cell r="H344">
            <v>-512</v>
          </cell>
          <cell r="I344">
            <v>0</v>
          </cell>
          <cell r="J344"/>
          <cell r="K344">
            <v>0</v>
          </cell>
          <cell r="L344">
            <v>37604</v>
          </cell>
          <cell r="M344">
            <v>29997</v>
          </cell>
          <cell r="N344">
            <v>0</v>
          </cell>
          <cell r="O344">
            <v>0</v>
          </cell>
          <cell r="P344">
            <v>0</v>
          </cell>
          <cell r="Q344">
            <v>0</v>
          </cell>
          <cell r="R344">
            <v>0</v>
          </cell>
          <cell r="S344">
            <v>0</v>
          </cell>
          <cell r="T344">
            <v>0</v>
          </cell>
          <cell r="U344">
            <v>0</v>
          </cell>
          <cell r="V344">
            <v>3000</v>
          </cell>
          <cell r="W344">
            <v>45256</v>
          </cell>
          <cell r="X344">
            <v>0</v>
          </cell>
          <cell r="Y344"/>
          <cell r="Z344">
            <v>0</v>
          </cell>
          <cell r="AA344">
            <v>0</v>
          </cell>
          <cell r="AB344">
            <v>0</v>
          </cell>
          <cell r="AC344"/>
          <cell r="AD344">
            <v>0</v>
          </cell>
          <cell r="AE344">
            <v>0</v>
          </cell>
          <cell r="AF344">
            <v>0</v>
          </cell>
          <cell r="AG344">
            <v>0</v>
          </cell>
          <cell r="AH344">
            <v>0</v>
          </cell>
          <cell r="AI344">
            <v>0</v>
          </cell>
          <cell r="AJ344">
            <v>0</v>
          </cell>
          <cell r="AK344">
            <v>0</v>
          </cell>
          <cell r="AL344"/>
          <cell r="AM344">
            <v>0</v>
          </cell>
          <cell r="AN344">
            <v>0</v>
          </cell>
          <cell r="AO344">
            <v>0</v>
          </cell>
          <cell r="AP344">
            <v>0</v>
          </cell>
          <cell r="AQ344">
            <v>0</v>
          </cell>
          <cell r="AR344">
            <v>0</v>
          </cell>
          <cell r="AS344">
            <v>0</v>
          </cell>
          <cell r="AT344">
            <v>0</v>
          </cell>
          <cell r="AU344">
            <v>2370</v>
          </cell>
          <cell r="AV344">
            <v>0</v>
          </cell>
          <cell r="AW344">
            <v>0</v>
          </cell>
          <cell r="AX344">
            <v>0</v>
          </cell>
          <cell r="AY344"/>
          <cell r="AZ344"/>
          <cell r="BA344">
            <v>0</v>
          </cell>
          <cell r="BB344"/>
          <cell r="BC344">
            <v>0</v>
          </cell>
          <cell r="BD344">
            <v>25508</v>
          </cell>
          <cell r="BE344"/>
          <cell r="BF344">
            <v>0</v>
          </cell>
          <cell r="BG344">
            <v>0</v>
          </cell>
          <cell r="BH344">
            <v>0</v>
          </cell>
          <cell r="BI344">
            <v>15915</v>
          </cell>
          <cell r="BJ344">
            <v>13101</v>
          </cell>
          <cell r="BK344">
            <v>13101</v>
          </cell>
          <cell r="BL344">
            <v>0</v>
          </cell>
          <cell r="BM344">
            <v>0</v>
          </cell>
          <cell r="BN344">
            <v>0</v>
          </cell>
          <cell r="BO344">
            <v>77828</v>
          </cell>
          <cell r="BP344">
            <v>4744.2</v>
          </cell>
          <cell r="BQ344">
            <v>8546.5116279069807</v>
          </cell>
          <cell r="BR344">
            <v>0</v>
          </cell>
          <cell r="BS344">
            <v>0</v>
          </cell>
          <cell r="BT344">
            <v>26508</v>
          </cell>
          <cell r="BU344"/>
          <cell r="BV344"/>
          <cell r="BW344"/>
          <cell r="BX344"/>
          <cell r="BY344">
            <v>0</v>
          </cell>
          <cell r="BZ344">
            <v>0</v>
          </cell>
          <cell r="CA344">
            <v>0</v>
          </cell>
          <cell r="CB344">
            <v>0</v>
          </cell>
          <cell r="CC344">
            <v>1002683</v>
          </cell>
          <cell r="CD344">
            <v>5792105</v>
          </cell>
          <cell r="CE344">
            <v>359824</v>
          </cell>
          <cell r="CF344">
            <v>0</v>
          </cell>
          <cell r="CG344">
            <v>359824</v>
          </cell>
          <cell r="CH344">
            <v>359824</v>
          </cell>
          <cell r="CI344">
            <v>359824</v>
          </cell>
          <cell r="CJ344">
            <v>359824</v>
          </cell>
          <cell r="CK344">
            <v>0</v>
          </cell>
          <cell r="CL344">
            <v>0</v>
          </cell>
          <cell r="CM344">
            <v>0</v>
          </cell>
          <cell r="CN344">
            <v>0</v>
          </cell>
          <cell r="CO344">
            <v>0</v>
          </cell>
          <cell r="CP344">
            <v>0</v>
          </cell>
          <cell r="CQ344">
            <v>1080559</v>
          </cell>
          <cell r="CR344">
            <v>1009237</v>
          </cell>
          <cell r="CS344">
            <v>963394</v>
          </cell>
          <cell r="CT344">
            <v>947637</v>
          </cell>
          <cell r="CU344">
            <v>906736</v>
          </cell>
          <cell r="CV344">
            <v>-13560</v>
          </cell>
          <cell r="CW344">
            <v>0</v>
          </cell>
          <cell r="CX344">
            <v>0</v>
          </cell>
          <cell r="CY344">
            <v>0</v>
          </cell>
          <cell r="CZ344">
            <v>0</v>
          </cell>
          <cell r="DA344">
            <v>0</v>
          </cell>
          <cell r="DB344"/>
          <cell r="DC344">
            <v>0</v>
          </cell>
          <cell r="DD344">
            <v>0</v>
          </cell>
          <cell r="DE344">
            <v>0</v>
          </cell>
          <cell r="DF344">
            <v>0</v>
          </cell>
          <cell r="DG344">
            <v>0</v>
          </cell>
          <cell r="DH344">
            <v>0</v>
          </cell>
          <cell r="DI344">
            <v>0</v>
          </cell>
          <cell r="DJ344">
            <v>0</v>
          </cell>
          <cell r="DK344">
            <v>0</v>
          </cell>
          <cell r="DL344">
            <v>0</v>
          </cell>
          <cell r="DM344"/>
          <cell r="DN344"/>
          <cell r="DO344"/>
          <cell r="DP344"/>
        </row>
        <row r="345">
          <cell r="A345">
            <v>879</v>
          </cell>
          <cell r="B345" t="str">
            <v>Zundert</v>
          </cell>
          <cell r="C345">
            <v>10</v>
          </cell>
          <cell r="D345">
            <v>-29745</v>
          </cell>
          <cell r="E345">
            <v>-14873</v>
          </cell>
          <cell r="F345">
            <v>0</v>
          </cell>
          <cell r="G345">
            <v>0</v>
          </cell>
          <cell r="H345">
            <v>-21006</v>
          </cell>
          <cell r="I345">
            <v>-15527</v>
          </cell>
          <cell r="J345"/>
          <cell r="K345">
            <v>0</v>
          </cell>
          <cell r="L345">
            <v>67329</v>
          </cell>
          <cell r="M345">
            <v>61709</v>
          </cell>
          <cell r="N345">
            <v>0</v>
          </cell>
          <cell r="O345">
            <v>0</v>
          </cell>
          <cell r="P345">
            <v>0</v>
          </cell>
          <cell r="Q345">
            <v>0</v>
          </cell>
          <cell r="R345">
            <v>0</v>
          </cell>
          <cell r="S345">
            <v>0</v>
          </cell>
          <cell r="T345">
            <v>0</v>
          </cell>
          <cell r="U345">
            <v>0</v>
          </cell>
          <cell r="V345">
            <v>9000</v>
          </cell>
          <cell r="W345">
            <v>35558</v>
          </cell>
          <cell r="X345">
            <v>0</v>
          </cell>
          <cell r="Y345"/>
          <cell r="Z345">
            <v>0</v>
          </cell>
          <cell r="AA345">
            <v>0</v>
          </cell>
          <cell r="AB345">
            <v>0</v>
          </cell>
          <cell r="AC345"/>
          <cell r="AD345">
            <v>0</v>
          </cell>
          <cell r="AE345">
            <v>0</v>
          </cell>
          <cell r="AF345">
            <v>0</v>
          </cell>
          <cell r="AG345">
            <v>0</v>
          </cell>
          <cell r="AH345">
            <v>0</v>
          </cell>
          <cell r="AI345">
            <v>0</v>
          </cell>
          <cell r="AJ345">
            <v>0</v>
          </cell>
          <cell r="AK345">
            <v>0</v>
          </cell>
          <cell r="AL345"/>
          <cell r="AM345">
            <v>0</v>
          </cell>
          <cell r="AN345">
            <v>0</v>
          </cell>
          <cell r="AO345">
            <v>0</v>
          </cell>
          <cell r="AP345">
            <v>0</v>
          </cell>
          <cell r="AQ345">
            <v>0</v>
          </cell>
          <cell r="AR345">
            <v>0</v>
          </cell>
          <cell r="AS345">
            <v>0</v>
          </cell>
          <cell r="AT345">
            <v>0</v>
          </cell>
          <cell r="AU345">
            <v>7110</v>
          </cell>
          <cell r="AV345">
            <v>0</v>
          </cell>
          <cell r="AW345">
            <v>0</v>
          </cell>
          <cell r="AX345">
            <v>0</v>
          </cell>
          <cell r="AY345"/>
          <cell r="AZ345"/>
          <cell r="BA345">
            <v>0</v>
          </cell>
          <cell r="BB345"/>
          <cell r="BC345">
            <v>0</v>
          </cell>
          <cell r="BD345">
            <v>7602</v>
          </cell>
          <cell r="BE345"/>
          <cell r="BF345">
            <v>0</v>
          </cell>
          <cell r="BG345">
            <v>0</v>
          </cell>
          <cell r="BH345">
            <v>0</v>
          </cell>
          <cell r="BI345">
            <v>29569</v>
          </cell>
          <cell r="BJ345">
            <v>24340</v>
          </cell>
          <cell r="BK345">
            <v>24340</v>
          </cell>
          <cell r="BL345">
            <v>0</v>
          </cell>
          <cell r="BM345">
            <v>0</v>
          </cell>
          <cell r="BN345">
            <v>0</v>
          </cell>
          <cell r="BO345">
            <v>42319</v>
          </cell>
          <cell r="BP345">
            <v>12651.2</v>
          </cell>
          <cell r="BQ345">
            <v>22790.697674418599</v>
          </cell>
          <cell r="BR345">
            <v>0</v>
          </cell>
          <cell r="BS345">
            <v>0</v>
          </cell>
          <cell r="BT345">
            <v>30360</v>
          </cell>
          <cell r="BU345"/>
          <cell r="BV345"/>
          <cell r="BW345"/>
          <cell r="BX345"/>
          <cell r="BY345">
            <v>0</v>
          </cell>
          <cell r="BZ345">
            <v>0</v>
          </cell>
          <cell r="CA345">
            <v>0</v>
          </cell>
          <cell r="CB345">
            <v>0</v>
          </cell>
          <cell r="CC345">
            <v>1876603</v>
          </cell>
          <cell r="CD345">
            <v>9148455</v>
          </cell>
          <cell r="CE345">
            <v>906909</v>
          </cell>
          <cell r="CF345">
            <v>-25974</v>
          </cell>
          <cell r="CG345">
            <v>906909</v>
          </cell>
          <cell r="CH345">
            <v>906909</v>
          </cell>
          <cell r="CI345">
            <v>906909</v>
          </cell>
          <cell r="CJ345">
            <v>906909</v>
          </cell>
          <cell r="CK345">
            <v>0</v>
          </cell>
          <cell r="CL345">
            <v>0</v>
          </cell>
          <cell r="CM345">
            <v>0</v>
          </cell>
          <cell r="CN345">
            <v>0</v>
          </cell>
          <cell r="CO345">
            <v>0</v>
          </cell>
          <cell r="CP345">
            <v>-1738</v>
          </cell>
          <cell r="CQ345">
            <v>2026362</v>
          </cell>
          <cell r="CR345">
            <v>1911331</v>
          </cell>
          <cell r="CS345">
            <v>1841608</v>
          </cell>
          <cell r="CT345">
            <v>1810720</v>
          </cell>
          <cell r="CU345">
            <v>1790925</v>
          </cell>
          <cell r="CV345">
            <v>22143</v>
          </cell>
          <cell r="CW345">
            <v>0</v>
          </cell>
          <cell r="CX345">
            <v>0</v>
          </cell>
          <cell r="CY345">
            <v>0</v>
          </cell>
          <cell r="CZ345">
            <v>0</v>
          </cell>
          <cell r="DA345">
            <v>0</v>
          </cell>
          <cell r="DB345"/>
          <cell r="DC345">
            <v>0</v>
          </cell>
          <cell r="DD345">
            <v>0</v>
          </cell>
          <cell r="DE345">
            <v>0</v>
          </cell>
          <cell r="DF345">
            <v>0</v>
          </cell>
          <cell r="DG345">
            <v>0</v>
          </cell>
          <cell r="DH345">
            <v>0</v>
          </cell>
          <cell r="DI345">
            <v>0</v>
          </cell>
          <cell r="DJ345">
            <v>0</v>
          </cell>
          <cell r="DK345">
            <v>0</v>
          </cell>
          <cell r="DL345">
            <v>0</v>
          </cell>
          <cell r="DM345"/>
          <cell r="DN345"/>
          <cell r="DO345"/>
          <cell r="DP345"/>
        </row>
        <row r="346">
          <cell r="A346">
            <v>888</v>
          </cell>
          <cell r="B346" t="str">
            <v>Beek</v>
          </cell>
          <cell r="C346">
            <v>11</v>
          </cell>
          <cell r="D346">
            <v>31122</v>
          </cell>
          <cell r="E346">
            <v>15561</v>
          </cell>
          <cell r="F346">
            <v>0</v>
          </cell>
          <cell r="G346">
            <v>0</v>
          </cell>
          <cell r="H346">
            <v>-5475</v>
          </cell>
          <cell r="I346">
            <v>0</v>
          </cell>
          <cell r="J346"/>
          <cell r="K346">
            <v>0</v>
          </cell>
          <cell r="L346">
            <v>61240</v>
          </cell>
          <cell r="M346">
            <v>57209</v>
          </cell>
          <cell r="N346">
            <v>0</v>
          </cell>
          <cell r="O346">
            <v>0</v>
          </cell>
          <cell r="P346">
            <v>0</v>
          </cell>
          <cell r="Q346">
            <v>0</v>
          </cell>
          <cell r="R346">
            <v>0</v>
          </cell>
          <cell r="S346">
            <v>0</v>
          </cell>
          <cell r="T346">
            <v>0</v>
          </cell>
          <cell r="U346">
            <v>0</v>
          </cell>
          <cell r="V346">
            <v>3000</v>
          </cell>
          <cell r="W346">
            <v>61812</v>
          </cell>
          <cell r="X346">
            <v>0</v>
          </cell>
          <cell r="Y346"/>
          <cell r="Z346">
            <v>0</v>
          </cell>
          <cell r="AA346">
            <v>0</v>
          </cell>
          <cell r="AB346">
            <v>0</v>
          </cell>
          <cell r="AC346"/>
          <cell r="AD346">
            <v>0</v>
          </cell>
          <cell r="AE346">
            <v>0</v>
          </cell>
          <cell r="AF346">
            <v>0</v>
          </cell>
          <cell r="AG346">
            <v>0</v>
          </cell>
          <cell r="AH346">
            <v>0</v>
          </cell>
          <cell r="AI346">
            <v>0</v>
          </cell>
          <cell r="AJ346">
            <v>0</v>
          </cell>
          <cell r="AK346">
            <v>0</v>
          </cell>
          <cell r="AL346"/>
          <cell r="AM346">
            <v>0</v>
          </cell>
          <cell r="AN346">
            <v>0</v>
          </cell>
          <cell r="AO346">
            <v>0</v>
          </cell>
          <cell r="AP346">
            <v>0</v>
          </cell>
          <cell r="AQ346">
            <v>0</v>
          </cell>
          <cell r="AR346">
            <v>0</v>
          </cell>
          <cell r="AS346">
            <v>0</v>
          </cell>
          <cell r="AT346">
            <v>0</v>
          </cell>
          <cell r="AU346">
            <v>11850</v>
          </cell>
          <cell r="AV346">
            <v>0</v>
          </cell>
          <cell r="AW346">
            <v>0</v>
          </cell>
          <cell r="AX346">
            <v>0</v>
          </cell>
          <cell r="AY346"/>
          <cell r="AZ346"/>
          <cell r="BA346">
            <v>0</v>
          </cell>
          <cell r="BB346"/>
          <cell r="BC346">
            <v>0</v>
          </cell>
          <cell r="BD346">
            <v>5599</v>
          </cell>
          <cell r="BE346"/>
          <cell r="BF346">
            <v>0</v>
          </cell>
          <cell r="BG346">
            <v>0</v>
          </cell>
          <cell r="BH346">
            <v>0</v>
          </cell>
          <cell r="BI346">
            <v>24820</v>
          </cell>
          <cell r="BJ346">
            <v>20431</v>
          </cell>
          <cell r="BK346">
            <v>20431</v>
          </cell>
          <cell r="BL346">
            <v>0</v>
          </cell>
          <cell r="BM346">
            <v>0</v>
          </cell>
          <cell r="BN346">
            <v>0</v>
          </cell>
          <cell r="BO346">
            <v>51561</v>
          </cell>
          <cell r="BP346">
            <v>7907</v>
          </cell>
          <cell r="BQ346">
            <v>14244.186046511601</v>
          </cell>
          <cell r="BR346">
            <v>0</v>
          </cell>
          <cell r="BS346">
            <v>0</v>
          </cell>
          <cell r="BT346">
            <v>23555</v>
          </cell>
          <cell r="BU346"/>
          <cell r="BV346"/>
          <cell r="BW346"/>
          <cell r="BX346"/>
          <cell r="BY346">
            <v>0</v>
          </cell>
          <cell r="BZ346">
            <v>0</v>
          </cell>
          <cell r="CA346">
            <v>0</v>
          </cell>
          <cell r="CB346">
            <v>0</v>
          </cell>
          <cell r="CC346">
            <v>1506652</v>
          </cell>
          <cell r="CD346">
            <v>7047113</v>
          </cell>
          <cell r="CE346">
            <v>444818</v>
          </cell>
          <cell r="CF346">
            <v>0</v>
          </cell>
          <cell r="CG346">
            <v>444818</v>
          </cell>
          <cell r="CH346">
            <v>444818</v>
          </cell>
          <cell r="CI346">
            <v>444818</v>
          </cell>
          <cell r="CJ346">
            <v>444818</v>
          </cell>
          <cell r="CK346">
            <v>0</v>
          </cell>
          <cell r="CL346">
            <v>0</v>
          </cell>
          <cell r="CM346">
            <v>0</v>
          </cell>
          <cell r="CN346">
            <v>0</v>
          </cell>
          <cell r="CO346">
            <v>0</v>
          </cell>
          <cell r="CP346">
            <v>0</v>
          </cell>
          <cell r="CQ346">
            <v>1417104</v>
          </cell>
          <cell r="CR346">
            <v>1339787</v>
          </cell>
          <cell r="CS346">
            <v>1254697</v>
          </cell>
          <cell r="CT346">
            <v>1199645</v>
          </cell>
          <cell r="CU346">
            <v>1153718</v>
          </cell>
          <cell r="CV346">
            <v>22761</v>
          </cell>
          <cell r="CW346">
            <v>0</v>
          </cell>
          <cell r="CX346">
            <v>0</v>
          </cell>
          <cell r="CY346">
            <v>0</v>
          </cell>
          <cell r="CZ346">
            <v>0</v>
          </cell>
          <cell r="DA346">
            <v>0</v>
          </cell>
          <cell r="DB346"/>
          <cell r="DC346">
            <v>0</v>
          </cell>
          <cell r="DD346">
            <v>0</v>
          </cell>
          <cell r="DE346">
            <v>0</v>
          </cell>
          <cell r="DF346">
            <v>0</v>
          </cell>
          <cell r="DG346">
            <v>0</v>
          </cell>
          <cell r="DH346">
            <v>0</v>
          </cell>
          <cell r="DI346">
            <v>0</v>
          </cell>
          <cell r="DJ346">
            <v>0</v>
          </cell>
          <cell r="DK346">
            <v>0</v>
          </cell>
          <cell r="DL346">
            <v>0</v>
          </cell>
          <cell r="DM346"/>
          <cell r="DN346"/>
          <cell r="DO346"/>
          <cell r="DP346"/>
        </row>
        <row r="347">
          <cell r="A347">
            <v>889</v>
          </cell>
          <cell r="B347" t="str">
            <v>Beesel</v>
          </cell>
          <cell r="C347">
            <v>11</v>
          </cell>
          <cell r="D347">
            <v>-16592</v>
          </cell>
          <cell r="E347">
            <v>-8296</v>
          </cell>
          <cell r="F347">
            <v>0</v>
          </cell>
          <cell r="G347">
            <v>0</v>
          </cell>
          <cell r="H347">
            <v>0</v>
          </cell>
          <cell r="I347">
            <v>0</v>
          </cell>
          <cell r="J347"/>
          <cell r="K347">
            <v>0</v>
          </cell>
          <cell r="L347">
            <v>46259</v>
          </cell>
          <cell r="M347">
            <v>51995</v>
          </cell>
          <cell r="N347">
            <v>0</v>
          </cell>
          <cell r="O347">
            <v>0</v>
          </cell>
          <cell r="P347">
            <v>0</v>
          </cell>
          <cell r="Q347">
            <v>0</v>
          </cell>
          <cell r="R347">
            <v>0</v>
          </cell>
          <cell r="S347">
            <v>0</v>
          </cell>
          <cell r="T347">
            <v>0</v>
          </cell>
          <cell r="U347">
            <v>0</v>
          </cell>
          <cell r="V347">
            <v>0</v>
          </cell>
          <cell r="W347">
            <v>53648</v>
          </cell>
          <cell r="X347">
            <v>0</v>
          </cell>
          <cell r="Y347"/>
          <cell r="Z347">
            <v>0</v>
          </cell>
          <cell r="AA347">
            <v>0</v>
          </cell>
          <cell r="AB347">
            <v>0</v>
          </cell>
          <cell r="AC347"/>
          <cell r="AD347">
            <v>0</v>
          </cell>
          <cell r="AE347">
            <v>0</v>
          </cell>
          <cell r="AF347">
            <v>0</v>
          </cell>
          <cell r="AG347">
            <v>0</v>
          </cell>
          <cell r="AH347">
            <v>0</v>
          </cell>
          <cell r="AI347">
            <v>0</v>
          </cell>
          <cell r="AJ347">
            <v>0</v>
          </cell>
          <cell r="AK347">
            <v>0</v>
          </cell>
          <cell r="AL347"/>
          <cell r="AM347">
            <v>0</v>
          </cell>
          <cell r="AN347">
            <v>0</v>
          </cell>
          <cell r="AO347">
            <v>0</v>
          </cell>
          <cell r="AP347">
            <v>0</v>
          </cell>
          <cell r="AQ347">
            <v>0</v>
          </cell>
          <cell r="AR347">
            <v>0</v>
          </cell>
          <cell r="AS347">
            <v>0</v>
          </cell>
          <cell r="AT347">
            <v>0</v>
          </cell>
          <cell r="AU347">
            <v>0</v>
          </cell>
          <cell r="AV347">
            <v>0</v>
          </cell>
          <cell r="AW347">
            <v>0</v>
          </cell>
          <cell r="AX347">
            <v>0</v>
          </cell>
          <cell r="AY347"/>
          <cell r="AZ347"/>
          <cell r="BA347">
            <v>0</v>
          </cell>
          <cell r="BB347"/>
          <cell r="BC347">
            <v>0</v>
          </cell>
          <cell r="BD347">
            <v>4706</v>
          </cell>
          <cell r="BE347"/>
          <cell r="BF347">
            <v>0</v>
          </cell>
          <cell r="BG347">
            <v>0</v>
          </cell>
          <cell r="BH347">
            <v>0</v>
          </cell>
          <cell r="BI347">
            <v>19900</v>
          </cell>
          <cell r="BJ347">
            <v>16381</v>
          </cell>
          <cell r="BK347">
            <v>16381</v>
          </cell>
          <cell r="BL347">
            <v>0</v>
          </cell>
          <cell r="BM347">
            <v>0</v>
          </cell>
          <cell r="BN347">
            <v>0</v>
          </cell>
          <cell r="BO347">
            <v>20430</v>
          </cell>
          <cell r="BP347">
            <v>0</v>
          </cell>
          <cell r="BQ347">
            <v>0</v>
          </cell>
          <cell r="BR347">
            <v>0</v>
          </cell>
          <cell r="BS347">
            <v>0</v>
          </cell>
          <cell r="BT347">
            <v>20837</v>
          </cell>
          <cell r="BU347"/>
          <cell r="BV347"/>
          <cell r="BW347"/>
          <cell r="BX347"/>
          <cell r="BY347">
            <v>0</v>
          </cell>
          <cell r="BZ347">
            <v>0</v>
          </cell>
          <cell r="CA347">
            <v>0</v>
          </cell>
          <cell r="CB347">
            <v>0</v>
          </cell>
          <cell r="CC347">
            <v>1212678</v>
          </cell>
          <cell r="CD347">
            <v>6443852</v>
          </cell>
          <cell r="CE347">
            <v>262945</v>
          </cell>
          <cell r="CF347">
            <v>-2361</v>
          </cell>
          <cell r="CG347">
            <v>262945</v>
          </cell>
          <cell r="CH347">
            <v>262945</v>
          </cell>
          <cell r="CI347">
            <v>262945</v>
          </cell>
          <cell r="CJ347">
            <v>262945</v>
          </cell>
          <cell r="CK347">
            <v>0</v>
          </cell>
          <cell r="CL347">
            <v>0</v>
          </cell>
          <cell r="CM347">
            <v>0</v>
          </cell>
          <cell r="CN347">
            <v>0</v>
          </cell>
          <cell r="CO347">
            <v>0</v>
          </cell>
          <cell r="CP347">
            <v>0</v>
          </cell>
          <cell r="CQ347">
            <v>1535494</v>
          </cell>
          <cell r="CR347">
            <v>1448170</v>
          </cell>
          <cell r="CS347">
            <v>1361251</v>
          </cell>
          <cell r="CT347">
            <v>1321583</v>
          </cell>
          <cell r="CU347">
            <v>1320682</v>
          </cell>
          <cell r="CV347">
            <v>4553</v>
          </cell>
          <cell r="CW347">
            <v>0</v>
          </cell>
          <cell r="CX347">
            <v>0</v>
          </cell>
          <cell r="CY347">
            <v>0</v>
          </cell>
          <cell r="CZ347">
            <v>0</v>
          </cell>
          <cell r="DA347">
            <v>0</v>
          </cell>
          <cell r="DB347"/>
          <cell r="DC347">
            <v>0</v>
          </cell>
          <cell r="DD347">
            <v>0</v>
          </cell>
          <cell r="DE347">
            <v>0</v>
          </cell>
          <cell r="DF347">
            <v>0</v>
          </cell>
          <cell r="DG347">
            <v>0</v>
          </cell>
          <cell r="DH347">
            <v>0</v>
          </cell>
          <cell r="DI347">
            <v>0</v>
          </cell>
          <cell r="DJ347">
            <v>0</v>
          </cell>
          <cell r="DK347">
            <v>0</v>
          </cell>
          <cell r="DL347">
            <v>0</v>
          </cell>
          <cell r="DM347"/>
          <cell r="DN347"/>
          <cell r="DO347"/>
          <cell r="DP347"/>
        </row>
        <row r="348">
          <cell r="A348">
            <v>893</v>
          </cell>
          <cell r="B348" t="str">
            <v>Bergen L</v>
          </cell>
          <cell r="C348">
            <v>11</v>
          </cell>
          <cell r="D348">
            <v>-11205</v>
          </cell>
          <cell r="E348">
            <v>-5603</v>
          </cell>
          <cell r="F348">
            <v>0</v>
          </cell>
          <cell r="G348">
            <v>0</v>
          </cell>
          <cell r="H348">
            <v>-29627</v>
          </cell>
          <cell r="I348">
            <v>-17632</v>
          </cell>
          <cell r="J348"/>
          <cell r="K348">
            <v>0</v>
          </cell>
          <cell r="L348">
            <v>40111</v>
          </cell>
          <cell r="M348">
            <v>43425</v>
          </cell>
          <cell r="N348">
            <v>0</v>
          </cell>
          <cell r="O348">
            <v>0</v>
          </cell>
          <cell r="P348">
            <v>0</v>
          </cell>
          <cell r="Q348">
            <v>0</v>
          </cell>
          <cell r="R348">
            <v>0</v>
          </cell>
          <cell r="S348">
            <v>0</v>
          </cell>
          <cell r="T348">
            <v>0</v>
          </cell>
          <cell r="U348">
            <v>0</v>
          </cell>
          <cell r="V348">
            <v>0</v>
          </cell>
          <cell r="W348">
            <v>54426</v>
          </cell>
          <cell r="X348">
            <v>0</v>
          </cell>
          <cell r="Y348"/>
          <cell r="Z348">
            <v>0</v>
          </cell>
          <cell r="AA348">
            <v>0</v>
          </cell>
          <cell r="AB348">
            <v>0</v>
          </cell>
          <cell r="AC348"/>
          <cell r="AD348">
            <v>26400</v>
          </cell>
          <cell r="AE348">
            <v>0</v>
          </cell>
          <cell r="AF348">
            <v>0</v>
          </cell>
          <cell r="AG348">
            <v>0</v>
          </cell>
          <cell r="AH348">
            <v>0</v>
          </cell>
          <cell r="AI348">
            <v>0</v>
          </cell>
          <cell r="AJ348">
            <v>0</v>
          </cell>
          <cell r="AK348">
            <v>0</v>
          </cell>
          <cell r="AL348"/>
          <cell r="AM348">
            <v>0</v>
          </cell>
          <cell r="AN348">
            <v>0</v>
          </cell>
          <cell r="AO348">
            <v>0</v>
          </cell>
          <cell r="AP348">
            <v>0</v>
          </cell>
          <cell r="AQ348">
            <v>0</v>
          </cell>
          <cell r="AR348">
            <v>0</v>
          </cell>
          <cell r="AS348">
            <v>0</v>
          </cell>
          <cell r="AT348">
            <v>0</v>
          </cell>
          <cell r="AU348">
            <v>0</v>
          </cell>
          <cell r="AV348">
            <v>0</v>
          </cell>
          <cell r="AW348">
            <v>0</v>
          </cell>
          <cell r="AX348">
            <v>0</v>
          </cell>
          <cell r="AY348"/>
          <cell r="AZ348"/>
          <cell r="BA348">
            <v>0</v>
          </cell>
          <cell r="BB348"/>
          <cell r="BC348">
            <v>0</v>
          </cell>
          <cell r="BD348">
            <v>4597</v>
          </cell>
          <cell r="BE348"/>
          <cell r="BF348">
            <v>0</v>
          </cell>
          <cell r="BG348">
            <v>0</v>
          </cell>
          <cell r="BH348">
            <v>0</v>
          </cell>
          <cell r="BI348">
            <v>19601</v>
          </cell>
          <cell r="BJ348">
            <v>16135</v>
          </cell>
          <cell r="BK348">
            <v>16135</v>
          </cell>
          <cell r="BL348">
            <v>0</v>
          </cell>
          <cell r="BM348">
            <v>0</v>
          </cell>
          <cell r="BN348">
            <v>0</v>
          </cell>
          <cell r="BO348">
            <v>12161</v>
          </cell>
          <cell r="BP348">
            <v>0</v>
          </cell>
          <cell r="BQ348">
            <v>0</v>
          </cell>
          <cell r="BR348">
            <v>0</v>
          </cell>
          <cell r="BS348">
            <v>0</v>
          </cell>
          <cell r="BT348">
            <v>27189</v>
          </cell>
          <cell r="BU348"/>
          <cell r="BV348"/>
          <cell r="BW348"/>
          <cell r="BX348"/>
          <cell r="BY348">
            <v>0</v>
          </cell>
          <cell r="BZ348">
            <v>0</v>
          </cell>
          <cell r="CA348">
            <v>0</v>
          </cell>
          <cell r="CB348">
            <v>0</v>
          </cell>
          <cell r="CC348">
            <v>1232654</v>
          </cell>
          <cell r="CD348">
            <v>7356422</v>
          </cell>
          <cell r="CE348">
            <v>418772</v>
          </cell>
          <cell r="CF348">
            <v>-25248</v>
          </cell>
          <cell r="CG348">
            <v>418772</v>
          </cell>
          <cell r="CH348">
            <v>418772</v>
          </cell>
          <cell r="CI348">
            <v>418772</v>
          </cell>
          <cell r="CJ348">
            <v>418772</v>
          </cell>
          <cell r="CK348">
            <v>0</v>
          </cell>
          <cell r="CL348">
            <v>0</v>
          </cell>
          <cell r="CM348">
            <v>0</v>
          </cell>
          <cell r="CN348">
            <v>0</v>
          </cell>
          <cell r="CO348">
            <v>0</v>
          </cell>
          <cell r="CP348">
            <v>-2639</v>
          </cell>
          <cell r="CQ348">
            <v>2348627</v>
          </cell>
          <cell r="CR348">
            <v>2221013</v>
          </cell>
          <cell r="CS348">
            <v>2175805</v>
          </cell>
          <cell r="CT348">
            <v>2114838</v>
          </cell>
          <cell r="CU348">
            <v>2017311</v>
          </cell>
          <cell r="CV348">
            <v>-1954</v>
          </cell>
          <cell r="CW348">
            <v>0</v>
          </cell>
          <cell r="CX348">
            <v>0</v>
          </cell>
          <cell r="CY348">
            <v>0</v>
          </cell>
          <cell r="CZ348">
            <v>0</v>
          </cell>
          <cell r="DA348">
            <v>0</v>
          </cell>
          <cell r="DB348"/>
          <cell r="DC348">
            <v>0</v>
          </cell>
          <cell r="DD348">
            <v>0</v>
          </cell>
          <cell r="DE348">
            <v>0</v>
          </cell>
          <cell r="DF348">
            <v>0</v>
          </cell>
          <cell r="DG348">
            <v>0</v>
          </cell>
          <cell r="DH348">
            <v>0</v>
          </cell>
          <cell r="DI348">
            <v>0</v>
          </cell>
          <cell r="DJ348">
            <v>0</v>
          </cell>
          <cell r="DK348">
            <v>0</v>
          </cell>
          <cell r="DL348">
            <v>0</v>
          </cell>
          <cell r="DM348"/>
          <cell r="DN348"/>
          <cell r="DO348"/>
          <cell r="DP348"/>
        </row>
        <row r="349">
          <cell r="A349">
            <v>899</v>
          </cell>
          <cell r="B349" t="str">
            <v>Brunssum</v>
          </cell>
          <cell r="C349">
            <v>11</v>
          </cell>
          <cell r="D349">
            <v>23113</v>
          </cell>
          <cell r="E349">
            <v>11557</v>
          </cell>
          <cell r="F349">
            <v>0</v>
          </cell>
          <cell r="G349">
            <v>0</v>
          </cell>
          <cell r="H349">
            <v>-26623</v>
          </cell>
          <cell r="I349">
            <v>-23290</v>
          </cell>
          <cell r="J349"/>
          <cell r="K349">
            <v>0</v>
          </cell>
          <cell r="L349">
            <v>183960</v>
          </cell>
          <cell r="M349">
            <v>179031</v>
          </cell>
          <cell r="N349">
            <v>0</v>
          </cell>
          <cell r="O349">
            <v>0</v>
          </cell>
          <cell r="P349">
            <v>0</v>
          </cell>
          <cell r="Q349">
            <v>0</v>
          </cell>
          <cell r="R349">
            <v>0</v>
          </cell>
          <cell r="S349">
            <v>0</v>
          </cell>
          <cell r="T349">
            <v>0</v>
          </cell>
          <cell r="U349">
            <v>0</v>
          </cell>
          <cell r="V349">
            <v>3000</v>
          </cell>
          <cell r="W349">
            <v>99133</v>
          </cell>
          <cell r="X349">
            <v>0</v>
          </cell>
          <cell r="Y349"/>
          <cell r="Z349">
            <v>0</v>
          </cell>
          <cell r="AA349">
            <v>0</v>
          </cell>
          <cell r="AB349">
            <v>0</v>
          </cell>
          <cell r="AC349"/>
          <cell r="AD349">
            <v>94846</v>
          </cell>
          <cell r="AE349">
            <v>0</v>
          </cell>
          <cell r="AF349">
            <v>0</v>
          </cell>
          <cell r="AG349">
            <v>0</v>
          </cell>
          <cell r="AH349">
            <v>0</v>
          </cell>
          <cell r="AI349">
            <v>0</v>
          </cell>
          <cell r="AJ349">
            <v>0</v>
          </cell>
          <cell r="AK349">
            <v>0</v>
          </cell>
          <cell r="AL349"/>
          <cell r="AM349">
            <v>0</v>
          </cell>
          <cell r="AN349">
            <v>0</v>
          </cell>
          <cell r="AO349">
            <v>0</v>
          </cell>
          <cell r="AP349">
            <v>0</v>
          </cell>
          <cell r="AQ349">
            <v>0</v>
          </cell>
          <cell r="AR349">
            <v>0</v>
          </cell>
          <cell r="AS349">
            <v>0</v>
          </cell>
          <cell r="AT349">
            <v>0</v>
          </cell>
          <cell r="AU349">
            <v>2370</v>
          </cell>
          <cell r="AV349">
            <v>0</v>
          </cell>
          <cell r="AW349">
            <v>0</v>
          </cell>
          <cell r="AX349">
            <v>0</v>
          </cell>
          <cell r="AY349"/>
          <cell r="AZ349"/>
          <cell r="BA349">
            <v>0</v>
          </cell>
          <cell r="BB349"/>
          <cell r="BC349">
            <v>0</v>
          </cell>
          <cell r="BD349">
            <v>9955</v>
          </cell>
          <cell r="BE349"/>
          <cell r="BF349">
            <v>0</v>
          </cell>
          <cell r="BG349">
            <v>0</v>
          </cell>
          <cell r="BH349">
            <v>0</v>
          </cell>
          <cell r="BI349">
            <v>67861</v>
          </cell>
          <cell r="BJ349">
            <v>55860</v>
          </cell>
          <cell r="BK349">
            <v>55860</v>
          </cell>
          <cell r="BL349">
            <v>0</v>
          </cell>
          <cell r="BM349">
            <v>0</v>
          </cell>
          <cell r="BN349">
            <v>0</v>
          </cell>
          <cell r="BO349">
            <v>81233</v>
          </cell>
          <cell r="BP349">
            <v>42697.8</v>
          </cell>
          <cell r="BQ349">
            <v>76918.604651162794</v>
          </cell>
          <cell r="BR349">
            <v>0</v>
          </cell>
          <cell r="BS349">
            <v>0</v>
          </cell>
          <cell r="BT349">
            <v>46488</v>
          </cell>
          <cell r="BU349"/>
          <cell r="BV349"/>
          <cell r="BW349"/>
          <cell r="BX349"/>
          <cell r="BY349">
            <v>0</v>
          </cell>
          <cell r="BZ349">
            <v>0</v>
          </cell>
          <cell r="CA349">
            <v>0</v>
          </cell>
          <cell r="CB349">
            <v>0</v>
          </cell>
          <cell r="CC349">
            <v>3427625</v>
          </cell>
          <cell r="CD349">
            <v>25688538</v>
          </cell>
          <cell r="CE349">
            <v>709681</v>
          </cell>
          <cell r="CF349">
            <v>-56908</v>
          </cell>
          <cell r="CG349">
            <v>709681</v>
          </cell>
          <cell r="CH349">
            <v>709681</v>
          </cell>
          <cell r="CI349">
            <v>709681</v>
          </cell>
          <cell r="CJ349">
            <v>709681</v>
          </cell>
          <cell r="CK349">
            <v>0</v>
          </cell>
          <cell r="CL349">
            <v>0</v>
          </cell>
          <cell r="CM349">
            <v>0</v>
          </cell>
          <cell r="CN349">
            <v>0</v>
          </cell>
          <cell r="CO349">
            <v>0</v>
          </cell>
          <cell r="CP349">
            <v>0</v>
          </cell>
          <cell r="CQ349">
            <v>10102968</v>
          </cell>
          <cell r="CR349">
            <v>9427747</v>
          </cell>
          <cell r="CS349">
            <v>9098090</v>
          </cell>
          <cell r="CT349">
            <v>8791639</v>
          </cell>
          <cell r="CU349">
            <v>8414181</v>
          </cell>
          <cell r="CV349">
            <v>-12631</v>
          </cell>
          <cell r="CW349">
            <v>0</v>
          </cell>
          <cell r="CX349">
            <v>0</v>
          </cell>
          <cell r="CY349">
            <v>0</v>
          </cell>
          <cell r="CZ349">
            <v>0</v>
          </cell>
          <cell r="DA349">
            <v>80000</v>
          </cell>
          <cell r="DB349"/>
          <cell r="DC349">
            <v>0</v>
          </cell>
          <cell r="DD349">
            <v>0</v>
          </cell>
          <cell r="DE349">
            <v>0</v>
          </cell>
          <cell r="DF349">
            <v>0</v>
          </cell>
          <cell r="DG349">
            <v>0</v>
          </cell>
          <cell r="DH349">
            <v>0</v>
          </cell>
          <cell r="DI349">
            <v>0</v>
          </cell>
          <cell r="DJ349">
            <v>0</v>
          </cell>
          <cell r="DK349">
            <v>0</v>
          </cell>
          <cell r="DL349">
            <v>0</v>
          </cell>
          <cell r="DM349"/>
          <cell r="DN349"/>
          <cell r="DO349"/>
          <cell r="DP349"/>
        </row>
        <row r="350">
          <cell r="A350">
            <v>1711</v>
          </cell>
          <cell r="B350" t="str">
            <v>Echt-Susteren</v>
          </cell>
          <cell r="C350">
            <v>11</v>
          </cell>
          <cell r="D350">
            <v>-27988</v>
          </cell>
          <cell r="E350">
            <v>-13994</v>
          </cell>
          <cell r="F350">
            <v>0</v>
          </cell>
          <cell r="G350">
            <v>0</v>
          </cell>
          <cell r="H350">
            <v>-17386</v>
          </cell>
          <cell r="I350">
            <v>-3818</v>
          </cell>
          <cell r="J350"/>
          <cell r="K350">
            <v>0</v>
          </cell>
          <cell r="L350">
            <v>110424</v>
          </cell>
          <cell r="M350">
            <v>98800</v>
          </cell>
          <cell r="N350">
            <v>0</v>
          </cell>
          <cell r="O350">
            <v>0</v>
          </cell>
          <cell r="P350">
            <v>0</v>
          </cell>
          <cell r="Q350">
            <v>0</v>
          </cell>
          <cell r="R350">
            <v>0</v>
          </cell>
          <cell r="S350">
            <v>0</v>
          </cell>
          <cell r="T350">
            <v>0</v>
          </cell>
          <cell r="U350">
            <v>0</v>
          </cell>
          <cell r="V350">
            <v>3000</v>
          </cell>
          <cell r="W350">
            <v>110795</v>
          </cell>
          <cell r="X350">
            <v>0</v>
          </cell>
          <cell r="Y350"/>
          <cell r="Z350">
            <v>0</v>
          </cell>
          <cell r="AA350">
            <v>0</v>
          </cell>
          <cell r="AB350">
            <v>0</v>
          </cell>
          <cell r="AC350"/>
          <cell r="AD350">
            <v>0</v>
          </cell>
          <cell r="AE350">
            <v>0</v>
          </cell>
          <cell r="AF350">
            <v>0</v>
          </cell>
          <cell r="AG350">
            <v>0</v>
          </cell>
          <cell r="AH350">
            <v>0</v>
          </cell>
          <cell r="AI350">
            <v>0</v>
          </cell>
          <cell r="AJ350">
            <v>0</v>
          </cell>
          <cell r="AK350">
            <v>0</v>
          </cell>
          <cell r="AL350"/>
          <cell r="AM350">
            <v>0</v>
          </cell>
          <cell r="AN350">
            <v>0</v>
          </cell>
          <cell r="AO350">
            <v>0</v>
          </cell>
          <cell r="AP350">
            <v>0</v>
          </cell>
          <cell r="AQ350">
            <v>0</v>
          </cell>
          <cell r="AR350">
            <v>0</v>
          </cell>
          <cell r="AS350">
            <v>0</v>
          </cell>
          <cell r="AT350">
            <v>0</v>
          </cell>
          <cell r="AU350">
            <v>4740</v>
          </cell>
          <cell r="AV350">
            <v>0</v>
          </cell>
          <cell r="AW350">
            <v>0</v>
          </cell>
          <cell r="AX350">
            <v>0</v>
          </cell>
          <cell r="AY350"/>
          <cell r="AZ350"/>
          <cell r="BA350">
            <v>0</v>
          </cell>
          <cell r="BB350"/>
          <cell r="BC350">
            <v>0</v>
          </cell>
          <cell r="BD350">
            <v>11168</v>
          </cell>
          <cell r="BE350"/>
          <cell r="BF350">
            <v>0</v>
          </cell>
          <cell r="BG350">
            <v>0</v>
          </cell>
          <cell r="BH350">
            <v>0</v>
          </cell>
          <cell r="BI350">
            <v>51382</v>
          </cell>
          <cell r="BJ350">
            <v>42295</v>
          </cell>
          <cell r="BK350">
            <v>42295</v>
          </cell>
          <cell r="BL350">
            <v>0</v>
          </cell>
          <cell r="BM350">
            <v>0</v>
          </cell>
          <cell r="BN350">
            <v>0</v>
          </cell>
          <cell r="BO350">
            <v>161008</v>
          </cell>
          <cell r="BP350">
            <v>15814</v>
          </cell>
          <cell r="BQ350">
            <v>28488.372093023299</v>
          </cell>
          <cell r="BR350">
            <v>0</v>
          </cell>
          <cell r="BS350">
            <v>0</v>
          </cell>
          <cell r="BT350">
            <v>48614</v>
          </cell>
          <cell r="BU350"/>
          <cell r="BV350"/>
          <cell r="BW350"/>
          <cell r="BX350"/>
          <cell r="BY350">
            <v>0</v>
          </cell>
          <cell r="BZ350">
            <v>0</v>
          </cell>
          <cell r="CA350">
            <v>0</v>
          </cell>
          <cell r="CB350">
            <v>0</v>
          </cell>
          <cell r="CC350">
            <v>3100361</v>
          </cell>
          <cell r="CD350">
            <v>16126831</v>
          </cell>
          <cell r="CE350">
            <v>722399</v>
          </cell>
          <cell r="CF350">
            <v>-9241</v>
          </cell>
          <cell r="CG350">
            <v>722399</v>
          </cell>
          <cell r="CH350">
            <v>722399</v>
          </cell>
          <cell r="CI350">
            <v>722399</v>
          </cell>
          <cell r="CJ350">
            <v>722399</v>
          </cell>
          <cell r="CK350">
            <v>0</v>
          </cell>
          <cell r="CL350">
            <v>0</v>
          </cell>
          <cell r="CM350">
            <v>0</v>
          </cell>
          <cell r="CN350">
            <v>0</v>
          </cell>
          <cell r="CO350">
            <v>0</v>
          </cell>
          <cell r="CP350">
            <v>0</v>
          </cell>
          <cell r="CQ350">
            <v>3586682</v>
          </cell>
          <cell r="CR350">
            <v>3420250</v>
          </cell>
          <cell r="CS350">
            <v>3264113</v>
          </cell>
          <cell r="CT350">
            <v>3137302</v>
          </cell>
          <cell r="CU350">
            <v>2995291</v>
          </cell>
          <cell r="CV350">
            <v>3294</v>
          </cell>
          <cell r="CW350">
            <v>0</v>
          </cell>
          <cell r="CX350">
            <v>0</v>
          </cell>
          <cell r="CY350">
            <v>0</v>
          </cell>
          <cell r="CZ350">
            <v>0</v>
          </cell>
          <cell r="DA350">
            <v>0</v>
          </cell>
          <cell r="DB350"/>
          <cell r="DC350">
            <v>0</v>
          </cell>
          <cell r="DD350">
            <v>0</v>
          </cell>
          <cell r="DE350">
            <v>0</v>
          </cell>
          <cell r="DF350">
            <v>0</v>
          </cell>
          <cell r="DG350">
            <v>0</v>
          </cell>
          <cell r="DH350">
            <v>0</v>
          </cell>
          <cell r="DI350">
            <v>0</v>
          </cell>
          <cell r="DJ350">
            <v>0</v>
          </cell>
          <cell r="DK350">
            <v>0</v>
          </cell>
          <cell r="DL350">
            <v>0</v>
          </cell>
          <cell r="DM350"/>
          <cell r="DN350"/>
          <cell r="DO350"/>
          <cell r="DP350"/>
        </row>
        <row r="351">
          <cell r="A351">
            <v>1903</v>
          </cell>
          <cell r="B351" t="str">
            <v>Eijsden-Margraten</v>
          </cell>
          <cell r="C351">
            <v>11</v>
          </cell>
          <cell r="D351">
            <v>-1464</v>
          </cell>
          <cell r="E351">
            <v>-732</v>
          </cell>
          <cell r="F351">
            <v>0</v>
          </cell>
          <cell r="G351">
            <v>0</v>
          </cell>
          <cell r="H351">
            <v>-11268</v>
          </cell>
          <cell r="I351">
            <v>-10146</v>
          </cell>
          <cell r="J351"/>
          <cell r="K351">
            <v>0</v>
          </cell>
          <cell r="L351">
            <v>66533</v>
          </cell>
          <cell r="M351">
            <v>52376</v>
          </cell>
          <cell r="N351">
            <v>0</v>
          </cell>
          <cell r="O351">
            <v>0</v>
          </cell>
          <cell r="P351">
            <v>0</v>
          </cell>
          <cell r="Q351">
            <v>0</v>
          </cell>
          <cell r="R351">
            <v>0</v>
          </cell>
          <cell r="S351">
            <v>0</v>
          </cell>
          <cell r="T351">
            <v>0</v>
          </cell>
          <cell r="U351">
            <v>0</v>
          </cell>
          <cell r="V351">
            <v>0</v>
          </cell>
          <cell r="W351">
            <v>53648</v>
          </cell>
          <cell r="X351">
            <v>0</v>
          </cell>
          <cell r="Y351"/>
          <cell r="Z351">
            <v>0</v>
          </cell>
          <cell r="AA351">
            <v>0</v>
          </cell>
          <cell r="AB351">
            <v>0</v>
          </cell>
          <cell r="AC351"/>
          <cell r="AD351">
            <v>0</v>
          </cell>
          <cell r="AE351">
            <v>0</v>
          </cell>
          <cell r="AF351">
            <v>0</v>
          </cell>
          <cell r="AG351">
            <v>0</v>
          </cell>
          <cell r="AH351">
            <v>0</v>
          </cell>
          <cell r="AI351">
            <v>0</v>
          </cell>
          <cell r="AJ351">
            <v>0</v>
          </cell>
          <cell r="AK351">
            <v>0</v>
          </cell>
          <cell r="AL351"/>
          <cell r="AM351">
            <v>0</v>
          </cell>
          <cell r="AN351">
            <v>0</v>
          </cell>
          <cell r="AO351">
            <v>0</v>
          </cell>
          <cell r="AP351">
            <v>0</v>
          </cell>
          <cell r="AQ351">
            <v>0</v>
          </cell>
          <cell r="AR351">
            <v>0</v>
          </cell>
          <cell r="AS351">
            <v>0</v>
          </cell>
          <cell r="AT351">
            <v>0</v>
          </cell>
          <cell r="AU351">
            <v>0</v>
          </cell>
          <cell r="AV351">
            <v>0</v>
          </cell>
          <cell r="AW351">
            <v>0</v>
          </cell>
          <cell r="AX351">
            <v>0</v>
          </cell>
          <cell r="AY351"/>
          <cell r="AZ351"/>
          <cell r="BA351">
            <v>0</v>
          </cell>
          <cell r="BB351"/>
          <cell r="BC351">
            <v>0</v>
          </cell>
          <cell r="BD351">
            <v>8880</v>
          </cell>
          <cell r="BE351"/>
          <cell r="BF351">
            <v>0</v>
          </cell>
          <cell r="BG351">
            <v>0</v>
          </cell>
          <cell r="BH351">
            <v>0</v>
          </cell>
          <cell r="BI351">
            <v>24186</v>
          </cell>
          <cell r="BJ351">
            <v>19909</v>
          </cell>
          <cell r="BK351">
            <v>19909</v>
          </cell>
          <cell r="BL351">
            <v>0</v>
          </cell>
          <cell r="BM351">
            <v>0</v>
          </cell>
          <cell r="BN351">
            <v>0</v>
          </cell>
          <cell r="BO351">
            <v>0</v>
          </cell>
          <cell r="BP351">
            <v>3162.8</v>
          </cell>
          <cell r="BQ351">
            <v>5697.6744186046499</v>
          </cell>
          <cell r="BR351">
            <v>0</v>
          </cell>
          <cell r="BS351">
            <v>0</v>
          </cell>
          <cell r="BT351">
            <v>46834</v>
          </cell>
          <cell r="BU351"/>
          <cell r="BV351"/>
          <cell r="BW351"/>
          <cell r="BX351"/>
          <cell r="BY351">
            <v>0</v>
          </cell>
          <cell r="BZ351">
            <v>0</v>
          </cell>
          <cell r="CA351">
            <v>0</v>
          </cell>
          <cell r="CB351">
            <v>0</v>
          </cell>
          <cell r="CC351">
            <v>1875787</v>
          </cell>
          <cell r="CD351">
            <v>9972958</v>
          </cell>
          <cell r="CE351">
            <v>1892495</v>
          </cell>
          <cell r="CF351">
            <v>-24544</v>
          </cell>
          <cell r="CG351">
            <v>1892495</v>
          </cell>
          <cell r="CH351">
            <v>1892495</v>
          </cell>
          <cell r="CI351">
            <v>1892495</v>
          </cell>
          <cell r="CJ351">
            <v>1892495</v>
          </cell>
          <cell r="CK351">
            <v>0</v>
          </cell>
          <cell r="CL351">
            <v>0</v>
          </cell>
          <cell r="CM351">
            <v>0</v>
          </cell>
          <cell r="CN351">
            <v>0</v>
          </cell>
          <cell r="CO351">
            <v>0</v>
          </cell>
          <cell r="CP351">
            <v>0</v>
          </cell>
          <cell r="CQ351">
            <v>2007450</v>
          </cell>
          <cell r="CR351">
            <v>1910139</v>
          </cell>
          <cell r="CS351">
            <v>1791041</v>
          </cell>
          <cell r="CT351">
            <v>1738450</v>
          </cell>
          <cell r="CU351">
            <v>1653623</v>
          </cell>
          <cell r="CV351">
            <v>61657</v>
          </cell>
          <cell r="CW351">
            <v>0</v>
          </cell>
          <cell r="CX351">
            <v>0</v>
          </cell>
          <cell r="CY351">
            <v>0</v>
          </cell>
          <cell r="CZ351">
            <v>0</v>
          </cell>
          <cell r="DA351">
            <v>0</v>
          </cell>
          <cell r="DB351"/>
          <cell r="DC351">
            <v>0</v>
          </cell>
          <cell r="DD351">
            <v>0</v>
          </cell>
          <cell r="DE351">
            <v>0</v>
          </cell>
          <cell r="DF351">
            <v>0</v>
          </cell>
          <cell r="DG351">
            <v>0</v>
          </cell>
          <cell r="DH351">
            <v>0</v>
          </cell>
          <cell r="DI351">
            <v>0</v>
          </cell>
          <cell r="DJ351">
            <v>0</v>
          </cell>
          <cell r="DK351">
            <v>0</v>
          </cell>
          <cell r="DL351">
            <v>0</v>
          </cell>
          <cell r="DM351"/>
          <cell r="DN351"/>
          <cell r="DO351"/>
          <cell r="DP351"/>
        </row>
        <row r="352">
          <cell r="A352">
            <v>907</v>
          </cell>
          <cell r="B352" t="str">
            <v>Gennep</v>
          </cell>
          <cell r="C352">
            <v>11</v>
          </cell>
          <cell r="D352">
            <v>-21616</v>
          </cell>
          <cell r="E352">
            <v>-10808</v>
          </cell>
          <cell r="F352">
            <v>0</v>
          </cell>
          <cell r="G352">
            <v>0</v>
          </cell>
          <cell r="H352">
            <v>-55291</v>
          </cell>
          <cell r="I352">
            <v>-40030</v>
          </cell>
          <cell r="J352"/>
          <cell r="K352">
            <v>0</v>
          </cell>
          <cell r="L352">
            <v>63688</v>
          </cell>
          <cell r="M352">
            <v>54995</v>
          </cell>
          <cell r="N352">
            <v>0</v>
          </cell>
          <cell r="O352">
            <v>0</v>
          </cell>
          <cell r="P352">
            <v>0</v>
          </cell>
          <cell r="Q352">
            <v>0</v>
          </cell>
          <cell r="R352">
            <v>0</v>
          </cell>
          <cell r="S352">
            <v>0</v>
          </cell>
          <cell r="T352">
            <v>0</v>
          </cell>
          <cell r="U352">
            <v>0</v>
          </cell>
          <cell r="V352">
            <v>9000</v>
          </cell>
          <cell r="W352">
            <v>63367</v>
          </cell>
          <cell r="X352">
            <v>0</v>
          </cell>
          <cell r="Y352"/>
          <cell r="Z352">
            <v>0</v>
          </cell>
          <cell r="AA352">
            <v>0</v>
          </cell>
          <cell r="AB352">
            <v>0</v>
          </cell>
          <cell r="AC352"/>
          <cell r="AD352">
            <v>44001</v>
          </cell>
          <cell r="AE352">
            <v>0</v>
          </cell>
          <cell r="AF352">
            <v>0</v>
          </cell>
          <cell r="AG352">
            <v>0</v>
          </cell>
          <cell r="AH352">
            <v>0</v>
          </cell>
          <cell r="AI352">
            <v>0</v>
          </cell>
          <cell r="AJ352">
            <v>0</v>
          </cell>
          <cell r="AK352">
            <v>0</v>
          </cell>
          <cell r="AL352"/>
          <cell r="AM352">
            <v>0</v>
          </cell>
          <cell r="AN352">
            <v>0</v>
          </cell>
          <cell r="AO352">
            <v>0</v>
          </cell>
          <cell r="AP352">
            <v>0</v>
          </cell>
          <cell r="AQ352">
            <v>0</v>
          </cell>
          <cell r="AR352">
            <v>0</v>
          </cell>
          <cell r="AS352">
            <v>0</v>
          </cell>
          <cell r="AT352">
            <v>0</v>
          </cell>
          <cell r="AU352">
            <v>2370</v>
          </cell>
          <cell r="AV352">
            <v>0</v>
          </cell>
          <cell r="AW352">
            <v>0</v>
          </cell>
          <cell r="AX352">
            <v>0</v>
          </cell>
          <cell r="AY352"/>
          <cell r="AZ352"/>
          <cell r="BA352">
            <v>0</v>
          </cell>
          <cell r="BB352"/>
          <cell r="BC352">
            <v>0</v>
          </cell>
          <cell r="BD352">
            <v>6013</v>
          </cell>
          <cell r="BE352"/>
          <cell r="BF352">
            <v>0</v>
          </cell>
          <cell r="BG352">
            <v>0</v>
          </cell>
          <cell r="BH352">
            <v>0</v>
          </cell>
          <cell r="BI352">
            <v>22851</v>
          </cell>
          <cell r="BJ352">
            <v>18810</v>
          </cell>
          <cell r="BK352">
            <v>18810</v>
          </cell>
          <cell r="BL352">
            <v>0</v>
          </cell>
          <cell r="BM352">
            <v>0</v>
          </cell>
          <cell r="BN352">
            <v>0</v>
          </cell>
          <cell r="BO352">
            <v>28213</v>
          </cell>
          <cell r="BP352">
            <v>0</v>
          </cell>
          <cell r="BQ352">
            <v>0</v>
          </cell>
          <cell r="BR352">
            <v>0</v>
          </cell>
          <cell r="BS352">
            <v>0</v>
          </cell>
          <cell r="BT352">
            <v>28381</v>
          </cell>
          <cell r="BU352"/>
          <cell r="BV352"/>
          <cell r="BW352"/>
          <cell r="BX352"/>
          <cell r="BY352">
            <v>0</v>
          </cell>
          <cell r="BZ352">
            <v>0</v>
          </cell>
          <cell r="CA352">
            <v>0</v>
          </cell>
          <cell r="CB352">
            <v>0</v>
          </cell>
          <cell r="CC352">
            <v>1830288</v>
          </cell>
          <cell r="CD352">
            <v>13074629</v>
          </cell>
          <cell r="CE352">
            <v>265766</v>
          </cell>
          <cell r="CF352">
            <v>-60947</v>
          </cell>
          <cell r="CG352">
            <v>265766</v>
          </cell>
          <cell r="CH352">
            <v>265766</v>
          </cell>
          <cell r="CI352">
            <v>265766</v>
          </cell>
          <cell r="CJ352">
            <v>265766</v>
          </cell>
          <cell r="CK352">
            <v>0</v>
          </cell>
          <cell r="CL352">
            <v>0</v>
          </cell>
          <cell r="CM352">
            <v>0</v>
          </cell>
          <cell r="CN352">
            <v>0</v>
          </cell>
          <cell r="CO352">
            <v>0</v>
          </cell>
          <cell r="CP352">
            <v>-5360</v>
          </cell>
          <cell r="CQ352">
            <v>5387563</v>
          </cell>
          <cell r="CR352">
            <v>5093453</v>
          </cell>
          <cell r="CS352">
            <v>4869741</v>
          </cell>
          <cell r="CT352">
            <v>4723747</v>
          </cell>
          <cell r="CU352">
            <v>4577120</v>
          </cell>
          <cell r="CV352">
            <v>-1476</v>
          </cell>
          <cell r="CW352">
            <v>0</v>
          </cell>
          <cell r="CX352">
            <v>0</v>
          </cell>
          <cell r="CY352">
            <v>0</v>
          </cell>
          <cell r="CZ352">
            <v>0</v>
          </cell>
          <cell r="DA352">
            <v>0</v>
          </cell>
          <cell r="DB352"/>
          <cell r="DC352">
            <v>0</v>
          </cell>
          <cell r="DD352">
            <v>0</v>
          </cell>
          <cell r="DE352">
            <v>0</v>
          </cell>
          <cell r="DF352">
            <v>0</v>
          </cell>
          <cell r="DG352">
            <v>0</v>
          </cell>
          <cell r="DH352">
            <v>0</v>
          </cell>
          <cell r="DI352">
            <v>0</v>
          </cell>
          <cell r="DJ352">
            <v>0</v>
          </cell>
          <cell r="DK352">
            <v>0</v>
          </cell>
          <cell r="DL352">
            <v>0</v>
          </cell>
          <cell r="DM352"/>
          <cell r="DN352"/>
          <cell r="DO352"/>
          <cell r="DP352"/>
        </row>
        <row r="353">
          <cell r="A353">
            <v>1729</v>
          </cell>
          <cell r="B353" t="str">
            <v>Gulpen-Wittem</v>
          </cell>
          <cell r="C353">
            <v>11</v>
          </cell>
          <cell r="D353">
            <v>22255</v>
          </cell>
          <cell r="E353">
            <v>11127</v>
          </cell>
          <cell r="F353">
            <v>0</v>
          </cell>
          <cell r="G353">
            <v>0</v>
          </cell>
          <cell r="H353">
            <v>-13180</v>
          </cell>
          <cell r="I353">
            <v>-9452</v>
          </cell>
          <cell r="J353"/>
          <cell r="K353">
            <v>0</v>
          </cell>
          <cell r="L353">
            <v>36768</v>
          </cell>
          <cell r="M353">
            <v>30497</v>
          </cell>
          <cell r="N353">
            <v>0</v>
          </cell>
          <cell r="O353">
            <v>0</v>
          </cell>
          <cell r="P353">
            <v>0</v>
          </cell>
          <cell r="Q353">
            <v>0</v>
          </cell>
          <cell r="R353">
            <v>0</v>
          </cell>
          <cell r="S353">
            <v>0</v>
          </cell>
          <cell r="T353">
            <v>0</v>
          </cell>
          <cell r="U353">
            <v>0</v>
          </cell>
          <cell r="V353">
            <v>0</v>
          </cell>
          <cell r="W353">
            <v>22628</v>
          </cell>
          <cell r="X353">
            <v>0</v>
          </cell>
          <cell r="Y353"/>
          <cell r="Z353">
            <v>0</v>
          </cell>
          <cell r="AA353">
            <v>0</v>
          </cell>
          <cell r="AB353">
            <v>0</v>
          </cell>
          <cell r="AC353"/>
          <cell r="AD353">
            <v>20000</v>
          </cell>
          <cell r="AE353">
            <v>0</v>
          </cell>
          <cell r="AF353">
            <v>0</v>
          </cell>
          <cell r="AG353">
            <v>0</v>
          </cell>
          <cell r="AH353">
            <v>0</v>
          </cell>
          <cell r="AI353">
            <v>0</v>
          </cell>
          <cell r="AJ353">
            <v>0</v>
          </cell>
          <cell r="AK353">
            <v>0</v>
          </cell>
          <cell r="AL353"/>
          <cell r="AM353">
            <v>0</v>
          </cell>
          <cell r="AN353">
            <v>0</v>
          </cell>
          <cell r="AO353">
            <v>0</v>
          </cell>
          <cell r="AP353">
            <v>0</v>
          </cell>
          <cell r="AQ353">
            <v>0</v>
          </cell>
          <cell r="AR353">
            <v>0</v>
          </cell>
          <cell r="AS353">
            <v>0</v>
          </cell>
          <cell r="AT353">
            <v>0</v>
          </cell>
          <cell r="AU353">
            <v>4740</v>
          </cell>
          <cell r="AV353">
            <v>0</v>
          </cell>
          <cell r="AW353">
            <v>0</v>
          </cell>
          <cell r="AX353">
            <v>0</v>
          </cell>
          <cell r="AY353"/>
          <cell r="AZ353"/>
          <cell r="BA353">
            <v>0</v>
          </cell>
          <cell r="BB353"/>
          <cell r="BC353">
            <v>0</v>
          </cell>
          <cell r="BD353">
            <v>5033</v>
          </cell>
          <cell r="BE353"/>
          <cell r="BF353">
            <v>0</v>
          </cell>
          <cell r="BG353">
            <v>0</v>
          </cell>
          <cell r="BH353">
            <v>0</v>
          </cell>
          <cell r="BI353">
            <v>21866</v>
          </cell>
          <cell r="BJ353">
            <v>17999</v>
          </cell>
          <cell r="BK353">
            <v>17999</v>
          </cell>
          <cell r="BL353">
            <v>0</v>
          </cell>
          <cell r="BM353">
            <v>0</v>
          </cell>
          <cell r="BN353">
            <v>0</v>
          </cell>
          <cell r="BO353">
            <v>0</v>
          </cell>
          <cell r="BP353">
            <v>4744.2</v>
          </cell>
          <cell r="BQ353">
            <v>8546.5116279069807</v>
          </cell>
          <cell r="BR353">
            <v>0</v>
          </cell>
          <cell r="BS353">
            <v>0</v>
          </cell>
          <cell r="BT353">
            <v>33186</v>
          </cell>
          <cell r="BU353"/>
          <cell r="BV353"/>
          <cell r="BW353"/>
          <cell r="BX353"/>
          <cell r="BY353">
            <v>0</v>
          </cell>
          <cell r="BZ353">
            <v>0</v>
          </cell>
          <cell r="CA353">
            <v>0</v>
          </cell>
          <cell r="CB353">
            <v>0</v>
          </cell>
          <cell r="CC353">
            <v>1298585</v>
          </cell>
          <cell r="CD353">
            <v>6636444</v>
          </cell>
          <cell r="CE353">
            <v>222902</v>
          </cell>
          <cell r="CF353">
            <v>-19255</v>
          </cell>
          <cell r="CG353">
            <v>222902</v>
          </cell>
          <cell r="CH353">
            <v>222902</v>
          </cell>
          <cell r="CI353">
            <v>222902</v>
          </cell>
          <cell r="CJ353">
            <v>222902</v>
          </cell>
          <cell r="CK353">
            <v>0</v>
          </cell>
          <cell r="CL353">
            <v>0</v>
          </cell>
          <cell r="CM353">
            <v>0</v>
          </cell>
          <cell r="CN353">
            <v>0</v>
          </cell>
          <cell r="CO353">
            <v>0</v>
          </cell>
          <cell r="CP353">
            <v>-535</v>
          </cell>
          <cell r="CQ353">
            <v>2123284</v>
          </cell>
          <cell r="CR353">
            <v>1985175</v>
          </cell>
          <cell r="CS353">
            <v>1900142</v>
          </cell>
          <cell r="CT353">
            <v>1746052</v>
          </cell>
          <cell r="CU353">
            <v>1674229</v>
          </cell>
          <cell r="CV353">
            <v>-47780</v>
          </cell>
          <cell r="CW353">
            <v>0</v>
          </cell>
          <cell r="CX353">
            <v>0</v>
          </cell>
          <cell r="CY353">
            <v>0</v>
          </cell>
          <cell r="CZ353">
            <v>0</v>
          </cell>
          <cell r="DA353">
            <v>0</v>
          </cell>
          <cell r="DB353"/>
          <cell r="DC353">
            <v>0</v>
          </cell>
          <cell r="DD353">
            <v>0</v>
          </cell>
          <cell r="DE353">
            <v>0</v>
          </cell>
          <cell r="DF353">
            <v>0</v>
          </cell>
          <cell r="DG353">
            <v>0</v>
          </cell>
          <cell r="DH353">
            <v>0</v>
          </cell>
          <cell r="DI353">
            <v>0</v>
          </cell>
          <cell r="DJ353">
            <v>0</v>
          </cell>
          <cell r="DK353">
            <v>0</v>
          </cell>
          <cell r="DL353">
            <v>0</v>
          </cell>
          <cell r="DM353"/>
          <cell r="DN353"/>
          <cell r="DO353"/>
          <cell r="DP353"/>
        </row>
        <row r="354">
          <cell r="A354">
            <v>917</v>
          </cell>
          <cell r="B354" t="str">
            <v>Heerlen</v>
          </cell>
          <cell r="C354">
            <v>11</v>
          </cell>
          <cell r="D354">
            <v>233909</v>
          </cell>
          <cell r="E354">
            <v>116954</v>
          </cell>
          <cell r="F354">
            <v>0</v>
          </cell>
          <cell r="G354">
            <v>0</v>
          </cell>
          <cell r="H354">
            <v>21534</v>
          </cell>
          <cell r="I354">
            <v>-33467</v>
          </cell>
          <cell r="J354"/>
          <cell r="K354">
            <v>7500</v>
          </cell>
          <cell r="L354">
            <v>701219</v>
          </cell>
          <cell r="M354">
            <v>722790</v>
          </cell>
          <cell r="N354">
            <v>0</v>
          </cell>
          <cell r="O354">
            <v>0</v>
          </cell>
          <cell r="P354">
            <v>150000</v>
          </cell>
          <cell r="Q354">
            <v>0</v>
          </cell>
          <cell r="R354">
            <v>3910787</v>
          </cell>
          <cell r="S354">
            <v>538747</v>
          </cell>
          <cell r="T354">
            <v>538747</v>
          </cell>
          <cell r="U354">
            <v>538747</v>
          </cell>
          <cell r="V354">
            <v>9000</v>
          </cell>
          <cell r="W354">
            <v>291761</v>
          </cell>
          <cell r="X354">
            <v>0</v>
          </cell>
          <cell r="Y354"/>
          <cell r="Z354">
            <v>0</v>
          </cell>
          <cell r="AA354">
            <v>40000</v>
          </cell>
          <cell r="AB354">
            <v>0</v>
          </cell>
          <cell r="AC354"/>
          <cell r="AD354">
            <v>376453</v>
          </cell>
          <cell r="AE354">
            <v>0</v>
          </cell>
          <cell r="AF354">
            <v>0</v>
          </cell>
          <cell r="AG354">
            <v>0</v>
          </cell>
          <cell r="AH354">
            <v>0</v>
          </cell>
          <cell r="AI354">
            <v>0</v>
          </cell>
          <cell r="AJ354">
            <v>0</v>
          </cell>
          <cell r="AK354">
            <v>277192</v>
          </cell>
          <cell r="AL354"/>
          <cell r="AM354">
            <v>0</v>
          </cell>
          <cell r="AN354">
            <v>0</v>
          </cell>
          <cell r="AO354">
            <v>0</v>
          </cell>
          <cell r="AP354">
            <v>0</v>
          </cell>
          <cell r="AQ354">
            <v>0</v>
          </cell>
          <cell r="AR354">
            <v>0</v>
          </cell>
          <cell r="AS354">
            <v>0</v>
          </cell>
          <cell r="AT354">
            <v>20000</v>
          </cell>
          <cell r="AU354">
            <v>21330</v>
          </cell>
          <cell r="AV354">
            <v>5964804.3785083601</v>
          </cell>
          <cell r="AW354">
            <v>80000</v>
          </cell>
          <cell r="AX354">
            <v>0</v>
          </cell>
          <cell r="AY354"/>
          <cell r="AZ354"/>
          <cell r="BA354">
            <v>0</v>
          </cell>
          <cell r="BB354"/>
          <cell r="BC354">
            <v>0</v>
          </cell>
          <cell r="BD354">
            <v>30606</v>
          </cell>
          <cell r="BE354"/>
          <cell r="BF354">
            <v>0</v>
          </cell>
          <cell r="BG354">
            <v>0</v>
          </cell>
          <cell r="BH354">
            <v>0</v>
          </cell>
          <cell r="BI354">
            <v>250787</v>
          </cell>
          <cell r="BJ354">
            <v>206435</v>
          </cell>
          <cell r="BK354">
            <v>206435</v>
          </cell>
          <cell r="BL354">
            <v>0</v>
          </cell>
          <cell r="BM354">
            <v>0</v>
          </cell>
          <cell r="BN354">
            <v>0</v>
          </cell>
          <cell r="BO354">
            <v>207705</v>
          </cell>
          <cell r="BP354">
            <v>39535</v>
          </cell>
          <cell r="BQ354">
            <v>71220.930232558094</v>
          </cell>
          <cell r="BR354">
            <v>0</v>
          </cell>
          <cell r="BS354">
            <v>0</v>
          </cell>
          <cell r="BT354">
            <v>168113</v>
          </cell>
          <cell r="BU354"/>
          <cell r="BV354"/>
          <cell r="BW354"/>
          <cell r="BX354"/>
          <cell r="BY354">
            <v>1705510.7451126</v>
          </cell>
          <cell r="BZ354">
            <v>1977085.30018813</v>
          </cell>
          <cell r="CA354">
            <v>2000285.1365513699</v>
          </cell>
          <cell r="CB354">
            <v>2065790.5568711001</v>
          </cell>
          <cell r="CC354">
            <v>11104535</v>
          </cell>
          <cell r="CD354">
            <v>118997399</v>
          </cell>
          <cell r="CE354">
            <v>2318854</v>
          </cell>
          <cell r="CF354">
            <v>-81622</v>
          </cell>
          <cell r="CG354">
            <v>2318854</v>
          </cell>
          <cell r="CH354">
            <v>2318854</v>
          </cell>
          <cell r="CI354">
            <v>2318854</v>
          </cell>
          <cell r="CJ354">
            <v>2318854</v>
          </cell>
          <cell r="CK354">
            <v>37658392</v>
          </cell>
          <cell r="CL354">
            <v>37639491</v>
          </cell>
          <cell r="CM354">
            <v>37639186</v>
          </cell>
          <cell r="CN354">
            <v>37638513</v>
          </cell>
          <cell r="CO354">
            <v>37639445</v>
          </cell>
          <cell r="CP354">
            <v>0</v>
          </cell>
          <cell r="CQ354">
            <v>28739142</v>
          </cell>
          <cell r="CR354">
            <v>27341485</v>
          </cell>
          <cell r="CS354">
            <v>26659143</v>
          </cell>
          <cell r="CT354">
            <v>25902728</v>
          </cell>
          <cell r="CU354">
            <v>25255209</v>
          </cell>
          <cell r="CV354">
            <v>201283</v>
          </cell>
          <cell r="CW354">
            <v>0</v>
          </cell>
          <cell r="CX354">
            <v>0</v>
          </cell>
          <cell r="CY354">
            <v>0</v>
          </cell>
          <cell r="CZ354">
            <v>0</v>
          </cell>
          <cell r="DA354">
            <v>0</v>
          </cell>
          <cell r="DB354"/>
          <cell r="DC354">
            <v>0</v>
          </cell>
          <cell r="DD354">
            <v>0</v>
          </cell>
          <cell r="DE354">
            <v>0</v>
          </cell>
          <cell r="DF354">
            <v>0</v>
          </cell>
          <cell r="DG354">
            <v>0</v>
          </cell>
          <cell r="DH354">
            <v>0</v>
          </cell>
          <cell r="DI354">
            <v>0</v>
          </cell>
          <cell r="DJ354">
            <v>0</v>
          </cell>
          <cell r="DK354">
            <v>0</v>
          </cell>
          <cell r="DL354">
            <v>0</v>
          </cell>
          <cell r="DM354"/>
          <cell r="DN354"/>
          <cell r="DO354"/>
          <cell r="DP354"/>
        </row>
        <row r="355">
          <cell r="A355">
            <v>1507</v>
          </cell>
          <cell r="B355" t="str">
            <v>Horst aan de Maas</v>
          </cell>
          <cell r="C355">
            <v>11</v>
          </cell>
          <cell r="D355">
            <v>79111</v>
          </cell>
          <cell r="E355">
            <v>39555</v>
          </cell>
          <cell r="F355">
            <v>0</v>
          </cell>
          <cell r="G355">
            <v>147825</v>
          </cell>
          <cell r="H355">
            <v>-46338</v>
          </cell>
          <cell r="I355">
            <v>-18731</v>
          </cell>
          <cell r="J355"/>
          <cell r="K355">
            <v>0</v>
          </cell>
          <cell r="L355">
            <v>123993</v>
          </cell>
          <cell r="M355">
            <v>107371</v>
          </cell>
          <cell r="N355">
            <v>0</v>
          </cell>
          <cell r="O355">
            <v>0</v>
          </cell>
          <cell r="P355">
            <v>0</v>
          </cell>
          <cell r="Q355">
            <v>0</v>
          </cell>
          <cell r="R355">
            <v>0</v>
          </cell>
          <cell r="S355">
            <v>0</v>
          </cell>
          <cell r="T355">
            <v>0</v>
          </cell>
          <cell r="U355">
            <v>0</v>
          </cell>
          <cell r="V355">
            <v>15000</v>
          </cell>
          <cell r="W355">
            <v>170664</v>
          </cell>
          <cell r="X355">
            <v>0</v>
          </cell>
          <cell r="Y355"/>
          <cell r="Z355">
            <v>0</v>
          </cell>
          <cell r="AA355">
            <v>0</v>
          </cell>
          <cell r="AB355">
            <v>0</v>
          </cell>
          <cell r="AC355"/>
          <cell r="AD355">
            <v>0</v>
          </cell>
          <cell r="AE355">
            <v>0</v>
          </cell>
          <cell r="AF355">
            <v>0</v>
          </cell>
          <cell r="AG355">
            <v>0</v>
          </cell>
          <cell r="AH355">
            <v>0</v>
          </cell>
          <cell r="AI355">
            <v>0</v>
          </cell>
          <cell r="AJ355">
            <v>0</v>
          </cell>
          <cell r="AK355">
            <v>0</v>
          </cell>
          <cell r="AL355"/>
          <cell r="AM355">
            <v>0</v>
          </cell>
          <cell r="AN355">
            <v>0</v>
          </cell>
          <cell r="AO355">
            <v>0</v>
          </cell>
          <cell r="AP355">
            <v>0</v>
          </cell>
          <cell r="AQ355">
            <v>0</v>
          </cell>
          <cell r="AR355">
            <v>0</v>
          </cell>
          <cell r="AS355">
            <v>0</v>
          </cell>
          <cell r="AT355">
            <v>0</v>
          </cell>
          <cell r="AU355">
            <v>4740</v>
          </cell>
          <cell r="AV355">
            <v>0</v>
          </cell>
          <cell r="AW355">
            <v>0</v>
          </cell>
          <cell r="AX355">
            <v>0</v>
          </cell>
          <cell r="AY355"/>
          <cell r="AZ355"/>
          <cell r="BA355">
            <v>0</v>
          </cell>
          <cell r="BB355"/>
          <cell r="BC355">
            <v>0</v>
          </cell>
          <cell r="BD355">
            <v>14792</v>
          </cell>
          <cell r="BE355"/>
          <cell r="BF355">
            <v>0</v>
          </cell>
          <cell r="BG355">
            <v>0</v>
          </cell>
          <cell r="BH355">
            <v>0</v>
          </cell>
          <cell r="BI355">
            <v>49008</v>
          </cell>
          <cell r="BJ355">
            <v>40340</v>
          </cell>
          <cell r="BK355">
            <v>40340</v>
          </cell>
          <cell r="BL355">
            <v>0</v>
          </cell>
          <cell r="BM355">
            <v>0</v>
          </cell>
          <cell r="BN355">
            <v>0</v>
          </cell>
          <cell r="BO355">
            <v>162953</v>
          </cell>
          <cell r="BP355">
            <v>9488.4</v>
          </cell>
          <cell r="BQ355">
            <v>17093.023255814001</v>
          </cell>
          <cell r="BR355">
            <v>0</v>
          </cell>
          <cell r="BS355">
            <v>0</v>
          </cell>
          <cell r="BT355">
            <v>69682</v>
          </cell>
          <cell r="BU355"/>
          <cell r="BV355"/>
          <cell r="BW355"/>
          <cell r="BX355"/>
          <cell r="BY355">
            <v>0</v>
          </cell>
          <cell r="BZ355">
            <v>0</v>
          </cell>
          <cell r="CA355">
            <v>0</v>
          </cell>
          <cell r="CB355">
            <v>0</v>
          </cell>
          <cell r="CC355">
            <v>3181262</v>
          </cell>
          <cell r="CD355">
            <v>16825943</v>
          </cell>
          <cell r="CE355">
            <v>1553164</v>
          </cell>
          <cell r="CF355">
            <v>0</v>
          </cell>
          <cell r="CG355">
            <v>1553164</v>
          </cell>
          <cell r="CH355">
            <v>1553164</v>
          </cell>
          <cell r="CI355">
            <v>1553164</v>
          </cell>
          <cell r="CJ355">
            <v>1553164</v>
          </cell>
          <cell r="CK355">
            <v>0</v>
          </cell>
          <cell r="CL355">
            <v>0</v>
          </cell>
          <cell r="CM355">
            <v>0</v>
          </cell>
          <cell r="CN355">
            <v>0</v>
          </cell>
          <cell r="CO355">
            <v>0</v>
          </cell>
          <cell r="CP355">
            <v>-6777</v>
          </cell>
          <cell r="CQ355">
            <v>4132629</v>
          </cell>
          <cell r="CR355">
            <v>3923552</v>
          </cell>
          <cell r="CS355">
            <v>3774157</v>
          </cell>
          <cell r="CT355">
            <v>3613183</v>
          </cell>
          <cell r="CU355">
            <v>3459594</v>
          </cell>
          <cell r="CV355">
            <v>-13347</v>
          </cell>
          <cell r="CW355">
            <v>0</v>
          </cell>
          <cell r="CX355">
            <v>0</v>
          </cell>
          <cell r="CY355">
            <v>0</v>
          </cell>
          <cell r="CZ355">
            <v>0</v>
          </cell>
          <cell r="DA355">
            <v>0</v>
          </cell>
          <cell r="DB355"/>
          <cell r="DC355">
            <v>0</v>
          </cell>
          <cell r="DD355">
            <v>0</v>
          </cell>
          <cell r="DE355">
            <v>0</v>
          </cell>
          <cell r="DF355">
            <v>0</v>
          </cell>
          <cell r="DG355">
            <v>0</v>
          </cell>
          <cell r="DH355">
            <v>0</v>
          </cell>
          <cell r="DI355">
            <v>0</v>
          </cell>
          <cell r="DJ355">
            <v>0</v>
          </cell>
          <cell r="DK355">
            <v>0</v>
          </cell>
          <cell r="DL355">
            <v>0</v>
          </cell>
          <cell r="DM355"/>
          <cell r="DN355"/>
          <cell r="DO355"/>
          <cell r="DP355"/>
        </row>
        <row r="356">
          <cell r="A356">
            <v>928</v>
          </cell>
          <cell r="B356" t="str">
            <v>Kerkrade</v>
          </cell>
          <cell r="C356">
            <v>11</v>
          </cell>
          <cell r="D356">
            <v>179343</v>
          </cell>
          <cell r="E356">
            <v>89671</v>
          </cell>
          <cell r="F356">
            <v>0</v>
          </cell>
          <cell r="G356">
            <v>0</v>
          </cell>
          <cell r="H356">
            <v>418411</v>
          </cell>
          <cell r="I356">
            <v>0</v>
          </cell>
          <cell r="J356"/>
          <cell r="K356">
            <v>0</v>
          </cell>
          <cell r="L356">
            <v>319432</v>
          </cell>
          <cell r="M356">
            <v>317399</v>
          </cell>
          <cell r="N356">
            <v>0</v>
          </cell>
          <cell r="O356">
            <v>0</v>
          </cell>
          <cell r="P356">
            <v>0</v>
          </cell>
          <cell r="Q356">
            <v>0</v>
          </cell>
          <cell r="R356">
            <v>0</v>
          </cell>
          <cell r="S356">
            <v>0</v>
          </cell>
          <cell r="T356">
            <v>0</v>
          </cell>
          <cell r="U356">
            <v>0</v>
          </cell>
          <cell r="V356">
            <v>0</v>
          </cell>
          <cell r="W356">
            <v>0</v>
          </cell>
          <cell r="X356">
            <v>0</v>
          </cell>
          <cell r="Y356"/>
          <cell r="Z356">
            <v>0</v>
          </cell>
          <cell r="AA356">
            <v>0</v>
          </cell>
          <cell r="AB356">
            <v>0</v>
          </cell>
          <cell r="AC356"/>
          <cell r="AD356">
            <v>142758</v>
          </cell>
          <cell r="AE356">
            <v>0</v>
          </cell>
          <cell r="AF356">
            <v>0</v>
          </cell>
          <cell r="AG356">
            <v>0</v>
          </cell>
          <cell r="AH356">
            <v>0</v>
          </cell>
          <cell r="AI356">
            <v>0</v>
          </cell>
          <cell r="AJ356">
            <v>0</v>
          </cell>
          <cell r="AK356">
            <v>0</v>
          </cell>
          <cell r="AL356"/>
          <cell r="AM356">
            <v>0</v>
          </cell>
          <cell r="AN356">
            <v>0</v>
          </cell>
          <cell r="AO356">
            <v>0</v>
          </cell>
          <cell r="AP356">
            <v>0</v>
          </cell>
          <cell r="AQ356">
            <v>0</v>
          </cell>
          <cell r="AR356">
            <v>0</v>
          </cell>
          <cell r="AS356">
            <v>0</v>
          </cell>
          <cell r="AT356">
            <v>0</v>
          </cell>
          <cell r="AU356">
            <v>2370</v>
          </cell>
          <cell r="AV356">
            <v>0</v>
          </cell>
          <cell r="AW356">
            <v>0</v>
          </cell>
          <cell r="AX356">
            <v>0</v>
          </cell>
          <cell r="AY356"/>
          <cell r="AZ356"/>
          <cell r="BA356">
            <v>0</v>
          </cell>
          <cell r="BB356"/>
          <cell r="BC356">
            <v>0</v>
          </cell>
          <cell r="BD356">
            <v>16126</v>
          </cell>
          <cell r="BE356"/>
          <cell r="BF356">
            <v>0</v>
          </cell>
          <cell r="BG356">
            <v>0</v>
          </cell>
          <cell r="BH356">
            <v>0</v>
          </cell>
          <cell r="BI356">
            <v>122658</v>
          </cell>
          <cell r="BJ356">
            <v>100966</v>
          </cell>
          <cell r="BK356">
            <v>100966</v>
          </cell>
          <cell r="BL356">
            <v>0</v>
          </cell>
          <cell r="BM356">
            <v>0</v>
          </cell>
          <cell r="BN356">
            <v>0</v>
          </cell>
          <cell r="BO356">
            <v>152252</v>
          </cell>
          <cell r="BP356">
            <v>9488.4</v>
          </cell>
          <cell r="BQ356">
            <v>17093.023255814001</v>
          </cell>
          <cell r="BR356">
            <v>0</v>
          </cell>
          <cell r="BS356">
            <v>0</v>
          </cell>
          <cell r="BT356">
            <v>77766</v>
          </cell>
          <cell r="BU356"/>
          <cell r="BV356"/>
          <cell r="BW356"/>
          <cell r="BX356"/>
          <cell r="BY356">
            <v>0</v>
          </cell>
          <cell r="BZ356">
            <v>0</v>
          </cell>
          <cell r="CA356">
            <v>0</v>
          </cell>
          <cell r="CB356">
            <v>0</v>
          </cell>
          <cell r="CC356">
            <v>5724630</v>
          </cell>
          <cell r="CD356">
            <v>46325216</v>
          </cell>
          <cell r="CE356">
            <v>1178170</v>
          </cell>
          <cell r="CF356">
            <v>0</v>
          </cell>
          <cell r="CG356">
            <v>1178170</v>
          </cell>
          <cell r="CH356">
            <v>1178170</v>
          </cell>
          <cell r="CI356">
            <v>1178170</v>
          </cell>
          <cell r="CJ356">
            <v>1178170</v>
          </cell>
          <cell r="CK356">
            <v>0</v>
          </cell>
          <cell r="CL356">
            <v>0</v>
          </cell>
          <cell r="CM356">
            <v>0</v>
          </cell>
          <cell r="CN356">
            <v>0</v>
          </cell>
          <cell r="CO356">
            <v>0</v>
          </cell>
          <cell r="CP356">
            <v>0</v>
          </cell>
          <cell r="CQ356">
            <v>19761594</v>
          </cell>
          <cell r="CR356">
            <v>18500923</v>
          </cell>
          <cell r="CS356">
            <v>17879471</v>
          </cell>
          <cell r="CT356">
            <v>17078939</v>
          </cell>
          <cell r="CU356">
            <v>16403280</v>
          </cell>
          <cell r="CV356">
            <v>34587</v>
          </cell>
          <cell r="CW356">
            <v>0</v>
          </cell>
          <cell r="CX356">
            <v>0</v>
          </cell>
          <cell r="CY356">
            <v>0</v>
          </cell>
          <cell r="CZ356">
            <v>0</v>
          </cell>
          <cell r="DA356">
            <v>0</v>
          </cell>
          <cell r="DB356"/>
          <cell r="DC356">
            <v>0</v>
          </cell>
          <cell r="DD356">
            <v>0</v>
          </cell>
          <cell r="DE356">
            <v>0</v>
          </cell>
          <cell r="DF356">
            <v>0</v>
          </cell>
          <cell r="DG356">
            <v>0</v>
          </cell>
          <cell r="DH356">
            <v>0</v>
          </cell>
          <cell r="DI356">
            <v>0</v>
          </cell>
          <cell r="DJ356">
            <v>0</v>
          </cell>
          <cell r="DK356">
            <v>0</v>
          </cell>
          <cell r="DL356">
            <v>0</v>
          </cell>
          <cell r="DM356"/>
          <cell r="DN356"/>
          <cell r="DO356"/>
          <cell r="DP356"/>
        </row>
        <row r="357">
          <cell r="A357">
            <v>882</v>
          </cell>
          <cell r="B357" t="str">
            <v>Landgraaf</v>
          </cell>
          <cell r="C357">
            <v>11</v>
          </cell>
          <cell r="D357">
            <v>91419</v>
          </cell>
          <cell r="E357">
            <v>45710</v>
          </cell>
          <cell r="F357">
            <v>0</v>
          </cell>
          <cell r="G357">
            <v>0</v>
          </cell>
          <cell r="H357">
            <v>-35655</v>
          </cell>
          <cell r="I357">
            <v>-25071</v>
          </cell>
          <cell r="J357"/>
          <cell r="K357">
            <v>0</v>
          </cell>
          <cell r="L357">
            <v>206562</v>
          </cell>
          <cell r="M357">
            <v>208504</v>
          </cell>
          <cell r="N357">
            <v>0</v>
          </cell>
          <cell r="O357">
            <v>0</v>
          </cell>
          <cell r="P357">
            <v>0</v>
          </cell>
          <cell r="Q357">
            <v>0</v>
          </cell>
          <cell r="R357">
            <v>0</v>
          </cell>
          <cell r="S357">
            <v>0</v>
          </cell>
          <cell r="T357">
            <v>0</v>
          </cell>
          <cell r="U357">
            <v>0</v>
          </cell>
          <cell r="V357">
            <v>3000</v>
          </cell>
          <cell r="W357">
            <v>96169</v>
          </cell>
          <cell r="X357">
            <v>0</v>
          </cell>
          <cell r="Y357"/>
          <cell r="Z357">
            <v>0</v>
          </cell>
          <cell r="AA357">
            <v>0</v>
          </cell>
          <cell r="AB357">
            <v>0</v>
          </cell>
          <cell r="AC357"/>
          <cell r="AD357">
            <v>74312</v>
          </cell>
          <cell r="AE357">
            <v>0</v>
          </cell>
          <cell r="AF357">
            <v>0</v>
          </cell>
          <cell r="AG357">
            <v>0</v>
          </cell>
          <cell r="AH357">
            <v>0</v>
          </cell>
          <cell r="AI357">
            <v>0</v>
          </cell>
          <cell r="AJ357">
            <v>0</v>
          </cell>
          <cell r="AK357">
            <v>0</v>
          </cell>
          <cell r="AL357"/>
          <cell r="AM357">
            <v>0</v>
          </cell>
          <cell r="AN357">
            <v>0</v>
          </cell>
          <cell r="AO357">
            <v>0</v>
          </cell>
          <cell r="AP357">
            <v>0</v>
          </cell>
          <cell r="AQ357">
            <v>0</v>
          </cell>
          <cell r="AR357">
            <v>0</v>
          </cell>
          <cell r="AS357">
            <v>0</v>
          </cell>
          <cell r="AT357">
            <v>0</v>
          </cell>
          <cell r="AU357">
            <v>0</v>
          </cell>
          <cell r="AV357">
            <v>0</v>
          </cell>
          <cell r="AW357">
            <v>0</v>
          </cell>
          <cell r="AX357">
            <v>0</v>
          </cell>
          <cell r="AY357"/>
          <cell r="AZ357"/>
          <cell r="BA357">
            <v>0</v>
          </cell>
          <cell r="BB357"/>
          <cell r="BC357">
            <v>0</v>
          </cell>
          <cell r="BD357">
            <v>13149</v>
          </cell>
          <cell r="BE357"/>
          <cell r="BF357">
            <v>0</v>
          </cell>
          <cell r="BG357">
            <v>0</v>
          </cell>
          <cell r="BH357">
            <v>0</v>
          </cell>
          <cell r="BI357">
            <v>75683</v>
          </cell>
          <cell r="BJ357">
            <v>62299</v>
          </cell>
          <cell r="BK357">
            <v>62299</v>
          </cell>
          <cell r="BL357">
            <v>0</v>
          </cell>
          <cell r="BM357">
            <v>0</v>
          </cell>
          <cell r="BN357">
            <v>0</v>
          </cell>
          <cell r="BO357">
            <v>75396</v>
          </cell>
          <cell r="BP357">
            <v>3162.8</v>
          </cell>
          <cell r="BQ357">
            <v>5697.6744186046499</v>
          </cell>
          <cell r="BR357">
            <v>0</v>
          </cell>
          <cell r="BS357">
            <v>0</v>
          </cell>
          <cell r="BT357">
            <v>56066</v>
          </cell>
          <cell r="BU357"/>
          <cell r="BV357"/>
          <cell r="BW357"/>
          <cell r="BX357"/>
          <cell r="BY357">
            <v>0</v>
          </cell>
          <cell r="BZ357">
            <v>0</v>
          </cell>
          <cell r="CA357">
            <v>0</v>
          </cell>
          <cell r="CB357">
            <v>0</v>
          </cell>
          <cell r="CC357">
            <v>4162545</v>
          </cell>
          <cell r="CD357">
            <v>29914894</v>
          </cell>
          <cell r="CE357">
            <v>1302630</v>
          </cell>
          <cell r="CF357">
            <v>-60808</v>
          </cell>
          <cell r="CG357">
            <v>1302630</v>
          </cell>
          <cell r="CH357">
            <v>1302630</v>
          </cell>
          <cell r="CI357">
            <v>1302630</v>
          </cell>
          <cell r="CJ357">
            <v>1302630</v>
          </cell>
          <cell r="CK357">
            <v>0</v>
          </cell>
          <cell r="CL357">
            <v>0</v>
          </cell>
          <cell r="CM357">
            <v>0</v>
          </cell>
          <cell r="CN357">
            <v>0</v>
          </cell>
          <cell r="CO357">
            <v>0</v>
          </cell>
          <cell r="CP357">
            <v>0</v>
          </cell>
          <cell r="CQ357">
            <v>10771803</v>
          </cell>
          <cell r="CR357">
            <v>10077986</v>
          </cell>
          <cell r="CS357">
            <v>9622199</v>
          </cell>
          <cell r="CT357">
            <v>9186713</v>
          </cell>
          <cell r="CU357">
            <v>8804436</v>
          </cell>
          <cell r="CV357">
            <v>34426</v>
          </cell>
          <cell r="CW357">
            <v>0</v>
          </cell>
          <cell r="CX357">
            <v>0</v>
          </cell>
          <cell r="CY357">
            <v>0</v>
          </cell>
          <cell r="CZ357">
            <v>0</v>
          </cell>
          <cell r="DA357">
            <v>0</v>
          </cell>
          <cell r="DB357"/>
          <cell r="DC357">
            <v>0</v>
          </cell>
          <cell r="DD357">
            <v>0</v>
          </cell>
          <cell r="DE357">
            <v>0</v>
          </cell>
          <cell r="DF357">
            <v>0</v>
          </cell>
          <cell r="DG357">
            <v>0</v>
          </cell>
          <cell r="DH357">
            <v>0</v>
          </cell>
          <cell r="DI357">
            <v>0</v>
          </cell>
          <cell r="DJ357">
            <v>0</v>
          </cell>
          <cell r="DK357">
            <v>0</v>
          </cell>
          <cell r="DL357">
            <v>0</v>
          </cell>
          <cell r="DM357"/>
          <cell r="DN357"/>
          <cell r="DO357"/>
          <cell r="DP357"/>
        </row>
        <row r="358">
          <cell r="A358">
            <v>1640</v>
          </cell>
          <cell r="B358" t="str">
            <v>Leudal</v>
          </cell>
          <cell r="C358">
            <v>11</v>
          </cell>
          <cell r="D358">
            <v>-39634</v>
          </cell>
          <cell r="E358">
            <v>-19817</v>
          </cell>
          <cell r="F358">
            <v>0</v>
          </cell>
          <cell r="G358">
            <v>0</v>
          </cell>
          <cell r="H358">
            <v>0</v>
          </cell>
          <cell r="I358">
            <v>0</v>
          </cell>
          <cell r="J358"/>
          <cell r="K358">
            <v>0</v>
          </cell>
          <cell r="L358">
            <v>100277</v>
          </cell>
          <cell r="M358">
            <v>94467</v>
          </cell>
          <cell r="N358">
            <v>0</v>
          </cell>
          <cell r="O358">
            <v>0</v>
          </cell>
          <cell r="P358">
            <v>0</v>
          </cell>
          <cell r="Q358">
            <v>0</v>
          </cell>
          <cell r="R358">
            <v>0</v>
          </cell>
          <cell r="S358">
            <v>0</v>
          </cell>
          <cell r="T358">
            <v>0</v>
          </cell>
          <cell r="U358">
            <v>0</v>
          </cell>
          <cell r="V358">
            <v>3000</v>
          </cell>
          <cell r="W358">
            <v>149671</v>
          </cell>
          <cell r="X358">
            <v>0</v>
          </cell>
          <cell r="Y358"/>
          <cell r="Z358">
            <v>0</v>
          </cell>
          <cell r="AA358">
            <v>0</v>
          </cell>
          <cell r="AB358">
            <v>0</v>
          </cell>
          <cell r="AC358"/>
          <cell r="AD358">
            <v>0</v>
          </cell>
          <cell r="AE358">
            <v>0</v>
          </cell>
          <cell r="AF358">
            <v>0</v>
          </cell>
          <cell r="AG358">
            <v>0</v>
          </cell>
          <cell r="AH358">
            <v>0</v>
          </cell>
          <cell r="AI358">
            <v>0</v>
          </cell>
          <cell r="AJ358">
            <v>0</v>
          </cell>
          <cell r="AK358">
            <v>0</v>
          </cell>
          <cell r="AL358"/>
          <cell r="AM358">
            <v>0</v>
          </cell>
          <cell r="AN358">
            <v>0</v>
          </cell>
          <cell r="AO358">
            <v>0</v>
          </cell>
          <cell r="AP358">
            <v>0</v>
          </cell>
          <cell r="AQ358">
            <v>0</v>
          </cell>
          <cell r="AR358">
            <v>0</v>
          </cell>
          <cell r="AS358">
            <v>0</v>
          </cell>
          <cell r="AT358">
            <v>0</v>
          </cell>
          <cell r="AU358">
            <v>0</v>
          </cell>
          <cell r="AV358">
            <v>0</v>
          </cell>
          <cell r="AW358">
            <v>0</v>
          </cell>
          <cell r="AX358">
            <v>0</v>
          </cell>
          <cell r="AY358"/>
          <cell r="AZ358"/>
          <cell r="BA358">
            <v>0</v>
          </cell>
          <cell r="BB358"/>
          <cell r="BC358">
            <v>0</v>
          </cell>
          <cell r="BD358">
            <v>12594</v>
          </cell>
          <cell r="BE358"/>
          <cell r="BF358">
            <v>0</v>
          </cell>
          <cell r="BG358">
            <v>0</v>
          </cell>
          <cell r="BH358">
            <v>0</v>
          </cell>
          <cell r="BI358">
            <v>44432</v>
          </cell>
          <cell r="BJ358">
            <v>36574</v>
          </cell>
          <cell r="BK358">
            <v>36574</v>
          </cell>
          <cell r="BL358">
            <v>0</v>
          </cell>
          <cell r="BM358">
            <v>0</v>
          </cell>
          <cell r="BN358">
            <v>0</v>
          </cell>
          <cell r="BO358">
            <v>104582</v>
          </cell>
          <cell r="BP358">
            <v>20558.2</v>
          </cell>
          <cell r="BQ358">
            <v>37034.8837209302</v>
          </cell>
          <cell r="BR358">
            <v>0</v>
          </cell>
          <cell r="BS358">
            <v>0</v>
          </cell>
          <cell r="BT358">
            <v>60313</v>
          </cell>
          <cell r="BU358"/>
          <cell r="BV358"/>
          <cell r="BW358"/>
          <cell r="BX358"/>
          <cell r="BY358">
            <v>0</v>
          </cell>
          <cell r="BZ358">
            <v>0</v>
          </cell>
          <cell r="CA358">
            <v>0</v>
          </cell>
          <cell r="CB358">
            <v>0</v>
          </cell>
          <cell r="CC358">
            <v>2783842</v>
          </cell>
          <cell r="CD358">
            <v>15190673</v>
          </cell>
          <cell r="CE358">
            <v>2394718</v>
          </cell>
          <cell r="CF358">
            <v>0</v>
          </cell>
          <cell r="CG358">
            <v>2394718</v>
          </cell>
          <cell r="CH358">
            <v>2394718</v>
          </cell>
          <cell r="CI358">
            <v>2394718</v>
          </cell>
          <cell r="CJ358">
            <v>2394718</v>
          </cell>
          <cell r="CK358">
            <v>0</v>
          </cell>
          <cell r="CL358">
            <v>0</v>
          </cell>
          <cell r="CM358">
            <v>0</v>
          </cell>
          <cell r="CN358">
            <v>0</v>
          </cell>
          <cell r="CO358">
            <v>0</v>
          </cell>
          <cell r="CP358">
            <v>0</v>
          </cell>
          <cell r="CQ358">
            <v>2918543</v>
          </cell>
          <cell r="CR358">
            <v>2816416</v>
          </cell>
          <cell r="CS358">
            <v>2752445</v>
          </cell>
          <cell r="CT358">
            <v>2707074</v>
          </cell>
          <cell r="CU358">
            <v>2620465</v>
          </cell>
          <cell r="CV358">
            <v>79421</v>
          </cell>
          <cell r="CW358">
            <v>0</v>
          </cell>
          <cell r="CX358">
            <v>0</v>
          </cell>
          <cell r="CY358">
            <v>0</v>
          </cell>
          <cell r="CZ358">
            <v>0</v>
          </cell>
          <cell r="DA358">
            <v>0</v>
          </cell>
          <cell r="DB358"/>
          <cell r="DC358">
            <v>0</v>
          </cell>
          <cell r="DD358">
            <v>0</v>
          </cell>
          <cell r="DE358">
            <v>0</v>
          </cell>
          <cell r="DF358">
            <v>0</v>
          </cell>
          <cell r="DG358">
            <v>0</v>
          </cell>
          <cell r="DH358">
            <v>0</v>
          </cell>
          <cell r="DI358">
            <v>0</v>
          </cell>
          <cell r="DJ358">
            <v>0</v>
          </cell>
          <cell r="DK358">
            <v>0</v>
          </cell>
          <cell r="DL358">
            <v>0</v>
          </cell>
          <cell r="DM358"/>
          <cell r="DN358"/>
          <cell r="DO358"/>
          <cell r="DP358"/>
        </row>
        <row r="359">
          <cell r="A359">
            <v>1641</v>
          </cell>
          <cell r="B359" t="str">
            <v>Maasgouw</v>
          </cell>
          <cell r="C359">
            <v>11</v>
          </cell>
          <cell r="D359">
            <v>-19211</v>
          </cell>
          <cell r="E359">
            <v>-9606</v>
          </cell>
          <cell r="F359">
            <v>0</v>
          </cell>
          <cell r="G359">
            <v>0</v>
          </cell>
          <cell r="H359">
            <v>-23601</v>
          </cell>
          <cell r="I359">
            <v>-14580</v>
          </cell>
          <cell r="J359"/>
          <cell r="K359">
            <v>0</v>
          </cell>
          <cell r="L359">
            <v>64782</v>
          </cell>
          <cell r="M359">
            <v>55495</v>
          </cell>
          <cell r="N359">
            <v>0</v>
          </cell>
          <cell r="O359">
            <v>0</v>
          </cell>
          <cell r="P359">
            <v>0</v>
          </cell>
          <cell r="Q359">
            <v>0</v>
          </cell>
          <cell r="R359">
            <v>0</v>
          </cell>
          <cell r="S359">
            <v>0</v>
          </cell>
          <cell r="T359">
            <v>0</v>
          </cell>
          <cell r="U359">
            <v>0</v>
          </cell>
          <cell r="V359">
            <v>6000</v>
          </cell>
          <cell r="W359">
            <v>85526</v>
          </cell>
          <cell r="X359">
            <v>0</v>
          </cell>
          <cell r="Y359"/>
          <cell r="Z359">
            <v>0</v>
          </cell>
          <cell r="AA359">
            <v>0</v>
          </cell>
          <cell r="AB359">
            <v>0</v>
          </cell>
          <cell r="AC359"/>
          <cell r="AD359">
            <v>0</v>
          </cell>
          <cell r="AE359">
            <v>0</v>
          </cell>
          <cell r="AF359">
            <v>0</v>
          </cell>
          <cell r="AG359">
            <v>0</v>
          </cell>
          <cell r="AH359">
            <v>0</v>
          </cell>
          <cell r="AI359">
            <v>0</v>
          </cell>
          <cell r="AJ359">
            <v>0</v>
          </cell>
          <cell r="AK359">
            <v>0</v>
          </cell>
          <cell r="AL359"/>
          <cell r="AM359">
            <v>0</v>
          </cell>
          <cell r="AN359">
            <v>0</v>
          </cell>
          <cell r="AO359">
            <v>0</v>
          </cell>
          <cell r="AP359">
            <v>0</v>
          </cell>
          <cell r="AQ359">
            <v>0</v>
          </cell>
          <cell r="AR359">
            <v>0</v>
          </cell>
          <cell r="AS359">
            <v>0</v>
          </cell>
          <cell r="AT359">
            <v>0</v>
          </cell>
          <cell r="AU359">
            <v>0</v>
          </cell>
          <cell r="AV359">
            <v>0</v>
          </cell>
          <cell r="AW359">
            <v>0</v>
          </cell>
          <cell r="AX359">
            <v>0</v>
          </cell>
          <cell r="AY359"/>
          <cell r="AZ359"/>
          <cell r="BA359">
            <v>0</v>
          </cell>
          <cell r="BB359"/>
          <cell r="BC359">
            <v>0</v>
          </cell>
          <cell r="BD359">
            <v>8346</v>
          </cell>
          <cell r="BE359"/>
          <cell r="BF359">
            <v>0</v>
          </cell>
          <cell r="BG359">
            <v>0</v>
          </cell>
          <cell r="BH359">
            <v>0</v>
          </cell>
          <cell r="BI359">
            <v>33248</v>
          </cell>
          <cell r="BJ359">
            <v>27368</v>
          </cell>
          <cell r="BK359">
            <v>27368</v>
          </cell>
          <cell r="BL359">
            <v>0</v>
          </cell>
          <cell r="BM359">
            <v>0</v>
          </cell>
          <cell r="BN359">
            <v>0</v>
          </cell>
          <cell r="BO359">
            <v>523396</v>
          </cell>
          <cell r="BP359">
            <v>1581.4</v>
          </cell>
          <cell r="BQ359">
            <v>2848.8372093023299</v>
          </cell>
          <cell r="BR359">
            <v>0</v>
          </cell>
          <cell r="BS359">
            <v>0</v>
          </cell>
          <cell r="BT359">
            <v>35595</v>
          </cell>
          <cell r="BU359"/>
          <cell r="BV359"/>
          <cell r="BW359"/>
          <cell r="BX359"/>
          <cell r="BY359">
            <v>0</v>
          </cell>
          <cell r="BZ359">
            <v>0</v>
          </cell>
          <cell r="CA359">
            <v>0</v>
          </cell>
          <cell r="CB359">
            <v>0</v>
          </cell>
          <cell r="CC359">
            <v>2334964</v>
          </cell>
          <cell r="CD359">
            <v>11113706</v>
          </cell>
          <cell r="CE359">
            <v>849744</v>
          </cell>
          <cell r="CF359">
            <v>-8291</v>
          </cell>
          <cell r="CG359">
            <v>849744</v>
          </cell>
          <cell r="CH359">
            <v>849744</v>
          </cell>
          <cell r="CI359">
            <v>849744</v>
          </cell>
          <cell r="CJ359">
            <v>849744</v>
          </cell>
          <cell r="CK359">
            <v>0</v>
          </cell>
          <cell r="CL359">
            <v>0</v>
          </cell>
          <cell r="CM359">
            <v>0</v>
          </cell>
          <cell r="CN359">
            <v>0</v>
          </cell>
          <cell r="CO359">
            <v>0</v>
          </cell>
          <cell r="CP359">
            <v>-4060</v>
          </cell>
          <cell r="CQ359">
            <v>2363951</v>
          </cell>
          <cell r="CR359">
            <v>2255193</v>
          </cell>
          <cell r="CS359">
            <v>2188660</v>
          </cell>
          <cell r="CT359">
            <v>2062340</v>
          </cell>
          <cell r="CU359">
            <v>2008793</v>
          </cell>
          <cell r="CV359">
            <v>58367</v>
          </cell>
          <cell r="CW359">
            <v>0</v>
          </cell>
          <cell r="CX359">
            <v>0</v>
          </cell>
          <cell r="CY359">
            <v>0</v>
          </cell>
          <cell r="CZ359">
            <v>0</v>
          </cell>
          <cell r="DA359">
            <v>0</v>
          </cell>
          <cell r="DB359"/>
          <cell r="DC359">
            <v>0</v>
          </cell>
          <cell r="DD359">
            <v>0</v>
          </cell>
          <cell r="DE359">
            <v>0</v>
          </cell>
          <cell r="DF359">
            <v>0</v>
          </cell>
          <cell r="DG359">
            <v>0</v>
          </cell>
          <cell r="DH359">
            <v>0</v>
          </cell>
          <cell r="DI359">
            <v>0</v>
          </cell>
          <cell r="DJ359">
            <v>0</v>
          </cell>
          <cell r="DK359">
            <v>0</v>
          </cell>
          <cell r="DL359">
            <v>0</v>
          </cell>
          <cell r="DM359"/>
          <cell r="DN359"/>
          <cell r="DO359"/>
          <cell r="DP359"/>
        </row>
        <row r="360">
          <cell r="A360">
            <v>935</v>
          </cell>
          <cell r="B360" t="str">
            <v>Maastricht</v>
          </cell>
          <cell r="C360">
            <v>11</v>
          </cell>
          <cell r="D360">
            <v>269992</v>
          </cell>
          <cell r="E360">
            <v>134996</v>
          </cell>
          <cell r="F360">
            <v>0</v>
          </cell>
          <cell r="G360">
            <v>0</v>
          </cell>
          <cell r="H360">
            <v>-47247</v>
          </cell>
          <cell r="I360">
            <v>0</v>
          </cell>
          <cell r="J360"/>
          <cell r="K360">
            <v>0</v>
          </cell>
          <cell r="L360">
            <v>618491</v>
          </cell>
          <cell r="M360">
            <v>654511</v>
          </cell>
          <cell r="N360">
            <v>0</v>
          </cell>
          <cell r="O360">
            <v>0</v>
          </cell>
          <cell r="P360">
            <v>324169</v>
          </cell>
          <cell r="Q360">
            <v>0</v>
          </cell>
          <cell r="R360">
            <v>844762</v>
          </cell>
          <cell r="S360">
            <v>712741</v>
          </cell>
          <cell r="T360">
            <v>712741</v>
          </cell>
          <cell r="U360">
            <v>712741</v>
          </cell>
          <cell r="V360">
            <v>6000</v>
          </cell>
          <cell r="W360">
            <v>352213</v>
          </cell>
          <cell r="X360">
            <v>0</v>
          </cell>
          <cell r="Y360"/>
          <cell r="Z360">
            <v>0</v>
          </cell>
          <cell r="AA360">
            <v>0</v>
          </cell>
          <cell r="AB360">
            <v>0</v>
          </cell>
          <cell r="AC360"/>
          <cell r="AD360">
            <v>413609</v>
          </cell>
          <cell r="AE360">
            <v>0</v>
          </cell>
          <cell r="AF360">
            <v>0</v>
          </cell>
          <cell r="AG360">
            <v>0</v>
          </cell>
          <cell r="AH360">
            <v>0</v>
          </cell>
          <cell r="AI360">
            <v>0</v>
          </cell>
          <cell r="AJ360">
            <v>0</v>
          </cell>
          <cell r="AK360">
            <v>230543</v>
          </cell>
          <cell r="AL360"/>
          <cell r="AM360">
            <v>0</v>
          </cell>
          <cell r="AN360">
            <v>0</v>
          </cell>
          <cell r="AO360">
            <v>0</v>
          </cell>
          <cell r="AP360">
            <v>0</v>
          </cell>
          <cell r="AQ360">
            <v>0</v>
          </cell>
          <cell r="AR360">
            <v>0</v>
          </cell>
          <cell r="AS360">
            <v>0</v>
          </cell>
          <cell r="AT360">
            <v>20000</v>
          </cell>
          <cell r="AU360">
            <v>7110</v>
          </cell>
          <cell r="AV360">
            <v>6522922.8342351699</v>
          </cell>
          <cell r="AW360">
            <v>0</v>
          </cell>
          <cell r="AX360">
            <v>0</v>
          </cell>
          <cell r="AY360"/>
          <cell r="AZ360"/>
          <cell r="BA360">
            <v>0</v>
          </cell>
          <cell r="BB360"/>
          <cell r="BC360">
            <v>22546</v>
          </cell>
          <cell r="BD360">
            <v>43091</v>
          </cell>
          <cell r="BE360"/>
          <cell r="BF360">
            <v>0</v>
          </cell>
          <cell r="BG360">
            <v>0</v>
          </cell>
          <cell r="BH360">
            <v>0</v>
          </cell>
          <cell r="BI360">
            <v>247376</v>
          </cell>
          <cell r="BJ360">
            <v>203627</v>
          </cell>
          <cell r="BK360">
            <v>203627</v>
          </cell>
          <cell r="BL360">
            <v>0</v>
          </cell>
          <cell r="BM360">
            <v>0</v>
          </cell>
          <cell r="BN360">
            <v>259490</v>
          </cell>
          <cell r="BO360">
            <v>368226</v>
          </cell>
          <cell r="BP360">
            <v>31628</v>
          </cell>
          <cell r="BQ360">
            <v>56976.744186046497</v>
          </cell>
          <cell r="BR360">
            <v>299150</v>
          </cell>
          <cell r="BS360">
            <v>0</v>
          </cell>
          <cell r="BT360">
            <v>181552</v>
          </cell>
          <cell r="BU360"/>
          <cell r="BV360"/>
          <cell r="BW360"/>
          <cell r="BX360"/>
          <cell r="BY360">
            <v>2312837.4536231598</v>
          </cell>
          <cell r="BZ360">
            <v>2681118.8052532701</v>
          </cell>
          <cell r="CA360">
            <v>2712580.0262468001</v>
          </cell>
          <cell r="CB360">
            <v>2801411.7090520598</v>
          </cell>
          <cell r="CC360">
            <v>11516130</v>
          </cell>
          <cell r="CD360">
            <v>99564676</v>
          </cell>
          <cell r="CE360">
            <v>3480201</v>
          </cell>
          <cell r="CF360">
            <v>0</v>
          </cell>
          <cell r="CG360">
            <v>3480201</v>
          </cell>
          <cell r="CH360">
            <v>3480201</v>
          </cell>
          <cell r="CI360">
            <v>3480201</v>
          </cell>
          <cell r="CJ360">
            <v>3480201</v>
          </cell>
          <cell r="CK360">
            <v>29705337</v>
          </cell>
          <cell r="CL360">
            <v>29690428</v>
          </cell>
          <cell r="CM360">
            <v>29690187</v>
          </cell>
          <cell r="CN360">
            <v>29689656</v>
          </cell>
          <cell r="CO360">
            <v>29690391</v>
          </cell>
          <cell r="CP360">
            <v>0</v>
          </cell>
          <cell r="CQ360">
            <v>20930964</v>
          </cell>
          <cell r="CR360">
            <v>19866497</v>
          </cell>
          <cell r="CS360">
            <v>19125769</v>
          </cell>
          <cell r="CT360">
            <v>18512876</v>
          </cell>
          <cell r="CU360">
            <v>17839518</v>
          </cell>
          <cell r="CV360">
            <v>735456</v>
          </cell>
          <cell r="CW360">
            <v>0</v>
          </cell>
          <cell r="CX360">
            <v>0</v>
          </cell>
          <cell r="CY360">
            <v>0</v>
          </cell>
          <cell r="CZ360">
            <v>0</v>
          </cell>
          <cell r="DA360">
            <v>0</v>
          </cell>
          <cell r="DB360"/>
          <cell r="DC360">
            <v>283000</v>
          </cell>
          <cell r="DD360">
            <v>0</v>
          </cell>
          <cell r="DE360">
            <v>0</v>
          </cell>
          <cell r="DF360">
            <v>0</v>
          </cell>
          <cell r="DG360">
            <v>0</v>
          </cell>
          <cell r="DH360">
            <v>0</v>
          </cell>
          <cell r="DI360">
            <v>0</v>
          </cell>
          <cell r="DJ360">
            <v>0</v>
          </cell>
          <cell r="DK360">
            <v>0</v>
          </cell>
          <cell r="DL360">
            <v>0</v>
          </cell>
          <cell r="DM360"/>
          <cell r="DN360"/>
          <cell r="DO360"/>
          <cell r="DP360"/>
        </row>
        <row r="361">
          <cell r="A361">
            <v>938</v>
          </cell>
          <cell r="B361" t="str">
            <v>Meerssen</v>
          </cell>
          <cell r="C361">
            <v>11</v>
          </cell>
          <cell r="D361">
            <v>17866</v>
          </cell>
          <cell r="E361">
            <v>8933</v>
          </cell>
          <cell r="F361">
            <v>0</v>
          </cell>
          <cell r="G361">
            <v>0</v>
          </cell>
          <cell r="H361">
            <v>0</v>
          </cell>
          <cell r="I361">
            <v>0</v>
          </cell>
          <cell r="J361"/>
          <cell r="K361">
            <v>0</v>
          </cell>
          <cell r="L361">
            <v>59848</v>
          </cell>
          <cell r="M361">
            <v>52567</v>
          </cell>
          <cell r="N361">
            <v>0</v>
          </cell>
          <cell r="O361">
            <v>0</v>
          </cell>
          <cell r="P361">
            <v>0</v>
          </cell>
          <cell r="Q361">
            <v>0</v>
          </cell>
          <cell r="R361">
            <v>0</v>
          </cell>
          <cell r="S361">
            <v>0</v>
          </cell>
          <cell r="T361">
            <v>0</v>
          </cell>
          <cell r="U361">
            <v>0</v>
          </cell>
          <cell r="V361">
            <v>0</v>
          </cell>
          <cell r="W361">
            <v>32326</v>
          </cell>
          <cell r="X361">
            <v>0</v>
          </cell>
          <cell r="Y361"/>
          <cell r="Z361">
            <v>0</v>
          </cell>
          <cell r="AA361">
            <v>0</v>
          </cell>
          <cell r="AB361">
            <v>0</v>
          </cell>
          <cell r="AC361"/>
          <cell r="AD361">
            <v>36178</v>
          </cell>
          <cell r="AE361">
            <v>0</v>
          </cell>
          <cell r="AF361">
            <v>0</v>
          </cell>
          <cell r="AG361">
            <v>0</v>
          </cell>
          <cell r="AH361">
            <v>0</v>
          </cell>
          <cell r="AI361">
            <v>0</v>
          </cell>
          <cell r="AJ361">
            <v>0</v>
          </cell>
          <cell r="AK361">
            <v>0</v>
          </cell>
          <cell r="AL361"/>
          <cell r="AM361">
            <v>0</v>
          </cell>
          <cell r="AN361">
            <v>0</v>
          </cell>
          <cell r="AO361">
            <v>0</v>
          </cell>
          <cell r="AP361">
            <v>0</v>
          </cell>
          <cell r="AQ361">
            <v>0</v>
          </cell>
          <cell r="AR361">
            <v>0</v>
          </cell>
          <cell r="AS361">
            <v>0</v>
          </cell>
          <cell r="AT361">
            <v>0</v>
          </cell>
          <cell r="AU361">
            <v>0</v>
          </cell>
          <cell r="AV361">
            <v>0</v>
          </cell>
          <cell r="AW361">
            <v>0</v>
          </cell>
          <cell r="AX361">
            <v>0</v>
          </cell>
          <cell r="AY361"/>
          <cell r="AZ361"/>
          <cell r="BA361">
            <v>0</v>
          </cell>
          <cell r="BB361"/>
          <cell r="BC361">
            <v>0</v>
          </cell>
          <cell r="BD361">
            <v>6695</v>
          </cell>
          <cell r="BE361"/>
          <cell r="BF361">
            <v>0</v>
          </cell>
          <cell r="BG361">
            <v>0</v>
          </cell>
          <cell r="BH361">
            <v>0</v>
          </cell>
          <cell r="BI361">
            <v>25023</v>
          </cell>
          <cell r="BJ361">
            <v>20597</v>
          </cell>
          <cell r="BK361">
            <v>20597</v>
          </cell>
          <cell r="BL361">
            <v>0</v>
          </cell>
          <cell r="BM361">
            <v>0</v>
          </cell>
          <cell r="BN361">
            <v>0</v>
          </cell>
          <cell r="BO361">
            <v>29672</v>
          </cell>
          <cell r="BP361">
            <v>0</v>
          </cell>
          <cell r="BQ361">
            <v>0</v>
          </cell>
          <cell r="BR361">
            <v>0</v>
          </cell>
          <cell r="BS361">
            <v>0</v>
          </cell>
          <cell r="BT361">
            <v>29285</v>
          </cell>
          <cell r="BU361"/>
          <cell r="BV361"/>
          <cell r="BW361"/>
          <cell r="BX361"/>
          <cell r="BY361">
            <v>0</v>
          </cell>
          <cell r="BZ361">
            <v>0</v>
          </cell>
          <cell r="CA361">
            <v>0</v>
          </cell>
          <cell r="CB361">
            <v>0</v>
          </cell>
          <cell r="CC361">
            <v>1686245</v>
          </cell>
          <cell r="CD361">
            <v>8208238</v>
          </cell>
          <cell r="CE361">
            <v>497325</v>
          </cell>
          <cell r="CF361">
            <v>0</v>
          </cell>
          <cell r="CG361">
            <v>497325</v>
          </cell>
          <cell r="CH361">
            <v>497325</v>
          </cell>
          <cell r="CI361">
            <v>497325</v>
          </cell>
          <cell r="CJ361">
            <v>497325</v>
          </cell>
          <cell r="CK361">
            <v>0</v>
          </cell>
          <cell r="CL361">
            <v>0</v>
          </cell>
          <cell r="CM361">
            <v>0</v>
          </cell>
          <cell r="CN361">
            <v>0</v>
          </cell>
          <cell r="CO361">
            <v>0</v>
          </cell>
          <cell r="CP361">
            <v>-995</v>
          </cell>
          <cell r="CQ361">
            <v>1690274</v>
          </cell>
          <cell r="CR361">
            <v>1591740</v>
          </cell>
          <cell r="CS361">
            <v>1550897</v>
          </cell>
          <cell r="CT361">
            <v>1521660</v>
          </cell>
          <cell r="CU361">
            <v>1513183</v>
          </cell>
          <cell r="CV361">
            <v>6124</v>
          </cell>
          <cell r="CW361">
            <v>0</v>
          </cell>
          <cell r="CX361">
            <v>0</v>
          </cell>
          <cell r="CY361">
            <v>0</v>
          </cell>
          <cell r="CZ361">
            <v>0</v>
          </cell>
          <cell r="DA361">
            <v>0</v>
          </cell>
          <cell r="DB361"/>
          <cell r="DC361">
            <v>0</v>
          </cell>
          <cell r="DD361">
            <v>0</v>
          </cell>
          <cell r="DE361">
            <v>0</v>
          </cell>
          <cell r="DF361">
            <v>0</v>
          </cell>
          <cell r="DG361">
            <v>0</v>
          </cell>
          <cell r="DH361">
            <v>0</v>
          </cell>
          <cell r="DI361">
            <v>0</v>
          </cell>
          <cell r="DJ361">
            <v>0</v>
          </cell>
          <cell r="DK361">
            <v>0</v>
          </cell>
          <cell r="DL361">
            <v>0</v>
          </cell>
          <cell r="DM361"/>
          <cell r="DN361"/>
          <cell r="DO361"/>
          <cell r="DP361"/>
        </row>
        <row r="362">
          <cell r="A362">
            <v>944</v>
          </cell>
          <cell r="B362" t="str">
            <v>Mook en Middelaar</v>
          </cell>
          <cell r="C362">
            <v>11</v>
          </cell>
          <cell r="D362">
            <v>6756</v>
          </cell>
          <cell r="E362">
            <v>3378</v>
          </cell>
          <cell r="F362">
            <v>0</v>
          </cell>
          <cell r="G362">
            <v>0</v>
          </cell>
          <cell r="H362">
            <v>-12726</v>
          </cell>
          <cell r="I362">
            <v>-10888</v>
          </cell>
          <cell r="J362"/>
          <cell r="K362">
            <v>0</v>
          </cell>
          <cell r="L362">
            <v>21448</v>
          </cell>
          <cell r="M362">
            <v>14999</v>
          </cell>
          <cell r="N362">
            <v>0</v>
          </cell>
          <cell r="O362">
            <v>0</v>
          </cell>
          <cell r="P362">
            <v>0</v>
          </cell>
          <cell r="Q362">
            <v>0</v>
          </cell>
          <cell r="R362">
            <v>0</v>
          </cell>
          <cell r="S362">
            <v>0</v>
          </cell>
          <cell r="T362">
            <v>0</v>
          </cell>
          <cell r="U362">
            <v>0</v>
          </cell>
          <cell r="V362">
            <v>0</v>
          </cell>
          <cell r="W362">
            <v>24244</v>
          </cell>
          <cell r="X362">
            <v>0</v>
          </cell>
          <cell r="Y362"/>
          <cell r="Z362">
            <v>0</v>
          </cell>
          <cell r="AA362">
            <v>0</v>
          </cell>
          <cell r="AB362">
            <v>0</v>
          </cell>
          <cell r="AC362"/>
          <cell r="AD362">
            <v>0</v>
          </cell>
          <cell r="AE362">
            <v>0</v>
          </cell>
          <cell r="AF362">
            <v>0</v>
          </cell>
          <cell r="AG362">
            <v>0</v>
          </cell>
          <cell r="AH362">
            <v>0</v>
          </cell>
          <cell r="AI362">
            <v>0</v>
          </cell>
          <cell r="AJ362">
            <v>0</v>
          </cell>
          <cell r="AK362">
            <v>0</v>
          </cell>
          <cell r="AL362"/>
          <cell r="AM362">
            <v>0</v>
          </cell>
          <cell r="AN362">
            <v>0</v>
          </cell>
          <cell r="AO362">
            <v>0</v>
          </cell>
          <cell r="AP362">
            <v>0</v>
          </cell>
          <cell r="AQ362">
            <v>0</v>
          </cell>
          <cell r="AR362">
            <v>0</v>
          </cell>
          <cell r="AS362">
            <v>0</v>
          </cell>
          <cell r="AT362">
            <v>0</v>
          </cell>
          <cell r="AU362">
            <v>0</v>
          </cell>
          <cell r="AV362">
            <v>0</v>
          </cell>
          <cell r="AW362">
            <v>0</v>
          </cell>
          <cell r="AX362">
            <v>0</v>
          </cell>
          <cell r="AY362"/>
          <cell r="AZ362"/>
          <cell r="BA362">
            <v>0</v>
          </cell>
          <cell r="BB362"/>
          <cell r="BC362">
            <v>0</v>
          </cell>
          <cell r="BD362">
            <v>2729</v>
          </cell>
          <cell r="BE362"/>
          <cell r="BF362">
            <v>0</v>
          </cell>
          <cell r="BG362">
            <v>0</v>
          </cell>
          <cell r="BH362">
            <v>0</v>
          </cell>
          <cell r="BI362">
            <v>7672</v>
          </cell>
          <cell r="BJ362">
            <v>6316</v>
          </cell>
          <cell r="BK362">
            <v>6316</v>
          </cell>
          <cell r="BL362">
            <v>0</v>
          </cell>
          <cell r="BM362">
            <v>0</v>
          </cell>
          <cell r="BN362">
            <v>0</v>
          </cell>
          <cell r="BO362">
            <v>41833</v>
          </cell>
          <cell r="BP362">
            <v>0</v>
          </cell>
          <cell r="BQ362">
            <v>0</v>
          </cell>
          <cell r="BR362">
            <v>0</v>
          </cell>
          <cell r="BS362">
            <v>0</v>
          </cell>
          <cell r="BT362">
            <v>13764</v>
          </cell>
          <cell r="BU362"/>
          <cell r="BV362"/>
          <cell r="BW362"/>
          <cell r="BX362"/>
          <cell r="BY362">
            <v>0</v>
          </cell>
          <cell r="BZ362">
            <v>0</v>
          </cell>
          <cell r="CA362">
            <v>0</v>
          </cell>
          <cell r="CB362">
            <v>0</v>
          </cell>
          <cell r="CC362">
            <v>568956</v>
          </cell>
          <cell r="CD362">
            <v>2660759</v>
          </cell>
          <cell r="CE362">
            <v>60499</v>
          </cell>
          <cell r="CF362">
            <v>-20277</v>
          </cell>
          <cell r="CG362">
            <v>60499</v>
          </cell>
          <cell r="CH362">
            <v>60499</v>
          </cell>
          <cell r="CI362">
            <v>60499</v>
          </cell>
          <cell r="CJ362">
            <v>60499</v>
          </cell>
          <cell r="CK362">
            <v>0</v>
          </cell>
          <cell r="CL362">
            <v>0</v>
          </cell>
          <cell r="CM362">
            <v>0</v>
          </cell>
          <cell r="CN362">
            <v>0</v>
          </cell>
          <cell r="CO362">
            <v>0</v>
          </cell>
          <cell r="CP362">
            <v>-921</v>
          </cell>
          <cell r="CQ362">
            <v>518239</v>
          </cell>
          <cell r="CR362">
            <v>506642</v>
          </cell>
          <cell r="CS362">
            <v>495846</v>
          </cell>
          <cell r="CT362">
            <v>497178</v>
          </cell>
          <cell r="CU362">
            <v>498617</v>
          </cell>
          <cell r="CV362">
            <v>2767</v>
          </cell>
          <cell r="CW362">
            <v>0</v>
          </cell>
          <cell r="CX362">
            <v>0</v>
          </cell>
          <cell r="CY362">
            <v>0</v>
          </cell>
          <cell r="CZ362">
            <v>0</v>
          </cell>
          <cell r="DA362">
            <v>0</v>
          </cell>
          <cell r="DB362"/>
          <cell r="DC362">
            <v>0</v>
          </cell>
          <cell r="DD362">
            <v>0</v>
          </cell>
          <cell r="DE362">
            <v>0</v>
          </cell>
          <cell r="DF362">
            <v>0</v>
          </cell>
          <cell r="DG362">
            <v>0</v>
          </cell>
          <cell r="DH362">
            <v>0</v>
          </cell>
          <cell r="DI362">
            <v>0</v>
          </cell>
          <cell r="DJ362">
            <v>0</v>
          </cell>
          <cell r="DK362">
            <v>0</v>
          </cell>
          <cell r="DL362">
            <v>0</v>
          </cell>
          <cell r="DM362"/>
          <cell r="DN362"/>
          <cell r="DO362"/>
          <cell r="DP362"/>
        </row>
        <row r="363">
          <cell r="A363">
            <v>946</v>
          </cell>
          <cell r="B363" t="str">
            <v>Nederweert</v>
          </cell>
          <cell r="C363">
            <v>11</v>
          </cell>
          <cell r="D363">
            <v>26349</v>
          </cell>
          <cell r="E363">
            <v>13175</v>
          </cell>
          <cell r="F363">
            <v>0</v>
          </cell>
          <cell r="G363">
            <v>0</v>
          </cell>
          <cell r="H363">
            <v>-9780</v>
          </cell>
          <cell r="I363">
            <v>0</v>
          </cell>
          <cell r="J363"/>
          <cell r="K363">
            <v>0</v>
          </cell>
          <cell r="L363">
            <v>59211</v>
          </cell>
          <cell r="M363">
            <v>56090</v>
          </cell>
          <cell r="N363">
            <v>0</v>
          </cell>
          <cell r="O363">
            <v>0</v>
          </cell>
          <cell r="P363">
            <v>0</v>
          </cell>
          <cell r="Q363">
            <v>0</v>
          </cell>
          <cell r="R363">
            <v>0</v>
          </cell>
          <cell r="S363">
            <v>0</v>
          </cell>
          <cell r="T363">
            <v>0</v>
          </cell>
          <cell r="U363">
            <v>0</v>
          </cell>
          <cell r="V363">
            <v>0</v>
          </cell>
          <cell r="W363">
            <v>66866</v>
          </cell>
          <cell r="X363">
            <v>0</v>
          </cell>
          <cell r="Y363"/>
          <cell r="Z363">
            <v>0</v>
          </cell>
          <cell r="AA363">
            <v>0</v>
          </cell>
          <cell r="AB363">
            <v>0</v>
          </cell>
          <cell r="AC363"/>
          <cell r="AD363">
            <v>0</v>
          </cell>
          <cell r="AE363">
            <v>0</v>
          </cell>
          <cell r="AF363">
            <v>0</v>
          </cell>
          <cell r="AG363">
            <v>0</v>
          </cell>
          <cell r="AH363">
            <v>0</v>
          </cell>
          <cell r="AI363">
            <v>0</v>
          </cell>
          <cell r="AJ363">
            <v>0</v>
          </cell>
          <cell r="AK363">
            <v>0</v>
          </cell>
          <cell r="AL363"/>
          <cell r="AM363">
            <v>0</v>
          </cell>
          <cell r="AN363">
            <v>0</v>
          </cell>
          <cell r="AO363">
            <v>0</v>
          </cell>
          <cell r="AP363">
            <v>0</v>
          </cell>
          <cell r="AQ363">
            <v>0</v>
          </cell>
          <cell r="AR363">
            <v>0</v>
          </cell>
          <cell r="AS363">
            <v>0</v>
          </cell>
          <cell r="AT363">
            <v>0</v>
          </cell>
          <cell r="AU363">
            <v>0</v>
          </cell>
          <cell r="AV363">
            <v>0</v>
          </cell>
          <cell r="AW363">
            <v>0</v>
          </cell>
          <cell r="AX363">
            <v>0</v>
          </cell>
          <cell r="AY363"/>
          <cell r="AZ363"/>
          <cell r="BA363">
            <v>0</v>
          </cell>
          <cell r="BB363"/>
          <cell r="BC363">
            <v>0</v>
          </cell>
          <cell r="BD363">
            <v>5920</v>
          </cell>
          <cell r="BE363"/>
          <cell r="BF363">
            <v>0</v>
          </cell>
          <cell r="BG363">
            <v>0</v>
          </cell>
          <cell r="BH363">
            <v>0</v>
          </cell>
          <cell r="BI363">
            <v>22380</v>
          </cell>
          <cell r="BJ363">
            <v>18422</v>
          </cell>
          <cell r="BK363">
            <v>18422</v>
          </cell>
          <cell r="BL363">
            <v>0</v>
          </cell>
          <cell r="BM363">
            <v>0</v>
          </cell>
          <cell r="BN363">
            <v>0</v>
          </cell>
          <cell r="BO363">
            <v>86584</v>
          </cell>
          <cell r="BP363">
            <v>11069.8</v>
          </cell>
          <cell r="BQ363">
            <v>19941.8604651163</v>
          </cell>
          <cell r="BR363">
            <v>0</v>
          </cell>
          <cell r="BS363">
            <v>0</v>
          </cell>
          <cell r="BT363">
            <v>26625</v>
          </cell>
          <cell r="BU363"/>
          <cell r="BV363"/>
          <cell r="BW363"/>
          <cell r="BX363"/>
          <cell r="BY363">
            <v>0</v>
          </cell>
          <cell r="BZ363">
            <v>0</v>
          </cell>
          <cell r="CA363">
            <v>0</v>
          </cell>
          <cell r="CB363">
            <v>0</v>
          </cell>
          <cell r="CC363">
            <v>1373993</v>
          </cell>
          <cell r="CD363">
            <v>7438430</v>
          </cell>
          <cell r="CE363">
            <v>321555</v>
          </cell>
          <cell r="CF363">
            <v>0</v>
          </cell>
          <cell r="CG363">
            <v>321555</v>
          </cell>
          <cell r="CH363">
            <v>321555</v>
          </cell>
          <cell r="CI363">
            <v>321555</v>
          </cell>
          <cell r="CJ363">
            <v>321555</v>
          </cell>
          <cell r="CK363">
            <v>0</v>
          </cell>
          <cell r="CL363">
            <v>0</v>
          </cell>
          <cell r="CM363">
            <v>0</v>
          </cell>
          <cell r="CN363">
            <v>0</v>
          </cell>
          <cell r="CO363">
            <v>0</v>
          </cell>
          <cell r="CP363">
            <v>0</v>
          </cell>
          <cell r="CQ363">
            <v>2393506</v>
          </cell>
          <cell r="CR363">
            <v>2242157</v>
          </cell>
          <cell r="CS363">
            <v>2179005</v>
          </cell>
          <cell r="CT363">
            <v>2110705</v>
          </cell>
          <cell r="CU363">
            <v>2080675</v>
          </cell>
          <cell r="CV363">
            <v>39541</v>
          </cell>
          <cell r="CW363">
            <v>0</v>
          </cell>
          <cell r="CX363">
            <v>0</v>
          </cell>
          <cell r="CY363">
            <v>0</v>
          </cell>
          <cell r="CZ363">
            <v>0</v>
          </cell>
          <cell r="DA363">
            <v>0</v>
          </cell>
          <cell r="DB363"/>
          <cell r="DC363">
            <v>0</v>
          </cell>
          <cell r="DD363">
            <v>0</v>
          </cell>
          <cell r="DE363">
            <v>0</v>
          </cell>
          <cell r="DF363">
            <v>0</v>
          </cell>
          <cell r="DG363">
            <v>0</v>
          </cell>
          <cell r="DH363">
            <v>0</v>
          </cell>
          <cell r="DI363">
            <v>0</v>
          </cell>
          <cell r="DJ363">
            <v>0</v>
          </cell>
          <cell r="DK363">
            <v>0</v>
          </cell>
          <cell r="DL363">
            <v>0</v>
          </cell>
          <cell r="DM363"/>
          <cell r="DN363"/>
          <cell r="DO363"/>
          <cell r="DP363"/>
        </row>
        <row r="364">
          <cell r="A364">
            <v>951</v>
          </cell>
          <cell r="B364" t="str">
            <v>Nuth</v>
          </cell>
          <cell r="C364">
            <v>11</v>
          </cell>
          <cell r="D364">
            <v>9246</v>
          </cell>
          <cell r="E364">
            <v>4623</v>
          </cell>
          <cell r="F364">
            <v>0</v>
          </cell>
          <cell r="G364">
            <v>0</v>
          </cell>
          <cell r="H364">
            <v>-12358</v>
          </cell>
          <cell r="I364">
            <v>-12964</v>
          </cell>
          <cell r="J364"/>
          <cell r="K364">
            <v>0</v>
          </cell>
          <cell r="L364">
            <v>46756</v>
          </cell>
          <cell r="M364">
            <v>39877</v>
          </cell>
          <cell r="N364">
            <v>0</v>
          </cell>
          <cell r="O364">
            <v>0</v>
          </cell>
          <cell r="P364">
            <v>0</v>
          </cell>
          <cell r="Q364">
            <v>0</v>
          </cell>
          <cell r="R364">
            <v>0</v>
          </cell>
          <cell r="S364">
            <v>0</v>
          </cell>
          <cell r="T364">
            <v>0</v>
          </cell>
          <cell r="U364">
            <v>0</v>
          </cell>
          <cell r="V364">
            <v>0</v>
          </cell>
          <cell r="W364">
            <v>40205</v>
          </cell>
          <cell r="X364">
            <v>0</v>
          </cell>
          <cell r="Y364"/>
          <cell r="Z364">
            <v>0</v>
          </cell>
          <cell r="AA364">
            <v>0</v>
          </cell>
          <cell r="AB364">
            <v>0</v>
          </cell>
          <cell r="AC364"/>
          <cell r="AD364">
            <v>31289</v>
          </cell>
          <cell r="AE364">
            <v>0</v>
          </cell>
          <cell r="AF364">
            <v>0</v>
          </cell>
          <cell r="AG364">
            <v>0</v>
          </cell>
          <cell r="AH364">
            <v>0</v>
          </cell>
          <cell r="AI364">
            <v>0</v>
          </cell>
          <cell r="AJ364">
            <v>0</v>
          </cell>
          <cell r="AK364">
            <v>0</v>
          </cell>
          <cell r="AL364"/>
          <cell r="AM364">
            <v>0</v>
          </cell>
          <cell r="AN364">
            <v>0</v>
          </cell>
          <cell r="AO364">
            <v>0</v>
          </cell>
          <cell r="AP364">
            <v>0</v>
          </cell>
          <cell r="AQ364">
            <v>0</v>
          </cell>
          <cell r="AR364">
            <v>0</v>
          </cell>
          <cell r="AS364">
            <v>0</v>
          </cell>
          <cell r="AT364">
            <v>0</v>
          </cell>
          <cell r="AU364">
            <v>0</v>
          </cell>
          <cell r="AV364">
            <v>0</v>
          </cell>
          <cell r="AW364">
            <v>0</v>
          </cell>
          <cell r="AX364">
            <v>0</v>
          </cell>
          <cell r="AY364"/>
          <cell r="AZ364"/>
          <cell r="BA364">
            <v>0</v>
          </cell>
          <cell r="BB364"/>
          <cell r="BC364">
            <v>0</v>
          </cell>
          <cell r="BD364">
            <v>26852</v>
          </cell>
          <cell r="BE364"/>
          <cell r="BF364">
            <v>0</v>
          </cell>
          <cell r="BG364">
            <v>0</v>
          </cell>
          <cell r="BH364">
            <v>0</v>
          </cell>
          <cell r="BI364">
            <v>24002</v>
          </cell>
          <cell r="BJ364">
            <v>19757</v>
          </cell>
          <cell r="BK364">
            <v>19757</v>
          </cell>
          <cell r="BL364">
            <v>0</v>
          </cell>
          <cell r="BM364">
            <v>0</v>
          </cell>
          <cell r="BN364">
            <v>0</v>
          </cell>
          <cell r="BO364">
            <v>11674</v>
          </cell>
          <cell r="BP364">
            <v>0</v>
          </cell>
          <cell r="BQ364">
            <v>0</v>
          </cell>
          <cell r="BR364">
            <v>0</v>
          </cell>
          <cell r="BS364">
            <v>0</v>
          </cell>
          <cell r="BT364">
            <v>22883</v>
          </cell>
          <cell r="BU364"/>
          <cell r="BV364"/>
          <cell r="BW364"/>
          <cell r="BX364"/>
          <cell r="BY364">
            <v>0</v>
          </cell>
          <cell r="BZ364">
            <v>0</v>
          </cell>
          <cell r="CA364">
            <v>0</v>
          </cell>
          <cell r="CB364">
            <v>0</v>
          </cell>
          <cell r="CC364">
            <v>1469360</v>
          </cell>
          <cell r="CD364">
            <v>7565161</v>
          </cell>
          <cell r="CE364">
            <v>162435</v>
          </cell>
          <cell r="CF364">
            <v>-31524</v>
          </cell>
          <cell r="CG364">
            <v>162435</v>
          </cell>
          <cell r="CH364">
            <v>162435</v>
          </cell>
          <cell r="CI364">
            <v>162435</v>
          </cell>
          <cell r="CJ364">
            <v>162435</v>
          </cell>
          <cell r="CK364">
            <v>0</v>
          </cell>
          <cell r="CL364">
            <v>0</v>
          </cell>
          <cell r="CM364">
            <v>0</v>
          </cell>
          <cell r="CN364">
            <v>0</v>
          </cell>
          <cell r="CO364">
            <v>0</v>
          </cell>
          <cell r="CP364">
            <v>0</v>
          </cell>
          <cell r="CQ364">
            <v>2281482</v>
          </cell>
          <cell r="CR364">
            <v>2149076</v>
          </cell>
          <cell r="CS364">
            <v>2094996</v>
          </cell>
          <cell r="CT364">
            <v>2031700</v>
          </cell>
          <cell r="CU364">
            <v>1927242</v>
          </cell>
          <cell r="CV364">
            <v>11639</v>
          </cell>
          <cell r="CW364">
            <v>0</v>
          </cell>
          <cell r="CX364">
            <v>0</v>
          </cell>
          <cell r="CY364">
            <v>0</v>
          </cell>
          <cell r="CZ364">
            <v>0</v>
          </cell>
          <cell r="DA364">
            <v>0</v>
          </cell>
          <cell r="DB364"/>
          <cell r="DC364">
            <v>0</v>
          </cell>
          <cell r="DD364">
            <v>0</v>
          </cell>
          <cell r="DE364">
            <v>0</v>
          </cell>
          <cell r="DF364">
            <v>0</v>
          </cell>
          <cell r="DG364">
            <v>0</v>
          </cell>
          <cell r="DH364">
            <v>0</v>
          </cell>
          <cell r="DI364">
            <v>0</v>
          </cell>
          <cell r="DJ364">
            <v>0</v>
          </cell>
          <cell r="DK364">
            <v>0</v>
          </cell>
          <cell r="DL364">
            <v>0</v>
          </cell>
          <cell r="DM364"/>
          <cell r="DN364"/>
          <cell r="DO364"/>
          <cell r="DP364"/>
        </row>
        <row r="365">
          <cell r="A365">
            <v>881</v>
          </cell>
          <cell r="B365" t="str">
            <v>Onderbanken</v>
          </cell>
          <cell r="C365">
            <v>11</v>
          </cell>
          <cell r="D365">
            <v>16403</v>
          </cell>
          <cell r="E365">
            <v>8202</v>
          </cell>
          <cell r="F365">
            <v>0</v>
          </cell>
          <cell r="G365">
            <v>42945</v>
          </cell>
          <cell r="H365">
            <v>360624</v>
          </cell>
          <cell r="I365">
            <v>715978</v>
          </cell>
          <cell r="J365"/>
          <cell r="K365">
            <v>0</v>
          </cell>
          <cell r="L365">
            <v>35952</v>
          </cell>
          <cell r="M365">
            <v>31878</v>
          </cell>
          <cell r="N365">
            <v>0</v>
          </cell>
          <cell r="O365">
            <v>0</v>
          </cell>
          <cell r="P365">
            <v>0</v>
          </cell>
          <cell r="Q365">
            <v>0</v>
          </cell>
          <cell r="R365">
            <v>0</v>
          </cell>
          <cell r="S365">
            <v>0</v>
          </cell>
          <cell r="T365">
            <v>0</v>
          </cell>
          <cell r="U365">
            <v>0</v>
          </cell>
          <cell r="V365">
            <v>0</v>
          </cell>
          <cell r="W365">
            <v>13536</v>
          </cell>
          <cell r="X365">
            <v>0</v>
          </cell>
          <cell r="Y365"/>
          <cell r="Z365">
            <v>0</v>
          </cell>
          <cell r="AA365">
            <v>0</v>
          </cell>
          <cell r="AB365">
            <v>0</v>
          </cell>
          <cell r="AC365"/>
          <cell r="AD365">
            <v>0</v>
          </cell>
          <cell r="AE365">
            <v>0</v>
          </cell>
          <cell r="AF365">
            <v>0</v>
          </cell>
          <cell r="AG365">
            <v>0</v>
          </cell>
          <cell r="AH365">
            <v>0</v>
          </cell>
          <cell r="AI365">
            <v>0</v>
          </cell>
          <cell r="AJ365">
            <v>0</v>
          </cell>
          <cell r="AK365">
            <v>0</v>
          </cell>
          <cell r="AL365"/>
          <cell r="AM365">
            <v>0</v>
          </cell>
          <cell r="AN365">
            <v>0</v>
          </cell>
          <cell r="AO365">
            <v>0</v>
          </cell>
          <cell r="AP365">
            <v>0</v>
          </cell>
          <cell r="AQ365">
            <v>0</v>
          </cell>
          <cell r="AR365">
            <v>0</v>
          </cell>
          <cell r="AS365">
            <v>0</v>
          </cell>
          <cell r="AT365">
            <v>0</v>
          </cell>
          <cell r="AU365">
            <v>0</v>
          </cell>
          <cell r="AV365">
            <v>0</v>
          </cell>
          <cell r="AW365">
            <v>0</v>
          </cell>
          <cell r="AX365">
            <v>0</v>
          </cell>
          <cell r="AY365"/>
          <cell r="AZ365"/>
          <cell r="BA365">
            <v>0</v>
          </cell>
          <cell r="BB365"/>
          <cell r="BC365">
            <v>0</v>
          </cell>
          <cell r="BD365">
            <v>13799</v>
          </cell>
          <cell r="BE365"/>
          <cell r="BF365">
            <v>0</v>
          </cell>
          <cell r="BG365">
            <v>0</v>
          </cell>
          <cell r="BH365">
            <v>0</v>
          </cell>
          <cell r="BI365">
            <v>12697</v>
          </cell>
          <cell r="BJ365">
            <v>10451</v>
          </cell>
          <cell r="BK365">
            <v>10451</v>
          </cell>
          <cell r="BL365">
            <v>0</v>
          </cell>
          <cell r="BM365">
            <v>0</v>
          </cell>
          <cell r="BN365">
            <v>0</v>
          </cell>
          <cell r="BO365">
            <v>0</v>
          </cell>
          <cell r="BP365">
            <v>6325.6</v>
          </cell>
          <cell r="BQ365">
            <v>11395.3488372093</v>
          </cell>
          <cell r="BR365">
            <v>0</v>
          </cell>
          <cell r="BS365">
            <v>0</v>
          </cell>
          <cell r="BT365">
            <v>14067</v>
          </cell>
          <cell r="BU365"/>
          <cell r="BV365"/>
          <cell r="BW365"/>
          <cell r="BX365"/>
          <cell r="BY365">
            <v>0</v>
          </cell>
          <cell r="BZ365">
            <v>0</v>
          </cell>
          <cell r="CA365">
            <v>0</v>
          </cell>
          <cell r="CB365">
            <v>0</v>
          </cell>
          <cell r="CC365">
            <v>734192</v>
          </cell>
          <cell r="CD365">
            <v>5313607</v>
          </cell>
          <cell r="CE365">
            <v>189589</v>
          </cell>
          <cell r="CF365">
            <v>0</v>
          </cell>
          <cell r="CG365">
            <v>189589</v>
          </cell>
          <cell r="CH365">
            <v>189589</v>
          </cell>
          <cell r="CI365">
            <v>189589</v>
          </cell>
          <cell r="CJ365">
            <v>189589</v>
          </cell>
          <cell r="CK365">
            <v>0</v>
          </cell>
          <cell r="CL365">
            <v>0</v>
          </cell>
          <cell r="CM365">
            <v>0</v>
          </cell>
          <cell r="CN365">
            <v>0</v>
          </cell>
          <cell r="CO365">
            <v>0</v>
          </cell>
          <cell r="CP365">
            <v>0</v>
          </cell>
          <cell r="CQ365">
            <v>1763324</v>
          </cell>
          <cell r="CR365">
            <v>1673420</v>
          </cell>
          <cell r="CS365">
            <v>1603879</v>
          </cell>
          <cell r="CT365">
            <v>1552953</v>
          </cell>
          <cell r="CU365">
            <v>1475513</v>
          </cell>
          <cell r="CV365">
            <v>5475</v>
          </cell>
          <cell r="CW365">
            <v>0</v>
          </cell>
          <cell r="CX365">
            <v>0</v>
          </cell>
          <cell r="CY365">
            <v>0</v>
          </cell>
          <cell r="CZ365">
            <v>0</v>
          </cell>
          <cell r="DA365">
            <v>0</v>
          </cell>
          <cell r="DB365"/>
          <cell r="DC365">
            <v>0</v>
          </cell>
          <cell r="DD365">
            <v>0</v>
          </cell>
          <cell r="DE365">
            <v>0</v>
          </cell>
          <cell r="DF365">
            <v>0</v>
          </cell>
          <cell r="DG365">
            <v>0</v>
          </cell>
          <cell r="DH365">
            <v>0</v>
          </cell>
          <cell r="DI365">
            <v>0</v>
          </cell>
          <cell r="DJ365">
            <v>0</v>
          </cell>
          <cell r="DK365">
            <v>0</v>
          </cell>
          <cell r="DL365">
            <v>0</v>
          </cell>
          <cell r="DM365"/>
          <cell r="DN365"/>
          <cell r="DO365"/>
          <cell r="DP365"/>
        </row>
        <row r="366">
          <cell r="A366">
            <v>1894</v>
          </cell>
          <cell r="B366" t="str">
            <v>Peel en Maas</v>
          </cell>
          <cell r="C366">
            <v>11</v>
          </cell>
          <cell r="D366">
            <v>2978</v>
          </cell>
          <cell r="E366">
            <v>1489</v>
          </cell>
          <cell r="F366">
            <v>0</v>
          </cell>
          <cell r="G366">
            <v>61170</v>
          </cell>
          <cell r="H366">
            <v>-29252</v>
          </cell>
          <cell r="I366">
            <v>-7120</v>
          </cell>
          <cell r="J366"/>
          <cell r="K366">
            <v>0</v>
          </cell>
          <cell r="L366">
            <v>125624</v>
          </cell>
          <cell r="M366">
            <v>107371</v>
          </cell>
          <cell r="N366">
            <v>0</v>
          </cell>
          <cell r="O366">
            <v>0</v>
          </cell>
          <cell r="P366">
            <v>0</v>
          </cell>
          <cell r="Q366">
            <v>0</v>
          </cell>
          <cell r="R366">
            <v>0</v>
          </cell>
          <cell r="S366">
            <v>0</v>
          </cell>
          <cell r="T366">
            <v>0</v>
          </cell>
          <cell r="U366">
            <v>0</v>
          </cell>
          <cell r="V366">
            <v>9000</v>
          </cell>
          <cell r="W366">
            <v>176884</v>
          </cell>
          <cell r="X366">
            <v>0</v>
          </cell>
          <cell r="Y366"/>
          <cell r="Z366">
            <v>0</v>
          </cell>
          <cell r="AA366">
            <v>0</v>
          </cell>
          <cell r="AB366">
            <v>0</v>
          </cell>
          <cell r="AC366"/>
          <cell r="AD366">
            <v>35200</v>
          </cell>
          <cell r="AE366">
            <v>0</v>
          </cell>
          <cell r="AF366">
            <v>0</v>
          </cell>
          <cell r="AG366">
            <v>0</v>
          </cell>
          <cell r="AH366">
            <v>0</v>
          </cell>
          <cell r="AI366">
            <v>0</v>
          </cell>
          <cell r="AJ366">
            <v>0</v>
          </cell>
          <cell r="AK366">
            <v>0</v>
          </cell>
          <cell r="AL366"/>
          <cell r="AM366">
            <v>0</v>
          </cell>
          <cell r="AN366">
            <v>0</v>
          </cell>
          <cell r="AO366">
            <v>0</v>
          </cell>
          <cell r="AP366">
            <v>0</v>
          </cell>
          <cell r="AQ366">
            <v>0</v>
          </cell>
          <cell r="AR366">
            <v>0</v>
          </cell>
          <cell r="AS366">
            <v>0</v>
          </cell>
          <cell r="AT366">
            <v>0</v>
          </cell>
          <cell r="AU366">
            <v>16590</v>
          </cell>
          <cell r="AV366">
            <v>0</v>
          </cell>
          <cell r="AW366">
            <v>0</v>
          </cell>
          <cell r="AX366">
            <v>0</v>
          </cell>
          <cell r="AY366"/>
          <cell r="AZ366"/>
          <cell r="BA366">
            <v>0</v>
          </cell>
          <cell r="BB366"/>
          <cell r="BC366">
            <v>0</v>
          </cell>
          <cell r="BD366">
            <v>15216</v>
          </cell>
          <cell r="BE366"/>
          <cell r="BF366">
            <v>0</v>
          </cell>
          <cell r="BG366">
            <v>0</v>
          </cell>
          <cell r="BH366">
            <v>0</v>
          </cell>
          <cell r="BI366">
            <v>54262</v>
          </cell>
          <cell r="BJ366">
            <v>44666</v>
          </cell>
          <cell r="BK366">
            <v>44666</v>
          </cell>
          <cell r="BL366">
            <v>0</v>
          </cell>
          <cell r="BM366">
            <v>0</v>
          </cell>
          <cell r="BN366">
            <v>0</v>
          </cell>
          <cell r="BO366">
            <v>147874</v>
          </cell>
          <cell r="BP366">
            <v>44279.199999999997</v>
          </cell>
          <cell r="BQ366">
            <v>79767.4418604651</v>
          </cell>
          <cell r="BR366">
            <v>0</v>
          </cell>
          <cell r="BS366">
            <v>0</v>
          </cell>
          <cell r="BT366">
            <v>71106</v>
          </cell>
          <cell r="BU366"/>
          <cell r="BV366"/>
          <cell r="BW366"/>
          <cell r="BX366"/>
          <cell r="BY366">
            <v>0</v>
          </cell>
          <cell r="BZ366">
            <v>0</v>
          </cell>
          <cell r="CA366">
            <v>0</v>
          </cell>
          <cell r="CB366">
            <v>0</v>
          </cell>
          <cell r="CC366">
            <v>3391872</v>
          </cell>
          <cell r="CD366">
            <v>19254136</v>
          </cell>
          <cell r="CE366">
            <v>1103781</v>
          </cell>
          <cell r="CF366">
            <v>-15021</v>
          </cell>
          <cell r="CG366">
            <v>1103781</v>
          </cell>
          <cell r="CH366">
            <v>1103781</v>
          </cell>
          <cell r="CI366">
            <v>1103781</v>
          </cell>
          <cell r="CJ366">
            <v>1103781</v>
          </cell>
          <cell r="CK366">
            <v>0</v>
          </cell>
          <cell r="CL366">
            <v>0</v>
          </cell>
          <cell r="CM366">
            <v>0</v>
          </cell>
          <cell r="CN366">
            <v>0</v>
          </cell>
          <cell r="CO366">
            <v>0</v>
          </cell>
          <cell r="CP366">
            <v>-320</v>
          </cell>
          <cell r="CQ366">
            <v>5851792</v>
          </cell>
          <cell r="CR366">
            <v>5517870</v>
          </cell>
          <cell r="CS366">
            <v>5369399</v>
          </cell>
          <cell r="CT366">
            <v>5250284</v>
          </cell>
          <cell r="CU366">
            <v>5075512</v>
          </cell>
          <cell r="CV366">
            <v>-15473</v>
          </cell>
          <cell r="CW366">
            <v>0</v>
          </cell>
          <cell r="CX366">
            <v>0</v>
          </cell>
          <cell r="CY366">
            <v>0</v>
          </cell>
          <cell r="CZ366">
            <v>0</v>
          </cell>
          <cell r="DA366">
            <v>0</v>
          </cell>
          <cell r="DB366"/>
          <cell r="DC366">
            <v>0</v>
          </cell>
          <cell r="DD366">
            <v>0</v>
          </cell>
          <cell r="DE366">
            <v>0</v>
          </cell>
          <cell r="DF366">
            <v>0</v>
          </cell>
          <cell r="DG366">
            <v>0</v>
          </cell>
          <cell r="DH366">
            <v>0</v>
          </cell>
          <cell r="DI366">
            <v>0</v>
          </cell>
          <cell r="DJ366">
            <v>0</v>
          </cell>
          <cell r="DK366">
            <v>0</v>
          </cell>
          <cell r="DL366">
            <v>0</v>
          </cell>
          <cell r="DM366"/>
          <cell r="DN366"/>
          <cell r="DO366"/>
          <cell r="DP366"/>
        </row>
        <row r="367">
          <cell r="A367">
            <v>1669</v>
          </cell>
          <cell r="B367" t="str">
            <v>Roerdalen</v>
          </cell>
          <cell r="C367">
            <v>11</v>
          </cell>
          <cell r="D367">
            <v>1596</v>
          </cell>
          <cell r="E367">
            <v>798</v>
          </cell>
          <cell r="F367">
            <v>0</v>
          </cell>
          <cell r="G367">
            <v>0</v>
          </cell>
          <cell r="H367">
            <v>-8541</v>
          </cell>
          <cell r="I367">
            <v>0</v>
          </cell>
          <cell r="J367"/>
          <cell r="K367">
            <v>0</v>
          </cell>
          <cell r="L367">
            <v>72223</v>
          </cell>
          <cell r="M367">
            <v>68803</v>
          </cell>
          <cell r="N367">
            <v>0</v>
          </cell>
          <cell r="O367">
            <v>0</v>
          </cell>
          <cell r="P367">
            <v>0</v>
          </cell>
          <cell r="Q367">
            <v>0</v>
          </cell>
          <cell r="R367">
            <v>0</v>
          </cell>
          <cell r="S367">
            <v>0</v>
          </cell>
          <cell r="T367">
            <v>0</v>
          </cell>
          <cell r="U367">
            <v>0</v>
          </cell>
          <cell r="V367">
            <v>3000</v>
          </cell>
          <cell r="W367">
            <v>72697</v>
          </cell>
          <cell r="X367">
            <v>0</v>
          </cell>
          <cell r="Y367"/>
          <cell r="Z367">
            <v>0</v>
          </cell>
          <cell r="AA367">
            <v>0</v>
          </cell>
          <cell r="AB367">
            <v>0</v>
          </cell>
          <cell r="AC367"/>
          <cell r="AD367">
            <v>0</v>
          </cell>
          <cell r="AE367">
            <v>0</v>
          </cell>
          <cell r="AF367">
            <v>0</v>
          </cell>
          <cell r="AG367">
            <v>0</v>
          </cell>
          <cell r="AH367">
            <v>0</v>
          </cell>
          <cell r="AI367">
            <v>0</v>
          </cell>
          <cell r="AJ367">
            <v>0</v>
          </cell>
          <cell r="AK367">
            <v>0</v>
          </cell>
          <cell r="AL367"/>
          <cell r="AM367">
            <v>0</v>
          </cell>
          <cell r="AN367">
            <v>0</v>
          </cell>
          <cell r="AO367">
            <v>0</v>
          </cell>
          <cell r="AP367">
            <v>0</v>
          </cell>
          <cell r="AQ367">
            <v>0</v>
          </cell>
          <cell r="AR367">
            <v>0</v>
          </cell>
          <cell r="AS367">
            <v>0</v>
          </cell>
          <cell r="AT367">
            <v>0</v>
          </cell>
          <cell r="AU367">
            <v>2370</v>
          </cell>
          <cell r="AV367">
            <v>0</v>
          </cell>
          <cell r="AW367">
            <v>0</v>
          </cell>
          <cell r="AX367">
            <v>0</v>
          </cell>
          <cell r="AY367"/>
          <cell r="AZ367"/>
          <cell r="BA367">
            <v>0</v>
          </cell>
          <cell r="BB367"/>
          <cell r="BC367">
            <v>0</v>
          </cell>
          <cell r="BD367">
            <v>7266</v>
          </cell>
          <cell r="BE367"/>
          <cell r="BF367">
            <v>0</v>
          </cell>
          <cell r="BG367">
            <v>0</v>
          </cell>
          <cell r="BH367">
            <v>0</v>
          </cell>
          <cell r="BI367">
            <v>30123</v>
          </cell>
          <cell r="BJ367">
            <v>24796</v>
          </cell>
          <cell r="BK367">
            <v>24796</v>
          </cell>
          <cell r="BL367">
            <v>0</v>
          </cell>
          <cell r="BM367">
            <v>0</v>
          </cell>
          <cell r="BN367">
            <v>0</v>
          </cell>
          <cell r="BO367">
            <v>84638</v>
          </cell>
          <cell r="BP367">
            <v>12651.2</v>
          </cell>
          <cell r="BQ367">
            <v>22790.697674418599</v>
          </cell>
          <cell r="BR367">
            <v>0</v>
          </cell>
          <cell r="BS367">
            <v>0</v>
          </cell>
          <cell r="BT367">
            <v>34620</v>
          </cell>
          <cell r="BU367"/>
          <cell r="BV367"/>
          <cell r="BW367"/>
          <cell r="BX367"/>
          <cell r="BY367">
            <v>0</v>
          </cell>
          <cell r="BZ367">
            <v>0</v>
          </cell>
          <cell r="CA367">
            <v>0</v>
          </cell>
          <cell r="CB367">
            <v>0</v>
          </cell>
          <cell r="CC367">
            <v>1857348</v>
          </cell>
          <cell r="CD367">
            <v>10576095</v>
          </cell>
          <cell r="CE367">
            <v>875792</v>
          </cell>
          <cell r="CF367">
            <v>0</v>
          </cell>
          <cell r="CG367">
            <v>875792</v>
          </cell>
          <cell r="CH367">
            <v>875792</v>
          </cell>
          <cell r="CI367">
            <v>875792</v>
          </cell>
          <cell r="CJ367">
            <v>875792</v>
          </cell>
          <cell r="CK367">
            <v>0</v>
          </cell>
          <cell r="CL367">
            <v>0</v>
          </cell>
          <cell r="CM367">
            <v>0</v>
          </cell>
          <cell r="CN367">
            <v>0</v>
          </cell>
          <cell r="CO367">
            <v>0</v>
          </cell>
          <cell r="CP367">
            <v>0</v>
          </cell>
          <cell r="CQ367">
            <v>2951396</v>
          </cell>
          <cell r="CR367">
            <v>2756196</v>
          </cell>
          <cell r="CS367">
            <v>2631720</v>
          </cell>
          <cell r="CT367">
            <v>2528368</v>
          </cell>
          <cell r="CU367">
            <v>2414803</v>
          </cell>
          <cell r="CV367">
            <v>-2253</v>
          </cell>
          <cell r="CW367">
            <v>0</v>
          </cell>
          <cell r="CX367">
            <v>0</v>
          </cell>
          <cell r="CY367">
            <v>0</v>
          </cell>
          <cell r="CZ367">
            <v>0</v>
          </cell>
          <cell r="DA367">
            <v>0</v>
          </cell>
          <cell r="DB367"/>
          <cell r="DC367">
            <v>0</v>
          </cell>
          <cell r="DD367">
            <v>0</v>
          </cell>
          <cell r="DE367">
            <v>0</v>
          </cell>
          <cell r="DF367">
            <v>0</v>
          </cell>
          <cell r="DG367">
            <v>0</v>
          </cell>
          <cell r="DH367">
            <v>0</v>
          </cell>
          <cell r="DI367">
            <v>0</v>
          </cell>
          <cell r="DJ367">
            <v>0</v>
          </cell>
          <cell r="DK367">
            <v>0</v>
          </cell>
          <cell r="DL367">
            <v>0</v>
          </cell>
          <cell r="DM367"/>
          <cell r="DN367"/>
          <cell r="DO367"/>
          <cell r="DP367"/>
        </row>
        <row r="368">
          <cell r="A368">
            <v>957</v>
          </cell>
          <cell r="B368" t="str">
            <v>Roermond</v>
          </cell>
          <cell r="C368">
            <v>11</v>
          </cell>
          <cell r="D368">
            <v>65589</v>
          </cell>
          <cell r="E368">
            <v>32795</v>
          </cell>
          <cell r="F368">
            <v>0</v>
          </cell>
          <cell r="G368">
            <v>28285</v>
          </cell>
          <cell r="H368">
            <v>92060</v>
          </cell>
          <cell r="I368">
            <v>0</v>
          </cell>
          <cell r="J368"/>
          <cell r="K368">
            <v>0</v>
          </cell>
          <cell r="L368">
            <v>366089</v>
          </cell>
          <cell r="M368">
            <v>371394</v>
          </cell>
          <cell r="N368">
            <v>0</v>
          </cell>
          <cell r="O368">
            <v>0</v>
          </cell>
          <cell r="P368">
            <v>0</v>
          </cell>
          <cell r="Q368">
            <v>0</v>
          </cell>
          <cell r="R368">
            <v>0</v>
          </cell>
          <cell r="S368">
            <v>0</v>
          </cell>
          <cell r="T368">
            <v>0</v>
          </cell>
          <cell r="U368">
            <v>0</v>
          </cell>
          <cell r="V368">
            <v>48000</v>
          </cell>
          <cell r="W368">
            <v>175367</v>
          </cell>
          <cell r="X368">
            <v>0</v>
          </cell>
          <cell r="Y368"/>
          <cell r="Z368">
            <v>0</v>
          </cell>
          <cell r="AA368">
            <v>0</v>
          </cell>
          <cell r="AB368">
            <v>0</v>
          </cell>
          <cell r="AC368"/>
          <cell r="AD368">
            <v>100713</v>
          </cell>
          <cell r="AE368">
            <v>0</v>
          </cell>
          <cell r="AF368">
            <v>0</v>
          </cell>
          <cell r="AG368">
            <v>0</v>
          </cell>
          <cell r="AH368">
            <v>0</v>
          </cell>
          <cell r="AI368">
            <v>0</v>
          </cell>
          <cell r="AJ368">
            <v>0</v>
          </cell>
          <cell r="AK368">
            <v>0</v>
          </cell>
          <cell r="AL368"/>
          <cell r="AM368">
            <v>0</v>
          </cell>
          <cell r="AN368">
            <v>0</v>
          </cell>
          <cell r="AO368">
            <v>0</v>
          </cell>
          <cell r="AP368">
            <v>0</v>
          </cell>
          <cell r="AQ368">
            <v>0</v>
          </cell>
          <cell r="AR368">
            <v>0</v>
          </cell>
          <cell r="AS368">
            <v>0</v>
          </cell>
          <cell r="AT368">
            <v>0</v>
          </cell>
          <cell r="AU368">
            <v>0</v>
          </cell>
          <cell r="AV368">
            <v>0</v>
          </cell>
          <cell r="AW368">
            <v>80000</v>
          </cell>
          <cell r="AX368">
            <v>0</v>
          </cell>
          <cell r="AY368"/>
          <cell r="AZ368"/>
          <cell r="BA368">
            <v>0</v>
          </cell>
          <cell r="BB368"/>
          <cell r="BC368">
            <v>0</v>
          </cell>
          <cell r="BD368">
            <v>20146</v>
          </cell>
          <cell r="BE368"/>
          <cell r="BF368">
            <v>0</v>
          </cell>
          <cell r="BG368">
            <v>0</v>
          </cell>
          <cell r="BH368">
            <v>0</v>
          </cell>
          <cell r="BI368">
            <v>126650</v>
          </cell>
          <cell r="BJ368">
            <v>104252</v>
          </cell>
          <cell r="BK368">
            <v>104252</v>
          </cell>
          <cell r="BL368">
            <v>0</v>
          </cell>
          <cell r="BM368">
            <v>0</v>
          </cell>
          <cell r="BN368">
            <v>0</v>
          </cell>
          <cell r="BO368">
            <v>239323</v>
          </cell>
          <cell r="BP368">
            <v>28465.200000000001</v>
          </cell>
          <cell r="BQ368">
            <v>51279.069767441899</v>
          </cell>
          <cell r="BR368">
            <v>0</v>
          </cell>
          <cell r="BS368">
            <v>0</v>
          </cell>
          <cell r="BT368">
            <v>99130</v>
          </cell>
          <cell r="BU368"/>
          <cell r="BV368"/>
          <cell r="BW368"/>
          <cell r="BX368"/>
          <cell r="BY368">
            <v>0</v>
          </cell>
          <cell r="BZ368">
            <v>0</v>
          </cell>
          <cell r="CA368">
            <v>0</v>
          </cell>
          <cell r="CB368">
            <v>0</v>
          </cell>
          <cell r="CC368">
            <v>5471504</v>
          </cell>
          <cell r="CD368">
            <v>38728096</v>
          </cell>
          <cell r="CE368">
            <v>2821261</v>
          </cell>
          <cell r="CF368">
            <v>0</v>
          </cell>
          <cell r="CG368">
            <v>2821261</v>
          </cell>
          <cell r="CH368">
            <v>2821261</v>
          </cell>
          <cell r="CI368">
            <v>2821261</v>
          </cell>
          <cell r="CJ368">
            <v>2821261</v>
          </cell>
          <cell r="CK368">
            <v>0</v>
          </cell>
          <cell r="CL368">
            <v>0</v>
          </cell>
          <cell r="CM368">
            <v>0</v>
          </cell>
          <cell r="CN368">
            <v>0</v>
          </cell>
          <cell r="CO368">
            <v>0</v>
          </cell>
          <cell r="CP368">
            <v>0</v>
          </cell>
          <cell r="CQ368">
            <v>11677816</v>
          </cell>
          <cell r="CR368">
            <v>11016173</v>
          </cell>
          <cell r="CS368">
            <v>10633438</v>
          </cell>
          <cell r="CT368">
            <v>10366924</v>
          </cell>
          <cell r="CU368">
            <v>9979559</v>
          </cell>
          <cell r="CV368">
            <v>-17155</v>
          </cell>
          <cell r="CW368">
            <v>0</v>
          </cell>
          <cell r="CX368">
            <v>0</v>
          </cell>
          <cell r="CY368">
            <v>0</v>
          </cell>
          <cell r="CZ368">
            <v>0</v>
          </cell>
          <cell r="DA368">
            <v>0</v>
          </cell>
          <cell r="DB368"/>
          <cell r="DC368">
            <v>0</v>
          </cell>
          <cell r="DD368">
            <v>0</v>
          </cell>
          <cell r="DE368">
            <v>0</v>
          </cell>
          <cell r="DF368">
            <v>0</v>
          </cell>
          <cell r="DG368">
            <v>0</v>
          </cell>
          <cell r="DH368">
            <v>0</v>
          </cell>
          <cell r="DI368">
            <v>0</v>
          </cell>
          <cell r="DJ368">
            <v>0</v>
          </cell>
          <cell r="DK368">
            <v>0</v>
          </cell>
          <cell r="DL368">
            <v>0</v>
          </cell>
          <cell r="DM368"/>
          <cell r="DN368"/>
          <cell r="DO368"/>
          <cell r="DP368"/>
        </row>
        <row r="369">
          <cell r="A369">
            <v>962</v>
          </cell>
          <cell r="B369" t="str">
            <v>Schinnen</v>
          </cell>
          <cell r="C369">
            <v>11</v>
          </cell>
          <cell r="D369">
            <v>2586</v>
          </cell>
          <cell r="E369">
            <v>1293</v>
          </cell>
          <cell r="F369">
            <v>0</v>
          </cell>
          <cell r="G369">
            <v>0</v>
          </cell>
          <cell r="H369">
            <v>539318</v>
          </cell>
          <cell r="I369">
            <v>1093772</v>
          </cell>
          <cell r="J369"/>
          <cell r="K369">
            <v>0</v>
          </cell>
          <cell r="L369">
            <v>39275</v>
          </cell>
          <cell r="M369">
            <v>39996</v>
          </cell>
          <cell r="N369">
            <v>0</v>
          </cell>
          <cell r="O369">
            <v>0</v>
          </cell>
          <cell r="P369">
            <v>0</v>
          </cell>
          <cell r="Q369">
            <v>0</v>
          </cell>
          <cell r="R369">
            <v>0</v>
          </cell>
          <cell r="S369">
            <v>0</v>
          </cell>
          <cell r="T369">
            <v>0</v>
          </cell>
          <cell r="U369">
            <v>0</v>
          </cell>
          <cell r="V369">
            <v>0</v>
          </cell>
          <cell r="W369">
            <v>49178</v>
          </cell>
          <cell r="X369">
            <v>0</v>
          </cell>
          <cell r="Y369"/>
          <cell r="Z369">
            <v>0</v>
          </cell>
          <cell r="AA369">
            <v>0</v>
          </cell>
          <cell r="AB369">
            <v>0</v>
          </cell>
          <cell r="AC369"/>
          <cell r="AD369">
            <v>0</v>
          </cell>
          <cell r="AE369">
            <v>0</v>
          </cell>
          <cell r="AF369">
            <v>0</v>
          </cell>
          <cell r="AG369">
            <v>0</v>
          </cell>
          <cell r="AH369">
            <v>0</v>
          </cell>
          <cell r="AI369">
            <v>0</v>
          </cell>
          <cell r="AJ369">
            <v>0</v>
          </cell>
          <cell r="AK369">
            <v>0</v>
          </cell>
          <cell r="AL369"/>
          <cell r="AM369">
            <v>0</v>
          </cell>
          <cell r="AN369">
            <v>0</v>
          </cell>
          <cell r="AO369">
            <v>0</v>
          </cell>
          <cell r="AP369">
            <v>0</v>
          </cell>
          <cell r="AQ369">
            <v>0</v>
          </cell>
          <cell r="AR369">
            <v>0</v>
          </cell>
          <cell r="AS369">
            <v>0</v>
          </cell>
          <cell r="AT369">
            <v>0</v>
          </cell>
          <cell r="AU369">
            <v>0</v>
          </cell>
          <cell r="AV369">
            <v>0</v>
          </cell>
          <cell r="AW369">
            <v>0</v>
          </cell>
          <cell r="AX369">
            <v>0</v>
          </cell>
          <cell r="AY369"/>
          <cell r="AZ369"/>
          <cell r="BA369">
            <v>0</v>
          </cell>
          <cell r="BB369"/>
          <cell r="BC369">
            <v>0</v>
          </cell>
          <cell r="BD369">
            <v>22727</v>
          </cell>
          <cell r="BE369"/>
          <cell r="BF369">
            <v>0</v>
          </cell>
          <cell r="BG369">
            <v>0</v>
          </cell>
          <cell r="BH369">
            <v>0</v>
          </cell>
          <cell r="BI369">
            <v>17357</v>
          </cell>
          <cell r="BJ369">
            <v>14287</v>
          </cell>
          <cell r="BK369">
            <v>14287</v>
          </cell>
          <cell r="BL369">
            <v>0</v>
          </cell>
          <cell r="BM369">
            <v>0</v>
          </cell>
          <cell r="BN369">
            <v>0</v>
          </cell>
          <cell r="BO369">
            <v>31618</v>
          </cell>
          <cell r="BP369">
            <v>4744.2</v>
          </cell>
          <cell r="BQ369">
            <v>8546.5116279069807</v>
          </cell>
          <cell r="BR369">
            <v>0</v>
          </cell>
          <cell r="BS369">
            <v>0</v>
          </cell>
          <cell r="BT369">
            <v>19240</v>
          </cell>
          <cell r="BU369"/>
          <cell r="BV369"/>
          <cell r="BW369"/>
          <cell r="BX369"/>
          <cell r="BY369">
            <v>0</v>
          </cell>
          <cell r="BZ369">
            <v>0</v>
          </cell>
          <cell r="CA369">
            <v>0</v>
          </cell>
          <cell r="CB369">
            <v>0</v>
          </cell>
          <cell r="CC369">
            <v>1124891</v>
          </cell>
          <cell r="CD369">
            <v>5618110</v>
          </cell>
          <cell r="CE369">
            <v>361394</v>
          </cell>
          <cell r="CF369">
            <v>0</v>
          </cell>
          <cell r="CG369">
            <v>361394</v>
          </cell>
          <cell r="CH369">
            <v>361394</v>
          </cell>
          <cell r="CI369">
            <v>361394</v>
          </cell>
          <cell r="CJ369">
            <v>361394</v>
          </cell>
          <cell r="CK369">
            <v>0</v>
          </cell>
          <cell r="CL369">
            <v>0</v>
          </cell>
          <cell r="CM369">
            <v>0</v>
          </cell>
          <cell r="CN369">
            <v>0</v>
          </cell>
          <cell r="CO369">
            <v>0</v>
          </cell>
          <cell r="CP369">
            <v>244490</v>
          </cell>
          <cell r="CQ369">
            <v>839177</v>
          </cell>
          <cell r="CR369">
            <v>761299</v>
          </cell>
          <cell r="CS369">
            <v>743534</v>
          </cell>
          <cell r="CT369">
            <v>714840</v>
          </cell>
          <cell r="CU369">
            <v>689381</v>
          </cell>
          <cell r="CV369">
            <v>-10995</v>
          </cell>
          <cell r="CW369">
            <v>0</v>
          </cell>
          <cell r="CX369">
            <v>0</v>
          </cell>
          <cell r="CY369">
            <v>0</v>
          </cell>
          <cell r="CZ369">
            <v>0</v>
          </cell>
          <cell r="DA369">
            <v>0</v>
          </cell>
          <cell r="DB369"/>
          <cell r="DC369">
            <v>0</v>
          </cell>
          <cell r="DD369">
            <v>0</v>
          </cell>
          <cell r="DE369">
            <v>0</v>
          </cell>
          <cell r="DF369">
            <v>0</v>
          </cell>
          <cell r="DG369">
            <v>0</v>
          </cell>
          <cell r="DH369">
            <v>0</v>
          </cell>
          <cell r="DI369">
            <v>0</v>
          </cell>
          <cell r="DJ369">
            <v>0</v>
          </cell>
          <cell r="DK369">
            <v>0</v>
          </cell>
          <cell r="DL369">
            <v>0</v>
          </cell>
          <cell r="DM369"/>
          <cell r="DN369"/>
          <cell r="DO369"/>
          <cell r="DP369"/>
        </row>
        <row r="370">
          <cell r="A370">
            <v>965</v>
          </cell>
          <cell r="B370" t="str">
            <v>Simpelveld</v>
          </cell>
          <cell r="C370">
            <v>11</v>
          </cell>
          <cell r="D370">
            <v>27278</v>
          </cell>
          <cell r="E370">
            <v>13639</v>
          </cell>
          <cell r="F370">
            <v>0</v>
          </cell>
          <cell r="G370">
            <v>0</v>
          </cell>
          <cell r="H370">
            <v>-1833</v>
          </cell>
          <cell r="I370">
            <v>0</v>
          </cell>
          <cell r="J370"/>
          <cell r="K370">
            <v>0</v>
          </cell>
          <cell r="L370">
            <v>31794</v>
          </cell>
          <cell r="M370">
            <v>31973</v>
          </cell>
          <cell r="N370">
            <v>0</v>
          </cell>
          <cell r="O370">
            <v>0</v>
          </cell>
          <cell r="P370">
            <v>0</v>
          </cell>
          <cell r="Q370">
            <v>0</v>
          </cell>
          <cell r="R370">
            <v>0</v>
          </cell>
          <cell r="S370">
            <v>0</v>
          </cell>
          <cell r="T370">
            <v>0</v>
          </cell>
          <cell r="U370">
            <v>0</v>
          </cell>
          <cell r="V370">
            <v>0</v>
          </cell>
          <cell r="W370">
            <v>38876</v>
          </cell>
          <cell r="X370">
            <v>0</v>
          </cell>
          <cell r="Y370"/>
          <cell r="Z370">
            <v>0</v>
          </cell>
          <cell r="AA370">
            <v>0</v>
          </cell>
          <cell r="AB370">
            <v>0</v>
          </cell>
          <cell r="AC370"/>
          <cell r="AD370">
            <v>0</v>
          </cell>
          <cell r="AE370">
            <v>0</v>
          </cell>
          <cell r="AF370">
            <v>0</v>
          </cell>
          <cell r="AG370">
            <v>0</v>
          </cell>
          <cell r="AH370">
            <v>0</v>
          </cell>
          <cell r="AI370">
            <v>0</v>
          </cell>
          <cell r="AJ370">
            <v>0</v>
          </cell>
          <cell r="AK370">
            <v>0</v>
          </cell>
          <cell r="AL370"/>
          <cell r="AM370">
            <v>0</v>
          </cell>
          <cell r="AN370">
            <v>0</v>
          </cell>
          <cell r="AO370">
            <v>0</v>
          </cell>
          <cell r="AP370">
            <v>0</v>
          </cell>
          <cell r="AQ370">
            <v>0</v>
          </cell>
          <cell r="AR370">
            <v>0</v>
          </cell>
          <cell r="AS370">
            <v>0</v>
          </cell>
          <cell r="AT370">
            <v>0</v>
          </cell>
          <cell r="AU370">
            <v>2370</v>
          </cell>
          <cell r="AV370">
            <v>0</v>
          </cell>
          <cell r="AW370">
            <v>0</v>
          </cell>
          <cell r="AX370">
            <v>0</v>
          </cell>
          <cell r="AY370"/>
          <cell r="AZ370"/>
          <cell r="BA370">
            <v>0</v>
          </cell>
          <cell r="BB370"/>
          <cell r="BC370">
            <v>0</v>
          </cell>
          <cell r="BD370">
            <v>3711</v>
          </cell>
          <cell r="BE370"/>
          <cell r="BF370">
            <v>0</v>
          </cell>
          <cell r="BG370">
            <v>0</v>
          </cell>
          <cell r="BH370">
            <v>0</v>
          </cell>
          <cell r="BI370">
            <v>17816</v>
          </cell>
          <cell r="BJ370">
            <v>14665</v>
          </cell>
          <cell r="BK370">
            <v>14665</v>
          </cell>
          <cell r="BL370">
            <v>0</v>
          </cell>
          <cell r="BM370">
            <v>0</v>
          </cell>
          <cell r="BN370">
            <v>0</v>
          </cell>
          <cell r="BO370">
            <v>13620</v>
          </cell>
          <cell r="BP370">
            <v>1581.4</v>
          </cell>
          <cell r="BQ370">
            <v>2848.8372093023299</v>
          </cell>
          <cell r="BR370">
            <v>0</v>
          </cell>
          <cell r="BS370">
            <v>0</v>
          </cell>
          <cell r="BT370">
            <v>15796</v>
          </cell>
          <cell r="BU370"/>
          <cell r="BV370"/>
          <cell r="BW370"/>
          <cell r="BX370"/>
          <cell r="BY370">
            <v>0</v>
          </cell>
          <cell r="BZ370">
            <v>0</v>
          </cell>
          <cell r="CA370">
            <v>0</v>
          </cell>
          <cell r="CB370">
            <v>0</v>
          </cell>
          <cell r="CC370">
            <v>1103752</v>
          </cell>
          <cell r="CD370">
            <v>7318643</v>
          </cell>
          <cell r="CE370">
            <v>881570</v>
          </cell>
          <cell r="CF370">
            <v>0</v>
          </cell>
          <cell r="CG370">
            <v>881570</v>
          </cell>
          <cell r="CH370">
            <v>881570</v>
          </cell>
          <cell r="CI370">
            <v>881570</v>
          </cell>
          <cell r="CJ370">
            <v>881570</v>
          </cell>
          <cell r="CK370">
            <v>0</v>
          </cell>
          <cell r="CL370">
            <v>0</v>
          </cell>
          <cell r="CM370">
            <v>0</v>
          </cell>
          <cell r="CN370">
            <v>0</v>
          </cell>
          <cell r="CO370">
            <v>0</v>
          </cell>
          <cell r="CP370">
            <v>0</v>
          </cell>
          <cell r="CQ370">
            <v>2383495</v>
          </cell>
          <cell r="CR370">
            <v>2232852</v>
          </cell>
          <cell r="CS370">
            <v>2109292</v>
          </cell>
          <cell r="CT370">
            <v>2004259</v>
          </cell>
          <cell r="CU370">
            <v>1856192</v>
          </cell>
          <cell r="CV370">
            <v>6967</v>
          </cell>
          <cell r="CW370">
            <v>0</v>
          </cell>
          <cell r="CX370">
            <v>0</v>
          </cell>
          <cell r="CY370">
            <v>0</v>
          </cell>
          <cell r="CZ370">
            <v>0</v>
          </cell>
          <cell r="DA370">
            <v>0</v>
          </cell>
          <cell r="DB370"/>
          <cell r="DC370">
            <v>0</v>
          </cell>
          <cell r="DD370">
            <v>0</v>
          </cell>
          <cell r="DE370">
            <v>0</v>
          </cell>
          <cell r="DF370">
            <v>0</v>
          </cell>
          <cell r="DG370">
            <v>0</v>
          </cell>
          <cell r="DH370">
            <v>0</v>
          </cell>
          <cell r="DI370">
            <v>0</v>
          </cell>
          <cell r="DJ370">
            <v>0</v>
          </cell>
          <cell r="DK370">
            <v>0</v>
          </cell>
          <cell r="DL370">
            <v>0</v>
          </cell>
          <cell r="DM370"/>
          <cell r="DN370"/>
          <cell r="DO370"/>
          <cell r="DP370"/>
        </row>
        <row r="371">
          <cell r="A371">
            <v>1883</v>
          </cell>
          <cell r="B371" t="str">
            <v>Sittard-Geleen</v>
          </cell>
          <cell r="C371">
            <v>11</v>
          </cell>
          <cell r="D371">
            <v>158310</v>
          </cell>
          <cell r="E371">
            <v>79155</v>
          </cell>
          <cell r="F371">
            <v>0</v>
          </cell>
          <cell r="G371">
            <v>6329</v>
          </cell>
          <cell r="H371">
            <v>-34756</v>
          </cell>
          <cell r="I371">
            <v>0</v>
          </cell>
          <cell r="J371"/>
          <cell r="K371">
            <v>0</v>
          </cell>
          <cell r="L371">
            <v>489445</v>
          </cell>
          <cell r="M371">
            <v>471385</v>
          </cell>
          <cell r="N371">
            <v>0</v>
          </cell>
          <cell r="O371">
            <v>0</v>
          </cell>
          <cell r="P371">
            <v>150000</v>
          </cell>
          <cell r="Q371">
            <v>0</v>
          </cell>
          <cell r="R371">
            <v>765230</v>
          </cell>
          <cell r="S371">
            <v>0</v>
          </cell>
          <cell r="T371">
            <v>0</v>
          </cell>
          <cell r="U371">
            <v>0</v>
          </cell>
          <cell r="V371">
            <v>9000</v>
          </cell>
          <cell r="W371">
            <v>338801</v>
          </cell>
          <cell r="X371">
            <v>0</v>
          </cell>
          <cell r="Y371"/>
          <cell r="Z371">
            <v>0</v>
          </cell>
          <cell r="AA371">
            <v>0</v>
          </cell>
          <cell r="AB371">
            <v>0</v>
          </cell>
          <cell r="AC371"/>
          <cell r="AD371">
            <v>157425</v>
          </cell>
          <cell r="AE371">
            <v>0</v>
          </cell>
          <cell r="AF371">
            <v>0</v>
          </cell>
          <cell r="AG371">
            <v>0</v>
          </cell>
          <cell r="AH371">
            <v>0</v>
          </cell>
          <cell r="AI371">
            <v>0</v>
          </cell>
          <cell r="AJ371">
            <v>0</v>
          </cell>
          <cell r="AK371">
            <v>176185</v>
          </cell>
          <cell r="AL371"/>
          <cell r="AM371">
            <v>0</v>
          </cell>
          <cell r="AN371">
            <v>0</v>
          </cell>
          <cell r="AO371">
            <v>0</v>
          </cell>
          <cell r="AP371">
            <v>0</v>
          </cell>
          <cell r="AQ371">
            <v>0</v>
          </cell>
          <cell r="AR371">
            <v>0</v>
          </cell>
          <cell r="AS371">
            <v>0</v>
          </cell>
          <cell r="AT371">
            <v>20000</v>
          </cell>
          <cell r="AU371">
            <v>9480</v>
          </cell>
          <cell r="AV371">
            <v>0</v>
          </cell>
          <cell r="AW371">
            <v>0</v>
          </cell>
          <cell r="AX371">
            <v>0</v>
          </cell>
          <cell r="AY371"/>
          <cell r="AZ371"/>
          <cell r="BA371">
            <v>0</v>
          </cell>
          <cell r="BB371"/>
          <cell r="BC371">
            <v>0</v>
          </cell>
          <cell r="BD371">
            <v>32758</v>
          </cell>
          <cell r="BE371"/>
          <cell r="BF371">
            <v>0</v>
          </cell>
          <cell r="BG371">
            <v>0</v>
          </cell>
          <cell r="BH371">
            <v>0</v>
          </cell>
          <cell r="BI371">
            <v>197384</v>
          </cell>
          <cell r="BJ371">
            <v>162477</v>
          </cell>
          <cell r="BK371">
            <v>162477</v>
          </cell>
          <cell r="BL371">
            <v>0</v>
          </cell>
          <cell r="BM371">
            <v>0</v>
          </cell>
          <cell r="BN371">
            <v>0</v>
          </cell>
          <cell r="BO371">
            <v>213055</v>
          </cell>
          <cell r="BP371">
            <v>42697.8</v>
          </cell>
          <cell r="BQ371">
            <v>76918.604651162794</v>
          </cell>
          <cell r="BR371">
            <v>0</v>
          </cell>
          <cell r="BS371">
            <v>0</v>
          </cell>
          <cell r="BT371">
            <v>147691</v>
          </cell>
          <cell r="BU371"/>
          <cell r="BV371"/>
          <cell r="BW371"/>
          <cell r="BX371"/>
          <cell r="BY371">
            <v>0</v>
          </cell>
          <cell r="BZ371">
            <v>0</v>
          </cell>
          <cell r="CA371">
            <v>0</v>
          </cell>
          <cell r="CB371">
            <v>0</v>
          </cell>
          <cell r="CC371">
            <v>9859039</v>
          </cell>
          <cell r="CD371">
            <v>57736431</v>
          </cell>
          <cell r="CE371">
            <v>1676246</v>
          </cell>
          <cell r="CF371">
            <v>0</v>
          </cell>
          <cell r="CG371">
            <v>1676246</v>
          </cell>
          <cell r="CH371">
            <v>1676246</v>
          </cell>
          <cell r="CI371">
            <v>1676246</v>
          </cell>
          <cell r="CJ371">
            <v>1676246</v>
          </cell>
          <cell r="CK371">
            <v>0</v>
          </cell>
          <cell r="CL371">
            <v>0</v>
          </cell>
          <cell r="CM371">
            <v>0</v>
          </cell>
          <cell r="CN371">
            <v>0</v>
          </cell>
          <cell r="CO371">
            <v>0</v>
          </cell>
          <cell r="CP371">
            <v>0</v>
          </cell>
          <cell r="CQ371">
            <v>14250835</v>
          </cell>
          <cell r="CR371">
            <v>13357396</v>
          </cell>
          <cell r="CS371">
            <v>12757133</v>
          </cell>
          <cell r="CT371">
            <v>12279516</v>
          </cell>
          <cell r="CU371">
            <v>11881646</v>
          </cell>
          <cell r="CV371">
            <v>93735</v>
          </cell>
          <cell r="CW371">
            <v>0</v>
          </cell>
          <cell r="CX371">
            <v>0</v>
          </cell>
          <cell r="CY371">
            <v>0</v>
          </cell>
          <cell r="CZ371">
            <v>0</v>
          </cell>
          <cell r="DA371">
            <v>0</v>
          </cell>
          <cell r="DB371"/>
          <cell r="DC371">
            <v>0</v>
          </cell>
          <cell r="DD371">
            <v>0</v>
          </cell>
          <cell r="DE371">
            <v>0</v>
          </cell>
          <cell r="DF371">
            <v>0</v>
          </cell>
          <cell r="DG371">
            <v>0</v>
          </cell>
          <cell r="DH371">
            <v>0</v>
          </cell>
          <cell r="DI371">
            <v>0</v>
          </cell>
          <cell r="DJ371">
            <v>0</v>
          </cell>
          <cell r="DK371">
            <v>0</v>
          </cell>
          <cell r="DL371">
            <v>0</v>
          </cell>
          <cell r="DM371"/>
          <cell r="DN371"/>
          <cell r="DO371"/>
          <cell r="DP371"/>
        </row>
        <row r="372">
          <cell r="A372">
            <v>971</v>
          </cell>
          <cell r="B372" t="str">
            <v>Stein</v>
          </cell>
          <cell r="C372">
            <v>11</v>
          </cell>
          <cell r="D372">
            <v>29309</v>
          </cell>
          <cell r="E372">
            <v>14654</v>
          </cell>
          <cell r="F372">
            <v>0</v>
          </cell>
          <cell r="G372">
            <v>0</v>
          </cell>
          <cell r="H372">
            <v>-3103</v>
          </cell>
          <cell r="I372">
            <v>-514</v>
          </cell>
          <cell r="J372"/>
          <cell r="K372">
            <v>0</v>
          </cell>
          <cell r="L372">
            <v>83564</v>
          </cell>
          <cell r="M372">
            <v>77136</v>
          </cell>
          <cell r="N372">
            <v>0</v>
          </cell>
          <cell r="O372">
            <v>0</v>
          </cell>
          <cell r="P372">
            <v>0</v>
          </cell>
          <cell r="Q372">
            <v>0</v>
          </cell>
          <cell r="R372">
            <v>0</v>
          </cell>
          <cell r="S372">
            <v>0</v>
          </cell>
          <cell r="T372">
            <v>0</v>
          </cell>
          <cell r="U372">
            <v>0</v>
          </cell>
          <cell r="V372">
            <v>0</v>
          </cell>
          <cell r="W372">
            <v>67480</v>
          </cell>
          <cell r="X372">
            <v>0</v>
          </cell>
          <cell r="Y372"/>
          <cell r="Z372">
            <v>0</v>
          </cell>
          <cell r="AA372">
            <v>0</v>
          </cell>
          <cell r="AB372">
            <v>0</v>
          </cell>
          <cell r="AC372"/>
          <cell r="AD372">
            <v>0</v>
          </cell>
          <cell r="AE372">
            <v>0</v>
          </cell>
          <cell r="AF372">
            <v>0</v>
          </cell>
          <cell r="AG372">
            <v>0</v>
          </cell>
          <cell r="AH372">
            <v>0</v>
          </cell>
          <cell r="AI372">
            <v>0</v>
          </cell>
          <cell r="AJ372">
            <v>0</v>
          </cell>
          <cell r="AK372">
            <v>0</v>
          </cell>
          <cell r="AL372"/>
          <cell r="AM372">
            <v>0</v>
          </cell>
          <cell r="AN372">
            <v>0</v>
          </cell>
          <cell r="AO372">
            <v>0</v>
          </cell>
          <cell r="AP372">
            <v>0</v>
          </cell>
          <cell r="AQ372">
            <v>0</v>
          </cell>
          <cell r="AR372">
            <v>0</v>
          </cell>
          <cell r="AS372">
            <v>0</v>
          </cell>
          <cell r="AT372">
            <v>0</v>
          </cell>
          <cell r="AU372">
            <v>4740</v>
          </cell>
          <cell r="AV372">
            <v>0</v>
          </cell>
          <cell r="AW372">
            <v>0</v>
          </cell>
          <cell r="AX372">
            <v>0</v>
          </cell>
          <cell r="AY372"/>
          <cell r="AZ372"/>
          <cell r="BA372">
            <v>0</v>
          </cell>
          <cell r="BB372"/>
          <cell r="BC372">
            <v>0</v>
          </cell>
          <cell r="BD372">
            <v>8797</v>
          </cell>
          <cell r="BE372"/>
          <cell r="BF372">
            <v>0</v>
          </cell>
          <cell r="BG372">
            <v>0</v>
          </cell>
          <cell r="BH372">
            <v>0</v>
          </cell>
          <cell r="BI372">
            <v>38960</v>
          </cell>
          <cell r="BJ372">
            <v>32070</v>
          </cell>
          <cell r="BK372">
            <v>32070</v>
          </cell>
          <cell r="BL372">
            <v>0</v>
          </cell>
          <cell r="BM372">
            <v>0</v>
          </cell>
          <cell r="BN372">
            <v>0</v>
          </cell>
          <cell r="BO372">
            <v>149333</v>
          </cell>
          <cell r="BP372">
            <v>4744.2</v>
          </cell>
          <cell r="BQ372">
            <v>8546.5116279069807</v>
          </cell>
          <cell r="BR372">
            <v>0</v>
          </cell>
          <cell r="BS372">
            <v>0</v>
          </cell>
          <cell r="BT372">
            <v>32292</v>
          </cell>
          <cell r="BU372"/>
          <cell r="BV372"/>
          <cell r="BW372"/>
          <cell r="BX372"/>
          <cell r="BY372">
            <v>0</v>
          </cell>
          <cell r="BZ372">
            <v>0</v>
          </cell>
          <cell r="CA372">
            <v>0</v>
          </cell>
          <cell r="CB372">
            <v>0</v>
          </cell>
          <cell r="CC372">
            <v>2492701</v>
          </cell>
          <cell r="CD372">
            <v>12510571</v>
          </cell>
          <cell r="CE372">
            <v>437134</v>
          </cell>
          <cell r="CF372">
            <v>0</v>
          </cell>
          <cell r="CG372">
            <v>437134</v>
          </cell>
          <cell r="CH372">
            <v>437134</v>
          </cell>
          <cell r="CI372">
            <v>437134</v>
          </cell>
          <cell r="CJ372">
            <v>437134</v>
          </cell>
          <cell r="CK372">
            <v>0</v>
          </cell>
          <cell r="CL372">
            <v>0</v>
          </cell>
          <cell r="CM372">
            <v>0</v>
          </cell>
          <cell r="CN372">
            <v>0</v>
          </cell>
          <cell r="CO372">
            <v>0</v>
          </cell>
          <cell r="CP372">
            <v>-187</v>
          </cell>
          <cell r="CQ372">
            <v>3081435</v>
          </cell>
          <cell r="CR372">
            <v>2890837</v>
          </cell>
          <cell r="CS372">
            <v>2727528</v>
          </cell>
          <cell r="CT372">
            <v>2578141</v>
          </cell>
          <cell r="CU372">
            <v>2394107</v>
          </cell>
          <cell r="CV372">
            <v>52610</v>
          </cell>
          <cell r="CW372">
            <v>0</v>
          </cell>
          <cell r="CX372">
            <v>0</v>
          </cell>
          <cell r="CY372">
            <v>0</v>
          </cell>
          <cell r="CZ372">
            <v>0</v>
          </cell>
          <cell r="DA372">
            <v>0</v>
          </cell>
          <cell r="DB372"/>
          <cell r="DC372">
            <v>0</v>
          </cell>
          <cell r="DD372">
            <v>0</v>
          </cell>
          <cell r="DE372">
            <v>0</v>
          </cell>
          <cell r="DF372">
            <v>0</v>
          </cell>
          <cell r="DG372">
            <v>0</v>
          </cell>
          <cell r="DH372">
            <v>0</v>
          </cell>
          <cell r="DI372">
            <v>0</v>
          </cell>
          <cell r="DJ372">
            <v>0</v>
          </cell>
          <cell r="DK372">
            <v>0</v>
          </cell>
          <cell r="DL372">
            <v>0</v>
          </cell>
          <cell r="DM372"/>
          <cell r="DN372"/>
          <cell r="DO372"/>
          <cell r="DP372"/>
        </row>
        <row r="373">
          <cell r="A373">
            <v>981</v>
          </cell>
          <cell r="B373" t="str">
            <v>Vaals</v>
          </cell>
          <cell r="C373">
            <v>11</v>
          </cell>
          <cell r="D373">
            <v>-10180</v>
          </cell>
          <cell r="E373">
            <v>-5090</v>
          </cell>
          <cell r="F373">
            <v>0</v>
          </cell>
          <cell r="G373">
            <v>0</v>
          </cell>
          <cell r="H373">
            <v>-13099</v>
          </cell>
          <cell r="I373">
            <v>-7415</v>
          </cell>
          <cell r="J373"/>
          <cell r="K373">
            <v>0</v>
          </cell>
          <cell r="L373">
            <v>44766</v>
          </cell>
          <cell r="M373">
            <v>46853</v>
          </cell>
          <cell r="N373">
            <v>0</v>
          </cell>
          <cell r="O373">
            <v>0</v>
          </cell>
          <cell r="P373">
            <v>0</v>
          </cell>
          <cell r="Q373">
            <v>0</v>
          </cell>
          <cell r="R373">
            <v>0</v>
          </cell>
          <cell r="S373">
            <v>0</v>
          </cell>
          <cell r="T373">
            <v>0</v>
          </cell>
          <cell r="U373">
            <v>0</v>
          </cell>
          <cell r="V373">
            <v>0</v>
          </cell>
          <cell r="W373">
            <v>31100</v>
          </cell>
          <cell r="X373">
            <v>0</v>
          </cell>
          <cell r="Y373"/>
          <cell r="Z373">
            <v>0</v>
          </cell>
          <cell r="AA373">
            <v>0</v>
          </cell>
          <cell r="AB373">
            <v>0</v>
          </cell>
          <cell r="AC373"/>
          <cell r="AD373">
            <v>36178</v>
          </cell>
          <cell r="AE373">
            <v>0</v>
          </cell>
          <cell r="AF373">
            <v>0</v>
          </cell>
          <cell r="AG373">
            <v>0</v>
          </cell>
          <cell r="AH373">
            <v>0</v>
          </cell>
          <cell r="AI373">
            <v>0</v>
          </cell>
          <cell r="AJ373">
            <v>0</v>
          </cell>
          <cell r="AK373">
            <v>0</v>
          </cell>
          <cell r="AL373"/>
          <cell r="AM373">
            <v>0</v>
          </cell>
          <cell r="AN373">
            <v>0</v>
          </cell>
          <cell r="AO373">
            <v>0</v>
          </cell>
          <cell r="AP373">
            <v>0</v>
          </cell>
          <cell r="AQ373">
            <v>0</v>
          </cell>
          <cell r="AR373">
            <v>0</v>
          </cell>
          <cell r="AS373">
            <v>0</v>
          </cell>
          <cell r="AT373">
            <v>0</v>
          </cell>
          <cell r="AU373">
            <v>0</v>
          </cell>
          <cell r="AV373">
            <v>0</v>
          </cell>
          <cell r="AW373">
            <v>0</v>
          </cell>
          <cell r="AX373">
            <v>0</v>
          </cell>
          <cell r="AY373"/>
          <cell r="AZ373"/>
          <cell r="BA373">
            <v>0</v>
          </cell>
          <cell r="BB373"/>
          <cell r="BC373">
            <v>0</v>
          </cell>
          <cell r="BD373">
            <v>3409</v>
          </cell>
          <cell r="BE373"/>
          <cell r="BF373">
            <v>0</v>
          </cell>
          <cell r="BG373">
            <v>0</v>
          </cell>
          <cell r="BH373">
            <v>0</v>
          </cell>
          <cell r="BI373">
            <v>23349</v>
          </cell>
          <cell r="BJ373">
            <v>19220</v>
          </cell>
          <cell r="BK373">
            <v>19220</v>
          </cell>
          <cell r="BL373">
            <v>0</v>
          </cell>
          <cell r="BM373">
            <v>0</v>
          </cell>
          <cell r="BN373">
            <v>0</v>
          </cell>
          <cell r="BO373">
            <v>29186</v>
          </cell>
          <cell r="BP373">
            <v>6325.6</v>
          </cell>
          <cell r="BQ373">
            <v>11395.3488372093</v>
          </cell>
          <cell r="BR373">
            <v>0</v>
          </cell>
          <cell r="BS373">
            <v>0</v>
          </cell>
          <cell r="BT373">
            <v>18998</v>
          </cell>
          <cell r="BU373"/>
          <cell r="BV373"/>
          <cell r="BW373"/>
          <cell r="BX373"/>
          <cell r="BY373">
            <v>0</v>
          </cell>
          <cell r="BZ373">
            <v>0</v>
          </cell>
          <cell r="CA373">
            <v>0</v>
          </cell>
          <cell r="CB373">
            <v>0</v>
          </cell>
          <cell r="CC373">
            <v>1096461</v>
          </cell>
          <cell r="CD373">
            <v>5193782</v>
          </cell>
          <cell r="CE373">
            <v>52357</v>
          </cell>
          <cell r="CF373">
            <v>-17913</v>
          </cell>
          <cell r="CG373">
            <v>52357</v>
          </cell>
          <cell r="CH373">
            <v>52357</v>
          </cell>
          <cell r="CI373">
            <v>52357</v>
          </cell>
          <cell r="CJ373">
            <v>52357</v>
          </cell>
          <cell r="CK373">
            <v>0</v>
          </cell>
          <cell r="CL373">
            <v>0</v>
          </cell>
          <cell r="CM373">
            <v>0</v>
          </cell>
          <cell r="CN373">
            <v>0</v>
          </cell>
          <cell r="CO373">
            <v>0</v>
          </cell>
          <cell r="CP373">
            <v>0</v>
          </cell>
          <cell r="CQ373">
            <v>1470280</v>
          </cell>
          <cell r="CR373">
            <v>1339173</v>
          </cell>
          <cell r="CS373">
            <v>1240565</v>
          </cell>
          <cell r="CT373">
            <v>1164533</v>
          </cell>
          <cell r="CU373">
            <v>1128076</v>
          </cell>
          <cell r="CV373">
            <v>61526</v>
          </cell>
          <cell r="CW373">
            <v>0</v>
          </cell>
          <cell r="CX373">
            <v>0</v>
          </cell>
          <cell r="CY373">
            <v>0</v>
          </cell>
          <cell r="CZ373">
            <v>0</v>
          </cell>
          <cell r="DA373">
            <v>0</v>
          </cell>
          <cell r="DB373"/>
          <cell r="DC373">
            <v>0</v>
          </cell>
          <cell r="DD373">
            <v>0</v>
          </cell>
          <cell r="DE373">
            <v>0</v>
          </cell>
          <cell r="DF373">
            <v>0</v>
          </cell>
          <cell r="DG373">
            <v>0</v>
          </cell>
          <cell r="DH373">
            <v>0</v>
          </cell>
          <cell r="DI373">
            <v>0</v>
          </cell>
          <cell r="DJ373">
            <v>0</v>
          </cell>
          <cell r="DK373">
            <v>0</v>
          </cell>
          <cell r="DL373">
            <v>0</v>
          </cell>
          <cell r="DM373"/>
          <cell r="DN373"/>
          <cell r="DO373"/>
          <cell r="DP373"/>
        </row>
        <row r="374">
          <cell r="A374">
            <v>994</v>
          </cell>
          <cell r="B374" t="str">
            <v>Valkenburg aan de Geul</v>
          </cell>
          <cell r="C374">
            <v>11</v>
          </cell>
          <cell r="D374">
            <v>40826</v>
          </cell>
          <cell r="E374">
            <v>20413</v>
          </cell>
          <cell r="F374">
            <v>0</v>
          </cell>
          <cell r="G374">
            <v>0</v>
          </cell>
          <cell r="H374">
            <v>-13174</v>
          </cell>
          <cell r="I374">
            <v>-5164</v>
          </cell>
          <cell r="J374"/>
          <cell r="K374">
            <v>0</v>
          </cell>
          <cell r="L374">
            <v>59211</v>
          </cell>
          <cell r="M374">
            <v>59518</v>
          </cell>
          <cell r="N374">
            <v>0</v>
          </cell>
          <cell r="O374">
            <v>0</v>
          </cell>
          <cell r="P374">
            <v>0</v>
          </cell>
          <cell r="Q374">
            <v>0</v>
          </cell>
          <cell r="R374">
            <v>0</v>
          </cell>
          <cell r="S374">
            <v>0</v>
          </cell>
          <cell r="T374">
            <v>0</v>
          </cell>
          <cell r="U374">
            <v>0</v>
          </cell>
          <cell r="V374">
            <v>0</v>
          </cell>
          <cell r="W374">
            <v>40407</v>
          </cell>
          <cell r="X374">
            <v>0</v>
          </cell>
          <cell r="Y374"/>
          <cell r="Z374">
            <v>0</v>
          </cell>
          <cell r="AA374">
            <v>0</v>
          </cell>
          <cell r="AB374">
            <v>0</v>
          </cell>
          <cell r="AC374"/>
          <cell r="AD374">
            <v>51823</v>
          </cell>
          <cell r="AE374">
            <v>0</v>
          </cell>
          <cell r="AF374">
            <v>0</v>
          </cell>
          <cell r="AG374">
            <v>0</v>
          </cell>
          <cell r="AH374">
            <v>0</v>
          </cell>
          <cell r="AI374">
            <v>0</v>
          </cell>
          <cell r="AJ374">
            <v>0</v>
          </cell>
          <cell r="AK374">
            <v>0</v>
          </cell>
          <cell r="AL374"/>
          <cell r="AM374">
            <v>0</v>
          </cell>
          <cell r="AN374">
            <v>0</v>
          </cell>
          <cell r="AO374">
            <v>0</v>
          </cell>
          <cell r="AP374">
            <v>0</v>
          </cell>
          <cell r="AQ374">
            <v>0</v>
          </cell>
          <cell r="AR374">
            <v>0</v>
          </cell>
          <cell r="AS374">
            <v>0</v>
          </cell>
          <cell r="AT374">
            <v>0</v>
          </cell>
          <cell r="AU374">
            <v>2370</v>
          </cell>
          <cell r="AV374">
            <v>0</v>
          </cell>
          <cell r="AW374">
            <v>0</v>
          </cell>
          <cell r="AX374">
            <v>0</v>
          </cell>
          <cell r="AY374"/>
          <cell r="AZ374"/>
          <cell r="BA374">
            <v>0</v>
          </cell>
          <cell r="BB374"/>
          <cell r="BC374">
            <v>0</v>
          </cell>
          <cell r="BD374">
            <v>5771</v>
          </cell>
          <cell r="BE374"/>
          <cell r="BF374">
            <v>0</v>
          </cell>
          <cell r="BG374">
            <v>0</v>
          </cell>
          <cell r="BH374">
            <v>0</v>
          </cell>
          <cell r="BI374">
            <v>31076</v>
          </cell>
          <cell r="BJ374">
            <v>25581</v>
          </cell>
          <cell r="BK374">
            <v>25581</v>
          </cell>
          <cell r="BL374">
            <v>0</v>
          </cell>
          <cell r="BM374">
            <v>0</v>
          </cell>
          <cell r="BN374">
            <v>0</v>
          </cell>
          <cell r="BO374">
            <v>31618</v>
          </cell>
          <cell r="BP374">
            <v>1581.4</v>
          </cell>
          <cell r="BQ374">
            <v>2848.8372093023299</v>
          </cell>
          <cell r="BR374">
            <v>0</v>
          </cell>
          <cell r="BS374">
            <v>0</v>
          </cell>
          <cell r="BT374">
            <v>25832</v>
          </cell>
          <cell r="BU374"/>
          <cell r="BV374"/>
          <cell r="BW374"/>
          <cell r="BX374"/>
          <cell r="BY374">
            <v>0</v>
          </cell>
          <cell r="BZ374">
            <v>0</v>
          </cell>
          <cell r="CA374">
            <v>0</v>
          </cell>
          <cell r="CB374">
            <v>0</v>
          </cell>
          <cell r="CC374">
            <v>1720024</v>
          </cell>
          <cell r="CD374">
            <v>7731428</v>
          </cell>
          <cell r="CE374">
            <v>475464</v>
          </cell>
          <cell r="CF374">
            <v>-12530</v>
          </cell>
          <cell r="CG374">
            <v>475464</v>
          </cell>
          <cell r="CH374">
            <v>475464</v>
          </cell>
          <cell r="CI374">
            <v>475464</v>
          </cell>
          <cell r="CJ374">
            <v>475464</v>
          </cell>
          <cell r="CK374">
            <v>0</v>
          </cell>
          <cell r="CL374">
            <v>0</v>
          </cell>
          <cell r="CM374">
            <v>0</v>
          </cell>
          <cell r="CN374">
            <v>0</v>
          </cell>
          <cell r="CO374">
            <v>0</v>
          </cell>
          <cell r="CP374">
            <v>0</v>
          </cell>
          <cell r="CQ374">
            <v>1682989</v>
          </cell>
          <cell r="CR374">
            <v>1629944</v>
          </cell>
          <cell r="CS374">
            <v>1589090</v>
          </cell>
          <cell r="CT374">
            <v>1549854</v>
          </cell>
          <cell r="CU374">
            <v>1547684</v>
          </cell>
          <cell r="CV374">
            <v>8995</v>
          </cell>
          <cell r="CW374">
            <v>0</v>
          </cell>
          <cell r="CX374">
            <v>0</v>
          </cell>
          <cell r="CY374">
            <v>0</v>
          </cell>
          <cell r="CZ374">
            <v>0</v>
          </cell>
          <cell r="DA374">
            <v>0</v>
          </cell>
          <cell r="DB374"/>
          <cell r="DC374">
            <v>0</v>
          </cell>
          <cell r="DD374">
            <v>0</v>
          </cell>
          <cell r="DE374">
            <v>0</v>
          </cell>
          <cell r="DF374">
            <v>0</v>
          </cell>
          <cell r="DG374">
            <v>0</v>
          </cell>
          <cell r="DH374">
            <v>0</v>
          </cell>
          <cell r="DI374">
            <v>0</v>
          </cell>
          <cell r="DJ374">
            <v>0</v>
          </cell>
          <cell r="DK374">
            <v>0</v>
          </cell>
          <cell r="DL374">
            <v>0</v>
          </cell>
          <cell r="DM374"/>
          <cell r="DN374"/>
          <cell r="DO374"/>
          <cell r="DP374"/>
        </row>
        <row r="375">
          <cell r="A375">
            <v>983</v>
          </cell>
          <cell r="B375" t="str">
            <v>Venlo</v>
          </cell>
          <cell r="C375">
            <v>11</v>
          </cell>
          <cell r="D375">
            <v>303657</v>
          </cell>
          <cell r="E375">
            <v>151828</v>
          </cell>
          <cell r="F375">
            <v>0</v>
          </cell>
          <cell r="G375">
            <v>932897</v>
          </cell>
          <cell r="H375">
            <v>-81847</v>
          </cell>
          <cell r="I375">
            <v>0</v>
          </cell>
          <cell r="J375"/>
          <cell r="K375">
            <v>7500</v>
          </cell>
          <cell r="L375">
            <v>612761</v>
          </cell>
          <cell r="M375">
            <v>602587</v>
          </cell>
          <cell r="N375">
            <v>0</v>
          </cell>
          <cell r="O375">
            <v>0</v>
          </cell>
          <cell r="P375">
            <v>150000</v>
          </cell>
          <cell r="Q375">
            <v>0</v>
          </cell>
          <cell r="R375">
            <v>0</v>
          </cell>
          <cell r="S375">
            <v>841557</v>
          </cell>
          <cell r="T375">
            <v>841557</v>
          </cell>
          <cell r="U375">
            <v>841557</v>
          </cell>
          <cell r="V375">
            <v>9000</v>
          </cell>
          <cell r="W375">
            <v>372040</v>
          </cell>
          <cell r="X375">
            <v>0</v>
          </cell>
          <cell r="Y375"/>
          <cell r="Z375">
            <v>0</v>
          </cell>
          <cell r="AA375">
            <v>0</v>
          </cell>
          <cell r="AB375">
            <v>0</v>
          </cell>
          <cell r="AC375"/>
          <cell r="AD375">
            <v>186759</v>
          </cell>
          <cell r="AE375">
            <v>0</v>
          </cell>
          <cell r="AF375">
            <v>0</v>
          </cell>
          <cell r="AG375">
            <v>0</v>
          </cell>
          <cell r="AH375">
            <v>0</v>
          </cell>
          <cell r="AI375">
            <v>0</v>
          </cell>
          <cell r="AJ375">
            <v>0</v>
          </cell>
          <cell r="AK375">
            <v>424462</v>
          </cell>
          <cell r="AL375"/>
          <cell r="AM375">
            <v>0</v>
          </cell>
          <cell r="AN375">
            <v>0</v>
          </cell>
          <cell r="AO375">
            <v>0</v>
          </cell>
          <cell r="AP375">
            <v>0</v>
          </cell>
          <cell r="AQ375">
            <v>0</v>
          </cell>
          <cell r="AR375">
            <v>0</v>
          </cell>
          <cell r="AS375">
            <v>0</v>
          </cell>
          <cell r="AT375">
            <v>20000</v>
          </cell>
          <cell r="AU375">
            <v>4740</v>
          </cell>
          <cell r="AV375">
            <v>8198850.0365822604</v>
          </cell>
          <cell r="AW375">
            <v>174630</v>
          </cell>
          <cell r="AX375">
            <v>0</v>
          </cell>
          <cell r="AY375"/>
          <cell r="AZ375"/>
          <cell r="BA375">
            <v>0</v>
          </cell>
          <cell r="BB375"/>
          <cell r="BC375">
            <v>0</v>
          </cell>
          <cell r="BD375">
            <v>35475</v>
          </cell>
          <cell r="BE375"/>
          <cell r="BF375">
            <v>0</v>
          </cell>
          <cell r="BG375">
            <v>0</v>
          </cell>
          <cell r="BH375">
            <v>0</v>
          </cell>
          <cell r="BI375">
            <v>203509</v>
          </cell>
          <cell r="BJ375">
            <v>167518</v>
          </cell>
          <cell r="BK375">
            <v>167518</v>
          </cell>
          <cell r="BL375">
            <v>0</v>
          </cell>
          <cell r="BM375">
            <v>0</v>
          </cell>
          <cell r="BN375">
            <v>214060</v>
          </cell>
          <cell r="BO375">
            <v>347796</v>
          </cell>
          <cell r="BP375">
            <v>25302.400000000001</v>
          </cell>
          <cell r="BQ375">
            <v>45581.395348837199</v>
          </cell>
          <cell r="BR375">
            <v>0</v>
          </cell>
          <cell r="BS375">
            <v>0</v>
          </cell>
          <cell r="BT375">
            <v>176663</v>
          </cell>
          <cell r="BU375"/>
          <cell r="BV375"/>
          <cell r="BW375"/>
          <cell r="BX375"/>
          <cell r="BY375">
            <v>2910725.8812301802</v>
          </cell>
          <cell r="BZ375">
            <v>3374211.1383047402</v>
          </cell>
          <cell r="CA375">
            <v>3413805.3562457799</v>
          </cell>
          <cell r="CB375">
            <v>3525600.7951381402</v>
          </cell>
          <cell r="CC375">
            <v>9863520</v>
          </cell>
          <cell r="CD375">
            <v>101565056</v>
          </cell>
          <cell r="CE375">
            <v>4098233</v>
          </cell>
          <cell r="CF375">
            <v>0</v>
          </cell>
          <cell r="CG375">
            <v>4098233</v>
          </cell>
          <cell r="CH375">
            <v>4098233</v>
          </cell>
          <cell r="CI375">
            <v>4098233</v>
          </cell>
          <cell r="CJ375">
            <v>4098233</v>
          </cell>
          <cell r="CK375">
            <v>46542823</v>
          </cell>
          <cell r="CL375">
            <v>46519553</v>
          </cell>
          <cell r="CM375">
            <v>46519177</v>
          </cell>
          <cell r="CN375">
            <v>46518349</v>
          </cell>
          <cell r="CO375">
            <v>46519496</v>
          </cell>
          <cell r="CP375">
            <v>0</v>
          </cell>
          <cell r="CQ375">
            <v>14114715</v>
          </cell>
          <cell r="CR375">
            <v>13368629</v>
          </cell>
          <cell r="CS375">
            <v>12995678</v>
          </cell>
          <cell r="CT375">
            <v>12619299</v>
          </cell>
          <cell r="CU375">
            <v>12230470</v>
          </cell>
          <cell r="CV375">
            <v>-124867</v>
          </cell>
          <cell r="CW375">
            <v>0</v>
          </cell>
          <cell r="CX375">
            <v>0</v>
          </cell>
          <cell r="CY375">
            <v>0</v>
          </cell>
          <cell r="CZ375">
            <v>0</v>
          </cell>
          <cell r="DA375">
            <v>0</v>
          </cell>
          <cell r="DB375"/>
          <cell r="DC375">
            <v>0</v>
          </cell>
          <cell r="DD375">
            <v>1100000</v>
          </cell>
          <cell r="DE375">
            <v>833000</v>
          </cell>
          <cell r="DF375">
            <v>0</v>
          </cell>
          <cell r="DG375">
            <v>0</v>
          </cell>
          <cell r="DH375">
            <v>0</v>
          </cell>
          <cell r="DI375">
            <v>0</v>
          </cell>
          <cell r="DJ375">
            <v>0</v>
          </cell>
          <cell r="DK375">
            <v>0</v>
          </cell>
          <cell r="DL375">
            <v>0</v>
          </cell>
          <cell r="DM375"/>
          <cell r="DN375"/>
          <cell r="DO375"/>
          <cell r="DP375"/>
        </row>
        <row r="376">
          <cell r="A376">
            <v>984</v>
          </cell>
          <cell r="B376" t="str">
            <v>Venray</v>
          </cell>
          <cell r="C376">
            <v>11</v>
          </cell>
          <cell r="D376">
            <v>45742</v>
          </cell>
          <cell r="E376">
            <v>22871</v>
          </cell>
          <cell r="F376">
            <v>0</v>
          </cell>
          <cell r="G376">
            <v>438486</v>
          </cell>
          <cell r="H376">
            <v>-46185</v>
          </cell>
          <cell r="I376">
            <v>-23106</v>
          </cell>
          <cell r="J376"/>
          <cell r="K376">
            <v>0</v>
          </cell>
          <cell r="L376">
            <v>228308</v>
          </cell>
          <cell r="M376">
            <v>222598</v>
          </cell>
          <cell r="N376">
            <v>0</v>
          </cell>
          <cell r="O376">
            <v>0</v>
          </cell>
          <cell r="P376">
            <v>0</v>
          </cell>
          <cell r="Q376">
            <v>0</v>
          </cell>
          <cell r="R376">
            <v>0</v>
          </cell>
          <cell r="S376">
            <v>0</v>
          </cell>
          <cell r="T376">
            <v>0</v>
          </cell>
          <cell r="U376">
            <v>0</v>
          </cell>
          <cell r="V376">
            <v>30000</v>
          </cell>
          <cell r="W376">
            <v>177078</v>
          </cell>
          <cell r="X376">
            <v>0</v>
          </cell>
          <cell r="Y376"/>
          <cell r="Z376">
            <v>0</v>
          </cell>
          <cell r="AA376">
            <v>0</v>
          </cell>
          <cell r="AB376">
            <v>0</v>
          </cell>
          <cell r="AC376"/>
          <cell r="AD376">
            <v>36178</v>
          </cell>
          <cell r="AE376">
            <v>0</v>
          </cell>
          <cell r="AF376">
            <v>0</v>
          </cell>
          <cell r="AG376">
            <v>0</v>
          </cell>
          <cell r="AH376">
            <v>0</v>
          </cell>
          <cell r="AI376">
            <v>0</v>
          </cell>
          <cell r="AJ376">
            <v>0</v>
          </cell>
          <cell r="AK376">
            <v>0</v>
          </cell>
          <cell r="AL376"/>
          <cell r="AM376">
            <v>0</v>
          </cell>
          <cell r="AN376">
            <v>0</v>
          </cell>
          <cell r="AO376">
            <v>0</v>
          </cell>
          <cell r="AP376">
            <v>0</v>
          </cell>
          <cell r="AQ376">
            <v>0</v>
          </cell>
          <cell r="AR376">
            <v>0</v>
          </cell>
          <cell r="AS376">
            <v>0</v>
          </cell>
          <cell r="AT376">
            <v>0</v>
          </cell>
          <cell r="AU376">
            <v>7110</v>
          </cell>
          <cell r="AV376">
            <v>0</v>
          </cell>
          <cell r="AW376">
            <v>0</v>
          </cell>
          <cell r="AX376">
            <v>0</v>
          </cell>
          <cell r="AY376"/>
          <cell r="AZ376"/>
          <cell r="BA376">
            <v>0</v>
          </cell>
          <cell r="BB376"/>
          <cell r="BC376">
            <v>0</v>
          </cell>
          <cell r="BD376">
            <v>15293</v>
          </cell>
          <cell r="BE376"/>
          <cell r="BF376">
            <v>0</v>
          </cell>
          <cell r="BG376">
            <v>0</v>
          </cell>
          <cell r="BH376">
            <v>0</v>
          </cell>
          <cell r="BI376">
            <v>65396</v>
          </cell>
          <cell r="BJ376">
            <v>53830</v>
          </cell>
          <cell r="BK376">
            <v>53830</v>
          </cell>
          <cell r="BL376">
            <v>0</v>
          </cell>
          <cell r="BM376">
            <v>0</v>
          </cell>
          <cell r="BN376">
            <v>0</v>
          </cell>
          <cell r="BO376">
            <v>379900</v>
          </cell>
          <cell r="BP376">
            <v>33209.4</v>
          </cell>
          <cell r="BQ376">
            <v>59825.581395348803</v>
          </cell>
          <cell r="BR376">
            <v>0</v>
          </cell>
          <cell r="BS376">
            <v>0</v>
          </cell>
          <cell r="BT376">
            <v>77240</v>
          </cell>
          <cell r="BU376"/>
          <cell r="BV376"/>
          <cell r="BW376"/>
          <cell r="BX376"/>
          <cell r="BY376">
            <v>0</v>
          </cell>
          <cell r="BZ376">
            <v>0</v>
          </cell>
          <cell r="CA376">
            <v>0</v>
          </cell>
          <cell r="CB376">
            <v>0</v>
          </cell>
          <cell r="CC376">
            <v>3600973</v>
          </cell>
          <cell r="CD376">
            <v>27505621</v>
          </cell>
          <cell r="CE376">
            <v>1177796</v>
          </cell>
          <cell r="CF376">
            <v>-2492</v>
          </cell>
          <cell r="CG376">
            <v>1177796</v>
          </cell>
          <cell r="CH376">
            <v>1177796</v>
          </cell>
          <cell r="CI376">
            <v>1177796</v>
          </cell>
          <cell r="CJ376">
            <v>1177796</v>
          </cell>
          <cell r="CK376">
            <v>0</v>
          </cell>
          <cell r="CL376">
            <v>0</v>
          </cell>
          <cell r="CM376">
            <v>0</v>
          </cell>
          <cell r="CN376">
            <v>0</v>
          </cell>
          <cell r="CO376">
            <v>0</v>
          </cell>
          <cell r="CP376">
            <v>-7957</v>
          </cell>
          <cell r="CQ376">
            <v>10376639</v>
          </cell>
          <cell r="CR376">
            <v>9721091</v>
          </cell>
          <cell r="CS376">
            <v>9374608</v>
          </cell>
          <cell r="CT376">
            <v>9046999</v>
          </cell>
          <cell r="CU376">
            <v>8692075</v>
          </cell>
          <cell r="CV376">
            <v>-2069</v>
          </cell>
          <cell r="CW376">
            <v>0</v>
          </cell>
          <cell r="CX376">
            <v>0</v>
          </cell>
          <cell r="CY376">
            <v>0</v>
          </cell>
          <cell r="CZ376">
            <v>0</v>
          </cell>
          <cell r="DA376">
            <v>0</v>
          </cell>
          <cell r="DB376"/>
          <cell r="DC376">
            <v>0</v>
          </cell>
          <cell r="DD376">
            <v>0</v>
          </cell>
          <cell r="DE376">
            <v>0</v>
          </cell>
          <cell r="DF376">
            <v>0</v>
          </cell>
          <cell r="DG376">
            <v>0</v>
          </cell>
          <cell r="DH376">
            <v>0</v>
          </cell>
          <cell r="DI376">
            <v>0</v>
          </cell>
          <cell r="DJ376">
            <v>0</v>
          </cell>
          <cell r="DK376">
            <v>0</v>
          </cell>
          <cell r="DL376">
            <v>0</v>
          </cell>
          <cell r="DM376"/>
          <cell r="DN376"/>
          <cell r="DO376"/>
          <cell r="DP376"/>
        </row>
        <row r="377">
          <cell r="A377">
            <v>986</v>
          </cell>
          <cell r="B377" t="str">
            <v>Voerendaal</v>
          </cell>
          <cell r="C377">
            <v>11</v>
          </cell>
          <cell r="D377">
            <v>-5197</v>
          </cell>
          <cell r="E377">
            <v>-2598</v>
          </cell>
          <cell r="F377">
            <v>0</v>
          </cell>
          <cell r="G377">
            <v>0</v>
          </cell>
          <cell r="H377">
            <v>18425</v>
          </cell>
          <cell r="I377">
            <v>0</v>
          </cell>
          <cell r="J377"/>
          <cell r="K377">
            <v>0</v>
          </cell>
          <cell r="L377">
            <v>48885</v>
          </cell>
          <cell r="M377">
            <v>38996</v>
          </cell>
          <cell r="N377">
            <v>0</v>
          </cell>
          <cell r="O377">
            <v>0</v>
          </cell>
          <cell r="P377">
            <v>0</v>
          </cell>
          <cell r="Q377">
            <v>0</v>
          </cell>
          <cell r="R377">
            <v>0</v>
          </cell>
          <cell r="S377">
            <v>0</v>
          </cell>
          <cell r="T377">
            <v>0</v>
          </cell>
          <cell r="U377">
            <v>0</v>
          </cell>
          <cell r="V377">
            <v>0</v>
          </cell>
          <cell r="W377">
            <v>45484</v>
          </cell>
          <cell r="X377">
            <v>0</v>
          </cell>
          <cell r="Y377"/>
          <cell r="Z377">
            <v>0</v>
          </cell>
          <cell r="AA377">
            <v>0</v>
          </cell>
          <cell r="AB377">
            <v>0</v>
          </cell>
          <cell r="AC377"/>
          <cell r="AD377">
            <v>0</v>
          </cell>
          <cell r="AE377">
            <v>0</v>
          </cell>
          <cell r="AF377">
            <v>0</v>
          </cell>
          <cell r="AG377">
            <v>0</v>
          </cell>
          <cell r="AH377">
            <v>0</v>
          </cell>
          <cell r="AI377">
            <v>0</v>
          </cell>
          <cell r="AJ377">
            <v>0</v>
          </cell>
          <cell r="AK377">
            <v>0</v>
          </cell>
          <cell r="AL377"/>
          <cell r="AM377">
            <v>0</v>
          </cell>
          <cell r="AN377">
            <v>0</v>
          </cell>
          <cell r="AO377">
            <v>0</v>
          </cell>
          <cell r="AP377">
            <v>0</v>
          </cell>
          <cell r="AQ377">
            <v>0</v>
          </cell>
          <cell r="AR377">
            <v>0</v>
          </cell>
          <cell r="AS377">
            <v>0</v>
          </cell>
          <cell r="AT377">
            <v>0</v>
          </cell>
          <cell r="AU377">
            <v>0</v>
          </cell>
          <cell r="AV377">
            <v>0</v>
          </cell>
          <cell r="AW377">
            <v>0</v>
          </cell>
          <cell r="AX377">
            <v>0</v>
          </cell>
          <cell r="AY377"/>
          <cell r="AZ377"/>
          <cell r="BA377">
            <v>0</v>
          </cell>
          <cell r="BB377"/>
          <cell r="BC377">
            <v>0</v>
          </cell>
          <cell r="BD377">
            <v>4375</v>
          </cell>
          <cell r="BE377"/>
          <cell r="BF377">
            <v>0</v>
          </cell>
          <cell r="BG377">
            <v>0</v>
          </cell>
          <cell r="BH377">
            <v>0</v>
          </cell>
          <cell r="BI377">
            <v>14233</v>
          </cell>
          <cell r="BJ377">
            <v>11716</v>
          </cell>
          <cell r="BK377">
            <v>11716</v>
          </cell>
          <cell r="BL377">
            <v>0</v>
          </cell>
          <cell r="BM377">
            <v>0</v>
          </cell>
          <cell r="BN377">
            <v>0</v>
          </cell>
          <cell r="BO377">
            <v>16052</v>
          </cell>
          <cell r="BP377">
            <v>0</v>
          </cell>
          <cell r="BQ377">
            <v>0</v>
          </cell>
          <cell r="BR377">
            <v>0</v>
          </cell>
          <cell r="BS377">
            <v>0</v>
          </cell>
          <cell r="BT377">
            <v>20059</v>
          </cell>
          <cell r="BU377"/>
          <cell r="BV377"/>
          <cell r="BW377"/>
          <cell r="BX377"/>
          <cell r="BY377">
            <v>0</v>
          </cell>
          <cell r="BZ377">
            <v>0</v>
          </cell>
          <cell r="CA377">
            <v>0</v>
          </cell>
          <cell r="CB377">
            <v>0</v>
          </cell>
          <cell r="CC377">
            <v>1076622</v>
          </cell>
          <cell r="CD377">
            <v>5529260</v>
          </cell>
          <cell r="CE377">
            <v>269792</v>
          </cell>
          <cell r="CF377">
            <v>0</v>
          </cell>
          <cell r="CG377">
            <v>269792</v>
          </cell>
          <cell r="CH377">
            <v>269792</v>
          </cell>
          <cell r="CI377">
            <v>269792</v>
          </cell>
          <cell r="CJ377">
            <v>269792</v>
          </cell>
          <cell r="CK377">
            <v>0</v>
          </cell>
          <cell r="CL377">
            <v>0</v>
          </cell>
          <cell r="CM377">
            <v>0</v>
          </cell>
          <cell r="CN377">
            <v>0</v>
          </cell>
          <cell r="CO377">
            <v>0</v>
          </cell>
          <cell r="CP377">
            <v>0</v>
          </cell>
          <cell r="CQ377">
            <v>1446598</v>
          </cell>
          <cell r="CR377">
            <v>1313129</v>
          </cell>
          <cell r="CS377">
            <v>1241475</v>
          </cell>
          <cell r="CT377">
            <v>1123417</v>
          </cell>
          <cell r="CU377">
            <v>1077767</v>
          </cell>
          <cell r="CV377">
            <v>1872</v>
          </cell>
          <cell r="CW377">
            <v>0</v>
          </cell>
          <cell r="CX377">
            <v>0</v>
          </cell>
          <cell r="CY377">
            <v>0</v>
          </cell>
          <cell r="CZ377">
            <v>0</v>
          </cell>
          <cell r="DA377">
            <v>0</v>
          </cell>
          <cell r="DB377"/>
          <cell r="DC377">
            <v>0</v>
          </cell>
          <cell r="DD377">
            <v>0</v>
          </cell>
          <cell r="DE377">
            <v>0</v>
          </cell>
          <cell r="DF377">
            <v>0</v>
          </cell>
          <cell r="DG377">
            <v>0</v>
          </cell>
          <cell r="DH377">
            <v>0</v>
          </cell>
          <cell r="DI377">
            <v>0</v>
          </cell>
          <cell r="DJ377">
            <v>0</v>
          </cell>
          <cell r="DK377">
            <v>0</v>
          </cell>
          <cell r="DL377">
            <v>0</v>
          </cell>
          <cell r="DM377"/>
          <cell r="DN377"/>
          <cell r="DO377"/>
          <cell r="DP377"/>
        </row>
        <row r="378">
          <cell r="A378">
            <v>988</v>
          </cell>
          <cell r="B378" t="str">
            <v>Weert</v>
          </cell>
          <cell r="C378">
            <v>11</v>
          </cell>
          <cell r="D378">
            <v>-19158</v>
          </cell>
          <cell r="E378">
            <v>-9579</v>
          </cell>
          <cell r="F378">
            <v>0</v>
          </cell>
          <cell r="G378">
            <v>0</v>
          </cell>
          <cell r="H378">
            <v>-33746</v>
          </cell>
          <cell r="I378">
            <v>-9997</v>
          </cell>
          <cell r="J378"/>
          <cell r="K378">
            <v>0</v>
          </cell>
          <cell r="L378">
            <v>211178</v>
          </cell>
          <cell r="M378">
            <v>207124</v>
          </cell>
          <cell r="N378">
            <v>0</v>
          </cell>
          <cell r="O378">
            <v>0</v>
          </cell>
          <cell r="P378">
            <v>0</v>
          </cell>
          <cell r="Q378">
            <v>0</v>
          </cell>
          <cell r="R378">
            <v>0</v>
          </cell>
          <cell r="S378">
            <v>0</v>
          </cell>
          <cell r="T378">
            <v>0</v>
          </cell>
          <cell r="U378">
            <v>0</v>
          </cell>
          <cell r="V378">
            <v>3000</v>
          </cell>
          <cell r="W378">
            <v>181549</v>
          </cell>
          <cell r="X378">
            <v>0</v>
          </cell>
          <cell r="Y378"/>
          <cell r="Z378">
            <v>0</v>
          </cell>
          <cell r="AA378">
            <v>0</v>
          </cell>
          <cell r="AB378">
            <v>0</v>
          </cell>
          <cell r="AC378"/>
          <cell r="AD378">
            <v>33248</v>
          </cell>
          <cell r="AE378">
            <v>0</v>
          </cell>
          <cell r="AF378">
            <v>0</v>
          </cell>
          <cell r="AG378">
            <v>0</v>
          </cell>
          <cell r="AH378">
            <v>0</v>
          </cell>
          <cell r="AI378">
            <v>0</v>
          </cell>
          <cell r="AJ378">
            <v>0</v>
          </cell>
          <cell r="AK378">
            <v>0</v>
          </cell>
          <cell r="AL378"/>
          <cell r="AM378">
            <v>0</v>
          </cell>
          <cell r="AN378">
            <v>0</v>
          </cell>
          <cell r="AO378">
            <v>0</v>
          </cell>
          <cell r="AP378">
            <v>0</v>
          </cell>
          <cell r="AQ378">
            <v>0</v>
          </cell>
          <cell r="AR378">
            <v>0</v>
          </cell>
          <cell r="AS378">
            <v>0</v>
          </cell>
          <cell r="AT378">
            <v>0</v>
          </cell>
          <cell r="AU378">
            <v>4740</v>
          </cell>
          <cell r="AV378">
            <v>0</v>
          </cell>
          <cell r="AW378">
            <v>0</v>
          </cell>
          <cell r="AX378">
            <v>0</v>
          </cell>
          <cell r="AY378"/>
          <cell r="AZ378"/>
          <cell r="BA378">
            <v>0</v>
          </cell>
          <cell r="BB378"/>
          <cell r="BC378">
            <v>0</v>
          </cell>
          <cell r="BD378">
            <v>17402</v>
          </cell>
          <cell r="BE378"/>
          <cell r="BF378">
            <v>0</v>
          </cell>
          <cell r="BG378">
            <v>0</v>
          </cell>
          <cell r="BH378">
            <v>0</v>
          </cell>
          <cell r="BI378">
            <v>82019</v>
          </cell>
          <cell r="BJ378">
            <v>67514</v>
          </cell>
          <cell r="BK378">
            <v>67514</v>
          </cell>
          <cell r="BL378">
            <v>0</v>
          </cell>
          <cell r="BM378">
            <v>0</v>
          </cell>
          <cell r="BN378">
            <v>0</v>
          </cell>
          <cell r="BO378">
            <v>229108</v>
          </cell>
          <cell r="BP378">
            <v>23721</v>
          </cell>
          <cell r="BQ378">
            <v>42732.5581395349</v>
          </cell>
          <cell r="BR378">
            <v>0</v>
          </cell>
          <cell r="BS378">
            <v>0</v>
          </cell>
          <cell r="BT378">
            <v>76289</v>
          </cell>
          <cell r="BU378"/>
          <cell r="BV378"/>
          <cell r="BW378"/>
          <cell r="BX378"/>
          <cell r="BY378">
            <v>0</v>
          </cell>
          <cell r="BZ378">
            <v>0</v>
          </cell>
          <cell r="CA378">
            <v>0</v>
          </cell>
          <cell r="CB378">
            <v>0</v>
          </cell>
          <cell r="CC378">
            <v>4516511</v>
          </cell>
          <cell r="CD378">
            <v>27270203</v>
          </cell>
          <cell r="CE378">
            <v>1758548</v>
          </cell>
          <cell r="CF378">
            <v>0</v>
          </cell>
          <cell r="CG378">
            <v>1758548</v>
          </cell>
          <cell r="CH378">
            <v>1758548</v>
          </cell>
          <cell r="CI378">
            <v>1758548</v>
          </cell>
          <cell r="CJ378">
            <v>1758548</v>
          </cell>
          <cell r="CK378">
            <v>0</v>
          </cell>
          <cell r="CL378">
            <v>0</v>
          </cell>
          <cell r="CM378">
            <v>0</v>
          </cell>
          <cell r="CN378">
            <v>0</v>
          </cell>
          <cell r="CO378">
            <v>0</v>
          </cell>
          <cell r="CP378">
            <v>-3597</v>
          </cell>
          <cell r="CQ378">
            <v>8767951</v>
          </cell>
          <cell r="CR378">
            <v>8336688</v>
          </cell>
          <cell r="CS378">
            <v>8061679</v>
          </cell>
          <cell r="CT378">
            <v>7765639</v>
          </cell>
          <cell r="CU378">
            <v>7446568</v>
          </cell>
          <cell r="CV378">
            <v>94720</v>
          </cell>
          <cell r="CW378">
            <v>0</v>
          </cell>
          <cell r="CX378">
            <v>0</v>
          </cell>
          <cell r="CY378">
            <v>0</v>
          </cell>
          <cell r="CZ378">
            <v>0</v>
          </cell>
          <cell r="DA378">
            <v>0</v>
          </cell>
          <cell r="DB378"/>
          <cell r="DC378">
            <v>0</v>
          </cell>
          <cell r="DD378">
            <v>0</v>
          </cell>
          <cell r="DE378">
            <v>0</v>
          </cell>
          <cell r="DF378">
            <v>0</v>
          </cell>
          <cell r="DG378">
            <v>0</v>
          </cell>
          <cell r="DH378">
            <v>0</v>
          </cell>
          <cell r="DI378">
            <v>0</v>
          </cell>
          <cell r="DJ378">
            <v>0</v>
          </cell>
          <cell r="DK378">
            <v>0</v>
          </cell>
          <cell r="DL378">
            <v>0</v>
          </cell>
          <cell r="DM378"/>
          <cell r="DN378"/>
          <cell r="DO378"/>
          <cell r="DP378"/>
        </row>
        <row r="379">
          <cell r="A379">
            <v>34</v>
          </cell>
          <cell r="B379" t="str">
            <v>Almere</v>
          </cell>
          <cell r="C379">
            <v>12</v>
          </cell>
          <cell r="D379">
            <v>260859</v>
          </cell>
          <cell r="E379">
            <v>130429</v>
          </cell>
          <cell r="F379">
            <v>0</v>
          </cell>
          <cell r="G379">
            <v>0</v>
          </cell>
          <cell r="H379">
            <v>-48673</v>
          </cell>
          <cell r="I379">
            <v>-72445</v>
          </cell>
          <cell r="J379"/>
          <cell r="K379">
            <v>7500</v>
          </cell>
          <cell r="L379">
            <v>1464157</v>
          </cell>
          <cell r="M379">
            <v>1418535</v>
          </cell>
          <cell r="N379">
            <v>0</v>
          </cell>
          <cell r="O379">
            <v>0</v>
          </cell>
          <cell r="P379">
            <v>150000</v>
          </cell>
          <cell r="Q379">
            <v>0</v>
          </cell>
          <cell r="R379">
            <v>0</v>
          </cell>
          <cell r="S379">
            <v>0</v>
          </cell>
          <cell r="T379">
            <v>0</v>
          </cell>
          <cell r="U379">
            <v>0</v>
          </cell>
          <cell r="V379">
            <v>102250</v>
          </cell>
          <cell r="W379">
            <v>889668</v>
          </cell>
          <cell r="X379">
            <v>0</v>
          </cell>
          <cell r="Y379"/>
          <cell r="Z379">
            <v>0</v>
          </cell>
          <cell r="AA379">
            <v>40000</v>
          </cell>
          <cell r="AB379">
            <v>0</v>
          </cell>
          <cell r="AC379"/>
          <cell r="AD379">
            <v>71379</v>
          </cell>
          <cell r="AE379">
            <v>7444000</v>
          </cell>
          <cell r="AF379">
            <v>7371000</v>
          </cell>
          <cell r="AG379">
            <v>0</v>
          </cell>
          <cell r="AH379">
            <v>0</v>
          </cell>
          <cell r="AI379">
            <v>0</v>
          </cell>
          <cell r="AJ379">
            <v>0</v>
          </cell>
          <cell r="AK379">
            <v>457617</v>
          </cell>
          <cell r="AL379"/>
          <cell r="AM379">
            <v>0</v>
          </cell>
          <cell r="AN379">
            <v>0</v>
          </cell>
          <cell r="AO379">
            <v>0</v>
          </cell>
          <cell r="AP379">
            <v>0</v>
          </cell>
          <cell r="AQ379">
            <v>0</v>
          </cell>
          <cell r="AR379">
            <v>0</v>
          </cell>
          <cell r="AS379">
            <v>0</v>
          </cell>
          <cell r="AT379">
            <v>0</v>
          </cell>
          <cell r="AU379">
            <v>11850</v>
          </cell>
          <cell r="AV379">
            <v>8359293.4031885797</v>
          </cell>
          <cell r="AW379">
            <v>80000</v>
          </cell>
          <cell r="AX379">
            <v>0</v>
          </cell>
          <cell r="AY379"/>
          <cell r="AZ379"/>
          <cell r="BA379">
            <v>0</v>
          </cell>
          <cell r="BB379"/>
          <cell r="BC379">
            <v>0</v>
          </cell>
          <cell r="BD379">
            <v>70528</v>
          </cell>
          <cell r="BE379"/>
          <cell r="BF379">
            <v>0</v>
          </cell>
          <cell r="BG379">
            <v>0</v>
          </cell>
          <cell r="BH379">
            <v>0</v>
          </cell>
          <cell r="BI379">
            <v>254477</v>
          </cell>
          <cell r="BJ379">
            <v>209472</v>
          </cell>
          <cell r="BK379">
            <v>209472</v>
          </cell>
          <cell r="BL379">
            <v>0</v>
          </cell>
          <cell r="BM379">
            <v>0</v>
          </cell>
          <cell r="BN379">
            <v>205590</v>
          </cell>
          <cell r="BO379">
            <v>206245</v>
          </cell>
          <cell r="BP379">
            <v>86977</v>
          </cell>
          <cell r="BQ379">
            <v>156686.046511628</v>
          </cell>
          <cell r="BR379">
            <v>0</v>
          </cell>
          <cell r="BS379">
            <v>0</v>
          </cell>
          <cell r="BT379">
            <v>382982</v>
          </cell>
          <cell r="BU379"/>
          <cell r="BV379"/>
          <cell r="BW379"/>
          <cell r="BX379"/>
          <cell r="BY379">
            <v>3185249.83123283</v>
          </cell>
          <cell r="BZ379">
            <v>3689930.4279300701</v>
          </cell>
          <cell r="CA379">
            <v>3733043.8457383802</v>
          </cell>
          <cell r="CB379">
            <v>3854775.8489618301</v>
          </cell>
          <cell r="CC379">
            <v>9831386</v>
          </cell>
          <cell r="CD379">
            <v>143095341</v>
          </cell>
          <cell r="CE379">
            <v>11202246</v>
          </cell>
          <cell r="CF379">
            <v>0</v>
          </cell>
          <cell r="CG379">
            <v>11202246</v>
          </cell>
          <cell r="CH379">
            <v>11202246</v>
          </cell>
          <cell r="CI379">
            <v>11202246</v>
          </cell>
          <cell r="CJ379">
            <v>11202246</v>
          </cell>
          <cell r="CK379">
            <v>46849361</v>
          </cell>
          <cell r="CL379">
            <v>46826390</v>
          </cell>
          <cell r="CM379">
            <v>46826018</v>
          </cell>
          <cell r="CN379">
            <v>46825201</v>
          </cell>
          <cell r="CO379">
            <v>46826334</v>
          </cell>
          <cell r="CP379">
            <v>-26048</v>
          </cell>
          <cell r="CQ379">
            <v>10583093</v>
          </cell>
          <cell r="CR379">
            <v>10204595</v>
          </cell>
          <cell r="CS379">
            <v>10024382</v>
          </cell>
          <cell r="CT379">
            <v>9915747</v>
          </cell>
          <cell r="CU379">
            <v>9835568</v>
          </cell>
          <cell r="CV379">
            <v>-212665</v>
          </cell>
          <cell r="CW379">
            <v>100000</v>
          </cell>
          <cell r="CX379">
            <v>0</v>
          </cell>
          <cell r="CY379">
            <v>0</v>
          </cell>
          <cell r="CZ379">
            <v>0</v>
          </cell>
          <cell r="DA379">
            <v>0</v>
          </cell>
          <cell r="DB379"/>
          <cell r="DC379">
            <v>380000</v>
          </cell>
          <cell r="DD379">
            <v>0</v>
          </cell>
          <cell r="DE379">
            <v>0</v>
          </cell>
          <cell r="DF379">
            <v>0</v>
          </cell>
          <cell r="DG379">
            <v>0</v>
          </cell>
          <cell r="DH379">
            <v>0</v>
          </cell>
          <cell r="DI379">
            <v>0</v>
          </cell>
          <cell r="DJ379">
            <v>0</v>
          </cell>
          <cell r="DK379">
            <v>0</v>
          </cell>
          <cell r="DL379">
            <v>0</v>
          </cell>
          <cell r="DM379"/>
          <cell r="DN379"/>
          <cell r="DO379"/>
          <cell r="DP379"/>
        </row>
        <row r="380">
          <cell r="A380">
            <v>303</v>
          </cell>
          <cell r="B380" t="str">
            <v>Dronten</v>
          </cell>
          <cell r="C380">
            <v>12</v>
          </cell>
          <cell r="D380">
            <v>32485</v>
          </cell>
          <cell r="E380">
            <v>16242</v>
          </cell>
          <cell r="F380">
            <v>0</v>
          </cell>
          <cell r="G380">
            <v>0</v>
          </cell>
          <cell r="H380">
            <v>0</v>
          </cell>
          <cell r="I380">
            <v>-4124</v>
          </cell>
          <cell r="J380"/>
          <cell r="K380">
            <v>0</v>
          </cell>
          <cell r="L380">
            <v>200792</v>
          </cell>
          <cell r="M380">
            <v>200910</v>
          </cell>
          <cell r="N380">
            <v>0</v>
          </cell>
          <cell r="O380">
            <v>0</v>
          </cell>
          <cell r="P380">
            <v>0</v>
          </cell>
          <cell r="Q380">
            <v>0</v>
          </cell>
          <cell r="R380">
            <v>0</v>
          </cell>
          <cell r="S380">
            <v>0</v>
          </cell>
          <cell r="T380">
            <v>0</v>
          </cell>
          <cell r="U380">
            <v>0</v>
          </cell>
          <cell r="V380">
            <v>12000</v>
          </cell>
          <cell r="W380">
            <v>176107</v>
          </cell>
          <cell r="X380">
            <v>0</v>
          </cell>
          <cell r="Y380"/>
          <cell r="Z380">
            <v>0</v>
          </cell>
          <cell r="AA380">
            <v>0</v>
          </cell>
          <cell r="AB380">
            <v>0</v>
          </cell>
          <cell r="AC380"/>
          <cell r="AD380">
            <v>94846</v>
          </cell>
          <cell r="AE380">
            <v>0</v>
          </cell>
          <cell r="AF380">
            <v>0</v>
          </cell>
          <cell r="AG380">
            <v>0</v>
          </cell>
          <cell r="AH380">
            <v>0</v>
          </cell>
          <cell r="AI380">
            <v>0</v>
          </cell>
          <cell r="AJ380">
            <v>0</v>
          </cell>
          <cell r="AK380">
            <v>0</v>
          </cell>
          <cell r="AL380"/>
          <cell r="AM380">
            <v>0</v>
          </cell>
          <cell r="AN380">
            <v>0</v>
          </cell>
          <cell r="AO380">
            <v>0</v>
          </cell>
          <cell r="AP380">
            <v>0</v>
          </cell>
          <cell r="AQ380">
            <v>0</v>
          </cell>
          <cell r="AR380">
            <v>0</v>
          </cell>
          <cell r="AS380">
            <v>0</v>
          </cell>
          <cell r="AT380">
            <v>0</v>
          </cell>
          <cell r="AU380">
            <v>2370</v>
          </cell>
          <cell r="AV380">
            <v>0</v>
          </cell>
          <cell r="AW380">
            <v>0</v>
          </cell>
          <cell r="AX380">
            <v>0</v>
          </cell>
          <cell r="AY380"/>
          <cell r="AZ380"/>
          <cell r="BA380">
            <v>0</v>
          </cell>
          <cell r="BB380"/>
          <cell r="BC380">
            <v>0</v>
          </cell>
          <cell r="BD380">
            <v>14303</v>
          </cell>
          <cell r="BE380"/>
          <cell r="BF380">
            <v>0</v>
          </cell>
          <cell r="BG380">
            <v>0</v>
          </cell>
          <cell r="BH380">
            <v>0</v>
          </cell>
          <cell r="BI380">
            <v>44227</v>
          </cell>
          <cell r="BJ380">
            <v>36405</v>
          </cell>
          <cell r="BK380">
            <v>36405</v>
          </cell>
          <cell r="BL380">
            <v>0</v>
          </cell>
          <cell r="BM380">
            <v>0</v>
          </cell>
          <cell r="BN380">
            <v>0</v>
          </cell>
          <cell r="BO380">
            <v>124039</v>
          </cell>
          <cell r="BP380">
            <v>11069.8</v>
          </cell>
          <cell r="BQ380">
            <v>19941.8604651163</v>
          </cell>
          <cell r="BR380">
            <v>0</v>
          </cell>
          <cell r="BS380">
            <v>0</v>
          </cell>
          <cell r="BT380">
            <v>74138</v>
          </cell>
          <cell r="BU380"/>
          <cell r="BV380"/>
          <cell r="BW380"/>
          <cell r="BX380"/>
          <cell r="BY380">
            <v>0</v>
          </cell>
          <cell r="BZ380">
            <v>0</v>
          </cell>
          <cell r="CA380">
            <v>0</v>
          </cell>
          <cell r="CB380">
            <v>0</v>
          </cell>
          <cell r="CC380">
            <v>2620234</v>
          </cell>
          <cell r="CD380">
            <v>17681028</v>
          </cell>
          <cell r="CE380">
            <v>2320132</v>
          </cell>
          <cell r="CF380">
            <v>0</v>
          </cell>
          <cell r="CG380">
            <v>2320132</v>
          </cell>
          <cell r="CH380">
            <v>2320132</v>
          </cell>
          <cell r="CI380">
            <v>2320132</v>
          </cell>
          <cell r="CJ380">
            <v>2320132</v>
          </cell>
          <cell r="CK380">
            <v>0</v>
          </cell>
          <cell r="CL380">
            <v>0</v>
          </cell>
          <cell r="CM380">
            <v>0</v>
          </cell>
          <cell r="CN380">
            <v>0</v>
          </cell>
          <cell r="CO380">
            <v>0</v>
          </cell>
          <cell r="CP380">
            <v>-1492</v>
          </cell>
          <cell r="CQ380">
            <v>1504635</v>
          </cell>
          <cell r="CR380">
            <v>1477379</v>
          </cell>
          <cell r="CS380">
            <v>1474242</v>
          </cell>
          <cell r="CT380">
            <v>1474168</v>
          </cell>
          <cell r="CU380">
            <v>1484758</v>
          </cell>
          <cell r="CV380">
            <v>43043</v>
          </cell>
          <cell r="CW380">
            <v>0</v>
          </cell>
          <cell r="CX380">
            <v>0</v>
          </cell>
          <cell r="CY380">
            <v>0</v>
          </cell>
          <cell r="CZ380">
            <v>0</v>
          </cell>
          <cell r="DA380">
            <v>0</v>
          </cell>
          <cell r="DB380"/>
          <cell r="DC380">
            <v>0</v>
          </cell>
          <cell r="DD380">
            <v>0</v>
          </cell>
          <cell r="DE380">
            <v>0</v>
          </cell>
          <cell r="DF380">
            <v>0</v>
          </cell>
          <cell r="DG380">
            <v>0</v>
          </cell>
          <cell r="DH380">
            <v>0</v>
          </cell>
          <cell r="DI380">
            <v>0</v>
          </cell>
          <cell r="DJ380">
            <v>0</v>
          </cell>
          <cell r="DK380">
            <v>0</v>
          </cell>
          <cell r="DL380">
            <v>0</v>
          </cell>
          <cell r="DM380"/>
          <cell r="DN380"/>
          <cell r="DO380"/>
          <cell r="DP380"/>
        </row>
        <row r="381">
          <cell r="A381">
            <v>995</v>
          </cell>
          <cell r="B381" t="str">
            <v>Lelystad</v>
          </cell>
          <cell r="C381">
            <v>12</v>
          </cell>
          <cell r="D381">
            <v>306776</v>
          </cell>
          <cell r="E381">
            <v>153388</v>
          </cell>
          <cell r="F381">
            <v>0</v>
          </cell>
          <cell r="G381">
            <v>0</v>
          </cell>
          <cell r="H381">
            <v>91132</v>
          </cell>
          <cell r="I381">
            <v>81157</v>
          </cell>
          <cell r="J381"/>
          <cell r="K381">
            <v>0</v>
          </cell>
          <cell r="L381">
            <v>597123</v>
          </cell>
          <cell r="M381">
            <v>573947</v>
          </cell>
          <cell r="N381">
            <v>0</v>
          </cell>
          <cell r="O381">
            <v>0</v>
          </cell>
          <cell r="P381">
            <v>150000</v>
          </cell>
          <cell r="Q381">
            <v>650000</v>
          </cell>
          <cell r="R381">
            <v>0</v>
          </cell>
          <cell r="S381">
            <v>0</v>
          </cell>
          <cell r="T381">
            <v>0</v>
          </cell>
          <cell r="U381">
            <v>0</v>
          </cell>
          <cell r="V381">
            <v>6000</v>
          </cell>
          <cell r="W381">
            <v>309644</v>
          </cell>
          <cell r="X381">
            <v>0</v>
          </cell>
          <cell r="Y381"/>
          <cell r="Z381">
            <v>0</v>
          </cell>
          <cell r="AA381">
            <v>0</v>
          </cell>
          <cell r="AB381">
            <v>0</v>
          </cell>
          <cell r="AC381"/>
          <cell r="AD381">
            <v>88002</v>
          </cell>
          <cell r="AE381">
            <v>0</v>
          </cell>
          <cell r="AF381">
            <v>0</v>
          </cell>
          <cell r="AG381">
            <v>0</v>
          </cell>
          <cell r="AH381">
            <v>0</v>
          </cell>
          <cell r="AI381">
            <v>0</v>
          </cell>
          <cell r="AJ381">
            <v>0</v>
          </cell>
          <cell r="AK381">
            <v>463015</v>
          </cell>
          <cell r="AL381"/>
          <cell r="AM381">
            <v>0</v>
          </cell>
          <cell r="AN381">
            <v>0</v>
          </cell>
          <cell r="AO381">
            <v>0</v>
          </cell>
          <cell r="AP381">
            <v>0</v>
          </cell>
          <cell r="AQ381">
            <v>0</v>
          </cell>
          <cell r="AR381">
            <v>0</v>
          </cell>
          <cell r="AS381">
            <v>0</v>
          </cell>
          <cell r="AT381">
            <v>19000</v>
          </cell>
          <cell r="AU381">
            <v>0</v>
          </cell>
          <cell r="AV381">
            <v>0</v>
          </cell>
          <cell r="AW381">
            <v>0</v>
          </cell>
          <cell r="AX381">
            <v>0</v>
          </cell>
          <cell r="AY381"/>
          <cell r="AZ381"/>
          <cell r="BA381">
            <v>0</v>
          </cell>
          <cell r="BB381"/>
          <cell r="BC381">
            <v>0</v>
          </cell>
          <cell r="BD381">
            <v>27008</v>
          </cell>
          <cell r="BE381"/>
          <cell r="BF381">
            <v>0</v>
          </cell>
          <cell r="BG381">
            <v>0</v>
          </cell>
          <cell r="BH381">
            <v>0</v>
          </cell>
          <cell r="BI381">
            <v>128406</v>
          </cell>
          <cell r="BJ381">
            <v>105697</v>
          </cell>
          <cell r="BK381">
            <v>105697</v>
          </cell>
          <cell r="BL381">
            <v>0</v>
          </cell>
          <cell r="BM381">
            <v>0</v>
          </cell>
          <cell r="BN381">
            <v>0</v>
          </cell>
          <cell r="BO381">
            <v>322502</v>
          </cell>
          <cell r="BP381">
            <v>31628</v>
          </cell>
          <cell r="BQ381">
            <v>56976.744186046497</v>
          </cell>
          <cell r="BR381">
            <v>0</v>
          </cell>
          <cell r="BS381">
            <v>0</v>
          </cell>
          <cell r="BT381">
            <v>144824</v>
          </cell>
          <cell r="BU381"/>
          <cell r="BV381"/>
          <cell r="BW381"/>
          <cell r="BX381"/>
          <cell r="BY381">
            <v>0</v>
          </cell>
          <cell r="BZ381">
            <v>0</v>
          </cell>
          <cell r="CA381">
            <v>0</v>
          </cell>
          <cell r="CB381">
            <v>0</v>
          </cell>
          <cell r="CC381">
            <v>5135977</v>
          </cell>
          <cell r="CD381">
            <v>47119364</v>
          </cell>
          <cell r="CE381">
            <v>3938135</v>
          </cell>
          <cell r="CF381">
            <v>1894264</v>
          </cell>
          <cell r="CG381">
            <v>3938135</v>
          </cell>
          <cell r="CH381">
            <v>3938135</v>
          </cell>
          <cell r="CI381">
            <v>3938135</v>
          </cell>
          <cell r="CJ381">
            <v>3938135</v>
          </cell>
          <cell r="CK381">
            <v>0</v>
          </cell>
          <cell r="CL381">
            <v>0</v>
          </cell>
          <cell r="CM381">
            <v>0</v>
          </cell>
          <cell r="CN381">
            <v>0</v>
          </cell>
          <cell r="CO381">
            <v>0</v>
          </cell>
          <cell r="CP381">
            <v>-3935</v>
          </cell>
          <cell r="CQ381">
            <v>6985182</v>
          </cell>
          <cell r="CR381">
            <v>6666613</v>
          </cell>
          <cell r="CS381">
            <v>6582639</v>
          </cell>
          <cell r="CT381">
            <v>6477902</v>
          </cell>
          <cell r="CU381">
            <v>6331431</v>
          </cell>
          <cell r="CV381">
            <v>-261436</v>
          </cell>
          <cell r="CW381">
            <v>0</v>
          </cell>
          <cell r="CX381">
            <v>0</v>
          </cell>
          <cell r="CY381">
            <v>0</v>
          </cell>
          <cell r="CZ381">
            <v>0</v>
          </cell>
          <cell r="DA381">
            <v>0</v>
          </cell>
          <cell r="DB381"/>
          <cell r="DC381">
            <v>0</v>
          </cell>
          <cell r="DD381">
            <v>0</v>
          </cell>
          <cell r="DE381">
            <v>0</v>
          </cell>
          <cell r="DF381">
            <v>0</v>
          </cell>
          <cell r="DG381">
            <v>0</v>
          </cell>
          <cell r="DH381">
            <v>0</v>
          </cell>
          <cell r="DI381">
            <v>0</v>
          </cell>
          <cell r="DJ381">
            <v>0</v>
          </cell>
          <cell r="DK381">
            <v>0</v>
          </cell>
          <cell r="DL381">
            <v>0</v>
          </cell>
          <cell r="DM381"/>
          <cell r="DN381"/>
          <cell r="DO381"/>
          <cell r="DP381"/>
        </row>
        <row r="382">
          <cell r="A382">
            <v>171</v>
          </cell>
          <cell r="B382" t="str">
            <v>Noordoostpolder</v>
          </cell>
          <cell r="C382">
            <v>12</v>
          </cell>
          <cell r="D382">
            <v>22710</v>
          </cell>
          <cell r="E382">
            <v>11355</v>
          </cell>
          <cell r="F382">
            <v>0</v>
          </cell>
          <cell r="G382">
            <v>0</v>
          </cell>
          <cell r="H382">
            <v>-24715</v>
          </cell>
          <cell r="I382">
            <v>0</v>
          </cell>
          <cell r="J382"/>
          <cell r="K382">
            <v>0</v>
          </cell>
          <cell r="L382">
            <v>242534</v>
          </cell>
          <cell r="M382">
            <v>244549</v>
          </cell>
          <cell r="N382">
            <v>0</v>
          </cell>
          <cell r="O382">
            <v>0</v>
          </cell>
          <cell r="P382">
            <v>0</v>
          </cell>
          <cell r="Q382">
            <v>0</v>
          </cell>
          <cell r="R382">
            <v>0</v>
          </cell>
          <cell r="S382">
            <v>0</v>
          </cell>
          <cell r="T382">
            <v>0</v>
          </cell>
          <cell r="U382">
            <v>0</v>
          </cell>
          <cell r="V382">
            <v>9000</v>
          </cell>
          <cell r="W382">
            <v>191126</v>
          </cell>
          <cell r="X382">
            <v>0</v>
          </cell>
          <cell r="Y382"/>
          <cell r="Z382">
            <v>0</v>
          </cell>
          <cell r="AA382">
            <v>0</v>
          </cell>
          <cell r="AB382">
            <v>0</v>
          </cell>
          <cell r="AC382"/>
          <cell r="AD382">
            <v>91913</v>
          </cell>
          <cell r="AE382">
            <v>0</v>
          </cell>
          <cell r="AF382">
            <v>0</v>
          </cell>
          <cell r="AG382">
            <v>0</v>
          </cell>
          <cell r="AH382">
            <v>0</v>
          </cell>
          <cell r="AI382">
            <v>0</v>
          </cell>
          <cell r="AJ382">
            <v>0</v>
          </cell>
          <cell r="AK382">
            <v>0</v>
          </cell>
          <cell r="AL382"/>
          <cell r="AM382">
            <v>0</v>
          </cell>
          <cell r="AN382">
            <v>0</v>
          </cell>
          <cell r="AO382">
            <v>0</v>
          </cell>
          <cell r="AP382">
            <v>0</v>
          </cell>
          <cell r="AQ382">
            <v>0</v>
          </cell>
          <cell r="AR382">
            <v>0</v>
          </cell>
          <cell r="AS382">
            <v>0</v>
          </cell>
          <cell r="AT382">
            <v>0</v>
          </cell>
          <cell r="AU382">
            <v>2370</v>
          </cell>
          <cell r="AV382">
            <v>0</v>
          </cell>
          <cell r="AW382">
            <v>0</v>
          </cell>
          <cell r="AX382">
            <v>0</v>
          </cell>
          <cell r="AY382"/>
          <cell r="AZ382"/>
          <cell r="BA382">
            <v>0</v>
          </cell>
          <cell r="BB382"/>
          <cell r="BC382">
            <v>0</v>
          </cell>
          <cell r="BD382">
            <v>16339</v>
          </cell>
          <cell r="BE382"/>
          <cell r="BF382">
            <v>0</v>
          </cell>
          <cell r="BG382">
            <v>0</v>
          </cell>
          <cell r="BH382">
            <v>0</v>
          </cell>
          <cell r="BI382">
            <v>63880</v>
          </cell>
          <cell r="BJ382">
            <v>52583</v>
          </cell>
          <cell r="BK382">
            <v>52583</v>
          </cell>
          <cell r="BL382">
            <v>0</v>
          </cell>
          <cell r="BM382">
            <v>0</v>
          </cell>
          <cell r="BN382">
            <v>0</v>
          </cell>
          <cell r="BO382">
            <v>385737</v>
          </cell>
          <cell r="BP382">
            <v>14232.6</v>
          </cell>
          <cell r="BQ382">
            <v>25639.534883720899</v>
          </cell>
          <cell r="BR382">
            <v>0</v>
          </cell>
          <cell r="BS382">
            <v>0</v>
          </cell>
          <cell r="BT382">
            <v>89875</v>
          </cell>
          <cell r="BU382"/>
          <cell r="BV382"/>
          <cell r="BW382"/>
          <cell r="BX382"/>
          <cell r="BY382">
            <v>0</v>
          </cell>
          <cell r="BZ382">
            <v>0</v>
          </cell>
          <cell r="CA382">
            <v>0</v>
          </cell>
          <cell r="CB382">
            <v>0</v>
          </cell>
          <cell r="CC382">
            <v>3030002</v>
          </cell>
          <cell r="CD382">
            <v>22759080</v>
          </cell>
          <cell r="CE382">
            <v>2267129</v>
          </cell>
          <cell r="CF382">
            <v>0</v>
          </cell>
          <cell r="CG382">
            <v>2267129</v>
          </cell>
          <cell r="CH382">
            <v>2267129</v>
          </cell>
          <cell r="CI382">
            <v>2267129</v>
          </cell>
          <cell r="CJ382">
            <v>2267129</v>
          </cell>
          <cell r="CK382">
            <v>0</v>
          </cell>
          <cell r="CL382">
            <v>0</v>
          </cell>
          <cell r="CM382">
            <v>0</v>
          </cell>
          <cell r="CN382">
            <v>0</v>
          </cell>
          <cell r="CO382">
            <v>0</v>
          </cell>
          <cell r="CP382">
            <v>0</v>
          </cell>
          <cell r="CQ382">
            <v>5337053</v>
          </cell>
          <cell r="CR382">
            <v>5076154</v>
          </cell>
          <cell r="CS382">
            <v>4918418</v>
          </cell>
          <cell r="CT382">
            <v>4819430</v>
          </cell>
          <cell r="CU382">
            <v>4725392</v>
          </cell>
          <cell r="CV382">
            <v>-49858</v>
          </cell>
          <cell r="CW382">
            <v>0</v>
          </cell>
          <cell r="CX382">
            <v>0</v>
          </cell>
          <cell r="CY382">
            <v>0</v>
          </cell>
          <cell r="CZ382">
            <v>0</v>
          </cell>
          <cell r="DA382">
            <v>0</v>
          </cell>
          <cell r="DB382"/>
          <cell r="DC382">
            <v>0</v>
          </cell>
          <cell r="DD382">
            <v>0</v>
          </cell>
          <cell r="DE382">
            <v>0</v>
          </cell>
          <cell r="DF382">
            <v>0</v>
          </cell>
          <cell r="DG382">
            <v>0</v>
          </cell>
          <cell r="DH382">
            <v>0</v>
          </cell>
          <cell r="DI382">
            <v>0</v>
          </cell>
          <cell r="DJ382">
            <v>0</v>
          </cell>
          <cell r="DK382">
            <v>0</v>
          </cell>
          <cell r="DL382">
            <v>0</v>
          </cell>
          <cell r="DM382"/>
          <cell r="DN382"/>
          <cell r="DO382"/>
          <cell r="DP382"/>
        </row>
        <row r="383">
          <cell r="A383">
            <v>184</v>
          </cell>
          <cell r="B383" t="str">
            <v>Urk</v>
          </cell>
          <cell r="C383">
            <v>12</v>
          </cell>
          <cell r="D383">
            <v>18474</v>
          </cell>
          <cell r="E383">
            <v>9237</v>
          </cell>
          <cell r="F383">
            <v>0</v>
          </cell>
          <cell r="G383">
            <v>0</v>
          </cell>
          <cell r="H383">
            <v>0</v>
          </cell>
          <cell r="I383">
            <v>0</v>
          </cell>
          <cell r="J383"/>
          <cell r="K383">
            <v>0</v>
          </cell>
          <cell r="L383">
            <v>68284</v>
          </cell>
          <cell r="M383">
            <v>61280</v>
          </cell>
          <cell r="N383">
            <v>0</v>
          </cell>
          <cell r="O383">
            <v>0</v>
          </cell>
          <cell r="P383">
            <v>0</v>
          </cell>
          <cell r="Q383">
            <v>0</v>
          </cell>
          <cell r="R383">
            <v>0</v>
          </cell>
          <cell r="S383">
            <v>0</v>
          </cell>
          <cell r="T383">
            <v>0</v>
          </cell>
          <cell r="U383">
            <v>0</v>
          </cell>
          <cell r="V383">
            <v>3000</v>
          </cell>
          <cell r="W383">
            <v>119154</v>
          </cell>
          <cell r="X383">
            <v>0</v>
          </cell>
          <cell r="Y383"/>
          <cell r="Z383">
            <v>0</v>
          </cell>
          <cell r="AA383">
            <v>0</v>
          </cell>
          <cell r="AB383">
            <v>0</v>
          </cell>
          <cell r="AC383"/>
          <cell r="AD383">
            <v>0</v>
          </cell>
          <cell r="AE383">
            <v>0</v>
          </cell>
          <cell r="AF383">
            <v>0</v>
          </cell>
          <cell r="AG383">
            <v>0</v>
          </cell>
          <cell r="AH383">
            <v>0</v>
          </cell>
          <cell r="AI383">
            <v>0</v>
          </cell>
          <cell r="AJ383">
            <v>0</v>
          </cell>
          <cell r="AK383">
            <v>0</v>
          </cell>
          <cell r="AL383"/>
          <cell r="AM383">
            <v>0</v>
          </cell>
          <cell r="AN383">
            <v>0</v>
          </cell>
          <cell r="AO383">
            <v>0</v>
          </cell>
          <cell r="AP383">
            <v>0</v>
          </cell>
          <cell r="AQ383">
            <v>0</v>
          </cell>
          <cell r="AR383">
            <v>0</v>
          </cell>
          <cell r="AS383">
            <v>0</v>
          </cell>
          <cell r="AT383">
            <v>0</v>
          </cell>
          <cell r="AU383">
            <v>2370</v>
          </cell>
          <cell r="AV383">
            <v>0</v>
          </cell>
          <cell r="AW383">
            <v>0</v>
          </cell>
          <cell r="AX383">
            <v>0</v>
          </cell>
          <cell r="AY383"/>
          <cell r="AZ383"/>
          <cell r="BA383">
            <v>0</v>
          </cell>
          <cell r="BB383"/>
          <cell r="BC383">
            <v>0</v>
          </cell>
          <cell r="BD383">
            <v>7098</v>
          </cell>
          <cell r="BE383"/>
          <cell r="BF383">
            <v>0</v>
          </cell>
          <cell r="BG383">
            <v>0</v>
          </cell>
          <cell r="BH383">
            <v>0</v>
          </cell>
          <cell r="BI383">
            <v>12061</v>
          </cell>
          <cell r="BJ383">
            <v>9928</v>
          </cell>
          <cell r="BK383">
            <v>9928</v>
          </cell>
          <cell r="BL383">
            <v>0</v>
          </cell>
          <cell r="BM383">
            <v>0</v>
          </cell>
          <cell r="BN383">
            <v>0</v>
          </cell>
          <cell r="BO383">
            <v>46211</v>
          </cell>
          <cell r="BP383">
            <v>18976.8</v>
          </cell>
          <cell r="BQ383">
            <v>34186.046511627901</v>
          </cell>
          <cell r="BR383">
            <v>0</v>
          </cell>
          <cell r="BS383">
            <v>0</v>
          </cell>
          <cell r="BT383">
            <v>42000</v>
          </cell>
          <cell r="BU383"/>
          <cell r="BV383"/>
          <cell r="BW383"/>
          <cell r="BX383"/>
          <cell r="BY383">
            <v>0</v>
          </cell>
          <cell r="BZ383">
            <v>0</v>
          </cell>
          <cell r="CA383">
            <v>0</v>
          </cell>
          <cell r="CB383">
            <v>0</v>
          </cell>
          <cell r="CC383">
            <v>662141</v>
          </cell>
          <cell r="CD383">
            <v>9409880</v>
          </cell>
          <cell r="CE383">
            <v>2181116</v>
          </cell>
          <cell r="CF383">
            <v>-64146</v>
          </cell>
          <cell r="CG383">
            <v>2181116</v>
          </cell>
          <cell r="CH383">
            <v>2181116</v>
          </cell>
          <cell r="CI383">
            <v>2181116</v>
          </cell>
          <cell r="CJ383">
            <v>2181116</v>
          </cell>
          <cell r="CK383">
            <v>0</v>
          </cell>
          <cell r="CL383">
            <v>0</v>
          </cell>
          <cell r="CM383">
            <v>0</v>
          </cell>
          <cell r="CN383">
            <v>0</v>
          </cell>
          <cell r="CO383">
            <v>0</v>
          </cell>
          <cell r="CP383">
            <v>445910</v>
          </cell>
          <cell r="CQ383">
            <v>1536891</v>
          </cell>
          <cell r="CR383">
            <v>1483324</v>
          </cell>
          <cell r="CS383">
            <v>1460413</v>
          </cell>
          <cell r="CT383">
            <v>1445112</v>
          </cell>
          <cell r="CU383">
            <v>1411056</v>
          </cell>
          <cell r="CV383">
            <v>-68869</v>
          </cell>
          <cell r="CW383">
            <v>0</v>
          </cell>
          <cell r="CX383">
            <v>0</v>
          </cell>
          <cell r="CY383">
            <v>0</v>
          </cell>
          <cell r="CZ383">
            <v>0</v>
          </cell>
          <cell r="DA383">
            <v>0</v>
          </cell>
          <cell r="DB383"/>
          <cell r="DC383">
            <v>0</v>
          </cell>
          <cell r="DD383">
            <v>0</v>
          </cell>
          <cell r="DE383">
            <v>0</v>
          </cell>
          <cell r="DF383">
            <v>0</v>
          </cell>
          <cell r="DG383">
            <v>0</v>
          </cell>
          <cell r="DH383">
            <v>0</v>
          </cell>
          <cell r="DI383">
            <v>0</v>
          </cell>
          <cell r="DJ383">
            <v>0</v>
          </cell>
          <cell r="DK383">
            <v>0</v>
          </cell>
          <cell r="DL383">
            <v>0</v>
          </cell>
          <cell r="DM383"/>
          <cell r="DN383"/>
          <cell r="DO383"/>
          <cell r="DP383"/>
        </row>
        <row r="384">
          <cell r="A384">
            <v>50</v>
          </cell>
          <cell r="B384" t="str">
            <v>Zeewolde</v>
          </cell>
          <cell r="C384">
            <v>12</v>
          </cell>
          <cell r="D384">
            <v>38393</v>
          </cell>
          <cell r="E384">
            <v>19196</v>
          </cell>
          <cell r="F384">
            <v>0</v>
          </cell>
          <cell r="G384">
            <v>0</v>
          </cell>
          <cell r="H384">
            <v>-3247</v>
          </cell>
          <cell r="I384">
            <v>-4027</v>
          </cell>
          <cell r="J384"/>
          <cell r="K384">
            <v>0</v>
          </cell>
          <cell r="L384">
            <v>98844</v>
          </cell>
          <cell r="M384">
            <v>91277</v>
          </cell>
          <cell r="N384">
            <v>0</v>
          </cell>
          <cell r="O384">
            <v>0</v>
          </cell>
          <cell r="P384">
            <v>0</v>
          </cell>
          <cell r="Q384">
            <v>0</v>
          </cell>
          <cell r="R384">
            <v>0</v>
          </cell>
          <cell r="S384">
            <v>0</v>
          </cell>
          <cell r="T384">
            <v>0</v>
          </cell>
          <cell r="U384">
            <v>0</v>
          </cell>
          <cell r="V384">
            <v>3000</v>
          </cell>
          <cell r="W384">
            <v>109435</v>
          </cell>
          <cell r="X384">
            <v>0</v>
          </cell>
          <cell r="Y384"/>
          <cell r="Z384">
            <v>0</v>
          </cell>
          <cell r="AA384">
            <v>0</v>
          </cell>
          <cell r="AB384">
            <v>0</v>
          </cell>
          <cell r="AC384"/>
          <cell r="AD384">
            <v>20000</v>
          </cell>
          <cell r="AE384">
            <v>0</v>
          </cell>
          <cell r="AF384">
            <v>0</v>
          </cell>
          <cell r="AG384">
            <v>0</v>
          </cell>
          <cell r="AH384">
            <v>0</v>
          </cell>
          <cell r="AI384">
            <v>0</v>
          </cell>
          <cell r="AJ384">
            <v>0</v>
          </cell>
          <cell r="AK384">
            <v>0</v>
          </cell>
          <cell r="AL384"/>
          <cell r="AM384">
            <v>0</v>
          </cell>
          <cell r="AN384">
            <v>0</v>
          </cell>
          <cell r="AO384">
            <v>0</v>
          </cell>
          <cell r="AP384">
            <v>0</v>
          </cell>
          <cell r="AQ384">
            <v>0</v>
          </cell>
          <cell r="AR384">
            <v>0</v>
          </cell>
          <cell r="AS384">
            <v>0</v>
          </cell>
          <cell r="AT384">
            <v>0</v>
          </cell>
          <cell r="AU384">
            <v>7110</v>
          </cell>
          <cell r="AV384">
            <v>0</v>
          </cell>
          <cell r="AW384">
            <v>0</v>
          </cell>
          <cell r="AX384">
            <v>0</v>
          </cell>
          <cell r="AY384"/>
          <cell r="AZ384"/>
          <cell r="BA384">
            <v>0</v>
          </cell>
          <cell r="BB384"/>
          <cell r="BC384">
            <v>0</v>
          </cell>
          <cell r="BD384">
            <v>7883</v>
          </cell>
          <cell r="BE384"/>
          <cell r="BF384">
            <v>0</v>
          </cell>
          <cell r="BG384">
            <v>0</v>
          </cell>
          <cell r="BH384">
            <v>0</v>
          </cell>
          <cell r="BI384">
            <v>20034</v>
          </cell>
          <cell r="BJ384">
            <v>16491</v>
          </cell>
          <cell r="BK384">
            <v>16491</v>
          </cell>
          <cell r="BL384">
            <v>0</v>
          </cell>
          <cell r="BM384">
            <v>0</v>
          </cell>
          <cell r="BN384">
            <v>0</v>
          </cell>
          <cell r="BO384">
            <v>93881</v>
          </cell>
          <cell r="BP384">
            <v>11069.8</v>
          </cell>
          <cell r="BQ384">
            <v>19941.8604651163</v>
          </cell>
          <cell r="BR384">
            <v>0</v>
          </cell>
          <cell r="BS384">
            <v>0</v>
          </cell>
          <cell r="BT384">
            <v>42132</v>
          </cell>
          <cell r="BU384"/>
          <cell r="BV384"/>
          <cell r="BW384"/>
          <cell r="BX384"/>
          <cell r="BY384">
            <v>0</v>
          </cell>
          <cell r="BZ384">
            <v>0</v>
          </cell>
          <cell r="CA384">
            <v>0</v>
          </cell>
          <cell r="CB384">
            <v>0</v>
          </cell>
          <cell r="CC384">
            <v>1005732</v>
          </cell>
          <cell r="CD384">
            <v>7571648</v>
          </cell>
          <cell r="CE384">
            <v>1147636</v>
          </cell>
          <cell r="CF384">
            <v>0</v>
          </cell>
          <cell r="CG384">
            <v>1147636</v>
          </cell>
          <cell r="CH384">
            <v>1147636</v>
          </cell>
          <cell r="CI384">
            <v>1147636</v>
          </cell>
          <cell r="CJ384">
            <v>1147636</v>
          </cell>
          <cell r="CK384">
            <v>0</v>
          </cell>
          <cell r="CL384">
            <v>0</v>
          </cell>
          <cell r="CM384">
            <v>0</v>
          </cell>
          <cell r="CN384">
            <v>0</v>
          </cell>
          <cell r="CO384">
            <v>0</v>
          </cell>
          <cell r="CP384">
            <v>-1429</v>
          </cell>
          <cell r="CQ384">
            <v>443399</v>
          </cell>
          <cell r="CR384">
            <v>441346</v>
          </cell>
          <cell r="CS384">
            <v>443361</v>
          </cell>
          <cell r="CT384">
            <v>450703</v>
          </cell>
          <cell r="CU384">
            <v>458616</v>
          </cell>
          <cell r="CV384">
            <v>134023</v>
          </cell>
          <cell r="CW384">
            <v>0</v>
          </cell>
          <cell r="CX384">
            <v>0</v>
          </cell>
          <cell r="CY384">
            <v>0</v>
          </cell>
          <cell r="CZ384">
            <v>0</v>
          </cell>
          <cell r="DA384">
            <v>0</v>
          </cell>
          <cell r="DB384"/>
          <cell r="DC384">
            <v>0</v>
          </cell>
          <cell r="DD384">
            <v>0</v>
          </cell>
          <cell r="DE384">
            <v>0</v>
          </cell>
          <cell r="DF384">
            <v>0</v>
          </cell>
          <cell r="DG384">
            <v>0</v>
          </cell>
          <cell r="DH384">
            <v>0</v>
          </cell>
          <cell r="DI384">
            <v>0</v>
          </cell>
          <cell r="DJ384">
            <v>0</v>
          </cell>
          <cell r="DK384">
            <v>0</v>
          </cell>
          <cell r="DL384">
            <v>0</v>
          </cell>
          <cell r="DM384"/>
          <cell r="DN384"/>
          <cell r="DO384"/>
          <cell r="DP384"/>
        </row>
      </sheetData>
      <sheetData sheetId="9"/>
      <sheetData sheetId="10"/>
      <sheetData sheetId="11"/>
      <sheetData sheetId="12"/>
      <sheetData sheetId="13"/>
      <sheetData sheetId="14"/>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133BE-143B-45CD-B079-1B7BE7D62936}">
  <dimension ref="A1:W347"/>
  <sheetViews>
    <sheetView tabSelected="1" zoomScale="75" zoomScaleNormal="75" workbookViewId="0">
      <selection activeCell="B2" sqref="B2:C3"/>
    </sheetView>
  </sheetViews>
  <sheetFormatPr defaultColWidth="8.90625" defaultRowHeight="12.5" x14ac:dyDescent="0.25"/>
  <cols>
    <col min="1" max="1" width="3.7265625" style="78" customWidth="1"/>
    <col min="2" max="2" width="38.453125" style="13" customWidth="1"/>
    <col min="3" max="3" width="9.81640625" style="13" customWidth="1"/>
    <col min="4" max="5" width="2.81640625" style="13" customWidth="1"/>
    <col min="6" max="6" width="9.81640625" style="13" customWidth="1"/>
    <col min="7" max="8" width="2.81640625" style="13" customWidth="1"/>
    <col min="9" max="9" width="9.54296875" style="13" customWidth="1"/>
    <col min="10" max="11" width="2.81640625" style="247" customWidth="1"/>
    <col min="12" max="12" width="7" style="247" customWidth="1"/>
    <col min="13" max="15" width="8.90625" style="247" customWidth="1"/>
    <col min="16" max="16" width="8.90625" style="247"/>
    <col min="17" max="17" width="28.08984375" style="247" bestFit="1" customWidth="1"/>
    <col min="18" max="18" width="8.90625" style="247"/>
    <col min="19" max="23" width="8.90625" style="78"/>
    <col min="24" max="16384" width="8.90625" style="13"/>
  </cols>
  <sheetData>
    <row r="1" spans="1:16" ht="30.65" customHeight="1" x14ac:dyDescent="0.25">
      <c r="A1" s="360" t="s">
        <v>85</v>
      </c>
      <c r="B1" s="360"/>
      <c r="C1" s="258">
        <v>2022</v>
      </c>
    </row>
    <row r="2" spans="1:16" ht="13" x14ac:dyDescent="0.3">
      <c r="A2" s="247" t="s">
        <v>106</v>
      </c>
      <c r="B2" s="363" t="s">
        <v>121</v>
      </c>
      <c r="C2" s="363"/>
      <c r="F2" s="39" t="s">
        <v>804</v>
      </c>
      <c r="M2" s="299"/>
    </row>
    <row r="3" spans="1:16" ht="13" x14ac:dyDescent="0.3">
      <c r="A3" s="247" t="s">
        <v>238</v>
      </c>
      <c r="B3" s="363"/>
      <c r="C3" s="363"/>
      <c r="F3" s="13" t="str">
        <f>VLOOKUP(B2,'Data macro'!B2:F347,3,0)</f>
        <v>Hoog</v>
      </c>
      <c r="M3" s="282" t="s">
        <v>839</v>
      </c>
      <c r="N3" s="283">
        <v>2020</v>
      </c>
      <c r="O3" s="283">
        <v>2021</v>
      </c>
      <c r="P3" s="284">
        <v>2022</v>
      </c>
    </row>
    <row r="4" spans="1:16" x14ac:dyDescent="0.25">
      <c r="A4" s="247" t="s">
        <v>165</v>
      </c>
      <c r="M4" s="285" t="s">
        <v>842</v>
      </c>
      <c r="N4" s="286">
        <f>IF(F3="Hoog",N12,N6)</f>
        <v>1914</v>
      </c>
      <c r="O4" s="286">
        <f>IF(F3="Hoog",O12,O6)</f>
        <v>1851</v>
      </c>
      <c r="P4" s="287">
        <f>IF(F3="Hoog",P12,P6)</f>
        <v>2060</v>
      </c>
    </row>
    <row r="5" spans="1:16" ht="14.5" x14ac:dyDescent="0.35">
      <c r="A5" s="247" t="s">
        <v>127</v>
      </c>
      <c r="B5" s="254" t="s">
        <v>689</v>
      </c>
      <c r="C5" s="254">
        <v>2020</v>
      </c>
      <c r="F5" s="254">
        <v>2021</v>
      </c>
      <c r="G5" s="254"/>
      <c r="H5" s="254"/>
      <c r="I5" s="254">
        <v>2022</v>
      </c>
      <c r="M5" s="285" t="s">
        <v>843</v>
      </c>
      <c r="N5" s="286">
        <f>IF(F3="Hoog",N13,N7)</f>
        <v>2544</v>
      </c>
      <c r="O5" s="286">
        <f>IF(F3="Hoog",O13,O7)</f>
        <v>2399</v>
      </c>
      <c r="P5" s="287">
        <f>IF(F3="Hoog",P13,P7)</f>
        <v>2577</v>
      </c>
    </row>
    <row r="6" spans="1:16" ht="14.5" x14ac:dyDescent="0.35">
      <c r="A6" s="247" t="s">
        <v>283</v>
      </c>
      <c r="B6" s="13" t="s">
        <v>51</v>
      </c>
      <c r="C6" s="255">
        <f>VLOOKUP(B2,'Kengetallen 2020'!AE2:AV351,3,0)</f>
        <v>1.0652541377775471</v>
      </c>
      <c r="D6" s="281">
        <f>IF(C6&gt;1,0.5,0)</f>
        <v>0.5</v>
      </c>
      <c r="E6" s="281">
        <f>IF(C6&gt;1.3,0.5,0)</f>
        <v>0</v>
      </c>
      <c r="F6" s="255">
        <f>Balansprognose!F42</f>
        <v>1.1533094383765359</v>
      </c>
      <c r="G6" s="281">
        <f>IF(F6&gt;1,0.5,0)</f>
        <v>0.5</v>
      </c>
      <c r="H6" s="281">
        <f>IF(F6&gt;1.3,0.5,0)</f>
        <v>0</v>
      </c>
      <c r="I6" s="255">
        <f>Balansprognose!G42</f>
        <v>1.1199714000397476</v>
      </c>
      <c r="J6" s="281">
        <f>IF(I6&gt;1,0.5,0)</f>
        <v>0.5</v>
      </c>
      <c r="K6" s="281">
        <f>IF(I6&gt;1.3,0.5,0)</f>
        <v>0</v>
      </c>
      <c r="M6" s="285"/>
      <c r="N6" s="286">
        <f>IF(F3="Laag",N8,N10)</f>
        <v>1582</v>
      </c>
      <c r="O6" s="286">
        <f>IF(F3="Laag",O8,O10)</f>
        <v>1552</v>
      </c>
      <c r="P6" s="287">
        <f>IF(F3="Laag",P8,P10)</f>
        <v>1674</v>
      </c>
    </row>
    <row r="7" spans="1:16" ht="14.5" x14ac:dyDescent="0.35">
      <c r="A7" s="247" t="s">
        <v>284</v>
      </c>
      <c r="B7" s="13" t="s">
        <v>569</v>
      </c>
      <c r="C7" s="255">
        <f>VLOOKUP(B2,'Kengetallen 2020'!AE2:AV351,6,0)</f>
        <v>1.0674634829696421</v>
      </c>
      <c r="D7" s="281">
        <f>IF(C7&gt;0.9,0.5,0)</f>
        <v>0.5</v>
      </c>
      <c r="E7" s="281">
        <f>IF(C7&gt;1.2,0.5,0)</f>
        <v>0</v>
      </c>
      <c r="F7" s="255">
        <f>Balansprognose!F45</f>
        <v>1.1557014109324848</v>
      </c>
      <c r="G7" s="281">
        <f>IF(F7&gt;0.9,0.5,0)</f>
        <v>0.5</v>
      </c>
      <c r="H7" s="281">
        <f>IF(F7&gt;1.2,0.5,0)</f>
        <v>0</v>
      </c>
      <c r="I7" s="255">
        <f>Balansprognose!G45</f>
        <v>1.1221758123371046</v>
      </c>
      <c r="J7" s="281">
        <f>IF(I7&gt;0.9,0.5,0)</f>
        <v>0.5</v>
      </c>
      <c r="K7" s="281">
        <f>IF(I7&gt;1.2,0.5,0)</f>
        <v>0</v>
      </c>
      <c r="L7" s="250">
        <f>SUM(120%,-F7)</f>
        <v>4.4298589067515159E-2</v>
      </c>
      <c r="M7" s="285"/>
      <c r="N7" s="286">
        <f>IF(F3="Laag",N9,N11)</f>
        <v>2123</v>
      </c>
      <c r="O7" s="286">
        <f>IF(F3="Laag",O9,O11)</f>
        <v>1966</v>
      </c>
      <c r="P7" s="287">
        <f>IF(F3="Laag",P9,P11)</f>
        <v>2139</v>
      </c>
    </row>
    <row r="8" spans="1:16" ht="14.5" x14ac:dyDescent="0.35">
      <c r="A8" s="247" t="s">
        <v>239</v>
      </c>
      <c r="B8" s="13" t="s">
        <v>73</v>
      </c>
      <c r="C8" s="255">
        <f>VLOOKUP(B2,'Kengetallen 2020'!AE2:AV351,7,0)</f>
        <v>0.11341405163912026</v>
      </c>
      <c r="D8" s="281">
        <f>IF(C8&lt;0.2,0.5,0)</f>
        <v>0.5</v>
      </c>
      <c r="E8" s="281">
        <f>IF(C8&lt;0,0.5,0)</f>
        <v>0</v>
      </c>
      <c r="F8" s="255">
        <f>Balansprognose!F38</f>
        <v>0.11341405163912026</v>
      </c>
      <c r="G8" s="281">
        <f>IF(F8&lt;0.2,0.5,0)</f>
        <v>0.5</v>
      </c>
      <c r="H8" s="281">
        <f>IF(F8&lt;0,0.5,0)</f>
        <v>0</v>
      </c>
      <c r="I8" s="255">
        <f>Balansprognose!G38</f>
        <v>0.11129486922900932</v>
      </c>
      <c r="J8" s="281">
        <f>IF(I8&lt;0.2,0.5,0)</f>
        <v>0.5</v>
      </c>
      <c r="K8" s="281">
        <f>IF(I8&lt;0,0.5,0)</f>
        <v>0</v>
      </c>
      <c r="L8" s="250">
        <f>SUM(100%,-F8)</f>
        <v>0.88658594836087978</v>
      </c>
      <c r="M8" s="285" t="s">
        <v>833</v>
      </c>
      <c r="N8" s="286">
        <v>1426</v>
      </c>
      <c r="O8" s="286">
        <v>1384</v>
      </c>
      <c r="P8" s="287">
        <v>1522</v>
      </c>
    </row>
    <row r="9" spans="1:16" ht="14.5" x14ac:dyDescent="0.35">
      <c r="A9" s="247" t="s">
        <v>141</v>
      </c>
      <c r="B9" s="254" t="s">
        <v>659</v>
      </c>
      <c r="D9" s="281"/>
      <c r="E9" s="281"/>
      <c r="G9" s="281"/>
      <c r="H9" s="281"/>
      <c r="J9" s="281"/>
      <c r="K9" s="281"/>
      <c r="M9" s="285" t="s">
        <v>834</v>
      </c>
      <c r="N9" s="286">
        <v>1832</v>
      </c>
      <c r="O9" s="286">
        <v>1747</v>
      </c>
      <c r="P9" s="287">
        <v>1900</v>
      </c>
    </row>
    <row r="10" spans="1:16" ht="14.5" x14ac:dyDescent="0.35">
      <c r="A10" s="247" t="s">
        <v>429</v>
      </c>
      <c r="B10" s="13" t="s">
        <v>574</v>
      </c>
      <c r="C10" s="255">
        <f>VLOOKUP(B2,'Kengetallen 2020'!AE2:AV351,8,0)</f>
        <v>6.0404315686279865E-3</v>
      </c>
      <c r="D10" s="281">
        <f>IF(C10&lt;0,0.5,0)</f>
        <v>0</v>
      </c>
      <c r="E10" s="281">
        <f>IF(C10&lt;0,0.5,0)</f>
        <v>0</v>
      </c>
      <c r="F10" s="255">
        <f>Balansprognose!F46</f>
        <v>-2.3426189910704342E-2</v>
      </c>
      <c r="G10" s="281">
        <f>IF(F10&lt;0,0.5,0)</f>
        <v>0.5</v>
      </c>
      <c r="H10" s="281">
        <f>IF(F10&lt;0,0.5,0)</f>
        <v>0.5</v>
      </c>
      <c r="I10" s="255">
        <f>Balansprognose!G46</f>
        <v>1.8851360717090976E-4</v>
      </c>
      <c r="J10" s="281">
        <f>IF(I10&lt;0,0.5,0)</f>
        <v>0</v>
      </c>
      <c r="K10" s="281">
        <f>IF(I10&lt;0,0.5,0)</f>
        <v>0</v>
      </c>
      <c r="M10" s="285" t="s">
        <v>840</v>
      </c>
      <c r="N10" s="286">
        <v>1582</v>
      </c>
      <c r="O10" s="286">
        <v>1552</v>
      </c>
      <c r="P10" s="287">
        <v>1674</v>
      </c>
    </row>
    <row r="11" spans="1:16" ht="14.5" x14ac:dyDescent="0.35">
      <c r="A11" s="247" t="s">
        <v>285</v>
      </c>
      <c r="B11" s="13" t="s">
        <v>743</v>
      </c>
      <c r="C11" s="257">
        <f>VLOOKUP(B2,'Kengetallen 2020'!AE2:AV351,11,0)</f>
        <v>2</v>
      </c>
      <c r="D11" s="281">
        <f>IF(C11&gt;1.5,0.5,0)</f>
        <v>0.5</v>
      </c>
      <c r="E11" s="281">
        <f>IF(C11&gt;2.5,0.5,0)</f>
        <v>0</v>
      </c>
      <c r="F11" s="257">
        <f>SUM(P29:P31)</f>
        <v>2</v>
      </c>
      <c r="G11" s="281">
        <f>IF(F11&gt;1.5,0.5,0)</f>
        <v>0.5</v>
      </c>
      <c r="H11" s="281">
        <f>IF(F11&gt;2.5,0.5,0)</f>
        <v>0</v>
      </c>
      <c r="I11" s="257">
        <f>SUM(P30:P32)</f>
        <v>1</v>
      </c>
      <c r="J11" s="281">
        <f>IF(I11&gt;1.5,0.5,0)</f>
        <v>0</v>
      </c>
      <c r="K11" s="281">
        <f>IF(I11&gt;2.5,0.5,0)</f>
        <v>0</v>
      </c>
      <c r="M11" s="285" t="s">
        <v>841</v>
      </c>
      <c r="N11" s="286">
        <v>2123</v>
      </c>
      <c r="O11" s="286">
        <v>1966</v>
      </c>
      <c r="P11" s="287">
        <v>2139</v>
      </c>
    </row>
    <row r="12" spans="1:16" ht="14.5" x14ac:dyDescent="0.35">
      <c r="A12" s="247" t="s">
        <v>343</v>
      </c>
      <c r="B12" s="13" t="s">
        <v>446</v>
      </c>
      <c r="C12" s="255">
        <f>VLOOKUP(B2,'Kengetallen 2020'!AE2:AV351,13,0)</f>
        <v>-2.1885897194330602E-2</v>
      </c>
      <c r="D12" s="281">
        <f>IF(C12&lt;0,0.5,0)</f>
        <v>0.5</v>
      </c>
      <c r="E12" s="281">
        <f>IF(C12&lt;0,0.5,0)</f>
        <v>0.5</v>
      </c>
      <c r="F12" s="255">
        <f>VLOOKUP(B2,'Data belastingen 2021'!B2:W347,19,0)/Balansprognose!F35</f>
        <v>-3.0340018271068147E-2</v>
      </c>
      <c r="G12" s="281">
        <f>IF(F12&lt;0,0.5,0)</f>
        <v>0.5</v>
      </c>
      <c r="H12" s="281">
        <f>IF(F12&lt;0,0.5,0)</f>
        <v>0.5</v>
      </c>
      <c r="I12" s="255">
        <f>'Inkomsten &amp; uitgaven'!Q31</f>
        <v>-2.3408885089867392E-2</v>
      </c>
      <c r="J12" s="281">
        <f>IF(I12&lt;0,0.5,0)</f>
        <v>0.5</v>
      </c>
      <c r="K12" s="281">
        <f>IF(I12&lt;0,0.5,0)</f>
        <v>0.5</v>
      </c>
      <c r="M12" s="285" t="s">
        <v>837</v>
      </c>
      <c r="N12" s="286">
        <v>1914</v>
      </c>
      <c r="O12" s="286">
        <v>1851</v>
      </c>
      <c r="P12" s="287">
        <v>2060</v>
      </c>
    </row>
    <row r="13" spans="1:16" ht="14.5" x14ac:dyDescent="0.35">
      <c r="A13" s="247" t="s">
        <v>598</v>
      </c>
      <c r="B13" s="13" t="s">
        <v>540</v>
      </c>
      <c r="C13" s="255">
        <f>VLOOKUP(B2,'Kengetallen 2020'!AE2:AV348,14,0)</f>
        <v>0.72538428559335222</v>
      </c>
      <c r="D13" s="281">
        <f>IF(C13&gt;0.725,0.5,0)</f>
        <v>0.5</v>
      </c>
      <c r="E13" s="281"/>
      <c r="F13" s="255">
        <f>VLOOKUP(B2,'Inkomsten 2021'!A2:P348,16,0)</f>
        <v>0.78534549959151256</v>
      </c>
      <c r="G13" s="281">
        <f>IF(F13&gt;0.725,0.5,0)</f>
        <v>0.5</v>
      </c>
      <c r="H13" s="281"/>
      <c r="I13" s="255">
        <f>'Inkomsten &amp; uitgaven'!Q2</f>
        <v>0.71507739222843414</v>
      </c>
      <c r="J13" s="281">
        <f>IF(I13&gt;0.725,0.5,0)</f>
        <v>0</v>
      </c>
      <c r="K13" s="281"/>
      <c r="M13" s="288" t="s">
        <v>838</v>
      </c>
      <c r="N13" s="289">
        <v>2544</v>
      </c>
      <c r="O13" s="289">
        <v>2399</v>
      </c>
      <c r="P13" s="290">
        <v>2577</v>
      </c>
    </row>
    <row r="14" spans="1:16" ht="14.5" x14ac:dyDescent="0.35">
      <c r="A14" s="247" t="s">
        <v>128</v>
      </c>
      <c r="B14" s="254" t="s">
        <v>660</v>
      </c>
      <c r="D14" s="281">
        <f>IF(C15&lt;0.01,0.5,0)</f>
        <v>0</v>
      </c>
      <c r="E14" s="281">
        <f>IF(C15&lt;0,0.5,0)</f>
        <v>0</v>
      </c>
      <c r="G14" s="281">
        <f>IF(F15&lt;0.01,0.5,0)</f>
        <v>0</v>
      </c>
      <c r="H14" s="281">
        <f>IF(F15&lt;0,0.5,0)</f>
        <v>0</v>
      </c>
      <c r="J14" s="281">
        <f>IF(I15&lt;0.01,0.5,0)</f>
        <v>0</v>
      </c>
      <c r="K14" s="281">
        <f>IF(I15&lt;0,0.5,0)</f>
        <v>0</v>
      </c>
      <c r="M14" s="299"/>
    </row>
    <row r="15" spans="1:16" ht="14.5" x14ac:dyDescent="0.35">
      <c r="A15" s="247" t="s">
        <v>214</v>
      </c>
      <c r="B15" s="13" t="s">
        <v>570</v>
      </c>
      <c r="C15" s="255">
        <f>VLOOKUP(B2,'Kengetallen 2020'!AE2:AV351,12,0)</f>
        <v>4.3292490330849254E-2</v>
      </c>
      <c r="D15" s="281">
        <f>IF(C15&gt;0.04,0.5,0)</f>
        <v>0.5</v>
      </c>
      <c r="E15" s="281">
        <f>IF(C15&gt;0.05,0.5,0)</f>
        <v>0</v>
      </c>
      <c r="F15" s="255">
        <f>Balansprognose!F47</f>
        <v>3.7098694318328525E-2</v>
      </c>
      <c r="G15" s="281">
        <f>IF(F15&gt;0.04,0.5,0)</f>
        <v>0</v>
      </c>
      <c r="H15" s="281">
        <f>IF(F15&gt;0.05,0.5,0)</f>
        <v>0</v>
      </c>
      <c r="I15" s="255">
        <f>Balansprognose!G47</f>
        <v>3.0781872165860306E-2</v>
      </c>
      <c r="J15" s="281">
        <f>IF(I15&gt;0.04,0.5,0)</f>
        <v>0</v>
      </c>
      <c r="K15" s="281">
        <f>IF(I15&gt;0.05,0.5,0)</f>
        <v>0</v>
      </c>
      <c r="M15" s="299"/>
    </row>
    <row r="16" spans="1:16" ht="14.5" x14ac:dyDescent="0.35">
      <c r="A16" s="247" t="s">
        <v>240</v>
      </c>
      <c r="B16" s="13" t="s">
        <v>578</v>
      </c>
      <c r="C16" s="266">
        <f>VLOOKUP(B2,'Kengetallen 2020'!AE2:AV351,15,0)</f>
        <v>2202.4257945529898</v>
      </c>
      <c r="D16" s="281">
        <f>IF(C16&lt;N4,0.5,0)</f>
        <v>0</v>
      </c>
      <c r="E16" s="281">
        <f>IF(C16&lt;N4,0.5,0)</f>
        <v>0</v>
      </c>
      <c r="F16" s="266">
        <f>VLOOKUP(B2,'Uitgaven 2021'!AZ2:BS347,20,0)</f>
        <v>2419.5305445549106</v>
      </c>
      <c r="G16" s="281">
        <f>IF(F16&lt;O4,0.5,0)</f>
        <v>0</v>
      </c>
      <c r="H16" s="281">
        <f>IF(F16&lt;O4,0.5,0)</f>
        <v>0</v>
      </c>
      <c r="I16" s="266">
        <f>'Inkomsten &amp; uitgaven'!Q35</f>
        <v>2505.6953159397735</v>
      </c>
      <c r="J16" s="281">
        <f>IF(I16&lt;P4,0.5,0)</f>
        <v>0</v>
      </c>
      <c r="K16" s="281">
        <f>IF(I16&lt;P4,0.5,0)</f>
        <v>0</v>
      </c>
      <c r="M16" s="299"/>
    </row>
    <row r="17" spans="1:16" ht="14.5" x14ac:dyDescent="0.35">
      <c r="A17" s="247" t="s">
        <v>241</v>
      </c>
      <c r="B17" s="254" t="s">
        <v>661</v>
      </c>
      <c r="D17" s="281">
        <f>IF(C16&gt;N5,0.5,0)</f>
        <v>0</v>
      </c>
      <c r="E17" s="281">
        <f>IF(C16&gt;N5,0.5,0)</f>
        <v>0</v>
      </c>
      <c r="G17" s="281">
        <f>IF(F16&gt;O5,0.5,0)</f>
        <v>0.5</v>
      </c>
      <c r="H17" s="281">
        <f>IF(F16&gt;O5,0.5,0)</f>
        <v>0.5</v>
      </c>
      <c r="J17" s="281">
        <f>IF(I16&gt;P5,0.5,0)</f>
        <v>0</v>
      </c>
      <c r="K17" s="281">
        <f>IF(I16&gt;P5,0.5,0)</f>
        <v>0</v>
      </c>
      <c r="M17" s="299"/>
    </row>
    <row r="18" spans="1:16" ht="14.5" x14ac:dyDescent="0.35">
      <c r="A18" s="247" t="s">
        <v>166</v>
      </c>
      <c r="B18" s="13" t="s">
        <v>662</v>
      </c>
      <c r="C18" s="255">
        <f>VLOOKUP(B2,'Kengetallen 2020'!AE2:AV351,16,0)</f>
        <v>0.20949999999999999</v>
      </c>
      <c r="D18" s="281">
        <f>IF(C18&gt;0.2,0.5,0)</f>
        <v>0.5</v>
      </c>
      <c r="E18" s="281">
        <f>IF(C18&gt;0.25,0.5,0)</f>
        <v>0</v>
      </c>
      <c r="F18" s="255">
        <f>VLOOKUP(B2,'Inkomsten 2021'!A2:S347,19,0)*5</f>
        <v>0.17350000000000002</v>
      </c>
      <c r="G18" s="281">
        <f>IF(F18&gt;0.2,0.5,0)</f>
        <v>0</v>
      </c>
      <c r="H18" s="281">
        <f>IF(F18&gt;0.25,0.5,0)</f>
        <v>0</v>
      </c>
      <c r="I18" s="255">
        <f>5*Macrogegevens!C35</f>
        <v>0.13350000000000001</v>
      </c>
      <c r="J18" s="281">
        <f>IF(I18&gt;0.2,0.5,0)</f>
        <v>0</v>
      </c>
      <c r="K18" s="281">
        <f>IF(I18&gt;0.25,0.5,0)</f>
        <v>0</v>
      </c>
      <c r="L18" s="250">
        <f>SUM(25%,-I18)</f>
        <v>0.11649999999999999</v>
      </c>
      <c r="M18" s="299"/>
    </row>
    <row r="19" spans="1:16" ht="14.5" x14ac:dyDescent="0.35">
      <c r="A19" s="247" t="s">
        <v>167</v>
      </c>
      <c r="B19" s="13" t="s">
        <v>732</v>
      </c>
      <c r="C19" s="255">
        <f>VLOOKUP(B2,'Kengetallen 2020'!AE2:AV351,2,0)</f>
        <v>7.0352458635878301E-2</v>
      </c>
      <c r="D19" s="281">
        <f>IF(C19&gt;0.085,0.5,0)</f>
        <v>0</v>
      </c>
      <c r="E19" s="281"/>
      <c r="F19" s="255">
        <f>Balansprognose!F41</f>
        <v>7.6167884902125615E-2</v>
      </c>
      <c r="G19" s="281">
        <f>IF(F19&gt;0.085,0.5,0)</f>
        <v>0</v>
      </c>
      <c r="H19" s="281"/>
      <c r="I19" s="255">
        <f>Balansprognose!G41</f>
        <v>7.1421706787413941E-2</v>
      </c>
      <c r="J19" s="281">
        <f>IF(I19&gt;0.085,0.5,0)</f>
        <v>0</v>
      </c>
      <c r="K19" s="338"/>
      <c r="L19" s="99"/>
      <c r="M19" s="299"/>
    </row>
    <row r="20" spans="1:16" ht="13" x14ac:dyDescent="0.25">
      <c r="A20" s="247" t="s">
        <v>107</v>
      </c>
      <c r="D20" s="78"/>
      <c r="E20" s="78"/>
      <c r="G20" s="78"/>
      <c r="H20" s="78"/>
      <c r="M20" s="299"/>
    </row>
    <row r="21" spans="1:16" ht="13.25" customHeight="1" x14ac:dyDescent="0.25">
      <c r="A21" s="247" t="s">
        <v>344</v>
      </c>
      <c r="B21" s="364" t="s">
        <v>690</v>
      </c>
      <c r="C21" s="361">
        <f>SUM(10,-SUM(D6:E19))</f>
        <v>5.5</v>
      </c>
      <c r="D21" s="78"/>
      <c r="E21" s="78"/>
      <c r="F21" s="362">
        <f>SUM(10,-SUM(G6:H19))</f>
        <v>4.5</v>
      </c>
      <c r="G21" s="78"/>
      <c r="H21" s="78"/>
      <c r="I21" s="362">
        <f>SUM(10,-SUM(J6:K19))</f>
        <v>7.5</v>
      </c>
      <c r="M21" s="299"/>
    </row>
    <row r="22" spans="1:16" ht="13.25" customHeight="1" x14ac:dyDescent="0.25">
      <c r="A22" s="247" t="s">
        <v>345</v>
      </c>
      <c r="B22" s="364"/>
      <c r="C22" s="361" t="e">
        <f>VLOOKUP(B5,'Kengetallen 2019'!AC5:AT355,2,0)</f>
        <v>#N/A</v>
      </c>
      <c r="D22" s="78"/>
      <c r="E22" s="78"/>
      <c r="F22" s="362">
        <f>VLOOKUP(E5,'Kengetallen 2019'!AF5:AW355,2,0)</f>
        <v>-2.1545919741448961E-2</v>
      </c>
      <c r="G22" s="78"/>
      <c r="H22" s="78"/>
      <c r="I22" s="362" t="e">
        <f>VLOOKUP(H5,'Kengetallen 2019'!AI5:AZ355,2,0)</f>
        <v>#N/A</v>
      </c>
      <c r="M22" s="299"/>
    </row>
    <row r="23" spans="1:16" x14ac:dyDescent="0.25">
      <c r="A23" s="247" t="s">
        <v>215</v>
      </c>
    </row>
    <row r="24" spans="1:16" ht="13" x14ac:dyDescent="0.3">
      <c r="A24" s="247" t="s">
        <v>286</v>
      </c>
      <c r="B24" s="13" t="s">
        <v>1031</v>
      </c>
    </row>
    <row r="25" spans="1:16" x14ac:dyDescent="0.25">
      <c r="A25" s="247" t="s">
        <v>168</v>
      </c>
    </row>
    <row r="26" spans="1:16" x14ac:dyDescent="0.25">
      <c r="A26" s="247" t="s">
        <v>400</v>
      </c>
      <c r="B26" s="13" t="s">
        <v>1046</v>
      </c>
    </row>
    <row r="27" spans="1:16" x14ac:dyDescent="0.25">
      <c r="A27" s="247" t="s">
        <v>599</v>
      </c>
      <c r="B27" s="13" t="s">
        <v>1045</v>
      </c>
    </row>
    <row r="28" spans="1:16" x14ac:dyDescent="0.25">
      <c r="A28" s="247" t="s">
        <v>401</v>
      </c>
      <c r="B28" s="13" t="s">
        <v>1047</v>
      </c>
      <c r="O28" s="291" t="s">
        <v>807</v>
      </c>
      <c r="P28" s="292"/>
    </row>
    <row r="29" spans="1:16" x14ac:dyDescent="0.25">
      <c r="A29" s="247" t="s">
        <v>527</v>
      </c>
      <c r="B29" s="13" t="s">
        <v>1048</v>
      </c>
      <c r="O29" s="285">
        <v>2018</v>
      </c>
      <c r="P29" s="293">
        <f>IF(P33&lt;0,1,0)</f>
        <v>1</v>
      </c>
    </row>
    <row r="30" spans="1:16" x14ac:dyDescent="0.25">
      <c r="A30" s="247" t="s">
        <v>346</v>
      </c>
      <c r="O30" s="285">
        <v>2019</v>
      </c>
      <c r="P30" s="293">
        <f>IF(C10&lt;0,1,0)</f>
        <v>0</v>
      </c>
    </row>
    <row r="31" spans="1:16" x14ac:dyDescent="0.25">
      <c r="A31" s="247" t="s">
        <v>436</v>
      </c>
      <c r="O31" s="285">
        <v>2020</v>
      </c>
      <c r="P31" s="293">
        <f>IF(F10&lt;0,1,0)</f>
        <v>1</v>
      </c>
    </row>
    <row r="32" spans="1:16" x14ac:dyDescent="0.25">
      <c r="A32" s="247" t="s">
        <v>437</v>
      </c>
      <c r="O32" s="285">
        <v>2021</v>
      </c>
      <c r="P32" s="293">
        <f>IF(I10&lt;0,1,0)</f>
        <v>0</v>
      </c>
    </row>
    <row r="33" spans="1:16" x14ac:dyDescent="0.25">
      <c r="A33" s="247" t="s">
        <v>347</v>
      </c>
      <c r="O33" s="288">
        <v>2018</v>
      </c>
      <c r="P33" s="294">
        <f>VLOOKUP(B2,'Kengetallen 2019'!AC2:AL352,10,0)</f>
        <v>-2.6255596742761171E-2</v>
      </c>
    </row>
    <row r="34" spans="1:16" x14ac:dyDescent="0.25">
      <c r="A34" s="247" t="s">
        <v>169</v>
      </c>
      <c r="O34" s="265"/>
      <c r="P34" s="265"/>
    </row>
    <row r="35" spans="1:16" x14ac:dyDescent="0.25">
      <c r="A35" s="247" t="s">
        <v>348</v>
      </c>
    </row>
    <row r="36" spans="1:16" x14ac:dyDescent="0.25">
      <c r="A36" s="247" t="s">
        <v>349</v>
      </c>
    </row>
    <row r="37" spans="1:16" x14ac:dyDescent="0.25">
      <c r="A37" s="247" t="s">
        <v>170</v>
      </c>
    </row>
    <row r="38" spans="1:16" x14ac:dyDescent="0.25">
      <c r="A38" s="247" t="s">
        <v>243</v>
      </c>
    </row>
    <row r="39" spans="1:16" x14ac:dyDescent="0.25">
      <c r="A39" s="247" t="s">
        <v>350</v>
      </c>
    </row>
    <row r="40" spans="1:16" x14ac:dyDescent="0.25">
      <c r="A40" s="247" t="s">
        <v>244</v>
      </c>
    </row>
    <row r="41" spans="1:16" x14ac:dyDescent="0.25">
      <c r="A41" s="247" t="s">
        <v>245</v>
      </c>
    </row>
    <row r="42" spans="1:16" x14ac:dyDescent="0.25">
      <c r="A42" s="247" t="s">
        <v>287</v>
      </c>
    </row>
    <row r="43" spans="1:16" x14ac:dyDescent="0.25">
      <c r="A43" s="247" t="s">
        <v>351</v>
      </c>
    </row>
    <row r="44" spans="1:16" x14ac:dyDescent="0.25">
      <c r="A44" s="247" t="s">
        <v>108</v>
      </c>
    </row>
    <row r="45" spans="1:16" x14ac:dyDescent="0.25">
      <c r="A45" s="247" t="s">
        <v>142</v>
      </c>
    </row>
    <row r="46" spans="1:16" x14ac:dyDescent="0.25">
      <c r="A46" s="247" t="s">
        <v>330</v>
      </c>
    </row>
    <row r="47" spans="1:16" x14ac:dyDescent="0.25">
      <c r="A47" s="247" t="s">
        <v>353</v>
      </c>
    </row>
    <row r="48" spans="1:16" x14ac:dyDescent="0.25">
      <c r="A48" s="247" t="s">
        <v>354</v>
      </c>
    </row>
    <row r="49" spans="1:1" x14ac:dyDescent="0.25">
      <c r="A49" s="247" t="s">
        <v>288</v>
      </c>
    </row>
    <row r="50" spans="1:1" x14ac:dyDescent="0.25">
      <c r="A50" s="247" t="s">
        <v>171</v>
      </c>
    </row>
    <row r="51" spans="1:1" x14ac:dyDescent="0.25">
      <c r="A51" s="247" t="s">
        <v>172</v>
      </c>
    </row>
    <row r="52" spans="1:1" x14ac:dyDescent="0.25">
      <c r="A52" s="247" t="s">
        <v>402</v>
      </c>
    </row>
    <row r="53" spans="1:1" x14ac:dyDescent="0.25">
      <c r="A53" s="247" t="s">
        <v>216</v>
      </c>
    </row>
    <row r="54" spans="1:1" x14ac:dyDescent="0.25">
      <c r="A54" s="247" t="s">
        <v>217</v>
      </c>
    </row>
    <row r="55" spans="1:1" x14ac:dyDescent="0.25">
      <c r="A55" s="247" t="s">
        <v>173</v>
      </c>
    </row>
    <row r="56" spans="1:1" x14ac:dyDescent="0.25">
      <c r="A56" s="247" t="s">
        <v>289</v>
      </c>
    </row>
    <row r="57" spans="1:1" x14ac:dyDescent="0.25">
      <c r="A57" s="247" t="s">
        <v>246</v>
      </c>
    </row>
    <row r="58" spans="1:1" x14ac:dyDescent="0.25">
      <c r="A58" s="247" t="s">
        <v>109</v>
      </c>
    </row>
    <row r="59" spans="1:1" x14ac:dyDescent="0.25">
      <c r="A59" s="247" t="s">
        <v>355</v>
      </c>
    </row>
    <row r="60" spans="1:1" x14ac:dyDescent="0.25">
      <c r="A60" s="247" t="s">
        <v>174</v>
      </c>
    </row>
    <row r="61" spans="1:1" x14ac:dyDescent="0.25">
      <c r="A61" s="247" t="s">
        <v>143</v>
      </c>
    </row>
    <row r="62" spans="1:1" x14ac:dyDescent="0.25">
      <c r="A62" s="247" t="s">
        <v>129</v>
      </c>
    </row>
    <row r="63" spans="1:1" x14ac:dyDescent="0.25">
      <c r="A63" s="247" t="s">
        <v>218</v>
      </c>
    </row>
    <row r="64" spans="1:1" x14ac:dyDescent="0.25">
      <c r="A64" s="247" t="s">
        <v>529</v>
      </c>
    </row>
    <row r="65" spans="1:1" x14ac:dyDescent="0.25">
      <c r="A65" s="247" t="s">
        <v>219</v>
      </c>
    </row>
    <row r="66" spans="1:1" x14ac:dyDescent="0.25">
      <c r="A66" s="247" t="s">
        <v>117</v>
      </c>
    </row>
    <row r="67" spans="1:1" x14ac:dyDescent="0.25">
      <c r="A67" s="247" t="s">
        <v>290</v>
      </c>
    </row>
    <row r="68" spans="1:1" x14ac:dyDescent="0.25">
      <c r="A68" s="247" t="s">
        <v>247</v>
      </c>
    </row>
    <row r="69" spans="1:1" x14ac:dyDescent="0.25">
      <c r="A69" s="247" t="s">
        <v>357</v>
      </c>
    </row>
    <row r="70" spans="1:1" x14ac:dyDescent="0.25">
      <c r="A70" s="247" t="s">
        <v>144</v>
      </c>
    </row>
    <row r="71" spans="1:1" x14ac:dyDescent="0.25">
      <c r="A71" s="247" t="s">
        <v>248</v>
      </c>
    </row>
    <row r="72" spans="1:1" x14ac:dyDescent="0.25">
      <c r="A72" s="247" t="s">
        <v>867</v>
      </c>
    </row>
    <row r="73" spans="1:1" x14ac:dyDescent="0.25">
      <c r="A73" s="247" t="s">
        <v>145</v>
      </c>
    </row>
    <row r="74" spans="1:1" x14ac:dyDescent="0.25">
      <c r="A74" s="247" t="s">
        <v>175</v>
      </c>
    </row>
    <row r="75" spans="1:1" x14ac:dyDescent="0.25">
      <c r="A75" s="247" t="s">
        <v>176</v>
      </c>
    </row>
    <row r="76" spans="1:1" x14ac:dyDescent="0.25">
      <c r="A76" s="247" t="s">
        <v>358</v>
      </c>
    </row>
    <row r="77" spans="1:1" x14ac:dyDescent="0.25">
      <c r="A77" s="247" t="s">
        <v>291</v>
      </c>
    </row>
    <row r="78" spans="1:1" x14ac:dyDescent="0.25">
      <c r="A78" s="247" t="s">
        <v>249</v>
      </c>
    </row>
    <row r="79" spans="1:1" x14ac:dyDescent="0.25">
      <c r="A79" s="247" t="s">
        <v>359</v>
      </c>
    </row>
    <row r="80" spans="1:1" x14ac:dyDescent="0.25">
      <c r="A80" s="247" t="s">
        <v>430</v>
      </c>
    </row>
    <row r="81" spans="1:1" x14ac:dyDescent="0.25">
      <c r="A81" s="247" t="s">
        <v>177</v>
      </c>
    </row>
    <row r="82" spans="1:1" x14ac:dyDescent="0.25">
      <c r="A82" s="247" t="s">
        <v>178</v>
      </c>
    </row>
    <row r="83" spans="1:1" x14ac:dyDescent="0.25">
      <c r="A83" s="247" t="s">
        <v>403</v>
      </c>
    </row>
    <row r="84" spans="1:1" x14ac:dyDescent="0.25">
      <c r="A84" s="247" t="s">
        <v>250</v>
      </c>
    </row>
    <row r="85" spans="1:1" x14ac:dyDescent="0.25">
      <c r="A85" s="247" t="s">
        <v>179</v>
      </c>
    </row>
    <row r="86" spans="1:1" x14ac:dyDescent="0.25">
      <c r="A86" s="247" t="s">
        <v>220</v>
      </c>
    </row>
    <row r="87" spans="1:1" x14ac:dyDescent="0.25">
      <c r="A87" s="247" t="s">
        <v>754</v>
      </c>
    </row>
    <row r="88" spans="1:1" x14ac:dyDescent="0.25">
      <c r="A88" s="247" t="s">
        <v>360</v>
      </c>
    </row>
    <row r="89" spans="1:1" x14ac:dyDescent="0.25">
      <c r="A89" s="247" t="s">
        <v>404</v>
      </c>
    </row>
    <row r="90" spans="1:1" x14ac:dyDescent="0.25">
      <c r="A90" s="247" t="s">
        <v>361</v>
      </c>
    </row>
    <row r="91" spans="1:1" x14ac:dyDescent="0.25">
      <c r="A91" s="247" t="s">
        <v>180</v>
      </c>
    </row>
    <row r="92" spans="1:1" x14ac:dyDescent="0.25">
      <c r="A92" s="247" t="s">
        <v>110</v>
      </c>
    </row>
    <row r="93" spans="1:1" x14ac:dyDescent="0.25">
      <c r="A93" s="247" t="s">
        <v>251</v>
      </c>
    </row>
    <row r="94" spans="1:1" x14ac:dyDescent="0.25">
      <c r="A94" s="247" t="s">
        <v>146</v>
      </c>
    </row>
    <row r="95" spans="1:1" x14ac:dyDescent="0.25">
      <c r="A95" s="247" t="s">
        <v>181</v>
      </c>
    </row>
    <row r="96" spans="1:1" x14ac:dyDescent="0.25">
      <c r="A96" s="247" t="s">
        <v>182</v>
      </c>
    </row>
    <row r="97" spans="1:1" x14ac:dyDescent="0.25">
      <c r="A97" s="247" t="s">
        <v>362</v>
      </c>
    </row>
    <row r="98" spans="1:1" x14ac:dyDescent="0.25">
      <c r="A98" s="247" t="s">
        <v>363</v>
      </c>
    </row>
    <row r="99" spans="1:1" x14ac:dyDescent="0.25">
      <c r="A99" s="247" t="s">
        <v>364</v>
      </c>
    </row>
    <row r="100" spans="1:1" x14ac:dyDescent="0.25">
      <c r="A100" s="247" t="s">
        <v>365</v>
      </c>
    </row>
    <row r="101" spans="1:1" x14ac:dyDescent="0.25">
      <c r="A101" s="247" t="s">
        <v>405</v>
      </c>
    </row>
    <row r="102" spans="1:1" x14ac:dyDescent="0.25">
      <c r="A102" s="247" t="s">
        <v>366</v>
      </c>
    </row>
    <row r="103" spans="1:1" x14ac:dyDescent="0.25">
      <c r="A103" s="247" t="s">
        <v>292</v>
      </c>
    </row>
    <row r="104" spans="1:1" x14ac:dyDescent="0.25">
      <c r="A104" s="247" t="s">
        <v>331</v>
      </c>
    </row>
    <row r="105" spans="1:1" x14ac:dyDescent="0.25">
      <c r="A105" s="247" t="s">
        <v>367</v>
      </c>
    </row>
    <row r="106" spans="1:1" x14ac:dyDescent="0.25">
      <c r="A106" s="247" t="s">
        <v>490</v>
      </c>
    </row>
    <row r="107" spans="1:1" x14ac:dyDescent="0.25">
      <c r="A107" s="247" t="s">
        <v>293</v>
      </c>
    </row>
    <row r="108" spans="1:1" x14ac:dyDescent="0.25">
      <c r="A108" s="247" t="s">
        <v>294</v>
      </c>
    </row>
    <row r="109" spans="1:1" x14ac:dyDescent="0.25">
      <c r="A109" s="247" t="s">
        <v>121</v>
      </c>
    </row>
    <row r="110" spans="1:1" x14ac:dyDescent="0.25">
      <c r="A110" s="247" t="s">
        <v>406</v>
      </c>
    </row>
    <row r="111" spans="1:1" x14ac:dyDescent="0.25">
      <c r="A111" s="247" t="s">
        <v>147</v>
      </c>
    </row>
    <row r="112" spans="1:1" x14ac:dyDescent="0.25">
      <c r="A112" s="247" t="s">
        <v>252</v>
      </c>
    </row>
    <row r="113" spans="1:1" x14ac:dyDescent="0.25">
      <c r="A113" s="247" t="s">
        <v>253</v>
      </c>
    </row>
    <row r="114" spans="1:1" x14ac:dyDescent="0.25">
      <c r="A114" s="247" t="s">
        <v>370</v>
      </c>
    </row>
    <row r="115" spans="1:1" x14ac:dyDescent="0.25">
      <c r="A115" s="247" t="s">
        <v>148</v>
      </c>
    </row>
    <row r="116" spans="1:1" x14ac:dyDescent="0.25">
      <c r="A116" s="247" t="s">
        <v>183</v>
      </c>
    </row>
    <row r="117" spans="1:1" x14ac:dyDescent="0.25">
      <c r="A117" s="247" t="s">
        <v>295</v>
      </c>
    </row>
    <row r="118" spans="1:1" x14ac:dyDescent="0.25">
      <c r="A118" s="247" t="s">
        <v>130</v>
      </c>
    </row>
    <row r="119" spans="1:1" x14ac:dyDescent="0.25">
      <c r="A119" s="247" t="s">
        <v>184</v>
      </c>
    </row>
    <row r="120" spans="1:1" x14ac:dyDescent="0.25">
      <c r="A120" s="247" t="s">
        <v>254</v>
      </c>
    </row>
    <row r="121" spans="1:1" x14ac:dyDescent="0.25">
      <c r="A121" s="247" t="s">
        <v>255</v>
      </c>
    </row>
    <row r="122" spans="1:1" x14ac:dyDescent="0.25">
      <c r="A122" s="247" t="s">
        <v>185</v>
      </c>
    </row>
    <row r="123" spans="1:1" x14ac:dyDescent="0.25">
      <c r="A123" s="247" t="s">
        <v>131</v>
      </c>
    </row>
    <row r="124" spans="1:1" x14ac:dyDescent="0.25">
      <c r="A124" s="247" t="s">
        <v>407</v>
      </c>
    </row>
    <row r="125" spans="1:1" x14ac:dyDescent="0.25">
      <c r="A125" s="247" t="s">
        <v>371</v>
      </c>
    </row>
    <row r="126" spans="1:1" x14ac:dyDescent="0.25">
      <c r="A126" s="247" t="s">
        <v>257</v>
      </c>
    </row>
    <row r="127" spans="1:1" x14ac:dyDescent="0.25">
      <c r="A127" s="247" t="s">
        <v>149</v>
      </c>
    </row>
    <row r="128" spans="1:1" x14ac:dyDescent="0.25">
      <c r="A128" s="247" t="s">
        <v>296</v>
      </c>
    </row>
    <row r="129" spans="1:1" x14ac:dyDescent="0.25">
      <c r="A129" s="247" t="s">
        <v>372</v>
      </c>
    </row>
    <row r="130" spans="1:1" x14ac:dyDescent="0.25">
      <c r="A130" s="247" t="s">
        <v>297</v>
      </c>
    </row>
    <row r="131" spans="1:1" x14ac:dyDescent="0.25">
      <c r="A131" s="247" t="s">
        <v>444</v>
      </c>
    </row>
    <row r="132" spans="1:1" x14ac:dyDescent="0.25">
      <c r="A132" s="247" t="s">
        <v>600</v>
      </c>
    </row>
    <row r="133" spans="1:1" x14ac:dyDescent="0.25">
      <c r="A133" s="247" t="s">
        <v>186</v>
      </c>
    </row>
    <row r="134" spans="1:1" x14ac:dyDescent="0.25">
      <c r="A134" s="247" t="s">
        <v>373</v>
      </c>
    </row>
    <row r="135" spans="1:1" x14ac:dyDescent="0.25">
      <c r="A135" s="247" t="s">
        <v>298</v>
      </c>
    </row>
    <row r="136" spans="1:1" x14ac:dyDescent="0.25">
      <c r="A136" s="247" t="s">
        <v>374</v>
      </c>
    </row>
    <row r="137" spans="1:1" x14ac:dyDescent="0.25">
      <c r="A137" s="247" t="s">
        <v>258</v>
      </c>
    </row>
    <row r="138" spans="1:1" x14ac:dyDescent="0.25">
      <c r="A138" s="247" t="s">
        <v>601</v>
      </c>
    </row>
    <row r="139" spans="1:1" x14ac:dyDescent="0.25">
      <c r="A139" s="247" t="s">
        <v>150</v>
      </c>
    </row>
    <row r="140" spans="1:1" x14ac:dyDescent="0.25">
      <c r="A140" s="247" t="s">
        <v>259</v>
      </c>
    </row>
    <row r="141" spans="1:1" x14ac:dyDescent="0.25">
      <c r="A141" s="247" t="s">
        <v>111</v>
      </c>
    </row>
    <row r="142" spans="1:1" x14ac:dyDescent="0.25">
      <c r="A142" s="247" t="s">
        <v>260</v>
      </c>
    </row>
    <row r="143" spans="1:1" x14ac:dyDescent="0.25">
      <c r="A143" s="247" t="s">
        <v>408</v>
      </c>
    </row>
    <row r="144" spans="1:1" x14ac:dyDescent="0.25">
      <c r="A144" s="247" t="s">
        <v>221</v>
      </c>
    </row>
    <row r="145" spans="1:1" x14ac:dyDescent="0.25">
      <c r="A145" s="247" t="s">
        <v>261</v>
      </c>
    </row>
    <row r="146" spans="1:1" x14ac:dyDescent="0.25">
      <c r="A146" s="247" t="s">
        <v>332</v>
      </c>
    </row>
    <row r="147" spans="1:1" x14ac:dyDescent="0.25">
      <c r="A147" s="247" t="s">
        <v>222</v>
      </c>
    </row>
    <row r="148" spans="1:1" x14ac:dyDescent="0.25">
      <c r="A148" s="247" t="s">
        <v>299</v>
      </c>
    </row>
    <row r="149" spans="1:1" x14ac:dyDescent="0.25">
      <c r="A149" s="247" t="s">
        <v>151</v>
      </c>
    </row>
    <row r="150" spans="1:1" x14ac:dyDescent="0.25">
      <c r="A150" s="247" t="s">
        <v>333</v>
      </c>
    </row>
    <row r="151" spans="1:1" x14ac:dyDescent="0.25">
      <c r="A151" s="247" t="s">
        <v>300</v>
      </c>
    </row>
    <row r="152" spans="1:1" x14ac:dyDescent="0.25">
      <c r="A152" s="247" t="s">
        <v>409</v>
      </c>
    </row>
    <row r="153" spans="1:1" x14ac:dyDescent="0.25">
      <c r="A153" s="247" t="s">
        <v>262</v>
      </c>
    </row>
    <row r="154" spans="1:1" x14ac:dyDescent="0.25">
      <c r="A154" s="247" t="s">
        <v>301</v>
      </c>
    </row>
    <row r="155" spans="1:1" x14ac:dyDescent="0.25">
      <c r="A155" s="247" t="s">
        <v>478</v>
      </c>
    </row>
    <row r="156" spans="1:1" x14ac:dyDescent="0.25">
      <c r="A156" s="247" t="s">
        <v>375</v>
      </c>
    </row>
    <row r="157" spans="1:1" x14ac:dyDescent="0.25">
      <c r="A157" s="247" t="s">
        <v>868</v>
      </c>
    </row>
    <row r="158" spans="1:1" x14ac:dyDescent="0.25">
      <c r="A158" s="247" t="s">
        <v>410</v>
      </c>
    </row>
    <row r="159" spans="1:1" x14ac:dyDescent="0.25">
      <c r="A159" s="247" t="s">
        <v>263</v>
      </c>
    </row>
    <row r="160" spans="1:1" x14ac:dyDescent="0.25">
      <c r="A160" s="247" t="s">
        <v>302</v>
      </c>
    </row>
    <row r="161" spans="1:1" x14ac:dyDescent="0.25">
      <c r="A161" s="247" t="s">
        <v>265</v>
      </c>
    </row>
    <row r="162" spans="1:1" x14ac:dyDescent="0.25">
      <c r="A162" s="247" t="s">
        <v>132</v>
      </c>
    </row>
    <row r="163" spans="1:1" x14ac:dyDescent="0.25">
      <c r="A163" s="247" t="s">
        <v>303</v>
      </c>
    </row>
    <row r="164" spans="1:1" x14ac:dyDescent="0.25">
      <c r="A164" s="247" t="s">
        <v>304</v>
      </c>
    </row>
    <row r="165" spans="1:1" x14ac:dyDescent="0.25">
      <c r="A165" s="247" t="s">
        <v>305</v>
      </c>
    </row>
    <row r="166" spans="1:1" x14ac:dyDescent="0.25">
      <c r="A166" s="247" t="s">
        <v>431</v>
      </c>
    </row>
    <row r="167" spans="1:1" x14ac:dyDescent="0.25">
      <c r="A167" s="247" t="s">
        <v>411</v>
      </c>
    </row>
    <row r="168" spans="1:1" x14ac:dyDescent="0.25">
      <c r="A168" s="247" t="s">
        <v>223</v>
      </c>
    </row>
    <row r="169" spans="1:1" x14ac:dyDescent="0.25">
      <c r="A169" s="247" t="s">
        <v>187</v>
      </c>
    </row>
    <row r="170" spans="1:1" x14ac:dyDescent="0.25">
      <c r="A170" s="247" t="s">
        <v>306</v>
      </c>
    </row>
    <row r="171" spans="1:1" x14ac:dyDescent="0.25">
      <c r="A171" s="247" t="s">
        <v>188</v>
      </c>
    </row>
    <row r="172" spans="1:1" x14ac:dyDescent="0.25">
      <c r="A172" s="247" t="s">
        <v>377</v>
      </c>
    </row>
    <row r="173" spans="1:1" x14ac:dyDescent="0.25">
      <c r="A173" s="247" t="s">
        <v>224</v>
      </c>
    </row>
    <row r="174" spans="1:1" x14ac:dyDescent="0.25">
      <c r="A174" s="247" t="s">
        <v>152</v>
      </c>
    </row>
    <row r="175" spans="1:1" x14ac:dyDescent="0.25">
      <c r="A175" s="247" t="s">
        <v>189</v>
      </c>
    </row>
    <row r="176" spans="1:1" x14ac:dyDescent="0.25">
      <c r="A176" s="247" t="s">
        <v>412</v>
      </c>
    </row>
    <row r="177" spans="1:1" x14ac:dyDescent="0.25">
      <c r="A177" s="247" t="s">
        <v>869</v>
      </c>
    </row>
    <row r="178" spans="1:1" x14ac:dyDescent="0.25">
      <c r="A178" s="247" t="s">
        <v>307</v>
      </c>
    </row>
    <row r="179" spans="1:1" x14ac:dyDescent="0.25">
      <c r="A179" s="247" t="s">
        <v>413</v>
      </c>
    </row>
    <row r="180" spans="1:1" x14ac:dyDescent="0.25">
      <c r="A180" s="247" t="s">
        <v>266</v>
      </c>
    </row>
    <row r="181" spans="1:1" x14ac:dyDescent="0.25">
      <c r="A181" s="247" t="s">
        <v>414</v>
      </c>
    </row>
    <row r="182" spans="1:1" x14ac:dyDescent="0.25">
      <c r="A182" s="247" t="s">
        <v>587</v>
      </c>
    </row>
    <row r="183" spans="1:1" x14ac:dyDescent="0.25">
      <c r="A183" s="247" t="s">
        <v>112</v>
      </c>
    </row>
    <row r="184" spans="1:1" x14ac:dyDescent="0.25">
      <c r="A184" s="247" t="s">
        <v>334</v>
      </c>
    </row>
    <row r="185" spans="1:1" x14ac:dyDescent="0.25">
      <c r="A185" s="247" t="s">
        <v>308</v>
      </c>
    </row>
    <row r="186" spans="1:1" x14ac:dyDescent="0.25">
      <c r="A186" s="247" t="s">
        <v>113</v>
      </c>
    </row>
    <row r="187" spans="1:1" x14ac:dyDescent="0.25">
      <c r="A187" s="247" t="s">
        <v>602</v>
      </c>
    </row>
    <row r="188" spans="1:1" x14ac:dyDescent="0.25">
      <c r="A188" s="247" t="s">
        <v>379</v>
      </c>
    </row>
    <row r="189" spans="1:1" x14ac:dyDescent="0.25">
      <c r="A189" s="247" t="s">
        <v>603</v>
      </c>
    </row>
    <row r="190" spans="1:1" x14ac:dyDescent="0.25">
      <c r="A190" s="247" t="s">
        <v>190</v>
      </c>
    </row>
    <row r="191" spans="1:1" x14ac:dyDescent="0.25">
      <c r="A191" s="247" t="s">
        <v>438</v>
      </c>
    </row>
    <row r="192" spans="1:1" x14ac:dyDescent="0.25">
      <c r="A192" s="247" t="s">
        <v>415</v>
      </c>
    </row>
    <row r="193" spans="1:1" x14ac:dyDescent="0.25">
      <c r="A193" s="247" t="s">
        <v>191</v>
      </c>
    </row>
    <row r="194" spans="1:1" x14ac:dyDescent="0.25">
      <c r="A194" s="247" t="s">
        <v>416</v>
      </c>
    </row>
    <row r="195" spans="1:1" x14ac:dyDescent="0.25">
      <c r="A195" s="247" t="s">
        <v>225</v>
      </c>
    </row>
    <row r="196" spans="1:1" x14ac:dyDescent="0.25">
      <c r="A196" s="247" t="s">
        <v>309</v>
      </c>
    </row>
    <row r="197" spans="1:1" x14ac:dyDescent="0.25">
      <c r="A197" s="247" t="s">
        <v>192</v>
      </c>
    </row>
    <row r="198" spans="1:1" x14ac:dyDescent="0.25">
      <c r="A198" s="247" t="s">
        <v>193</v>
      </c>
    </row>
    <row r="199" spans="1:1" x14ac:dyDescent="0.25">
      <c r="A199" s="247" t="s">
        <v>479</v>
      </c>
    </row>
    <row r="200" spans="1:1" x14ac:dyDescent="0.25">
      <c r="A200" s="247" t="s">
        <v>604</v>
      </c>
    </row>
    <row r="201" spans="1:1" x14ac:dyDescent="0.25">
      <c r="A201" s="247" t="s">
        <v>335</v>
      </c>
    </row>
    <row r="202" spans="1:1" x14ac:dyDescent="0.25">
      <c r="A202" s="247" t="s">
        <v>114</v>
      </c>
    </row>
    <row r="203" spans="1:1" x14ac:dyDescent="0.25">
      <c r="A203" s="247" t="s">
        <v>432</v>
      </c>
    </row>
    <row r="204" spans="1:1" x14ac:dyDescent="0.25">
      <c r="A204" s="247" t="s">
        <v>310</v>
      </c>
    </row>
    <row r="205" spans="1:1" x14ac:dyDescent="0.25">
      <c r="A205" s="247" t="s">
        <v>435</v>
      </c>
    </row>
    <row r="206" spans="1:1" x14ac:dyDescent="0.25">
      <c r="A206" s="247" t="s">
        <v>194</v>
      </c>
    </row>
    <row r="207" spans="1:1" x14ac:dyDescent="0.25">
      <c r="A207" s="247" t="s">
        <v>311</v>
      </c>
    </row>
    <row r="208" spans="1:1" x14ac:dyDescent="0.25">
      <c r="A208" s="247" t="s">
        <v>380</v>
      </c>
    </row>
    <row r="209" spans="1:1" x14ac:dyDescent="0.25">
      <c r="A209" s="247" t="s">
        <v>381</v>
      </c>
    </row>
    <row r="210" spans="1:1" x14ac:dyDescent="0.25">
      <c r="A210" s="247" t="s">
        <v>123</v>
      </c>
    </row>
    <row r="211" spans="1:1" x14ac:dyDescent="0.25">
      <c r="A211" s="247" t="s">
        <v>195</v>
      </c>
    </row>
    <row r="212" spans="1:1" x14ac:dyDescent="0.25">
      <c r="A212" s="247" t="s">
        <v>153</v>
      </c>
    </row>
    <row r="213" spans="1:1" x14ac:dyDescent="0.25">
      <c r="A213" s="247" t="s">
        <v>154</v>
      </c>
    </row>
    <row r="214" spans="1:1" x14ac:dyDescent="0.25">
      <c r="A214" s="247" t="s">
        <v>155</v>
      </c>
    </row>
    <row r="215" spans="1:1" x14ac:dyDescent="0.25">
      <c r="A215" s="247" t="s">
        <v>196</v>
      </c>
    </row>
    <row r="216" spans="1:1" x14ac:dyDescent="0.25">
      <c r="A216" s="247" t="s">
        <v>382</v>
      </c>
    </row>
    <row r="217" spans="1:1" x14ac:dyDescent="0.25">
      <c r="A217" s="247" t="s">
        <v>133</v>
      </c>
    </row>
    <row r="218" spans="1:1" x14ac:dyDescent="0.25">
      <c r="A218" s="247" t="s">
        <v>267</v>
      </c>
    </row>
    <row r="219" spans="1:1" x14ac:dyDescent="0.25">
      <c r="A219" s="247" t="s">
        <v>268</v>
      </c>
    </row>
    <row r="220" spans="1:1" x14ac:dyDescent="0.25">
      <c r="A220" s="247" t="s">
        <v>134</v>
      </c>
    </row>
    <row r="221" spans="1:1" x14ac:dyDescent="0.25">
      <c r="A221" s="247" t="s">
        <v>383</v>
      </c>
    </row>
    <row r="222" spans="1:1" x14ac:dyDescent="0.25">
      <c r="A222" s="247" t="s">
        <v>197</v>
      </c>
    </row>
    <row r="223" spans="1:1" x14ac:dyDescent="0.25">
      <c r="A223" s="247" t="s">
        <v>269</v>
      </c>
    </row>
    <row r="224" spans="1:1" x14ac:dyDescent="0.25">
      <c r="A224" s="247" t="s">
        <v>226</v>
      </c>
    </row>
    <row r="225" spans="1:1" x14ac:dyDescent="0.25">
      <c r="A225" s="247" t="s">
        <v>198</v>
      </c>
    </row>
    <row r="226" spans="1:1" x14ac:dyDescent="0.25">
      <c r="A226" s="247" t="s">
        <v>312</v>
      </c>
    </row>
    <row r="227" spans="1:1" x14ac:dyDescent="0.25">
      <c r="A227" s="247" t="s">
        <v>417</v>
      </c>
    </row>
    <row r="228" spans="1:1" x14ac:dyDescent="0.25">
      <c r="A228" s="247" t="s">
        <v>124</v>
      </c>
    </row>
    <row r="229" spans="1:1" x14ac:dyDescent="0.25">
      <c r="A229" s="247" t="s">
        <v>313</v>
      </c>
    </row>
    <row r="230" spans="1:1" x14ac:dyDescent="0.25">
      <c r="A230" s="247" t="s">
        <v>270</v>
      </c>
    </row>
    <row r="231" spans="1:1" x14ac:dyDescent="0.25">
      <c r="A231" s="247" t="s">
        <v>199</v>
      </c>
    </row>
    <row r="232" spans="1:1" x14ac:dyDescent="0.25">
      <c r="A232" s="247" t="s">
        <v>156</v>
      </c>
    </row>
    <row r="233" spans="1:1" x14ac:dyDescent="0.25">
      <c r="A233" s="247" t="s">
        <v>336</v>
      </c>
    </row>
    <row r="234" spans="1:1" x14ac:dyDescent="0.25">
      <c r="A234" s="247" t="s">
        <v>200</v>
      </c>
    </row>
    <row r="235" spans="1:1" x14ac:dyDescent="0.25">
      <c r="A235" s="247" t="s">
        <v>227</v>
      </c>
    </row>
    <row r="236" spans="1:1" x14ac:dyDescent="0.25">
      <c r="A236" s="247" t="s">
        <v>384</v>
      </c>
    </row>
    <row r="237" spans="1:1" x14ac:dyDescent="0.25">
      <c r="A237" s="247" t="s">
        <v>201</v>
      </c>
    </row>
    <row r="238" spans="1:1" x14ac:dyDescent="0.25">
      <c r="A238" s="247" t="s">
        <v>228</v>
      </c>
    </row>
    <row r="239" spans="1:1" x14ac:dyDescent="0.25">
      <c r="A239" s="247" t="s">
        <v>314</v>
      </c>
    </row>
    <row r="240" spans="1:1" x14ac:dyDescent="0.25">
      <c r="A240" s="247" t="s">
        <v>157</v>
      </c>
    </row>
    <row r="241" spans="1:1" x14ac:dyDescent="0.25">
      <c r="A241" s="247" t="s">
        <v>315</v>
      </c>
    </row>
    <row r="242" spans="1:1" x14ac:dyDescent="0.25">
      <c r="A242" s="247" t="s">
        <v>418</v>
      </c>
    </row>
    <row r="243" spans="1:1" x14ac:dyDescent="0.25">
      <c r="A243" s="247" t="s">
        <v>419</v>
      </c>
    </row>
    <row r="244" spans="1:1" x14ac:dyDescent="0.25">
      <c r="A244" s="247" t="s">
        <v>385</v>
      </c>
    </row>
    <row r="245" spans="1:1" x14ac:dyDescent="0.25">
      <c r="A245" s="247" t="s">
        <v>316</v>
      </c>
    </row>
    <row r="246" spans="1:1" x14ac:dyDescent="0.25">
      <c r="A246" s="247" t="s">
        <v>202</v>
      </c>
    </row>
    <row r="247" spans="1:1" x14ac:dyDescent="0.25">
      <c r="A247" s="247" t="s">
        <v>386</v>
      </c>
    </row>
    <row r="248" spans="1:1" x14ac:dyDescent="0.25">
      <c r="A248" s="247" t="s">
        <v>271</v>
      </c>
    </row>
    <row r="249" spans="1:1" x14ac:dyDescent="0.25">
      <c r="A249" s="247" t="s">
        <v>203</v>
      </c>
    </row>
    <row r="250" spans="1:1" x14ac:dyDescent="0.25">
      <c r="A250" s="247" t="s">
        <v>317</v>
      </c>
    </row>
    <row r="251" spans="1:1" x14ac:dyDescent="0.25">
      <c r="A251" s="247" t="s">
        <v>135</v>
      </c>
    </row>
    <row r="252" spans="1:1" x14ac:dyDescent="0.25">
      <c r="A252" s="247" t="s">
        <v>337</v>
      </c>
    </row>
    <row r="253" spans="1:1" x14ac:dyDescent="0.25">
      <c r="A253" s="247" t="s">
        <v>443</v>
      </c>
    </row>
    <row r="254" spans="1:1" x14ac:dyDescent="0.25">
      <c r="A254" s="247" t="s">
        <v>480</v>
      </c>
    </row>
    <row r="255" spans="1:1" x14ac:dyDescent="0.25">
      <c r="A255" s="247" t="s">
        <v>420</v>
      </c>
    </row>
    <row r="256" spans="1:1" x14ac:dyDescent="0.25">
      <c r="A256" s="247" t="s">
        <v>387</v>
      </c>
    </row>
    <row r="257" spans="1:1" x14ac:dyDescent="0.25">
      <c r="A257" s="247" t="s">
        <v>421</v>
      </c>
    </row>
    <row r="258" spans="1:1" x14ac:dyDescent="0.25">
      <c r="A258" s="247" t="s">
        <v>318</v>
      </c>
    </row>
    <row r="259" spans="1:1" x14ac:dyDescent="0.25">
      <c r="A259" s="247" t="s">
        <v>338</v>
      </c>
    </row>
    <row r="260" spans="1:1" x14ac:dyDescent="0.25">
      <c r="A260" s="247" t="s">
        <v>136</v>
      </c>
    </row>
    <row r="261" spans="1:1" x14ac:dyDescent="0.25">
      <c r="A261" s="247" t="s">
        <v>229</v>
      </c>
    </row>
    <row r="262" spans="1:1" x14ac:dyDescent="0.25">
      <c r="A262" s="247" t="s">
        <v>388</v>
      </c>
    </row>
    <row r="263" spans="1:1" x14ac:dyDescent="0.25">
      <c r="A263" s="247" t="s">
        <v>389</v>
      </c>
    </row>
    <row r="264" spans="1:1" x14ac:dyDescent="0.25">
      <c r="A264" s="247" t="s">
        <v>125</v>
      </c>
    </row>
    <row r="265" spans="1:1" x14ac:dyDescent="0.25">
      <c r="A265" s="247" t="s">
        <v>158</v>
      </c>
    </row>
    <row r="266" spans="1:1" x14ac:dyDescent="0.25">
      <c r="A266" s="247" t="s">
        <v>272</v>
      </c>
    </row>
    <row r="267" spans="1:1" x14ac:dyDescent="0.25">
      <c r="A267" s="247" t="s">
        <v>390</v>
      </c>
    </row>
    <row r="268" spans="1:1" x14ac:dyDescent="0.25">
      <c r="A268" s="247" t="s">
        <v>159</v>
      </c>
    </row>
    <row r="269" spans="1:1" x14ac:dyDescent="0.25">
      <c r="A269" s="247" t="s">
        <v>422</v>
      </c>
    </row>
    <row r="270" spans="1:1" x14ac:dyDescent="0.25">
      <c r="A270" s="247" t="s">
        <v>230</v>
      </c>
    </row>
    <row r="271" spans="1:1" x14ac:dyDescent="0.25">
      <c r="A271" s="247" t="s">
        <v>440</v>
      </c>
    </row>
    <row r="272" spans="1:1" x14ac:dyDescent="0.25">
      <c r="A272" s="247" t="s">
        <v>339</v>
      </c>
    </row>
    <row r="273" spans="1:1" x14ac:dyDescent="0.25">
      <c r="A273" s="247" t="s">
        <v>137</v>
      </c>
    </row>
    <row r="274" spans="1:1" x14ac:dyDescent="0.25">
      <c r="A274" s="247" t="s">
        <v>273</v>
      </c>
    </row>
    <row r="275" spans="1:1" x14ac:dyDescent="0.25">
      <c r="A275" s="247" t="s">
        <v>319</v>
      </c>
    </row>
    <row r="276" spans="1:1" x14ac:dyDescent="0.25">
      <c r="A276" s="247" t="s">
        <v>340</v>
      </c>
    </row>
    <row r="277" spans="1:1" x14ac:dyDescent="0.25">
      <c r="A277" s="247" t="s">
        <v>204</v>
      </c>
    </row>
    <row r="278" spans="1:1" x14ac:dyDescent="0.25">
      <c r="A278" s="247" t="s">
        <v>391</v>
      </c>
    </row>
    <row r="279" spans="1:1" x14ac:dyDescent="0.25">
      <c r="A279" s="247" t="s">
        <v>160</v>
      </c>
    </row>
    <row r="280" spans="1:1" x14ac:dyDescent="0.25">
      <c r="A280" s="247" t="s">
        <v>161</v>
      </c>
    </row>
    <row r="281" spans="1:1" x14ac:dyDescent="0.25">
      <c r="A281" s="247" t="s">
        <v>115</v>
      </c>
    </row>
    <row r="282" spans="1:1" x14ac:dyDescent="0.25">
      <c r="A282" s="247" t="s">
        <v>138</v>
      </c>
    </row>
    <row r="283" spans="1:1" x14ac:dyDescent="0.25">
      <c r="A283" s="247" t="s">
        <v>274</v>
      </c>
    </row>
    <row r="284" spans="1:1" x14ac:dyDescent="0.25">
      <c r="A284" s="247" t="s">
        <v>275</v>
      </c>
    </row>
    <row r="285" spans="1:1" x14ac:dyDescent="0.25">
      <c r="A285" s="247" t="s">
        <v>433</v>
      </c>
    </row>
    <row r="286" spans="1:1" x14ac:dyDescent="0.25">
      <c r="A286" s="247" t="s">
        <v>231</v>
      </c>
    </row>
    <row r="287" spans="1:1" x14ac:dyDescent="0.25">
      <c r="A287" s="247" t="s">
        <v>232</v>
      </c>
    </row>
    <row r="288" spans="1:1" x14ac:dyDescent="0.25">
      <c r="A288" s="247" t="s">
        <v>423</v>
      </c>
    </row>
    <row r="289" spans="1:1" x14ac:dyDescent="0.25">
      <c r="A289" s="247" t="s">
        <v>424</v>
      </c>
    </row>
    <row r="290" spans="1:1" x14ac:dyDescent="0.25">
      <c r="A290" s="247" t="s">
        <v>393</v>
      </c>
    </row>
    <row r="291" spans="1:1" x14ac:dyDescent="0.25">
      <c r="A291" s="247" t="s">
        <v>126</v>
      </c>
    </row>
    <row r="292" spans="1:1" x14ac:dyDescent="0.25">
      <c r="A292" s="247" t="s">
        <v>233</v>
      </c>
    </row>
    <row r="293" spans="1:1" x14ac:dyDescent="0.25">
      <c r="A293" s="247" t="s">
        <v>341</v>
      </c>
    </row>
    <row r="294" spans="1:1" x14ac:dyDescent="0.25">
      <c r="A294" s="247" t="s">
        <v>394</v>
      </c>
    </row>
    <row r="295" spans="1:1" x14ac:dyDescent="0.25">
      <c r="A295" s="247" t="s">
        <v>276</v>
      </c>
    </row>
    <row r="296" spans="1:1" x14ac:dyDescent="0.25">
      <c r="A296" s="247" t="s">
        <v>425</v>
      </c>
    </row>
    <row r="297" spans="1:1" x14ac:dyDescent="0.25">
      <c r="A297" s="247" t="s">
        <v>426</v>
      </c>
    </row>
    <row r="298" spans="1:1" x14ac:dyDescent="0.25">
      <c r="A298" s="247" t="s">
        <v>605</v>
      </c>
    </row>
    <row r="299" spans="1:1" x14ac:dyDescent="0.25">
      <c r="A299" s="247" t="s">
        <v>320</v>
      </c>
    </row>
    <row r="300" spans="1:1" x14ac:dyDescent="0.25">
      <c r="A300" s="247" t="s">
        <v>139</v>
      </c>
    </row>
    <row r="301" spans="1:1" x14ac:dyDescent="0.25">
      <c r="A301" s="247" t="s">
        <v>342</v>
      </c>
    </row>
    <row r="302" spans="1:1" x14ac:dyDescent="0.25">
      <c r="A302" s="247" t="s">
        <v>427</v>
      </c>
    </row>
    <row r="303" spans="1:1" x14ac:dyDescent="0.25">
      <c r="A303" s="247" t="s">
        <v>321</v>
      </c>
    </row>
    <row r="304" spans="1:1" x14ac:dyDescent="0.25">
      <c r="A304" s="247" t="s">
        <v>205</v>
      </c>
    </row>
    <row r="305" spans="1:1" x14ac:dyDescent="0.25">
      <c r="A305" s="247" t="s">
        <v>395</v>
      </c>
    </row>
    <row r="306" spans="1:1" x14ac:dyDescent="0.25">
      <c r="A306" s="247" t="s">
        <v>606</v>
      </c>
    </row>
    <row r="307" spans="1:1" x14ac:dyDescent="0.25">
      <c r="A307" s="247" t="s">
        <v>396</v>
      </c>
    </row>
    <row r="308" spans="1:1" x14ac:dyDescent="0.25">
      <c r="A308" s="247" t="s">
        <v>397</v>
      </c>
    </row>
    <row r="309" spans="1:1" x14ac:dyDescent="0.25">
      <c r="A309" s="247" t="s">
        <v>322</v>
      </c>
    </row>
    <row r="310" spans="1:1" x14ac:dyDescent="0.25">
      <c r="A310" s="247" t="s">
        <v>206</v>
      </c>
    </row>
    <row r="311" spans="1:1" x14ac:dyDescent="0.25">
      <c r="A311" s="247" t="s">
        <v>323</v>
      </c>
    </row>
    <row r="312" spans="1:1" x14ac:dyDescent="0.25">
      <c r="A312" s="247" t="s">
        <v>277</v>
      </c>
    </row>
    <row r="313" spans="1:1" x14ac:dyDescent="0.25">
      <c r="A313" s="247" t="s">
        <v>428</v>
      </c>
    </row>
    <row r="314" spans="1:1" x14ac:dyDescent="0.25">
      <c r="A314" s="247" t="s">
        <v>278</v>
      </c>
    </row>
    <row r="315" spans="1:1" x14ac:dyDescent="0.25">
      <c r="A315" s="247" t="s">
        <v>607</v>
      </c>
    </row>
    <row r="316" spans="1:1" x14ac:dyDescent="0.25">
      <c r="A316" s="247" t="s">
        <v>207</v>
      </c>
    </row>
    <row r="317" spans="1:1" x14ac:dyDescent="0.25">
      <c r="A317" s="247" t="s">
        <v>608</v>
      </c>
    </row>
    <row r="318" spans="1:1" x14ac:dyDescent="0.25">
      <c r="A318" s="247" t="s">
        <v>116</v>
      </c>
    </row>
    <row r="319" spans="1:1" x14ac:dyDescent="0.25">
      <c r="A319" s="247" t="s">
        <v>208</v>
      </c>
    </row>
    <row r="320" spans="1:1" x14ac:dyDescent="0.25">
      <c r="A320" s="247" t="s">
        <v>609</v>
      </c>
    </row>
    <row r="321" spans="1:1" x14ac:dyDescent="0.25">
      <c r="A321" s="247" t="s">
        <v>324</v>
      </c>
    </row>
    <row r="322" spans="1:1" x14ac:dyDescent="0.25">
      <c r="A322" s="247" t="s">
        <v>140</v>
      </c>
    </row>
    <row r="323" spans="1:1" x14ac:dyDescent="0.25">
      <c r="A323" s="247" t="s">
        <v>325</v>
      </c>
    </row>
    <row r="324" spans="1:1" x14ac:dyDescent="0.25">
      <c r="A324" s="247" t="s">
        <v>162</v>
      </c>
    </row>
    <row r="325" spans="1:1" x14ac:dyDescent="0.25">
      <c r="A325" s="247" t="s">
        <v>209</v>
      </c>
    </row>
    <row r="326" spans="1:1" x14ac:dyDescent="0.25">
      <c r="A326" s="247" t="s">
        <v>279</v>
      </c>
    </row>
    <row r="327" spans="1:1" x14ac:dyDescent="0.25">
      <c r="A327" s="247" t="s">
        <v>234</v>
      </c>
    </row>
    <row r="328" spans="1:1" x14ac:dyDescent="0.25">
      <c r="A328" s="247" t="s">
        <v>210</v>
      </c>
    </row>
    <row r="329" spans="1:1" x14ac:dyDescent="0.25">
      <c r="A329" s="247" t="s">
        <v>398</v>
      </c>
    </row>
    <row r="330" spans="1:1" x14ac:dyDescent="0.25">
      <c r="A330" s="247" t="s">
        <v>235</v>
      </c>
    </row>
    <row r="331" spans="1:1" x14ac:dyDescent="0.25">
      <c r="A331" s="247" t="s">
        <v>280</v>
      </c>
    </row>
    <row r="332" spans="1:1" x14ac:dyDescent="0.25">
      <c r="A332" s="247" t="s">
        <v>236</v>
      </c>
    </row>
    <row r="333" spans="1:1" x14ac:dyDescent="0.25">
      <c r="A333" s="247" t="s">
        <v>281</v>
      </c>
    </row>
    <row r="334" spans="1:1" x14ac:dyDescent="0.25">
      <c r="A334" s="247" t="s">
        <v>211</v>
      </c>
    </row>
    <row r="335" spans="1:1" x14ac:dyDescent="0.25">
      <c r="A335" s="247" t="s">
        <v>282</v>
      </c>
    </row>
    <row r="336" spans="1:1" x14ac:dyDescent="0.25">
      <c r="A336" s="247" t="s">
        <v>434</v>
      </c>
    </row>
    <row r="337" spans="1:1" x14ac:dyDescent="0.25">
      <c r="A337" s="247" t="s">
        <v>237</v>
      </c>
    </row>
    <row r="338" spans="1:1" x14ac:dyDescent="0.25">
      <c r="A338" s="247" t="s">
        <v>212</v>
      </c>
    </row>
    <row r="339" spans="1:1" x14ac:dyDescent="0.25">
      <c r="A339" s="247" t="s">
        <v>326</v>
      </c>
    </row>
    <row r="340" spans="1:1" x14ac:dyDescent="0.25">
      <c r="A340" s="247" t="s">
        <v>327</v>
      </c>
    </row>
    <row r="341" spans="1:1" x14ac:dyDescent="0.25">
      <c r="A341" s="247" t="s">
        <v>328</v>
      </c>
    </row>
    <row r="342" spans="1:1" x14ac:dyDescent="0.25">
      <c r="A342" s="247" t="s">
        <v>399</v>
      </c>
    </row>
    <row r="343" spans="1:1" x14ac:dyDescent="0.25">
      <c r="A343" s="247" t="s">
        <v>213</v>
      </c>
    </row>
    <row r="344" spans="1:1" x14ac:dyDescent="0.25">
      <c r="A344" s="247" t="s">
        <v>163</v>
      </c>
    </row>
    <row r="345" spans="1:1" x14ac:dyDescent="0.25">
      <c r="A345" s="247" t="s">
        <v>329</v>
      </c>
    </row>
    <row r="346" spans="1:1" x14ac:dyDescent="0.25">
      <c r="A346" s="247" t="s">
        <v>164</v>
      </c>
    </row>
    <row r="347" spans="1:1" x14ac:dyDescent="0.25">
      <c r="A347" s="247" t="s">
        <v>442</v>
      </c>
    </row>
  </sheetData>
  <sheetProtection algorithmName="SHA-512" hashValue="+bjqhVPFITWPqR29I1yQlZpEnJHX1AEfe9q615wkALao5W+whNmjVzSZ/gkV3tSEznwUr+A4R6BosLJIdYcI8A==" saltValue="FSJMBXmZe07iqoDjDsXNPQ==" spinCount="100000" sheet="1" selectLockedCells="1"/>
  <sortState xmlns:xlrd2="http://schemas.microsoft.com/office/spreadsheetml/2017/richdata2" ref="I18:I19">
    <sortCondition ref="I19"/>
  </sortState>
  <mergeCells count="6">
    <mergeCell ref="A1:B1"/>
    <mergeCell ref="C21:C22"/>
    <mergeCell ref="F21:F22"/>
    <mergeCell ref="I21:I22"/>
    <mergeCell ref="B2:C3"/>
    <mergeCell ref="B21:B22"/>
  </mergeCells>
  <conditionalFormatting sqref="C6">
    <cfRule type="cellIs" dxfId="479" priority="161" operator="lessThan">
      <formula>1</formula>
    </cfRule>
    <cfRule type="cellIs" dxfId="478" priority="162" operator="between">
      <formula>1</formula>
      <formula>1.3</formula>
    </cfRule>
    <cfRule type="cellIs" dxfId="477" priority="163" operator="greaterThan">
      <formula>1.3</formula>
    </cfRule>
  </conditionalFormatting>
  <conditionalFormatting sqref="C7">
    <cfRule type="cellIs" dxfId="476" priority="158" operator="lessThan">
      <formula>0.9</formula>
    </cfRule>
    <cfRule type="cellIs" dxfId="475" priority="159" operator="between">
      <formula>0.9</formula>
      <formula>1.2</formula>
    </cfRule>
    <cfRule type="cellIs" dxfId="474" priority="160" operator="greaterThan">
      <formula>1.2</formula>
    </cfRule>
  </conditionalFormatting>
  <conditionalFormatting sqref="C8">
    <cfRule type="cellIs" dxfId="473" priority="155" operator="lessThan">
      <formula>0</formula>
    </cfRule>
    <cfRule type="cellIs" dxfId="472" priority="156" operator="between">
      <formula>0</formula>
      <formula>0.2</formula>
    </cfRule>
    <cfRule type="cellIs" dxfId="471" priority="157" operator="greaterThanOrEqual">
      <formula>0.2</formula>
    </cfRule>
  </conditionalFormatting>
  <conditionalFormatting sqref="C10">
    <cfRule type="cellIs" dxfId="470" priority="152" operator="lessThan">
      <formula>0</formula>
    </cfRule>
    <cfRule type="cellIs" dxfId="469" priority="154" operator="greaterThanOrEqual">
      <formula>0</formula>
    </cfRule>
  </conditionalFormatting>
  <conditionalFormatting sqref="C11">
    <cfRule type="cellIs" dxfId="468" priority="149" operator="lessThan">
      <formula>2</formula>
    </cfRule>
    <cfRule type="cellIs" dxfId="467" priority="150" operator="between">
      <formula>1.5</formula>
      <formula>2.5</formula>
    </cfRule>
    <cfRule type="cellIs" dxfId="466" priority="151" operator="greaterThan">
      <formula>2.5</formula>
    </cfRule>
  </conditionalFormatting>
  <conditionalFormatting sqref="C15">
    <cfRule type="cellIs" dxfId="465" priority="9" operator="greaterThan">
      <formula>0.05</formula>
    </cfRule>
    <cfRule type="cellIs" dxfId="464" priority="10" operator="lessThan">
      <formula>0</formula>
    </cfRule>
    <cfRule type="cellIs" dxfId="463" priority="146" operator="between">
      <formula>0.01</formula>
      <formula>0.04</formula>
    </cfRule>
    <cfRule type="cellIs" dxfId="462" priority="147" operator="between">
      <formula>0</formula>
      <formula>0.01</formula>
    </cfRule>
    <cfRule type="cellIs" dxfId="461" priority="148" operator="between">
      <formula>0.04</formula>
      <formula>0.05</formula>
    </cfRule>
  </conditionalFormatting>
  <conditionalFormatting sqref="C12">
    <cfRule type="cellIs" dxfId="460" priority="143" operator="greaterThanOrEqual">
      <formula>0</formula>
    </cfRule>
    <cfRule type="cellIs" dxfId="459" priority="144" operator="lessThan">
      <formula>0</formula>
    </cfRule>
  </conditionalFormatting>
  <conditionalFormatting sqref="C13">
    <cfRule type="cellIs" dxfId="458" priority="140" operator="lessThanOrEqual">
      <formula>0.725</formula>
    </cfRule>
    <cfRule type="cellIs" dxfId="457" priority="142" operator="greaterThan">
      <formula>0.725</formula>
    </cfRule>
  </conditionalFormatting>
  <conditionalFormatting sqref="C16">
    <cfRule type="cellIs" dxfId="456" priority="137" operator="lessThan">
      <formula>$N$4</formula>
    </cfRule>
    <cfRule type="cellIs" dxfId="455" priority="138" operator="between">
      <formula>$N$4</formula>
      <formula>$N$5</formula>
    </cfRule>
    <cfRule type="cellIs" dxfId="454" priority="139" operator="greaterThan">
      <formula>$N$5</formula>
    </cfRule>
  </conditionalFormatting>
  <conditionalFormatting sqref="C18">
    <cfRule type="cellIs" dxfId="453" priority="134" operator="lessThanOrEqual">
      <formula>0.2</formula>
    </cfRule>
    <cfRule type="cellIs" dxfId="452" priority="135" operator="between">
      <formula>0.2</formula>
      <formula>0.25</formula>
    </cfRule>
    <cfRule type="cellIs" dxfId="451" priority="136" operator="greaterThan">
      <formula>0.25</formula>
    </cfRule>
  </conditionalFormatting>
  <conditionalFormatting sqref="C19">
    <cfRule type="cellIs" dxfId="450" priority="131" operator="lessThanOrEqual">
      <formula>0.085</formula>
    </cfRule>
    <cfRule type="cellIs" dxfId="449" priority="132" operator="greaterThan">
      <formula>0.085</formula>
    </cfRule>
  </conditionalFormatting>
  <conditionalFormatting sqref="C21:C22">
    <cfRule type="cellIs" dxfId="448" priority="129" operator="between">
      <formula>5.2</formula>
      <formula>5.8</formula>
    </cfRule>
    <cfRule type="cellIs" dxfId="447" priority="130" operator="lessThan">
      <formula>5.2</formula>
    </cfRule>
  </conditionalFormatting>
  <conditionalFormatting sqref="F6">
    <cfRule type="cellIs" dxfId="446" priority="82" operator="lessThan">
      <formula>1</formula>
    </cfRule>
    <cfRule type="cellIs" dxfId="445" priority="83" operator="between">
      <formula>1</formula>
      <formula>1.3</formula>
    </cfRule>
    <cfRule type="cellIs" dxfId="444" priority="84" operator="greaterThan">
      <formula>1.3</formula>
    </cfRule>
  </conditionalFormatting>
  <conditionalFormatting sqref="F7">
    <cfRule type="cellIs" dxfId="443" priority="79" operator="lessThan">
      <formula>0.9</formula>
    </cfRule>
    <cfRule type="cellIs" dxfId="442" priority="80" operator="between">
      <formula>0.9</formula>
      <formula>1.2</formula>
    </cfRule>
    <cfRule type="cellIs" dxfId="441" priority="81" operator="greaterThan">
      <formula>1.2</formula>
    </cfRule>
  </conditionalFormatting>
  <conditionalFormatting sqref="F8">
    <cfRule type="cellIs" dxfId="440" priority="76" operator="greaterThanOrEqual">
      <formula>0.2</formula>
    </cfRule>
    <cfRule type="cellIs" dxfId="439" priority="77" operator="between">
      <formula>0</formula>
      <formula>0.2</formula>
    </cfRule>
    <cfRule type="cellIs" dxfId="438" priority="78" operator="lessThan">
      <formula>0</formula>
    </cfRule>
  </conditionalFormatting>
  <conditionalFormatting sqref="F10">
    <cfRule type="cellIs" dxfId="437" priority="73" operator="greaterThanOrEqual">
      <formula>0</formula>
    </cfRule>
    <cfRule type="cellIs" dxfId="436" priority="75" operator="lessThan">
      <formula>0</formula>
    </cfRule>
  </conditionalFormatting>
  <conditionalFormatting sqref="F11">
    <cfRule type="cellIs" dxfId="435" priority="70" operator="lessThan">
      <formula>2</formula>
    </cfRule>
    <cfRule type="cellIs" dxfId="434" priority="71" operator="between">
      <formula>1.5</formula>
      <formula>2.5</formula>
    </cfRule>
    <cfRule type="cellIs" dxfId="433" priority="72" operator="greaterThan">
      <formula>2.5</formula>
    </cfRule>
  </conditionalFormatting>
  <conditionalFormatting sqref="F12">
    <cfRule type="cellIs" dxfId="432" priority="67" operator="greaterThanOrEqual">
      <formula>0</formula>
    </cfRule>
    <cfRule type="cellIs" dxfId="431" priority="68" operator="lessThan">
      <formula>0</formula>
    </cfRule>
  </conditionalFormatting>
  <conditionalFormatting sqref="F13">
    <cfRule type="cellIs" dxfId="430" priority="64" operator="lessThanOrEqual">
      <formula>0.725</formula>
    </cfRule>
    <cfRule type="cellIs" dxfId="429" priority="65" operator="greaterThan">
      <formula>0.725</formula>
    </cfRule>
  </conditionalFormatting>
  <conditionalFormatting sqref="F18">
    <cfRule type="cellIs" dxfId="428" priority="61" operator="lessThanOrEqual">
      <formula>0.2</formula>
    </cfRule>
    <cfRule type="cellIs" dxfId="427" priority="62" operator="between">
      <formula>0.2</formula>
      <formula>0.25</formula>
    </cfRule>
    <cfRule type="cellIs" dxfId="426" priority="63" operator="greaterThan">
      <formula>0.25</formula>
    </cfRule>
  </conditionalFormatting>
  <conditionalFormatting sqref="F19">
    <cfRule type="cellIs" dxfId="425" priority="58" operator="lessThanOrEqual">
      <formula>0.085</formula>
    </cfRule>
    <cfRule type="cellIs" dxfId="424" priority="59" operator="greaterThan">
      <formula>0.085</formula>
    </cfRule>
  </conditionalFormatting>
  <conditionalFormatting sqref="F15">
    <cfRule type="cellIs" dxfId="423" priority="7" operator="greaterThan">
      <formula>0.05</formula>
    </cfRule>
    <cfRule type="cellIs" dxfId="422" priority="8" operator="lessThan">
      <formula>0</formula>
    </cfRule>
    <cfRule type="cellIs" dxfId="421" priority="55" operator="between">
      <formula>0.01</formula>
      <formula>0.04</formula>
    </cfRule>
    <cfRule type="cellIs" dxfId="420" priority="56" operator="between">
      <formula>0</formula>
      <formula>0.01</formula>
    </cfRule>
    <cfRule type="cellIs" dxfId="419" priority="57" operator="between">
      <formula>0.04</formula>
      <formula>0.05</formula>
    </cfRule>
  </conditionalFormatting>
  <conditionalFormatting sqref="F16">
    <cfRule type="cellIs" dxfId="418" priority="52" operator="lessThan">
      <formula>$O$4</formula>
    </cfRule>
    <cfRule type="cellIs" dxfId="417" priority="53" operator="between">
      <formula>$O$4</formula>
      <formula>$O$5</formula>
    </cfRule>
    <cfRule type="cellIs" dxfId="416" priority="54" operator="greaterThan">
      <formula>$O$5</formula>
    </cfRule>
  </conditionalFormatting>
  <conditionalFormatting sqref="I6">
    <cfRule type="cellIs" dxfId="415" priority="49" operator="lessThan">
      <formula>1</formula>
    </cfRule>
    <cfRule type="cellIs" dxfId="414" priority="50" operator="between">
      <formula>1</formula>
      <formula>1.3</formula>
    </cfRule>
    <cfRule type="cellIs" dxfId="413" priority="51" operator="greaterThan">
      <formula>1.3</formula>
    </cfRule>
  </conditionalFormatting>
  <conditionalFormatting sqref="I7">
    <cfRule type="cellIs" dxfId="412" priority="46" operator="lessThan">
      <formula>0.9</formula>
    </cfRule>
    <cfRule type="cellIs" dxfId="411" priority="47" operator="between">
      <formula>0.9</formula>
      <formula>1.2</formula>
    </cfRule>
    <cfRule type="cellIs" dxfId="410" priority="48" operator="greaterThan">
      <formula>1.2</formula>
    </cfRule>
  </conditionalFormatting>
  <conditionalFormatting sqref="I8">
    <cfRule type="cellIs" dxfId="409" priority="43" operator="greaterThanOrEqual">
      <formula>0.2</formula>
    </cfRule>
    <cfRule type="cellIs" dxfId="408" priority="44" operator="between">
      <formula>0</formula>
      <formula>0.2</formula>
    </cfRule>
    <cfRule type="cellIs" dxfId="407" priority="45" operator="lessThan">
      <formula>0</formula>
    </cfRule>
  </conditionalFormatting>
  <conditionalFormatting sqref="I10">
    <cfRule type="cellIs" dxfId="406" priority="40" operator="greaterThanOrEqual">
      <formula>0</formula>
    </cfRule>
    <cfRule type="cellIs" dxfId="405" priority="42" operator="lessThan">
      <formula>0</formula>
    </cfRule>
  </conditionalFormatting>
  <conditionalFormatting sqref="I11">
    <cfRule type="cellIs" dxfId="404" priority="37" operator="lessThan">
      <formula>2</formula>
    </cfRule>
    <cfRule type="cellIs" dxfId="403" priority="38" operator="between">
      <formula>1.5</formula>
      <formula>2.5</formula>
    </cfRule>
    <cfRule type="cellIs" dxfId="402" priority="39" operator="greaterThan">
      <formula>2.5</formula>
    </cfRule>
  </conditionalFormatting>
  <conditionalFormatting sqref="I12">
    <cfRule type="cellIs" dxfId="401" priority="34" operator="greaterThanOrEqual">
      <formula>0</formula>
    </cfRule>
    <cfRule type="cellIs" dxfId="400" priority="35" operator="lessThan">
      <formula>0</formula>
    </cfRule>
  </conditionalFormatting>
  <conditionalFormatting sqref="I13">
    <cfRule type="cellIs" dxfId="399" priority="31" operator="lessThanOrEqual">
      <formula>0.725</formula>
    </cfRule>
    <cfRule type="cellIs" dxfId="398" priority="32" operator="greaterThan">
      <formula>0.725</formula>
    </cfRule>
  </conditionalFormatting>
  <conditionalFormatting sqref="I15">
    <cfRule type="cellIs" dxfId="397" priority="5" operator="lessThan">
      <formula>0</formula>
    </cfRule>
    <cfRule type="cellIs" dxfId="396" priority="6" operator="greaterThan">
      <formula>0.05</formula>
    </cfRule>
    <cfRule type="cellIs" dxfId="395" priority="25" operator="between">
      <formula>0.01</formula>
      <formula>0.04</formula>
    </cfRule>
    <cfRule type="cellIs" dxfId="394" priority="26" operator="between">
      <formula>0</formula>
      <formula>0.01</formula>
    </cfRule>
    <cfRule type="cellIs" dxfId="393" priority="27" operator="between">
      <formula>0.04</formula>
      <formula>0.05</formula>
    </cfRule>
  </conditionalFormatting>
  <conditionalFormatting sqref="I16">
    <cfRule type="cellIs" dxfId="392" priority="22" operator="lessThan">
      <formula>$P$4</formula>
    </cfRule>
    <cfRule type="cellIs" dxfId="391" priority="23" operator="between">
      <formula>$P$4</formula>
      <formula>$P$5</formula>
    </cfRule>
    <cfRule type="cellIs" dxfId="390" priority="24" operator="greaterThan">
      <formula>$P$5</formula>
    </cfRule>
  </conditionalFormatting>
  <conditionalFormatting sqref="I18">
    <cfRule type="cellIs" dxfId="389" priority="19" operator="lessThan">
      <formula>0.2</formula>
    </cfRule>
    <cfRule type="cellIs" dxfId="388" priority="20" operator="between">
      <formula>0.2</formula>
      <formula>0.25</formula>
    </cfRule>
    <cfRule type="cellIs" dxfId="387" priority="21" operator="greaterThan">
      <formula>0.25</formula>
    </cfRule>
  </conditionalFormatting>
  <conditionalFormatting sqref="I19">
    <cfRule type="cellIs" dxfId="386" priority="16" operator="lessThanOrEqual">
      <formula>0.085</formula>
    </cfRule>
    <cfRule type="cellIs" dxfId="385" priority="17" operator="greaterThan">
      <formula>0.085</formula>
    </cfRule>
  </conditionalFormatting>
  <conditionalFormatting sqref="F21:F22">
    <cfRule type="cellIs" dxfId="384" priority="3" operator="between">
      <formula>5.2</formula>
      <formula>5.8</formula>
    </cfRule>
    <cfRule type="cellIs" dxfId="383" priority="4" operator="lessThan">
      <formula>5.2</formula>
    </cfRule>
  </conditionalFormatting>
  <conditionalFormatting sqref="I21:I22">
    <cfRule type="cellIs" dxfId="382" priority="1" operator="between">
      <formula>5.2</formula>
      <formula>5.8</formula>
    </cfRule>
    <cfRule type="cellIs" dxfId="381" priority="2" operator="lessThan">
      <formula>5.2</formula>
    </cfRule>
  </conditionalFormatting>
  <dataValidations xWindow="587" yWindow="374" count="2">
    <dataValidation type="list" allowBlank="1" showInputMessage="1" showErrorMessage="1" promptTitle="selecteer gemeentenaam" prompt="selecteer gemeentenaam" sqref="D2:D3" xr:uid="{B20D0F7A-F9C3-4243-A837-096E47D43721}">
      <formula1>$A$2:$A$344</formula1>
    </dataValidation>
    <dataValidation type="list" allowBlank="1" showInputMessage="1" showErrorMessage="1" promptTitle="selecteer gemeentenaam" prompt="selecteer gemeentenaam" sqref="B2:C3" xr:uid="{FD52F4E7-07F9-4B2C-A02B-6CC5C3B872C6}">
      <formula1>$A$2:$A$347</formula1>
    </dataValidation>
  </dataValidations>
  <pageMargins left="0.7" right="0.7" top="0.75" bottom="0.75" header="0.3" footer="0.3"/>
  <pageSetup paperSize="9" orientation="portrait" r:id="rId1"/>
  <ignoredErrors>
    <ignoredError sqref="D11:E11 G11:H11 J11:K11"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W357"/>
  <sheetViews>
    <sheetView workbookViewId="0">
      <pane xSplit="2" ySplit="1" topLeftCell="AN2" activePane="bottomRight" state="frozen"/>
      <selection pane="topRight" activeCell="C1" sqref="C1"/>
      <selection pane="bottomLeft" activeCell="A2" sqref="A2"/>
      <selection pane="bottomRight" activeCell="AI298" sqref="AI298"/>
    </sheetView>
  </sheetViews>
  <sheetFormatPr defaultRowHeight="12.5" x14ac:dyDescent="0.25"/>
  <cols>
    <col min="1" max="1" width="10.6328125" bestFit="1" customWidth="1"/>
    <col min="2" max="2" width="29.36328125" bestFit="1" customWidth="1"/>
    <col min="3" max="3" width="39.26953125" style="128" bestFit="1" customWidth="1"/>
    <col min="4" max="4" width="19.26953125" style="128" bestFit="1" customWidth="1"/>
    <col min="5" max="5" width="7.81640625" style="128" bestFit="1" customWidth="1"/>
    <col min="6" max="6" width="14.1796875" customWidth="1"/>
    <col min="7" max="7" width="18.90625" bestFit="1" customWidth="1"/>
    <col min="8" max="8" width="25" bestFit="1" customWidth="1"/>
    <col min="9" max="9" width="12.90625" bestFit="1" customWidth="1"/>
    <col min="10" max="10" width="20" bestFit="1" customWidth="1"/>
    <col min="11" max="11" width="14.1796875" bestFit="1" customWidth="1"/>
    <col min="12" max="12" width="14.36328125" bestFit="1" customWidth="1"/>
    <col min="13" max="13" width="27.6328125" bestFit="1" customWidth="1"/>
    <col min="14" max="14" width="15.26953125" bestFit="1" customWidth="1"/>
    <col min="15" max="15" width="17.26953125" bestFit="1" customWidth="1"/>
    <col min="16" max="16" width="26.7265625" bestFit="1" customWidth="1"/>
    <col min="17" max="17" width="19.453125" bestFit="1" customWidth="1"/>
    <col min="18" max="19" width="19.453125" customWidth="1"/>
    <col min="20" max="20" width="34.81640625" bestFit="1" customWidth="1"/>
    <col min="21" max="21" width="13.81640625" bestFit="1" customWidth="1"/>
    <col min="22" max="22" width="18.1796875" style="128" bestFit="1" customWidth="1"/>
    <col min="23" max="23" width="12.1796875" bestFit="1" customWidth="1"/>
    <col min="24" max="24" width="17.7265625" bestFit="1" customWidth="1"/>
    <col min="25" max="25" width="20.1796875" bestFit="1" customWidth="1"/>
    <col min="26" max="26" width="15.54296875" bestFit="1" customWidth="1"/>
    <col min="27" max="27" width="11.6328125" bestFit="1" customWidth="1"/>
    <col min="28" max="28" width="14.08984375" bestFit="1" customWidth="1"/>
    <col min="29" max="29" width="18.6328125" bestFit="1" customWidth="1"/>
    <col min="30" max="30" width="17.54296875" bestFit="1" customWidth="1"/>
    <col min="31" max="31" width="10.36328125" bestFit="1" customWidth="1"/>
    <col min="32" max="32" width="13.54296875" style="128" bestFit="1" customWidth="1"/>
    <col min="33" max="33" width="20.7265625" bestFit="1" customWidth="1"/>
    <col min="34" max="34" width="23.6328125" bestFit="1" customWidth="1"/>
    <col min="39" max="39" width="27.7265625" bestFit="1" customWidth="1"/>
    <col min="40" max="40" width="23.6328125" style="128" bestFit="1" customWidth="1"/>
    <col min="47" max="47" width="27.7265625" bestFit="1" customWidth="1"/>
  </cols>
  <sheetData>
    <row r="1" spans="1:44" x14ac:dyDescent="0.25">
      <c r="A1" t="s">
        <v>554</v>
      </c>
      <c r="B1" t="s">
        <v>588</v>
      </c>
      <c r="C1" s="243" t="s">
        <v>936</v>
      </c>
      <c r="D1" s="243" t="s">
        <v>937</v>
      </c>
      <c r="E1" s="128" t="s">
        <v>816</v>
      </c>
      <c r="F1" s="86" t="s">
        <v>852</v>
      </c>
      <c r="G1" t="s">
        <v>686</v>
      </c>
      <c r="H1" t="s">
        <v>938</v>
      </c>
      <c r="I1" t="s">
        <v>939</v>
      </c>
      <c r="J1" t="s">
        <v>940</v>
      </c>
      <c r="K1" t="s">
        <v>941</v>
      </c>
      <c r="L1" t="s">
        <v>942</v>
      </c>
      <c r="M1" t="s">
        <v>943</v>
      </c>
      <c r="N1" t="s">
        <v>944</v>
      </c>
      <c r="O1" t="s">
        <v>945</v>
      </c>
      <c r="P1" t="s">
        <v>946</v>
      </c>
      <c r="Q1" t="s">
        <v>947</v>
      </c>
      <c r="S1" t="s">
        <v>588</v>
      </c>
      <c r="T1" t="s">
        <v>956</v>
      </c>
      <c r="U1" t="s">
        <v>957</v>
      </c>
      <c r="V1" s="128" t="s">
        <v>797</v>
      </c>
      <c r="W1" t="s">
        <v>958</v>
      </c>
      <c r="X1" t="s">
        <v>959</v>
      </c>
      <c r="Y1" t="s">
        <v>960</v>
      </c>
      <c r="Z1" t="s">
        <v>961</v>
      </c>
      <c r="AA1" t="s">
        <v>962</v>
      </c>
      <c r="AB1" t="s">
        <v>963</v>
      </c>
      <c r="AC1" t="s">
        <v>964</v>
      </c>
      <c r="AD1" t="s">
        <v>965</v>
      </c>
      <c r="AE1" t="s">
        <v>1026</v>
      </c>
      <c r="AF1" s="128" t="s">
        <v>1027</v>
      </c>
      <c r="AG1" t="s">
        <v>1028</v>
      </c>
      <c r="AH1" t="s">
        <v>1029</v>
      </c>
      <c r="AI1" t="s">
        <v>1030</v>
      </c>
      <c r="AM1" t="s">
        <v>588</v>
      </c>
      <c r="AN1" s="128" t="s">
        <v>966</v>
      </c>
      <c r="AO1" t="s">
        <v>1014</v>
      </c>
    </row>
    <row r="2" spans="1:44" x14ac:dyDescent="0.25">
      <c r="A2" t="s">
        <v>516</v>
      </c>
      <c r="B2" t="s">
        <v>106</v>
      </c>
      <c r="C2" s="128">
        <v>63715</v>
      </c>
      <c r="D2" s="128">
        <v>2333</v>
      </c>
      <c r="E2" s="128">
        <v>123</v>
      </c>
      <c r="F2" s="128">
        <v>2439</v>
      </c>
      <c r="G2" s="128">
        <v>15660</v>
      </c>
      <c r="H2" s="128">
        <v>4486</v>
      </c>
      <c r="I2" s="128">
        <v>1703</v>
      </c>
      <c r="J2" s="128">
        <v>2122</v>
      </c>
      <c r="K2" s="128">
        <v>605</v>
      </c>
      <c r="L2" s="128">
        <v>1194</v>
      </c>
      <c r="M2" s="128">
        <v>5104</v>
      </c>
      <c r="N2" s="128">
        <v>8339</v>
      </c>
      <c r="O2" s="128">
        <v>14892</v>
      </c>
      <c r="P2" s="128">
        <v>4703</v>
      </c>
      <c r="Q2" s="128">
        <v>108</v>
      </c>
      <c r="R2" s="128"/>
      <c r="S2" t="s">
        <v>106</v>
      </c>
      <c r="T2" s="128">
        <f>SUM(C2,-D2,-E2,-F2)</f>
        <v>58820</v>
      </c>
      <c r="U2" s="128">
        <v>43789</v>
      </c>
      <c r="V2" s="128">
        <v>39712042.877850078</v>
      </c>
      <c r="W2" s="128">
        <v>2071</v>
      </c>
      <c r="X2" s="128">
        <v>2502</v>
      </c>
      <c r="Y2" s="128">
        <v>130</v>
      </c>
      <c r="Z2" s="128">
        <v>324</v>
      </c>
      <c r="AA2" s="128">
        <v>567</v>
      </c>
      <c r="AB2" s="128">
        <v>25</v>
      </c>
      <c r="AC2" s="128">
        <v>1647</v>
      </c>
      <c r="AD2" s="128">
        <v>0</v>
      </c>
      <c r="AE2" s="128">
        <v>36</v>
      </c>
      <c r="AF2" s="128">
        <f>SUM(T2,-U2,V2/1000,-W2,-X2,-Y2,-Z2,-AA2,-AB2,-AC2,-AD2,-AE2)</f>
        <v>47441.042877850079</v>
      </c>
      <c r="AG2" s="128">
        <v>25574</v>
      </c>
      <c r="AH2" s="128">
        <f>AF2*1000/AG2</f>
        <v>1855.0497723410526</v>
      </c>
      <c r="AI2" t="s">
        <v>118</v>
      </c>
      <c r="AM2" t="s">
        <v>239</v>
      </c>
      <c r="AN2" s="128">
        <v>2078.1851901206287</v>
      </c>
      <c r="AO2" t="s">
        <v>441</v>
      </c>
      <c r="AQ2" t="s">
        <v>441</v>
      </c>
      <c r="AR2">
        <v>2060</v>
      </c>
    </row>
    <row r="3" spans="1:44" x14ac:dyDescent="0.25">
      <c r="A3" t="s">
        <v>518</v>
      </c>
      <c r="B3" t="s">
        <v>238</v>
      </c>
      <c r="C3" s="128">
        <v>91347</v>
      </c>
      <c r="D3" s="128">
        <v>3903</v>
      </c>
      <c r="E3" s="128">
        <v>90</v>
      </c>
      <c r="F3" s="128">
        <v>3988</v>
      </c>
      <c r="G3" s="128">
        <v>1999</v>
      </c>
      <c r="H3" s="128">
        <v>12308</v>
      </c>
      <c r="I3" s="128">
        <v>3138</v>
      </c>
      <c r="J3" s="128">
        <v>6512</v>
      </c>
      <c r="K3" s="128">
        <v>16801</v>
      </c>
      <c r="L3" s="128">
        <v>1704</v>
      </c>
      <c r="M3" s="128">
        <v>6888</v>
      </c>
      <c r="N3" s="128">
        <v>6315</v>
      </c>
      <c r="O3" s="128">
        <v>15867</v>
      </c>
      <c r="P3" s="128">
        <v>8142</v>
      </c>
      <c r="Q3" s="128">
        <v>3757</v>
      </c>
      <c r="R3" s="128"/>
      <c r="S3" t="s">
        <v>238</v>
      </c>
      <c r="T3" s="128">
        <f t="shared" ref="T3:T66" si="0">SUM(C3,-D3,-E3,-F3)</f>
        <v>83366</v>
      </c>
      <c r="U3" s="128">
        <v>42122</v>
      </c>
      <c r="V3" s="128">
        <v>38920353.766881242</v>
      </c>
      <c r="W3" s="128">
        <v>2897</v>
      </c>
      <c r="X3" s="128">
        <v>3711</v>
      </c>
      <c r="Y3" s="128">
        <v>550</v>
      </c>
      <c r="Z3" s="128">
        <v>337</v>
      </c>
      <c r="AA3" s="128">
        <v>872</v>
      </c>
      <c r="AB3" s="128">
        <v>141</v>
      </c>
      <c r="AC3" s="128">
        <v>712</v>
      </c>
      <c r="AD3" s="128">
        <v>19</v>
      </c>
      <c r="AE3" s="128">
        <v>735</v>
      </c>
      <c r="AF3" s="128">
        <f t="shared" ref="AF3:AF66" si="1">SUM(T3,-U3,V3/1000,-W3,-X3,-Y3,-Z3,-AA3,-AB3,-AC3,-AD3,-AE3)</f>
        <v>70190.35376688125</v>
      </c>
      <c r="AG3" s="128">
        <v>32445</v>
      </c>
      <c r="AH3" s="128">
        <f t="shared" ref="AH3:AH66" si="2">AF3*1000/AG3</f>
        <v>2163.364270823894</v>
      </c>
      <c r="AI3" t="s">
        <v>467</v>
      </c>
      <c r="AM3" t="s">
        <v>141</v>
      </c>
      <c r="AN3" s="128">
        <v>2478.6969983377335</v>
      </c>
      <c r="AO3" t="s">
        <v>441</v>
      </c>
      <c r="AQ3" t="s">
        <v>441</v>
      </c>
      <c r="AR3">
        <v>2577</v>
      </c>
    </row>
    <row r="4" spans="1:44" x14ac:dyDescent="0.25">
      <c r="A4" t="s">
        <v>517</v>
      </c>
      <c r="B4" t="s">
        <v>165</v>
      </c>
      <c r="C4" s="128">
        <v>64693</v>
      </c>
      <c r="D4" s="128">
        <v>308</v>
      </c>
      <c r="E4" s="128">
        <v>411</v>
      </c>
      <c r="F4" s="128">
        <v>2029</v>
      </c>
      <c r="G4" s="128">
        <v>14416</v>
      </c>
      <c r="H4" s="128">
        <v>5747</v>
      </c>
      <c r="I4" s="128">
        <v>1845</v>
      </c>
      <c r="J4" s="128">
        <v>1248</v>
      </c>
      <c r="K4" s="128">
        <v>209</v>
      </c>
      <c r="L4" s="128">
        <v>1257</v>
      </c>
      <c r="M4" s="128">
        <v>2994</v>
      </c>
      <c r="N4" s="128">
        <v>15868</v>
      </c>
      <c r="O4" s="128">
        <v>14516</v>
      </c>
      <c r="P4" s="128">
        <v>3594</v>
      </c>
      <c r="Q4" s="128">
        <v>286</v>
      </c>
      <c r="R4" s="128"/>
      <c r="S4" t="s">
        <v>165</v>
      </c>
      <c r="T4" s="128">
        <f t="shared" si="0"/>
        <v>61945</v>
      </c>
      <c r="U4" s="128">
        <v>51733</v>
      </c>
      <c r="V4" s="128">
        <v>42941462.994487412</v>
      </c>
      <c r="W4" s="128">
        <v>1983</v>
      </c>
      <c r="X4" s="128">
        <v>1435</v>
      </c>
      <c r="Y4" s="128">
        <v>302</v>
      </c>
      <c r="Z4" s="128">
        <v>234</v>
      </c>
      <c r="AA4" s="128">
        <v>361</v>
      </c>
      <c r="AB4" s="128">
        <v>107</v>
      </c>
      <c r="AC4" s="128">
        <v>103</v>
      </c>
      <c r="AD4" s="128">
        <v>9</v>
      </c>
      <c r="AE4" s="128">
        <v>104</v>
      </c>
      <c r="AF4" s="128">
        <f t="shared" si="1"/>
        <v>48515.46299448741</v>
      </c>
      <c r="AG4" s="128">
        <v>27100</v>
      </c>
      <c r="AH4" s="128">
        <f t="shared" si="2"/>
        <v>1790.2384868814543</v>
      </c>
      <c r="AI4" t="s">
        <v>118</v>
      </c>
      <c r="AM4" t="s">
        <v>429</v>
      </c>
      <c r="AN4" s="128">
        <v>2497.355640659865</v>
      </c>
      <c r="AO4" t="s">
        <v>441</v>
      </c>
      <c r="AQ4" t="s">
        <v>118</v>
      </c>
      <c r="AR4">
        <v>1674</v>
      </c>
    </row>
    <row r="5" spans="1:44" x14ac:dyDescent="0.25">
      <c r="A5" t="s">
        <v>520</v>
      </c>
      <c r="B5" t="s">
        <v>127</v>
      </c>
      <c r="C5" s="128">
        <v>89035</v>
      </c>
      <c r="D5" s="128">
        <v>239</v>
      </c>
      <c r="E5" s="128">
        <v>927</v>
      </c>
      <c r="F5" s="128">
        <v>3738</v>
      </c>
      <c r="G5" s="128">
        <v>7165</v>
      </c>
      <c r="H5" s="128">
        <v>11791</v>
      </c>
      <c r="I5" s="128">
        <v>2550</v>
      </c>
      <c r="J5" s="128">
        <v>2878</v>
      </c>
      <c r="K5" s="128">
        <v>775</v>
      </c>
      <c r="L5" s="128">
        <v>3602</v>
      </c>
      <c r="M5" s="128">
        <v>4418</v>
      </c>
      <c r="N5" s="128">
        <v>16643</v>
      </c>
      <c r="O5" s="128">
        <v>24975</v>
      </c>
      <c r="P5" s="128">
        <v>6739</v>
      </c>
      <c r="Q5" s="128">
        <v>2595</v>
      </c>
      <c r="R5" s="128"/>
      <c r="S5" t="s">
        <v>127</v>
      </c>
      <c r="T5" s="128">
        <f t="shared" si="0"/>
        <v>84131</v>
      </c>
      <c r="U5" s="128">
        <v>68191</v>
      </c>
      <c r="V5" s="128">
        <v>50843306.498692095</v>
      </c>
      <c r="W5" s="128">
        <v>2197</v>
      </c>
      <c r="X5" s="128">
        <v>3937</v>
      </c>
      <c r="Y5" s="128">
        <v>0</v>
      </c>
      <c r="Z5" s="128">
        <v>265</v>
      </c>
      <c r="AA5" s="128">
        <v>478</v>
      </c>
      <c r="AB5" s="128">
        <v>59</v>
      </c>
      <c r="AC5" s="128">
        <v>20</v>
      </c>
      <c r="AD5" s="128">
        <v>0</v>
      </c>
      <c r="AE5" s="128">
        <v>205</v>
      </c>
      <c r="AF5" s="128">
        <f t="shared" si="1"/>
        <v>59622.306498692094</v>
      </c>
      <c r="AG5" s="128">
        <v>27960</v>
      </c>
      <c r="AH5" s="128">
        <f t="shared" si="2"/>
        <v>2132.4143955183154</v>
      </c>
      <c r="AI5" t="s">
        <v>118</v>
      </c>
      <c r="AM5" t="s">
        <v>214</v>
      </c>
      <c r="AN5" s="128">
        <v>2188.0658793358439</v>
      </c>
      <c r="AO5" t="s">
        <v>441</v>
      </c>
      <c r="AQ5" t="s">
        <v>118</v>
      </c>
      <c r="AR5">
        <v>2139</v>
      </c>
    </row>
    <row r="6" spans="1:44" x14ac:dyDescent="0.25">
      <c r="A6" t="s">
        <v>521</v>
      </c>
      <c r="B6" t="s">
        <v>283</v>
      </c>
      <c r="C6" s="128">
        <v>55766</v>
      </c>
      <c r="D6" s="128">
        <v>349</v>
      </c>
      <c r="E6" s="128">
        <v>81</v>
      </c>
      <c r="F6" s="128">
        <v>2789</v>
      </c>
      <c r="G6" s="128">
        <v>7077</v>
      </c>
      <c r="H6" s="128">
        <v>2750</v>
      </c>
      <c r="I6" s="128">
        <v>1936</v>
      </c>
      <c r="J6" s="128">
        <v>1146</v>
      </c>
      <c r="K6" s="128">
        <v>1238</v>
      </c>
      <c r="L6" s="128">
        <v>1732</v>
      </c>
      <c r="M6" s="128">
        <v>4847</v>
      </c>
      <c r="N6" s="128">
        <v>10348</v>
      </c>
      <c r="O6" s="128">
        <v>13026</v>
      </c>
      <c r="P6" s="128">
        <v>5255</v>
      </c>
      <c r="Q6" s="128">
        <v>2062</v>
      </c>
      <c r="R6" s="128"/>
      <c r="S6" t="s">
        <v>283</v>
      </c>
      <c r="T6" s="128">
        <f t="shared" si="0"/>
        <v>52547</v>
      </c>
      <c r="U6" s="128">
        <v>39674</v>
      </c>
      <c r="V6" s="128">
        <v>32223234.163237214</v>
      </c>
      <c r="W6" s="128">
        <v>1520</v>
      </c>
      <c r="X6" s="128">
        <v>3292</v>
      </c>
      <c r="Y6" s="128">
        <v>522</v>
      </c>
      <c r="Z6" s="128">
        <v>174</v>
      </c>
      <c r="AA6" s="128">
        <v>1132</v>
      </c>
      <c r="AB6" s="128">
        <v>103</v>
      </c>
      <c r="AC6" s="128">
        <v>32</v>
      </c>
      <c r="AD6" s="128">
        <v>0</v>
      </c>
      <c r="AE6" s="128">
        <v>77</v>
      </c>
      <c r="AF6" s="128">
        <f t="shared" si="1"/>
        <v>38244.234163237212</v>
      </c>
      <c r="AG6" s="128">
        <v>20093</v>
      </c>
      <c r="AH6" s="128">
        <f t="shared" si="2"/>
        <v>1903.3610791438418</v>
      </c>
      <c r="AI6" t="s">
        <v>467</v>
      </c>
      <c r="AM6" t="s">
        <v>241</v>
      </c>
      <c r="AN6" s="128">
        <v>3273.7197952275064</v>
      </c>
      <c r="AO6" t="s">
        <v>441</v>
      </c>
      <c r="AQ6" t="s">
        <v>467</v>
      </c>
      <c r="AR6">
        <v>1522</v>
      </c>
    </row>
    <row r="7" spans="1:44" x14ac:dyDescent="0.25">
      <c r="A7" t="s">
        <v>521</v>
      </c>
      <c r="B7" t="s">
        <v>284</v>
      </c>
      <c r="C7" s="128">
        <v>58404</v>
      </c>
      <c r="D7" s="128">
        <v>1692</v>
      </c>
      <c r="E7" s="128">
        <v>701</v>
      </c>
      <c r="F7" s="128">
        <v>3336</v>
      </c>
      <c r="G7" s="128">
        <v>1425</v>
      </c>
      <c r="H7" s="128">
        <v>11239</v>
      </c>
      <c r="I7" s="128">
        <v>1539</v>
      </c>
      <c r="J7" s="128">
        <v>3643</v>
      </c>
      <c r="K7" s="128">
        <v>137</v>
      </c>
      <c r="L7" s="128">
        <v>1338</v>
      </c>
      <c r="M7" s="128">
        <v>4343</v>
      </c>
      <c r="N7" s="128">
        <v>7260</v>
      </c>
      <c r="O7" s="128">
        <v>12332</v>
      </c>
      <c r="P7" s="128">
        <v>7977</v>
      </c>
      <c r="Q7" s="128">
        <v>1470</v>
      </c>
      <c r="R7" s="128"/>
      <c r="S7" t="s">
        <v>284</v>
      </c>
      <c r="T7" s="128">
        <f t="shared" si="0"/>
        <v>52675</v>
      </c>
      <c r="U7" s="128">
        <v>36859</v>
      </c>
      <c r="V7" s="128">
        <v>32729798.790684298</v>
      </c>
      <c r="W7" s="128">
        <v>2982</v>
      </c>
      <c r="X7" s="128">
        <v>3995</v>
      </c>
      <c r="Y7" s="128">
        <v>213</v>
      </c>
      <c r="Z7" s="128">
        <v>313</v>
      </c>
      <c r="AA7" s="128">
        <v>556</v>
      </c>
      <c r="AB7" s="128">
        <v>31</v>
      </c>
      <c r="AC7" s="128">
        <v>0</v>
      </c>
      <c r="AD7" s="128">
        <v>0</v>
      </c>
      <c r="AE7" s="128">
        <v>168</v>
      </c>
      <c r="AF7" s="128">
        <f t="shared" si="1"/>
        <v>40287.798790684297</v>
      </c>
      <c r="AG7" s="128">
        <v>25929</v>
      </c>
      <c r="AH7" s="128">
        <f t="shared" si="2"/>
        <v>1553.7737201852867</v>
      </c>
      <c r="AI7" t="s">
        <v>467</v>
      </c>
      <c r="AM7" t="s">
        <v>166</v>
      </c>
      <c r="AN7" s="128">
        <v>2165.17051550732</v>
      </c>
      <c r="AO7" t="s">
        <v>441</v>
      </c>
      <c r="AQ7" t="s">
        <v>467</v>
      </c>
      <c r="AR7">
        <v>1900</v>
      </c>
    </row>
    <row r="8" spans="1:44" x14ac:dyDescent="0.25">
      <c r="A8" t="s">
        <v>518</v>
      </c>
      <c r="B8" t="s">
        <v>239</v>
      </c>
      <c r="C8" s="128">
        <v>397074</v>
      </c>
      <c r="D8" s="128">
        <v>17606</v>
      </c>
      <c r="E8" s="128">
        <v>5757</v>
      </c>
      <c r="F8" s="128">
        <v>17678</v>
      </c>
      <c r="G8" s="128">
        <v>48748</v>
      </c>
      <c r="H8" s="128">
        <v>19896</v>
      </c>
      <c r="I8" s="128">
        <v>12607</v>
      </c>
      <c r="J8" s="128">
        <v>16073</v>
      </c>
      <c r="K8" s="128">
        <v>10966</v>
      </c>
      <c r="L8" s="128">
        <v>10204</v>
      </c>
      <c r="M8" s="128">
        <v>39314</v>
      </c>
      <c r="N8" s="128">
        <v>73424</v>
      </c>
      <c r="O8" s="128">
        <v>99281</v>
      </c>
      <c r="P8" s="128">
        <v>22678</v>
      </c>
      <c r="Q8" s="128">
        <v>8036</v>
      </c>
      <c r="R8" s="128"/>
      <c r="S8" t="s">
        <v>239</v>
      </c>
      <c r="T8" s="128">
        <f t="shared" si="0"/>
        <v>356033</v>
      </c>
      <c r="U8" s="128">
        <v>283208</v>
      </c>
      <c r="V8" s="128">
        <v>195435573.50966209</v>
      </c>
      <c r="W8" s="128">
        <v>8917</v>
      </c>
      <c r="X8" s="128">
        <v>14054</v>
      </c>
      <c r="Y8" s="128">
        <v>133</v>
      </c>
      <c r="Z8" s="128">
        <v>993</v>
      </c>
      <c r="AA8" s="128">
        <v>2378</v>
      </c>
      <c r="AB8" s="128">
        <v>526</v>
      </c>
      <c r="AC8" s="128">
        <v>572</v>
      </c>
      <c r="AD8" s="128">
        <v>8853</v>
      </c>
      <c r="AE8" s="128">
        <v>1634</v>
      </c>
      <c r="AF8" s="128">
        <f t="shared" si="1"/>
        <v>230200.57350966206</v>
      </c>
      <c r="AG8" s="128">
        <v>110770</v>
      </c>
      <c r="AH8" s="128">
        <f t="shared" si="2"/>
        <v>2078.1851901206287</v>
      </c>
      <c r="AI8" t="s">
        <v>441</v>
      </c>
      <c r="AM8" t="s">
        <v>167</v>
      </c>
      <c r="AN8" s="128">
        <v>2372.6076556445673</v>
      </c>
      <c r="AO8" t="s">
        <v>441</v>
      </c>
    </row>
    <row r="9" spans="1:44" x14ac:dyDescent="0.25">
      <c r="A9" t="s">
        <v>522</v>
      </c>
      <c r="B9" t="s">
        <v>141</v>
      </c>
      <c r="C9" s="128">
        <v>300696</v>
      </c>
      <c r="D9" s="128">
        <v>6082</v>
      </c>
      <c r="E9" s="128">
        <v>3133</v>
      </c>
      <c r="F9" s="128">
        <v>11372</v>
      </c>
      <c r="G9" s="128">
        <v>57072</v>
      </c>
      <c r="H9" s="128">
        <v>7752</v>
      </c>
      <c r="I9" s="128">
        <v>6092</v>
      </c>
      <c r="J9" s="128">
        <v>10704</v>
      </c>
      <c r="K9" s="128">
        <v>12822</v>
      </c>
      <c r="L9" s="128">
        <v>4010</v>
      </c>
      <c r="M9" s="128">
        <v>13137</v>
      </c>
      <c r="N9" s="128">
        <v>68688</v>
      </c>
      <c r="O9" s="128">
        <v>79821</v>
      </c>
      <c r="P9" s="128">
        <v>19389</v>
      </c>
      <c r="Q9" s="128">
        <v>1653</v>
      </c>
      <c r="R9" s="128"/>
      <c r="S9" t="s">
        <v>141</v>
      </c>
      <c r="T9" s="128">
        <f t="shared" si="0"/>
        <v>280109</v>
      </c>
      <c r="U9" s="128">
        <v>225001</v>
      </c>
      <c r="V9" s="128">
        <v>151483642.82240188</v>
      </c>
      <c r="W9" s="128">
        <v>10745</v>
      </c>
      <c r="X9" s="128">
        <v>8407</v>
      </c>
      <c r="Y9" s="128">
        <v>418</v>
      </c>
      <c r="Z9" s="128">
        <v>699</v>
      </c>
      <c r="AA9" s="128">
        <v>1756</v>
      </c>
      <c r="AB9" s="128">
        <v>249</v>
      </c>
      <c r="AC9" s="128">
        <v>399</v>
      </c>
      <c r="AD9" s="128">
        <v>2082</v>
      </c>
      <c r="AE9" s="128">
        <v>515</v>
      </c>
      <c r="AF9" s="128">
        <f t="shared" si="1"/>
        <v>181321.64282240189</v>
      </c>
      <c r="AG9" s="128">
        <v>73152</v>
      </c>
      <c r="AH9" s="128">
        <f t="shared" si="2"/>
        <v>2478.6969983377335</v>
      </c>
      <c r="AI9" t="s">
        <v>441</v>
      </c>
      <c r="AM9" t="s">
        <v>107</v>
      </c>
      <c r="AN9" s="128">
        <v>2358.2425694875446</v>
      </c>
      <c r="AO9" t="s">
        <v>441</v>
      </c>
    </row>
    <row r="10" spans="1:44" x14ac:dyDescent="0.25">
      <c r="A10" t="s">
        <v>523</v>
      </c>
      <c r="B10" t="s">
        <v>429</v>
      </c>
      <c r="C10" s="128">
        <v>971924</v>
      </c>
      <c r="D10" s="128">
        <v>82630</v>
      </c>
      <c r="E10" s="128">
        <v>11678</v>
      </c>
      <c r="F10" s="128">
        <v>25338</v>
      </c>
      <c r="G10" s="128">
        <v>152207</v>
      </c>
      <c r="H10" s="128">
        <v>35938</v>
      </c>
      <c r="I10" s="128">
        <v>16834</v>
      </c>
      <c r="J10" s="128">
        <v>45907</v>
      </c>
      <c r="K10" s="128">
        <v>76169</v>
      </c>
      <c r="L10" s="128">
        <v>33997</v>
      </c>
      <c r="M10" s="128">
        <v>60883</v>
      </c>
      <c r="N10" s="128">
        <v>128672</v>
      </c>
      <c r="O10" s="128">
        <v>222598</v>
      </c>
      <c r="P10" s="128">
        <v>57040</v>
      </c>
      <c r="Q10" s="128">
        <v>32211</v>
      </c>
      <c r="R10" s="128"/>
      <c r="S10" t="s">
        <v>429</v>
      </c>
      <c r="T10" s="128">
        <f t="shared" si="0"/>
        <v>852278</v>
      </c>
      <c r="U10" s="128">
        <v>595644</v>
      </c>
      <c r="V10" s="128">
        <v>372303444.82826692</v>
      </c>
      <c r="W10" s="128">
        <v>16598</v>
      </c>
      <c r="X10" s="128">
        <v>33756</v>
      </c>
      <c r="Y10" s="128">
        <v>0</v>
      </c>
      <c r="Z10" s="128">
        <v>2447</v>
      </c>
      <c r="AA10" s="128">
        <v>10686</v>
      </c>
      <c r="AB10" s="128">
        <v>835</v>
      </c>
      <c r="AC10" s="128">
        <v>1199</v>
      </c>
      <c r="AD10" s="128">
        <v>16137</v>
      </c>
      <c r="AE10" s="128">
        <v>3248</v>
      </c>
      <c r="AF10" s="128">
        <f t="shared" si="1"/>
        <v>544031.44482826698</v>
      </c>
      <c r="AG10" s="128">
        <v>217843</v>
      </c>
      <c r="AH10" s="128">
        <f t="shared" si="2"/>
        <v>2497.355640659865</v>
      </c>
      <c r="AI10" t="s">
        <v>441</v>
      </c>
      <c r="AM10" t="s">
        <v>347</v>
      </c>
      <c r="AN10" s="128">
        <v>2631.6778165932533</v>
      </c>
      <c r="AO10" t="s">
        <v>441</v>
      </c>
    </row>
    <row r="11" spans="1:44" x14ac:dyDescent="0.25">
      <c r="A11" t="s">
        <v>521</v>
      </c>
      <c r="B11" t="s">
        <v>285</v>
      </c>
      <c r="C11" s="128">
        <v>341789</v>
      </c>
      <c r="D11" s="128">
        <v>11005</v>
      </c>
      <c r="E11" s="128">
        <v>4079</v>
      </c>
      <c r="F11" s="128">
        <v>16260</v>
      </c>
      <c r="G11" s="128">
        <v>68774</v>
      </c>
      <c r="H11" s="128">
        <v>31509</v>
      </c>
      <c r="I11" s="128">
        <v>8053</v>
      </c>
      <c r="J11" s="128">
        <v>16093</v>
      </c>
      <c r="K11" s="128">
        <v>6713</v>
      </c>
      <c r="L11" s="128">
        <v>9626</v>
      </c>
      <c r="M11" s="128">
        <v>18374</v>
      </c>
      <c r="N11" s="128">
        <v>49020</v>
      </c>
      <c r="O11" s="128">
        <v>65541</v>
      </c>
      <c r="P11" s="128">
        <v>33560</v>
      </c>
      <c r="Q11" s="128">
        <v>6016</v>
      </c>
      <c r="R11" s="128"/>
      <c r="S11" t="s">
        <v>285</v>
      </c>
      <c r="T11" s="128">
        <f t="shared" si="0"/>
        <v>310445</v>
      </c>
      <c r="U11" s="128">
        <v>216734</v>
      </c>
      <c r="V11" s="128">
        <v>173501613.26581338</v>
      </c>
      <c r="W11" s="128">
        <v>12865</v>
      </c>
      <c r="X11" s="128">
        <v>14380</v>
      </c>
      <c r="Y11" s="128">
        <v>850</v>
      </c>
      <c r="Z11" s="128">
        <v>1843</v>
      </c>
      <c r="AA11" s="128">
        <v>1928</v>
      </c>
      <c r="AB11" s="128">
        <v>294</v>
      </c>
      <c r="AC11" s="128">
        <v>100</v>
      </c>
      <c r="AD11" s="128">
        <v>4041</v>
      </c>
      <c r="AE11" s="128">
        <v>946</v>
      </c>
      <c r="AF11" s="128">
        <f t="shared" si="1"/>
        <v>229965.61326581339</v>
      </c>
      <c r="AG11" s="128">
        <v>112905</v>
      </c>
      <c r="AH11" s="128">
        <f t="shared" si="2"/>
        <v>2036.8062819699162</v>
      </c>
      <c r="AI11" t="s">
        <v>467</v>
      </c>
      <c r="AM11" t="s">
        <v>354</v>
      </c>
      <c r="AN11" s="128">
        <v>2273.2825062289407</v>
      </c>
      <c r="AO11" t="s">
        <v>441</v>
      </c>
    </row>
    <row r="12" spans="1:44" x14ac:dyDescent="0.25">
      <c r="A12" t="s">
        <v>517</v>
      </c>
      <c r="B12" t="s">
        <v>343</v>
      </c>
      <c r="C12" s="128">
        <v>24491</v>
      </c>
      <c r="D12" s="128">
        <v>1848</v>
      </c>
      <c r="E12" s="128">
        <v>331</v>
      </c>
      <c r="F12" s="128">
        <v>768</v>
      </c>
      <c r="G12" s="128">
        <v>825</v>
      </c>
      <c r="H12" s="128">
        <v>4720</v>
      </c>
      <c r="I12" s="128">
        <v>1130</v>
      </c>
      <c r="J12" s="128">
        <v>1278</v>
      </c>
      <c r="K12" s="128">
        <v>152</v>
      </c>
      <c r="L12" s="128">
        <v>583</v>
      </c>
      <c r="M12" s="128">
        <v>2071</v>
      </c>
      <c r="N12" s="128">
        <v>2647</v>
      </c>
      <c r="O12" s="128">
        <v>4458</v>
      </c>
      <c r="P12" s="128">
        <v>2756</v>
      </c>
      <c r="Q12" s="128">
        <v>951</v>
      </c>
      <c r="R12" s="128"/>
      <c r="S12" t="s">
        <v>343</v>
      </c>
      <c r="T12" s="128">
        <f t="shared" si="0"/>
        <v>21544</v>
      </c>
      <c r="U12" s="128">
        <v>15977</v>
      </c>
      <c r="V12" s="128">
        <v>13653618.96386007</v>
      </c>
      <c r="W12" s="128">
        <v>1419</v>
      </c>
      <c r="X12" s="128">
        <v>1149</v>
      </c>
      <c r="Y12" s="128">
        <v>19</v>
      </c>
      <c r="Z12" s="128">
        <v>160</v>
      </c>
      <c r="AA12" s="128">
        <v>448</v>
      </c>
      <c r="AB12" s="128">
        <v>53</v>
      </c>
      <c r="AC12" s="128">
        <v>234</v>
      </c>
      <c r="AD12" s="128">
        <v>0</v>
      </c>
      <c r="AE12" s="128">
        <v>43</v>
      </c>
      <c r="AF12" s="128">
        <f t="shared" si="1"/>
        <v>15695.61896386007</v>
      </c>
      <c r="AG12" s="128">
        <v>10428</v>
      </c>
      <c r="AH12" s="128">
        <f t="shared" si="2"/>
        <v>1505.1418262236355</v>
      </c>
      <c r="AI12" t="s">
        <v>467</v>
      </c>
      <c r="AM12" t="s">
        <v>402</v>
      </c>
      <c r="AN12" s="128">
        <v>2265.5266901534883</v>
      </c>
      <c r="AO12" t="s">
        <v>441</v>
      </c>
    </row>
    <row r="13" spans="1:44" x14ac:dyDescent="0.25">
      <c r="A13" t="s">
        <v>517</v>
      </c>
      <c r="B13" t="s">
        <v>598</v>
      </c>
      <c r="C13" s="128">
        <v>134143</v>
      </c>
      <c r="D13" s="128">
        <v>7342</v>
      </c>
      <c r="E13" s="128">
        <v>1197</v>
      </c>
      <c r="F13" s="128">
        <v>8037</v>
      </c>
      <c r="G13" s="128">
        <v>30557</v>
      </c>
      <c r="H13" s="128">
        <v>11716</v>
      </c>
      <c r="I13" s="128">
        <v>3653</v>
      </c>
      <c r="J13" s="128">
        <v>6372</v>
      </c>
      <c r="K13" s="128">
        <v>842</v>
      </c>
      <c r="L13" s="128">
        <v>3396</v>
      </c>
      <c r="M13" s="128">
        <v>7668</v>
      </c>
      <c r="N13" s="128">
        <v>14746</v>
      </c>
      <c r="O13" s="128">
        <v>27449</v>
      </c>
      <c r="P13" s="128">
        <v>11331</v>
      </c>
      <c r="Q13" s="128">
        <v>617</v>
      </c>
      <c r="R13" s="128"/>
      <c r="S13" t="s">
        <v>598</v>
      </c>
      <c r="T13" s="128">
        <f t="shared" si="0"/>
        <v>117567</v>
      </c>
      <c r="U13" s="128">
        <v>94060</v>
      </c>
      <c r="V13" s="128">
        <v>77320741.361564234</v>
      </c>
      <c r="W13" s="128">
        <v>5503</v>
      </c>
      <c r="X13" s="128">
        <v>6148</v>
      </c>
      <c r="Y13" s="128">
        <v>879</v>
      </c>
      <c r="Z13" s="128">
        <v>583</v>
      </c>
      <c r="AA13" s="128">
        <v>2685</v>
      </c>
      <c r="AB13" s="128">
        <v>794</v>
      </c>
      <c r="AC13" s="128">
        <v>147</v>
      </c>
      <c r="AD13" s="128">
        <v>0</v>
      </c>
      <c r="AE13" s="128">
        <v>757</v>
      </c>
      <c r="AF13" s="128">
        <f t="shared" si="1"/>
        <v>83331.741361564229</v>
      </c>
      <c r="AG13" s="128">
        <v>57008</v>
      </c>
      <c r="AH13" s="128">
        <f t="shared" si="2"/>
        <v>1461.7552161374585</v>
      </c>
      <c r="AI13" t="s">
        <v>467</v>
      </c>
      <c r="AM13" t="s">
        <v>247</v>
      </c>
      <c r="AN13" s="128">
        <v>2236.784797311052</v>
      </c>
      <c r="AO13" t="s">
        <v>441</v>
      </c>
    </row>
    <row r="14" spans="1:44" x14ac:dyDescent="0.25">
      <c r="A14" t="s">
        <v>520</v>
      </c>
      <c r="B14" t="s">
        <v>128</v>
      </c>
      <c r="C14" s="128">
        <v>29161</v>
      </c>
      <c r="D14" s="128">
        <v>10</v>
      </c>
      <c r="E14" s="128">
        <v>595</v>
      </c>
      <c r="F14" s="128">
        <v>2086</v>
      </c>
      <c r="G14" s="128">
        <v>9125</v>
      </c>
      <c r="H14" s="128">
        <v>2640</v>
      </c>
      <c r="I14" s="128">
        <v>735</v>
      </c>
      <c r="J14" s="128">
        <v>827</v>
      </c>
      <c r="K14" s="128">
        <v>1706</v>
      </c>
      <c r="L14" s="128">
        <v>855</v>
      </c>
      <c r="M14" s="128">
        <v>1445</v>
      </c>
      <c r="N14" s="128">
        <v>281</v>
      </c>
      <c r="O14" s="128">
        <v>5004</v>
      </c>
      <c r="P14" s="128">
        <v>1511</v>
      </c>
      <c r="Q14" s="128">
        <v>2351</v>
      </c>
      <c r="R14" s="128"/>
      <c r="S14" t="s">
        <v>128</v>
      </c>
      <c r="T14" s="128">
        <f t="shared" si="0"/>
        <v>26470</v>
      </c>
      <c r="U14" s="128">
        <v>11348</v>
      </c>
      <c r="V14" s="128">
        <v>7906847.9875663687</v>
      </c>
      <c r="W14" s="128">
        <v>831</v>
      </c>
      <c r="X14" s="128">
        <v>1279</v>
      </c>
      <c r="Y14" s="128">
        <v>45</v>
      </c>
      <c r="Z14" s="128">
        <v>61</v>
      </c>
      <c r="AA14" s="128">
        <v>228</v>
      </c>
      <c r="AB14" s="128">
        <v>87</v>
      </c>
      <c r="AC14" s="128">
        <v>2876</v>
      </c>
      <c r="AD14" s="128">
        <v>0</v>
      </c>
      <c r="AE14" s="128">
        <v>69</v>
      </c>
      <c r="AF14" s="128">
        <f t="shared" si="1"/>
        <v>17552.847987566369</v>
      </c>
      <c r="AG14" s="128">
        <v>3755</v>
      </c>
      <c r="AH14" s="128">
        <f t="shared" si="2"/>
        <v>4674.5267610030278</v>
      </c>
      <c r="AI14" t="s">
        <v>467</v>
      </c>
      <c r="AM14" t="s">
        <v>144</v>
      </c>
      <c r="AN14" s="128">
        <v>2346.4652994187977</v>
      </c>
      <c r="AO14" t="s">
        <v>441</v>
      </c>
    </row>
    <row r="15" spans="1:44" x14ac:dyDescent="0.25">
      <c r="A15" t="s">
        <v>524</v>
      </c>
      <c r="B15" t="s">
        <v>214</v>
      </c>
      <c r="C15" s="128">
        <v>582286</v>
      </c>
      <c r="D15" s="128">
        <v>30471</v>
      </c>
      <c r="E15" s="128">
        <v>7511</v>
      </c>
      <c r="F15" s="128">
        <v>21301</v>
      </c>
      <c r="G15" s="128">
        <v>94688</v>
      </c>
      <c r="H15" s="128">
        <v>30546</v>
      </c>
      <c r="I15" s="128">
        <v>12518</v>
      </c>
      <c r="J15" s="128">
        <v>16773</v>
      </c>
      <c r="K15" s="128">
        <v>12002</v>
      </c>
      <c r="L15" s="128">
        <v>25802</v>
      </c>
      <c r="M15" s="128">
        <v>49531</v>
      </c>
      <c r="N15" s="128">
        <v>84131</v>
      </c>
      <c r="O15" s="128">
        <v>150997</v>
      </c>
      <c r="P15" s="128">
        <v>38696</v>
      </c>
      <c r="Q15" s="128">
        <v>7319</v>
      </c>
      <c r="R15" s="128"/>
      <c r="S15" t="s">
        <v>214</v>
      </c>
      <c r="T15" s="128">
        <f t="shared" si="0"/>
        <v>523003</v>
      </c>
      <c r="U15" s="128">
        <v>384442</v>
      </c>
      <c r="V15" s="128">
        <v>261761615.5403541</v>
      </c>
      <c r="W15" s="128">
        <v>14215</v>
      </c>
      <c r="X15" s="128">
        <v>21165</v>
      </c>
      <c r="Y15" s="128">
        <v>4260</v>
      </c>
      <c r="Z15" s="128">
        <v>2465</v>
      </c>
      <c r="AA15" s="128">
        <v>4099</v>
      </c>
      <c r="AB15" s="128">
        <v>1136</v>
      </c>
      <c r="AC15" s="128">
        <v>600</v>
      </c>
      <c r="AD15" s="128">
        <v>3598</v>
      </c>
      <c r="AE15" s="128">
        <v>1788</v>
      </c>
      <c r="AF15" s="128">
        <f t="shared" si="1"/>
        <v>346996.61554035411</v>
      </c>
      <c r="AG15" s="128">
        <v>158586</v>
      </c>
      <c r="AH15" s="128">
        <f t="shared" si="2"/>
        <v>2188.0658793358439</v>
      </c>
      <c r="AI15" t="s">
        <v>441</v>
      </c>
      <c r="AM15" t="s">
        <v>175</v>
      </c>
      <c r="AN15" s="128">
        <v>2083.8936740643471</v>
      </c>
      <c r="AO15" t="s">
        <v>441</v>
      </c>
    </row>
    <row r="16" spans="1:44" x14ac:dyDescent="0.25">
      <c r="A16" t="s">
        <v>518</v>
      </c>
      <c r="B16" t="s">
        <v>240</v>
      </c>
      <c r="C16" s="128">
        <v>276016</v>
      </c>
      <c r="D16" s="128">
        <v>4226</v>
      </c>
      <c r="E16" s="128">
        <v>3067</v>
      </c>
      <c r="F16" s="128">
        <v>12163</v>
      </c>
      <c r="G16" s="128">
        <v>87646</v>
      </c>
      <c r="H16" s="128">
        <v>29059</v>
      </c>
      <c r="I16" s="128">
        <v>6717</v>
      </c>
      <c r="J16" s="128">
        <v>8918</v>
      </c>
      <c r="K16" s="128">
        <v>1817</v>
      </c>
      <c r="L16" s="128">
        <v>7016</v>
      </c>
      <c r="M16" s="128">
        <v>21434</v>
      </c>
      <c r="N16" s="128">
        <v>24725</v>
      </c>
      <c r="O16" s="128">
        <v>48819</v>
      </c>
      <c r="P16" s="128">
        <v>16739</v>
      </c>
      <c r="Q16" s="128">
        <v>3658</v>
      </c>
      <c r="R16" s="128"/>
      <c r="S16" t="s">
        <v>240</v>
      </c>
      <c r="T16" s="128">
        <f t="shared" si="0"/>
        <v>256560</v>
      </c>
      <c r="U16" s="128">
        <v>145368</v>
      </c>
      <c r="V16" s="128">
        <v>121782655.33101897</v>
      </c>
      <c r="W16" s="128">
        <v>9267</v>
      </c>
      <c r="X16" s="128">
        <v>11030</v>
      </c>
      <c r="Y16" s="128">
        <v>4454</v>
      </c>
      <c r="Z16" s="128">
        <v>1481</v>
      </c>
      <c r="AA16" s="128">
        <v>1898</v>
      </c>
      <c r="AB16" s="128">
        <v>320</v>
      </c>
      <c r="AC16" s="128">
        <v>1062</v>
      </c>
      <c r="AD16" s="128">
        <v>3743</v>
      </c>
      <c r="AE16" s="128">
        <v>1323</v>
      </c>
      <c r="AF16" s="128">
        <f t="shared" si="1"/>
        <v>198396.65533101896</v>
      </c>
      <c r="AG16" s="128">
        <v>92363</v>
      </c>
      <c r="AH16" s="128">
        <f t="shared" si="2"/>
        <v>2148.0100833777483</v>
      </c>
      <c r="AI16" t="s">
        <v>467</v>
      </c>
      <c r="AM16" t="s">
        <v>176</v>
      </c>
      <c r="AN16" s="128">
        <v>2438.9591819346124</v>
      </c>
      <c r="AO16" t="s">
        <v>441</v>
      </c>
    </row>
    <row r="17" spans="1:41" x14ac:dyDescent="0.25">
      <c r="A17" t="s">
        <v>518</v>
      </c>
      <c r="B17" t="s">
        <v>241</v>
      </c>
      <c r="C17" s="128">
        <v>5646796</v>
      </c>
      <c r="D17" s="128">
        <v>424962</v>
      </c>
      <c r="E17" s="128">
        <v>59670</v>
      </c>
      <c r="F17" s="128">
        <v>235399</v>
      </c>
      <c r="G17" s="128">
        <v>1336764</v>
      </c>
      <c r="H17" s="128">
        <v>359774</v>
      </c>
      <c r="I17" s="128">
        <v>131917</v>
      </c>
      <c r="J17" s="128">
        <v>375974</v>
      </c>
      <c r="K17" s="128">
        <v>174292</v>
      </c>
      <c r="L17" s="128">
        <v>178488</v>
      </c>
      <c r="M17" s="128">
        <v>308748</v>
      </c>
      <c r="N17" s="128">
        <v>906428</v>
      </c>
      <c r="O17" s="128">
        <v>917549</v>
      </c>
      <c r="P17" s="128">
        <v>239791</v>
      </c>
      <c r="Q17" s="128">
        <v>80631</v>
      </c>
      <c r="R17" s="128"/>
      <c r="S17" t="s">
        <v>241</v>
      </c>
      <c r="T17" s="128">
        <f t="shared" si="0"/>
        <v>4926765</v>
      </c>
      <c r="U17" s="128">
        <v>3090136</v>
      </c>
      <c r="V17" s="128">
        <v>2098084602.073607</v>
      </c>
      <c r="W17" s="128">
        <v>82350</v>
      </c>
      <c r="X17" s="128">
        <v>175815</v>
      </c>
      <c r="Y17" s="128">
        <v>6277</v>
      </c>
      <c r="Z17" s="128">
        <v>14122</v>
      </c>
      <c r="AA17" s="128">
        <v>54028</v>
      </c>
      <c r="AB17" s="128">
        <v>41234</v>
      </c>
      <c r="AC17" s="128">
        <v>135000</v>
      </c>
      <c r="AD17" s="128">
        <v>315963</v>
      </c>
      <c r="AE17" s="128">
        <v>216156</v>
      </c>
      <c r="AF17" s="128">
        <f t="shared" si="1"/>
        <v>2893768.602073607</v>
      </c>
      <c r="AG17" s="128">
        <v>883939</v>
      </c>
      <c r="AH17" s="128">
        <f t="shared" si="2"/>
        <v>3273.7197952275064</v>
      </c>
      <c r="AI17" t="s">
        <v>441</v>
      </c>
      <c r="AM17" t="s">
        <v>291</v>
      </c>
      <c r="AN17" s="128">
        <v>2497.7585345985126</v>
      </c>
      <c r="AO17" t="s">
        <v>441</v>
      </c>
    </row>
    <row r="18" spans="1:41" x14ac:dyDescent="0.25">
      <c r="A18" t="s">
        <v>519</v>
      </c>
      <c r="B18" t="s">
        <v>166</v>
      </c>
      <c r="C18" s="128">
        <v>593678</v>
      </c>
      <c r="D18" s="128">
        <v>6639</v>
      </c>
      <c r="E18" s="128">
        <v>6610</v>
      </c>
      <c r="F18" s="128">
        <v>23800</v>
      </c>
      <c r="G18" s="128">
        <v>105855</v>
      </c>
      <c r="H18" s="128">
        <v>23646</v>
      </c>
      <c r="I18" s="128">
        <v>14316</v>
      </c>
      <c r="J18" s="128">
        <v>11227</v>
      </c>
      <c r="K18" s="128">
        <v>8491</v>
      </c>
      <c r="L18" s="128">
        <v>17752</v>
      </c>
      <c r="M18" s="128">
        <v>39572</v>
      </c>
      <c r="N18" s="128">
        <v>97064</v>
      </c>
      <c r="O18" s="128">
        <v>183869</v>
      </c>
      <c r="P18" s="128">
        <v>41974</v>
      </c>
      <c r="Q18" s="128">
        <v>16407</v>
      </c>
      <c r="R18" s="128"/>
      <c r="S18" t="s">
        <v>166</v>
      </c>
      <c r="T18" s="128">
        <f t="shared" si="0"/>
        <v>556629</v>
      </c>
      <c r="U18" s="128">
        <v>429143</v>
      </c>
      <c r="V18" s="128">
        <v>282981924.98079509</v>
      </c>
      <c r="W18" s="128">
        <v>12846</v>
      </c>
      <c r="X18" s="128">
        <v>20811</v>
      </c>
      <c r="Y18" s="128">
        <v>1647</v>
      </c>
      <c r="Z18" s="128">
        <v>2101</v>
      </c>
      <c r="AA18" s="128">
        <v>5397</v>
      </c>
      <c r="AB18" s="128">
        <v>1220</v>
      </c>
      <c r="AC18" s="128">
        <v>2206</v>
      </c>
      <c r="AD18" s="128">
        <v>4343</v>
      </c>
      <c r="AE18" s="128">
        <v>1375</v>
      </c>
      <c r="AF18" s="128">
        <f t="shared" si="1"/>
        <v>358521.92498079507</v>
      </c>
      <c r="AG18" s="128">
        <v>165586</v>
      </c>
      <c r="AH18" s="128">
        <f t="shared" si="2"/>
        <v>2165.17051550732</v>
      </c>
      <c r="AI18" t="s">
        <v>441</v>
      </c>
      <c r="AM18" t="s">
        <v>179</v>
      </c>
      <c r="AN18" s="128">
        <v>2204.4690395478456</v>
      </c>
      <c r="AO18" t="s">
        <v>441</v>
      </c>
    </row>
    <row r="19" spans="1:41" x14ac:dyDescent="0.25">
      <c r="A19" t="s">
        <v>519</v>
      </c>
      <c r="B19" t="s">
        <v>167</v>
      </c>
      <c r="C19" s="128">
        <v>760697</v>
      </c>
      <c r="D19" s="128">
        <v>28800</v>
      </c>
      <c r="E19" s="128">
        <v>12611</v>
      </c>
      <c r="F19" s="128">
        <v>33818</v>
      </c>
      <c r="G19" s="128">
        <v>88706</v>
      </c>
      <c r="H19" s="128">
        <v>38790</v>
      </c>
      <c r="I19" s="128">
        <v>16596</v>
      </c>
      <c r="J19" s="128">
        <v>25328</v>
      </c>
      <c r="K19" s="128">
        <v>5677</v>
      </c>
      <c r="L19" s="128">
        <v>23963</v>
      </c>
      <c r="M19" s="128">
        <v>58946</v>
      </c>
      <c r="N19" s="128">
        <v>178713</v>
      </c>
      <c r="O19" s="128">
        <v>209668</v>
      </c>
      <c r="P19" s="128">
        <v>33251</v>
      </c>
      <c r="Q19" s="128">
        <v>8413</v>
      </c>
      <c r="R19" s="128"/>
      <c r="S19" t="s">
        <v>167</v>
      </c>
      <c r="T19" s="128">
        <f t="shared" si="0"/>
        <v>685468</v>
      </c>
      <c r="U19" s="128">
        <v>572924</v>
      </c>
      <c r="V19" s="128">
        <v>338649241.65010583</v>
      </c>
      <c r="W19" s="128">
        <v>17148</v>
      </c>
      <c r="X19" s="128">
        <v>20119</v>
      </c>
      <c r="Y19" s="128">
        <v>0</v>
      </c>
      <c r="Z19" s="128">
        <v>2114</v>
      </c>
      <c r="AA19" s="128">
        <v>4037</v>
      </c>
      <c r="AB19" s="128">
        <v>1311</v>
      </c>
      <c r="AC19" s="128">
        <v>525</v>
      </c>
      <c r="AD19" s="128">
        <v>15444</v>
      </c>
      <c r="AE19" s="128">
        <v>1473</v>
      </c>
      <c r="AF19" s="128">
        <f t="shared" si="1"/>
        <v>389022.24165010586</v>
      </c>
      <c r="AG19" s="128">
        <v>163964</v>
      </c>
      <c r="AH19" s="128">
        <f t="shared" si="2"/>
        <v>2372.6076556445673</v>
      </c>
      <c r="AI19" t="s">
        <v>441</v>
      </c>
      <c r="AM19" t="s">
        <v>754</v>
      </c>
      <c r="AN19" s="128">
        <v>5264.8094010303421</v>
      </c>
      <c r="AO19" t="s">
        <v>441</v>
      </c>
    </row>
    <row r="20" spans="1:41" x14ac:dyDescent="0.25">
      <c r="A20" t="s">
        <v>516</v>
      </c>
      <c r="B20" t="s">
        <v>107</v>
      </c>
      <c r="C20" s="128">
        <v>311466</v>
      </c>
      <c r="D20" s="128">
        <v>11881</v>
      </c>
      <c r="E20" s="128">
        <v>0</v>
      </c>
      <c r="F20" s="128">
        <v>11877</v>
      </c>
      <c r="G20" s="128">
        <v>51695</v>
      </c>
      <c r="H20" s="128">
        <v>4062</v>
      </c>
      <c r="I20" s="128">
        <v>4992</v>
      </c>
      <c r="J20" s="128">
        <v>8345</v>
      </c>
      <c r="K20" s="128">
        <v>4170</v>
      </c>
      <c r="L20" s="128">
        <v>8244</v>
      </c>
      <c r="M20" s="128">
        <v>21425</v>
      </c>
      <c r="N20" s="128">
        <v>68808</v>
      </c>
      <c r="O20" s="128">
        <v>101326</v>
      </c>
      <c r="P20" s="128">
        <v>11915</v>
      </c>
      <c r="Q20" s="128">
        <v>3218</v>
      </c>
      <c r="R20" s="128"/>
      <c r="S20" t="s">
        <v>107</v>
      </c>
      <c r="T20" s="128">
        <f t="shared" si="0"/>
        <v>287708</v>
      </c>
      <c r="U20" s="128">
        <v>235570</v>
      </c>
      <c r="V20" s="128">
        <v>131672258.13644414</v>
      </c>
      <c r="W20" s="128">
        <v>4720</v>
      </c>
      <c r="X20" s="128">
        <v>7194</v>
      </c>
      <c r="Y20" s="128">
        <v>561</v>
      </c>
      <c r="Z20" s="128">
        <v>914</v>
      </c>
      <c r="AA20" s="128">
        <v>1999</v>
      </c>
      <c r="AB20" s="128">
        <v>134</v>
      </c>
      <c r="AC20" s="128">
        <v>720</v>
      </c>
      <c r="AD20" s="128">
        <v>4868</v>
      </c>
      <c r="AE20" s="128">
        <v>90</v>
      </c>
      <c r="AF20" s="128">
        <f t="shared" si="1"/>
        <v>162610.25813644414</v>
      </c>
      <c r="AG20" s="128">
        <v>68954</v>
      </c>
      <c r="AH20" s="128">
        <f t="shared" si="2"/>
        <v>2358.2425694875446</v>
      </c>
      <c r="AI20" t="s">
        <v>441</v>
      </c>
      <c r="AM20" t="s">
        <v>361</v>
      </c>
      <c r="AN20" s="128">
        <v>2176.7592742290308</v>
      </c>
      <c r="AO20" t="s">
        <v>441</v>
      </c>
    </row>
    <row r="21" spans="1:41" x14ac:dyDescent="0.25">
      <c r="A21" t="s">
        <v>517</v>
      </c>
      <c r="B21" t="s">
        <v>344</v>
      </c>
      <c r="C21" s="128">
        <v>43670</v>
      </c>
      <c r="D21" s="128">
        <v>296</v>
      </c>
      <c r="E21" s="128">
        <v>0</v>
      </c>
      <c r="F21" s="128">
        <v>2067</v>
      </c>
      <c r="G21" s="128">
        <v>10943</v>
      </c>
      <c r="H21" s="128">
        <v>4085</v>
      </c>
      <c r="I21" s="128">
        <v>1091</v>
      </c>
      <c r="J21" s="128">
        <v>1769</v>
      </c>
      <c r="K21" s="128">
        <v>393</v>
      </c>
      <c r="L21" s="128">
        <v>1300</v>
      </c>
      <c r="M21" s="128">
        <v>1814</v>
      </c>
      <c r="N21" s="128">
        <v>6716</v>
      </c>
      <c r="O21" s="128">
        <v>10020</v>
      </c>
      <c r="P21" s="128">
        <v>2681</v>
      </c>
      <c r="Q21" s="128">
        <v>726</v>
      </c>
      <c r="R21" s="128"/>
      <c r="S21" t="s">
        <v>344</v>
      </c>
      <c r="T21" s="128">
        <f t="shared" si="0"/>
        <v>41307</v>
      </c>
      <c r="U21" s="128">
        <v>29618</v>
      </c>
      <c r="V21" s="128">
        <v>23842473.863877375</v>
      </c>
      <c r="W21" s="128">
        <v>2222</v>
      </c>
      <c r="X21" s="128">
        <v>1172</v>
      </c>
      <c r="Y21" s="128">
        <v>0</v>
      </c>
      <c r="Z21" s="128">
        <v>252</v>
      </c>
      <c r="AA21" s="128">
        <v>898</v>
      </c>
      <c r="AB21" s="128">
        <v>33</v>
      </c>
      <c r="AC21" s="128">
        <v>506</v>
      </c>
      <c r="AD21" s="128">
        <v>0</v>
      </c>
      <c r="AE21" s="128">
        <v>113</v>
      </c>
      <c r="AF21" s="128">
        <f t="shared" si="1"/>
        <v>30335.473863877371</v>
      </c>
      <c r="AG21" s="128">
        <v>17068</v>
      </c>
      <c r="AH21" s="128">
        <f t="shared" si="2"/>
        <v>1777.330317780488</v>
      </c>
      <c r="AI21" t="s">
        <v>467</v>
      </c>
      <c r="AM21" t="s">
        <v>110</v>
      </c>
      <c r="AN21" s="128">
        <v>2053.9710601771167</v>
      </c>
      <c r="AO21" t="s">
        <v>441</v>
      </c>
    </row>
    <row r="22" spans="1:41" x14ac:dyDescent="0.25">
      <c r="A22" t="s">
        <v>517</v>
      </c>
      <c r="B22" t="s">
        <v>345</v>
      </c>
      <c r="C22" s="128">
        <v>19091</v>
      </c>
      <c r="D22" s="128">
        <v>455</v>
      </c>
      <c r="E22" s="128">
        <v>50</v>
      </c>
      <c r="F22" s="128">
        <v>778</v>
      </c>
      <c r="G22" s="128">
        <v>668</v>
      </c>
      <c r="H22" s="128">
        <v>4134</v>
      </c>
      <c r="I22" s="128">
        <v>946</v>
      </c>
      <c r="J22" s="128">
        <v>949</v>
      </c>
      <c r="K22" s="128">
        <v>206</v>
      </c>
      <c r="L22" s="128">
        <v>417</v>
      </c>
      <c r="M22" s="128">
        <v>1598</v>
      </c>
      <c r="N22" s="128">
        <v>1758</v>
      </c>
      <c r="O22" s="128">
        <v>4224</v>
      </c>
      <c r="P22" s="128">
        <v>1994</v>
      </c>
      <c r="Q22" s="128">
        <v>914</v>
      </c>
      <c r="R22" s="128"/>
      <c r="S22" t="s">
        <v>345</v>
      </c>
      <c r="T22" s="128">
        <f t="shared" si="0"/>
        <v>17808</v>
      </c>
      <c r="U22" s="128">
        <v>13486</v>
      </c>
      <c r="V22" s="128">
        <v>11521777.560870975</v>
      </c>
      <c r="W22" s="128">
        <v>678</v>
      </c>
      <c r="X22" s="128">
        <v>836</v>
      </c>
      <c r="Y22" s="128">
        <v>0</v>
      </c>
      <c r="Z22" s="128">
        <v>69</v>
      </c>
      <c r="AA22" s="128">
        <v>447</v>
      </c>
      <c r="AB22" s="128">
        <v>45</v>
      </c>
      <c r="AC22" s="128">
        <v>74</v>
      </c>
      <c r="AD22" s="128">
        <v>1</v>
      </c>
      <c r="AE22" s="128">
        <v>9</v>
      </c>
      <c r="AF22" s="128">
        <f t="shared" si="1"/>
        <v>13684.777560870974</v>
      </c>
      <c r="AG22" s="128">
        <v>6931</v>
      </c>
      <c r="AH22" s="128">
        <f t="shared" si="2"/>
        <v>1974.4304661478827</v>
      </c>
      <c r="AI22" t="s">
        <v>467</v>
      </c>
      <c r="AM22" t="s">
        <v>146</v>
      </c>
      <c r="AN22" s="128">
        <v>2532.3222446452178</v>
      </c>
      <c r="AO22" t="s">
        <v>441</v>
      </c>
    </row>
    <row r="23" spans="1:41" x14ac:dyDescent="0.25">
      <c r="A23" t="s">
        <v>524</v>
      </c>
      <c r="B23" t="s">
        <v>215</v>
      </c>
      <c r="C23" s="128">
        <v>61530</v>
      </c>
      <c r="D23" s="128">
        <v>0</v>
      </c>
      <c r="E23" s="128">
        <v>131</v>
      </c>
      <c r="F23" s="128">
        <v>2245</v>
      </c>
      <c r="G23" s="128">
        <v>11877</v>
      </c>
      <c r="H23" s="128">
        <v>4788</v>
      </c>
      <c r="I23" s="128">
        <v>1783</v>
      </c>
      <c r="J23" s="128">
        <v>2011</v>
      </c>
      <c r="K23" s="128">
        <v>159</v>
      </c>
      <c r="L23" s="128">
        <v>1590</v>
      </c>
      <c r="M23" s="128">
        <v>3825</v>
      </c>
      <c r="N23" s="128">
        <v>12518</v>
      </c>
      <c r="O23" s="128">
        <v>11991</v>
      </c>
      <c r="P23" s="128">
        <v>6735</v>
      </c>
      <c r="Q23" s="128">
        <v>1181</v>
      </c>
      <c r="R23" s="128"/>
      <c r="S23" t="s">
        <v>215</v>
      </c>
      <c r="T23" s="128">
        <f t="shared" si="0"/>
        <v>59154</v>
      </c>
      <c r="U23" s="128">
        <v>44634</v>
      </c>
      <c r="V23" s="128">
        <v>38029685.392991908</v>
      </c>
      <c r="W23" s="128">
        <v>2866</v>
      </c>
      <c r="X23" s="128">
        <v>3904</v>
      </c>
      <c r="Y23" s="128">
        <v>452</v>
      </c>
      <c r="Z23" s="128">
        <v>315</v>
      </c>
      <c r="AA23" s="128">
        <v>401</v>
      </c>
      <c r="AB23" s="128">
        <v>56</v>
      </c>
      <c r="AC23" s="128">
        <v>91</v>
      </c>
      <c r="AD23" s="128">
        <v>20</v>
      </c>
      <c r="AE23" s="128">
        <v>55</v>
      </c>
      <c r="AF23" s="128">
        <f t="shared" si="1"/>
        <v>44389.685392991909</v>
      </c>
      <c r="AG23" s="128">
        <v>24879</v>
      </c>
      <c r="AH23" s="128">
        <f t="shared" si="2"/>
        <v>1784.2230553073639</v>
      </c>
      <c r="AI23" t="s">
        <v>118</v>
      </c>
      <c r="AM23" t="s">
        <v>331</v>
      </c>
      <c r="AN23" s="128">
        <v>2356.9488257906401</v>
      </c>
      <c r="AO23" t="s">
        <v>441</v>
      </c>
    </row>
    <row r="24" spans="1:41" x14ac:dyDescent="0.25">
      <c r="A24" t="s">
        <v>521</v>
      </c>
      <c r="B24" t="s">
        <v>286</v>
      </c>
      <c r="C24" s="128">
        <v>117176</v>
      </c>
      <c r="D24" s="128">
        <v>6946</v>
      </c>
      <c r="E24" s="128">
        <v>1798</v>
      </c>
      <c r="F24" s="128">
        <v>7768</v>
      </c>
      <c r="G24" s="128">
        <v>1888</v>
      </c>
      <c r="H24" s="128">
        <v>20097</v>
      </c>
      <c r="I24" s="128">
        <v>3918</v>
      </c>
      <c r="J24" s="128">
        <v>5663</v>
      </c>
      <c r="K24" s="128">
        <v>421</v>
      </c>
      <c r="L24" s="128">
        <v>3101</v>
      </c>
      <c r="M24" s="128">
        <v>10224</v>
      </c>
      <c r="N24" s="128">
        <v>11701</v>
      </c>
      <c r="O24" s="128">
        <v>27710</v>
      </c>
      <c r="P24" s="128">
        <v>13772</v>
      </c>
      <c r="Q24" s="128">
        <v>2328</v>
      </c>
      <c r="R24" s="128"/>
      <c r="S24" t="s">
        <v>286</v>
      </c>
      <c r="T24" s="128">
        <f t="shared" si="0"/>
        <v>100664</v>
      </c>
      <c r="U24" s="128">
        <v>72724</v>
      </c>
      <c r="V24" s="128">
        <v>67238231.337248281</v>
      </c>
      <c r="W24" s="128">
        <v>3250</v>
      </c>
      <c r="X24" s="128">
        <v>6314</v>
      </c>
      <c r="Y24" s="128">
        <v>530</v>
      </c>
      <c r="Z24" s="128">
        <v>546</v>
      </c>
      <c r="AA24" s="128">
        <v>1771</v>
      </c>
      <c r="AB24" s="128">
        <v>140</v>
      </c>
      <c r="AC24" s="128">
        <v>25</v>
      </c>
      <c r="AD24" s="128">
        <v>43</v>
      </c>
      <c r="AE24" s="128">
        <v>1087</v>
      </c>
      <c r="AF24" s="128">
        <f t="shared" si="1"/>
        <v>81472.231337248275</v>
      </c>
      <c r="AG24" s="128">
        <v>48723</v>
      </c>
      <c r="AH24" s="128">
        <f t="shared" si="2"/>
        <v>1672.1513728064422</v>
      </c>
      <c r="AI24" t="s">
        <v>467</v>
      </c>
      <c r="AM24" t="s">
        <v>293</v>
      </c>
      <c r="AN24" s="128">
        <v>2640.3020829184802</v>
      </c>
      <c r="AO24" t="s">
        <v>441</v>
      </c>
    </row>
    <row r="25" spans="1:41" x14ac:dyDescent="0.25">
      <c r="A25" t="s">
        <v>519</v>
      </c>
      <c r="B25" t="s">
        <v>168</v>
      </c>
      <c r="C25" s="128">
        <v>146842</v>
      </c>
      <c r="D25" s="128">
        <v>0</v>
      </c>
      <c r="E25" s="128">
        <v>3633</v>
      </c>
      <c r="F25" s="128">
        <v>10965</v>
      </c>
      <c r="G25" s="128">
        <v>39876</v>
      </c>
      <c r="H25" s="128">
        <v>5973</v>
      </c>
      <c r="I25" s="128">
        <v>4544</v>
      </c>
      <c r="J25" s="128">
        <v>7786</v>
      </c>
      <c r="K25" s="128">
        <v>1113</v>
      </c>
      <c r="L25" s="128">
        <v>4339</v>
      </c>
      <c r="M25" s="128">
        <v>11237</v>
      </c>
      <c r="N25" s="128">
        <v>11647</v>
      </c>
      <c r="O25" s="128">
        <v>31018</v>
      </c>
      <c r="P25" s="128">
        <v>8147</v>
      </c>
      <c r="Q25" s="128">
        <v>6367</v>
      </c>
      <c r="R25" s="128"/>
      <c r="S25" t="s">
        <v>168</v>
      </c>
      <c r="T25" s="128">
        <f t="shared" si="0"/>
        <v>132244</v>
      </c>
      <c r="U25" s="128">
        <v>94824</v>
      </c>
      <c r="V25" s="128">
        <v>84075516.607339233</v>
      </c>
      <c r="W25" s="128">
        <v>5159</v>
      </c>
      <c r="X25" s="128">
        <v>6429</v>
      </c>
      <c r="Y25" s="128">
        <v>982</v>
      </c>
      <c r="Z25" s="128">
        <v>1029</v>
      </c>
      <c r="AA25" s="128">
        <v>3363</v>
      </c>
      <c r="AB25" s="128">
        <v>111</v>
      </c>
      <c r="AC25" s="128">
        <v>585</v>
      </c>
      <c r="AD25" s="128">
        <v>843</v>
      </c>
      <c r="AE25" s="128">
        <v>3294</v>
      </c>
      <c r="AF25" s="128">
        <f t="shared" si="1"/>
        <v>99700.516607339232</v>
      </c>
      <c r="AG25" s="128">
        <v>60586</v>
      </c>
      <c r="AH25" s="128">
        <f t="shared" si="2"/>
        <v>1645.6032186864825</v>
      </c>
      <c r="AI25" t="s">
        <v>467</v>
      </c>
      <c r="AM25" t="s">
        <v>294</v>
      </c>
      <c r="AN25" s="128">
        <v>2175.2318304169999</v>
      </c>
      <c r="AO25" t="s">
        <v>441</v>
      </c>
    </row>
    <row r="26" spans="1:41" x14ac:dyDescent="0.25">
      <c r="A26" t="s">
        <v>526</v>
      </c>
      <c r="B26" t="s">
        <v>400</v>
      </c>
      <c r="C26" s="128">
        <v>43613</v>
      </c>
      <c r="D26" s="128">
        <v>195</v>
      </c>
      <c r="E26" s="128">
        <v>47</v>
      </c>
      <c r="F26" s="128">
        <v>1423</v>
      </c>
      <c r="G26" s="128">
        <v>10127</v>
      </c>
      <c r="H26" s="128">
        <v>3096</v>
      </c>
      <c r="I26" s="128">
        <v>1313</v>
      </c>
      <c r="J26" s="128">
        <v>1287</v>
      </c>
      <c r="K26" s="128">
        <v>468</v>
      </c>
      <c r="L26" s="128">
        <v>723</v>
      </c>
      <c r="M26" s="128">
        <v>3367</v>
      </c>
      <c r="N26" s="128">
        <v>7244</v>
      </c>
      <c r="O26" s="128">
        <v>9463</v>
      </c>
      <c r="P26" s="128">
        <v>4590</v>
      </c>
      <c r="Q26" s="128">
        <v>436</v>
      </c>
      <c r="R26" s="128"/>
      <c r="S26" t="s">
        <v>400</v>
      </c>
      <c r="T26" s="128">
        <f t="shared" si="0"/>
        <v>41948</v>
      </c>
      <c r="U26" s="128">
        <v>30041</v>
      </c>
      <c r="V26" s="128">
        <v>23701192.118347995</v>
      </c>
      <c r="W26" s="128">
        <v>1931</v>
      </c>
      <c r="X26" s="128">
        <v>2206</v>
      </c>
      <c r="Y26" s="128">
        <v>52</v>
      </c>
      <c r="Z26" s="128">
        <v>189</v>
      </c>
      <c r="AA26" s="128">
        <v>389</v>
      </c>
      <c r="AB26" s="128">
        <v>26</v>
      </c>
      <c r="AC26" s="128">
        <v>27</v>
      </c>
      <c r="AD26" s="128">
        <v>0</v>
      </c>
      <c r="AE26" s="128">
        <v>10</v>
      </c>
      <c r="AF26" s="128">
        <f t="shared" si="1"/>
        <v>30778.192118347994</v>
      </c>
      <c r="AG26" s="128">
        <v>15814</v>
      </c>
      <c r="AH26" s="128">
        <f t="shared" si="2"/>
        <v>1946.26230671228</v>
      </c>
      <c r="AI26" t="s">
        <v>118</v>
      </c>
      <c r="AM26" t="s">
        <v>121</v>
      </c>
      <c r="AN26" s="128">
        <v>2521.2375941282917</v>
      </c>
      <c r="AO26" t="s">
        <v>441</v>
      </c>
    </row>
    <row r="27" spans="1:41" x14ac:dyDescent="0.25">
      <c r="A27" t="s">
        <v>526</v>
      </c>
      <c r="B27" t="s">
        <v>599</v>
      </c>
      <c r="C27" s="128">
        <v>96055</v>
      </c>
      <c r="D27" s="128">
        <v>0</v>
      </c>
      <c r="E27" s="128">
        <v>437</v>
      </c>
      <c r="F27" s="128">
        <v>8526</v>
      </c>
      <c r="G27" s="128">
        <v>17148</v>
      </c>
      <c r="H27" s="128">
        <v>9592</v>
      </c>
      <c r="I27" s="128">
        <v>2645</v>
      </c>
      <c r="J27" s="128">
        <v>3105</v>
      </c>
      <c r="K27" s="128">
        <v>292</v>
      </c>
      <c r="L27" s="128">
        <v>1765</v>
      </c>
      <c r="M27" s="128">
        <v>4996</v>
      </c>
      <c r="N27" s="128">
        <v>15620</v>
      </c>
      <c r="O27" s="128">
        <v>23232</v>
      </c>
      <c r="P27" s="128">
        <v>7904</v>
      </c>
      <c r="Q27" s="128">
        <v>793</v>
      </c>
      <c r="R27" s="128"/>
      <c r="S27" t="s">
        <v>599</v>
      </c>
      <c r="T27" s="128">
        <f t="shared" si="0"/>
        <v>87092</v>
      </c>
      <c r="U27" s="128">
        <v>69057</v>
      </c>
      <c r="V27" s="128">
        <v>53379705.511989594</v>
      </c>
      <c r="W27" s="128">
        <v>4889</v>
      </c>
      <c r="X27" s="128">
        <v>4566</v>
      </c>
      <c r="Y27" s="128">
        <v>114</v>
      </c>
      <c r="Z27" s="128">
        <v>474</v>
      </c>
      <c r="AA27" s="128">
        <v>583</v>
      </c>
      <c r="AB27" s="128">
        <v>66</v>
      </c>
      <c r="AC27" s="128">
        <v>143</v>
      </c>
      <c r="AD27" s="128">
        <v>0</v>
      </c>
      <c r="AE27" s="128">
        <v>11</v>
      </c>
      <c r="AF27" s="128">
        <f t="shared" si="1"/>
        <v>60568.705511989596</v>
      </c>
      <c r="AG27" s="128">
        <v>35923</v>
      </c>
      <c r="AH27" s="128">
        <f t="shared" si="2"/>
        <v>1686.0703591567963</v>
      </c>
      <c r="AI27" t="s">
        <v>118</v>
      </c>
      <c r="AM27" t="s">
        <v>252</v>
      </c>
      <c r="AN27" s="128">
        <v>2077.2071054309345</v>
      </c>
      <c r="AO27" t="s">
        <v>441</v>
      </c>
    </row>
    <row r="28" spans="1:41" x14ac:dyDescent="0.25">
      <c r="A28" t="s">
        <v>526</v>
      </c>
      <c r="B28" t="s">
        <v>401</v>
      </c>
      <c r="C28" s="128">
        <v>37328</v>
      </c>
      <c r="D28" s="128">
        <v>-8</v>
      </c>
      <c r="E28" s="128">
        <v>-2</v>
      </c>
      <c r="F28" s="128">
        <v>1318</v>
      </c>
      <c r="G28" s="128">
        <v>10185</v>
      </c>
      <c r="H28" s="128">
        <v>3859</v>
      </c>
      <c r="I28" s="128">
        <v>1062</v>
      </c>
      <c r="J28" s="128">
        <v>1011</v>
      </c>
      <c r="K28" s="128">
        <v>289</v>
      </c>
      <c r="L28" s="128">
        <v>906</v>
      </c>
      <c r="M28" s="128">
        <v>1674</v>
      </c>
      <c r="N28" s="128">
        <v>5422</v>
      </c>
      <c r="O28" s="128">
        <v>9264</v>
      </c>
      <c r="P28" s="128">
        <v>2204</v>
      </c>
      <c r="Q28" s="128">
        <v>144</v>
      </c>
      <c r="R28" s="128"/>
      <c r="S28" t="s">
        <v>401</v>
      </c>
      <c r="T28" s="128">
        <f t="shared" si="0"/>
        <v>36020</v>
      </c>
      <c r="U28" s="128">
        <v>27231</v>
      </c>
      <c r="V28" s="128">
        <v>21242456.369859733</v>
      </c>
      <c r="W28" s="128">
        <v>874</v>
      </c>
      <c r="X28" s="128">
        <v>1257</v>
      </c>
      <c r="Y28" s="128">
        <v>51</v>
      </c>
      <c r="Z28" s="128">
        <v>137</v>
      </c>
      <c r="AA28" s="128">
        <v>563</v>
      </c>
      <c r="AB28" s="128">
        <v>64</v>
      </c>
      <c r="AC28" s="128">
        <v>889</v>
      </c>
      <c r="AD28" s="128">
        <v>0</v>
      </c>
      <c r="AE28" s="128">
        <v>89</v>
      </c>
      <c r="AF28" s="128">
        <f t="shared" si="1"/>
        <v>26107.456369859734</v>
      </c>
      <c r="AG28" s="128">
        <v>13412</v>
      </c>
      <c r="AH28" s="128">
        <f t="shared" si="2"/>
        <v>1946.5744385520229</v>
      </c>
      <c r="AI28" t="s">
        <v>118</v>
      </c>
      <c r="AM28" t="s">
        <v>183</v>
      </c>
      <c r="AN28" s="128">
        <v>2559.5436655131994</v>
      </c>
      <c r="AO28" t="s">
        <v>441</v>
      </c>
    </row>
    <row r="29" spans="1:41" x14ac:dyDescent="0.25">
      <c r="A29" t="s">
        <v>519</v>
      </c>
      <c r="B29" t="s">
        <v>527</v>
      </c>
      <c r="C29" s="128">
        <v>99020</v>
      </c>
      <c r="D29" s="128">
        <v>50</v>
      </c>
      <c r="E29" s="128">
        <v>800</v>
      </c>
      <c r="F29" s="128">
        <v>4500</v>
      </c>
      <c r="G29" s="128">
        <v>17779</v>
      </c>
      <c r="H29" s="128">
        <v>5835</v>
      </c>
      <c r="I29" s="128">
        <v>2670</v>
      </c>
      <c r="J29" s="128">
        <v>4915</v>
      </c>
      <c r="K29" s="128">
        <v>480</v>
      </c>
      <c r="L29" s="128">
        <v>3318</v>
      </c>
      <c r="M29" s="128">
        <v>5297</v>
      </c>
      <c r="N29" s="128">
        <v>20396</v>
      </c>
      <c r="O29" s="128">
        <v>22812</v>
      </c>
      <c r="P29" s="128">
        <v>8294</v>
      </c>
      <c r="Q29" s="128">
        <v>1908</v>
      </c>
      <c r="R29" s="128"/>
      <c r="S29" t="s">
        <v>527</v>
      </c>
      <c r="T29" s="128">
        <f t="shared" si="0"/>
        <v>93670</v>
      </c>
      <c r="U29" s="128">
        <v>71044</v>
      </c>
      <c r="V29" s="128">
        <v>55856245.287045389</v>
      </c>
      <c r="W29" s="128">
        <v>3952</v>
      </c>
      <c r="X29" s="128">
        <v>4568</v>
      </c>
      <c r="Y29" s="128">
        <v>75</v>
      </c>
      <c r="Z29" s="128">
        <v>427</v>
      </c>
      <c r="AA29" s="128">
        <v>758</v>
      </c>
      <c r="AB29" s="128">
        <v>188</v>
      </c>
      <c r="AC29" s="128">
        <v>607</v>
      </c>
      <c r="AD29" s="128">
        <v>79</v>
      </c>
      <c r="AE29" s="128">
        <v>166</v>
      </c>
      <c r="AF29" s="128">
        <f t="shared" si="1"/>
        <v>67662.2452870454</v>
      </c>
      <c r="AG29" s="128">
        <v>34946</v>
      </c>
      <c r="AH29" s="128">
        <f t="shared" si="2"/>
        <v>1936.1942793751905</v>
      </c>
      <c r="AI29" t="s">
        <v>118</v>
      </c>
      <c r="AM29" t="s">
        <v>130</v>
      </c>
      <c r="AN29" s="128">
        <v>2294.6400350590611</v>
      </c>
      <c r="AO29" t="s">
        <v>441</v>
      </c>
    </row>
    <row r="30" spans="1:41" x14ac:dyDescent="0.25">
      <c r="A30" t="s">
        <v>517</v>
      </c>
      <c r="B30" t="s">
        <v>346</v>
      </c>
      <c r="C30" s="128">
        <v>50524</v>
      </c>
      <c r="D30" s="128">
        <v>4591</v>
      </c>
      <c r="E30" s="128">
        <v>516</v>
      </c>
      <c r="F30" s="128">
        <v>2247</v>
      </c>
      <c r="G30" s="128">
        <v>8856</v>
      </c>
      <c r="H30" s="128">
        <v>3898</v>
      </c>
      <c r="I30" s="128">
        <v>1429</v>
      </c>
      <c r="J30" s="128">
        <v>1621</v>
      </c>
      <c r="K30" s="128">
        <v>2397</v>
      </c>
      <c r="L30" s="128">
        <v>1182</v>
      </c>
      <c r="M30" s="128">
        <v>3395</v>
      </c>
      <c r="N30" s="128">
        <v>6480</v>
      </c>
      <c r="O30" s="128">
        <v>10613</v>
      </c>
      <c r="P30" s="128">
        <v>3087</v>
      </c>
      <c r="Q30" s="128">
        <v>370</v>
      </c>
      <c r="R30" s="128"/>
      <c r="S30" t="s">
        <v>346</v>
      </c>
      <c r="T30" s="128">
        <f t="shared" si="0"/>
        <v>43170</v>
      </c>
      <c r="U30" s="128">
        <v>29866</v>
      </c>
      <c r="V30" s="128">
        <v>25251324.492428541</v>
      </c>
      <c r="W30" s="128">
        <v>1900</v>
      </c>
      <c r="X30" s="128">
        <v>1493</v>
      </c>
      <c r="Y30" s="128">
        <v>14</v>
      </c>
      <c r="Z30" s="128">
        <v>506</v>
      </c>
      <c r="AA30" s="128">
        <v>588</v>
      </c>
      <c r="AB30" s="128">
        <v>49</v>
      </c>
      <c r="AC30" s="128">
        <v>954</v>
      </c>
      <c r="AD30" s="128">
        <v>0</v>
      </c>
      <c r="AE30" s="128">
        <v>1130</v>
      </c>
      <c r="AF30" s="128">
        <f t="shared" si="1"/>
        <v>31921.324492428539</v>
      </c>
      <c r="AG30" s="128">
        <v>18875</v>
      </c>
      <c r="AH30" s="128">
        <f t="shared" si="2"/>
        <v>1691.195999598863</v>
      </c>
      <c r="AI30" t="s">
        <v>467</v>
      </c>
      <c r="AM30" s="86" t="s">
        <v>131</v>
      </c>
      <c r="AN30" s="243">
        <v>2179.1100872043735</v>
      </c>
      <c r="AO30" s="86" t="s">
        <v>441</v>
      </c>
    </row>
    <row r="31" spans="1:41" x14ac:dyDescent="0.25">
      <c r="A31" t="s">
        <v>526</v>
      </c>
      <c r="B31" t="s">
        <v>436</v>
      </c>
      <c r="C31" s="128">
        <v>40156</v>
      </c>
      <c r="D31" s="128">
        <v>118</v>
      </c>
      <c r="E31" s="128">
        <v>39</v>
      </c>
      <c r="F31" s="128">
        <v>2225</v>
      </c>
      <c r="G31" s="128">
        <v>9801</v>
      </c>
      <c r="H31" s="128">
        <v>4634</v>
      </c>
      <c r="I31" s="128">
        <v>1418</v>
      </c>
      <c r="J31" s="128">
        <v>1260</v>
      </c>
      <c r="K31" s="128">
        <v>420</v>
      </c>
      <c r="L31" s="128">
        <v>1314</v>
      </c>
      <c r="M31" s="128">
        <v>1499</v>
      </c>
      <c r="N31" s="128">
        <v>6002</v>
      </c>
      <c r="O31" s="128">
        <v>7900</v>
      </c>
      <c r="P31" s="128">
        <v>2958</v>
      </c>
      <c r="Q31" s="128">
        <v>568</v>
      </c>
      <c r="R31" s="128"/>
      <c r="S31" t="s">
        <v>436</v>
      </c>
      <c r="T31" s="128">
        <f t="shared" si="0"/>
        <v>37774</v>
      </c>
      <c r="U31" s="128">
        <v>25954</v>
      </c>
      <c r="V31" s="128">
        <v>20919327.432754345</v>
      </c>
      <c r="W31" s="128">
        <v>1465</v>
      </c>
      <c r="X31" s="128">
        <v>1345</v>
      </c>
      <c r="Y31" s="128">
        <v>10</v>
      </c>
      <c r="Z31" s="128">
        <v>205</v>
      </c>
      <c r="AA31" s="128">
        <v>224</v>
      </c>
      <c r="AB31" s="128">
        <v>36</v>
      </c>
      <c r="AC31" s="128">
        <v>503</v>
      </c>
      <c r="AD31" s="128">
        <v>0</v>
      </c>
      <c r="AE31" s="128">
        <v>599</v>
      </c>
      <c r="AF31" s="128">
        <f t="shared" si="1"/>
        <v>28352.327432754344</v>
      </c>
      <c r="AG31" s="128">
        <v>13106</v>
      </c>
      <c r="AH31" s="128">
        <f t="shared" si="2"/>
        <v>2163.3089754886573</v>
      </c>
      <c r="AI31" t="s">
        <v>118</v>
      </c>
      <c r="AM31" t="s">
        <v>407</v>
      </c>
      <c r="AN31" s="128">
        <v>2673.8289518055522</v>
      </c>
      <c r="AO31" t="s">
        <v>441</v>
      </c>
    </row>
    <row r="32" spans="1:41" x14ac:dyDescent="0.25">
      <c r="A32" t="s">
        <v>518</v>
      </c>
      <c r="B32" t="s">
        <v>437</v>
      </c>
      <c r="C32" s="128">
        <v>78761</v>
      </c>
      <c r="D32" s="128">
        <v>256</v>
      </c>
      <c r="E32" s="128">
        <v>1485</v>
      </c>
      <c r="F32" s="128">
        <v>4301</v>
      </c>
      <c r="G32" s="128">
        <v>1430</v>
      </c>
      <c r="H32" s="128">
        <v>14870</v>
      </c>
      <c r="I32" s="128">
        <v>4244</v>
      </c>
      <c r="J32" s="128">
        <v>5144</v>
      </c>
      <c r="K32" s="128">
        <v>490</v>
      </c>
      <c r="L32" s="128">
        <v>1800</v>
      </c>
      <c r="M32" s="128">
        <v>9106</v>
      </c>
      <c r="N32" s="128">
        <v>8765</v>
      </c>
      <c r="O32" s="128">
        <v>13697</v>
      </c>
      <c r="P32" s="128">
        <v>10369</v>
      </c>
      <c r="Q32" s="128">
        <v>2822</v>
      </c>
      <c r="R32" s="128"/>
      <c r="S32" t="s">
        <v>437</v>
      </c>
      <c r="T32" s="128">
        <f t="shared" si="0"/>
        <v>72719</v>
      </c>
      <c r="U32" s="128">
        <v>46873</v>
      </c>
      <c r="V32" s="128">
        <v>39823648.477422014</v>
      </c>
      <c r="W32" s="128">
        <v>3411</v>
      </c>
      <c r="X32" s="128">
        <v>5119</v>
      </c>
      <c r="Y32" s="128">
        <v>492</v>
      </c>
      <c r="Z32" s="128">
        <v>365</v>
      </c>
      <c r="AA32" s="128">
        <v>2300</v>
      </c>
      <c r="AB32" s="128">
        <v>68</v>
      </c>
      <c r="AC32" s="128">
        <v>2970</v>
      </c>
      <c r="AD32" s="128">
        <v>5093</v>
      </c>
      <c r="AE32" s="128">
        <v>241</v>
      </c>
      <c r="AF32" s="128">
        <f t="shared" si="1"/>
        <v>45610.648477422015</v>
      </c>
      <c r="AG32" s="128">
        <v>29737</v>
      </c>
      <c r="AH32" s="128">
        <f t="shared" si="2"/>
        <v>1533.8012737472513</v>
      </c>
      <c r="AI32" t="s">
        <v>467</v>
      </c>
      <c r="AM32" t="s">
        <v>372</v>
      </c>
      <c r="AN32" s="128">
        <v>2280.0079814320688</v>
      </c>
      <c r="AO32" t="s">
        <v>441</v>
      </c>
    </row>
    <row r="33" spans="1:41" x14ac:dyDescent="0.25">
      <c r="A33" t="s">
        <v>517</v>
      </c>
      <c r="B33" t="s">
        <v>347</v>
      </c>
      <c r="C33" s="128">
        <v>306295</v>
      </c>
      <c r="D33" s="128">
        <v>13923</v>
      </c>
      <c r="E33" s="128">
        <v>5724</v>
      </c>
      <c r="F33" s="128">
        <v>11489</v>
      </c>
      <c r="G33" s="128">
        <v>48963</v>
      </c>
      <c r="H33" s="128">
        <v>39374</v>
      </c>
      <c r="I33" s="128">
        <v>4337</v>
      </c>
      <c r="J33" s="128">
        <v>8472</v>
      </c>
      <c r="K33" s="128">
        <v>6271</v>
      </c>
      <c r="L33" s="128">
        <v>8312</v>
      </c>
      <c r="M33" s="128">
        <v>15287</v>
      </c>
      <c r="N33" s="128">
        <v>57520</v>
      </c>
      <c r="O33" s="128">
        <v>67794</v>
      </c>
      <c r="P33" s="128">
        <v>16217</v>
      </c>
      <c r="Q33" s="128">
        <v>3999</v>
      </c>
      <c r="R33" s="128"/>
      <c r="S33" t="s">
        <v>347</v>
      </c>
      <c r="T33" s="128">
        <f t="shared" si="0"/>
        <v>275159</v>
      </c>
      <c r="U33" s="128">
        <v>188546</v>
      </c>
      <c r="V33" s="128">
        <v>123095290.19035004</v>
      </c>
      <c r="W33" s="128">
        <v>13292</v>
      </c>
      <c r="X33" s="128">
        <v>9142</v>
      </c>
      <c r="Y33" s="128">
        <v>32</v>
      </c>
      <c r="Z33" s="128">
        <v>1143</v>
      </c>
      <c r="AA33" s="128">
        <v>955</v>
      </c>
      <c r="AB33" s="128">
        <v>509</v>
      </c>
      <c r="AC33" s="128">
        <v>612</v>
      </c>
      <c r="AD33" s="128">
        <v>4819</v>
      </c>
      <c r="AE33" s="128">
        <v>566</v>
      </c>
      <c r="AF33" s="128">
        <f t="shared" si="1"/>
        <v>178638.29019035003</v>
      </c>
      <c r="AG33" s="128">
        <v>67880</v>
      </c>
      <c r="AH33" s="128">
        <f t="shared" si="2"/>
        <v>2631.6778165932533</v>
      </c>
      <c r="AI33" t="s">
        <v>441</v>
      </c>
      <c r="AM33" t="s">
        <v>444</v>
      </c>
      <c r="AN33" s="128">
        <v>2270.3711968557454</v>
      </c>
      <c r="AO33" t="s">
        <v>441</v>
      </c>
    </row>
    <row r="34" spans="1:41" x14ac:dyDescent="0.25">
      <c r="A34" t="s">
        <v>519</v>
      </c>
      <c r="B34" t="s">
        <v>169</v>
      </c>
      <c r="C34" s="128">
        <v>126726</v>
      </c>
      <c r="D34" s="128">
        <v>1172</v>
      </c>
      <c r="E34" s="128">
        <v>1255</v>
      </c>
      <c r="F34" s="128">
        <v>7093</v>
      </c>
      <c r="G34" s="128">
        <v>33457</v>
      </c>
      <c r="H34" s="128">
        <v>12808</v>
      </c>
      <c r="I34" s="128">
        <v>3060</v>
      </c>
      <c r="J34" s="128">
        <v>3346</v>
      </c>
      <c r="K34" s="128">
        <v>996</v>
      </c>
      <c r="L34" s="128">
        <v>1823</v>
      </c>
      <c r="M34" s="128">
        <v>5548</v>
      </c>
      <c r="N34" s="128">
        <v>18089</v>
      </c>
      <c r="O34" s="128">
        <v>23185</v>
      </c>
      <c r="P34" s="128">
        <v>10080</v>
      </c>
      <c r="Q34" s="128">
        <v>5074</v>
      </c>
      <c r="R34" s="128"/>
      <c r="S34" t="s">
        <v>169</v>
      </c>
      <c r="T34" s="128">
        <f t="shared" si="0"/>
        <v>117206</v>
      </c>
      <c r="U34" s="128">
        <v>82023</v>
      </c>
      <c r="V34" s="128">
        <v>69050048.596460968</v>
      </c>
      <c r="W34" s="128">
        <v>6392</v>
      </c>
      <c r="X34" s="128">
        <v>3089</v>
      </c>
      <c r="Y34" s="128">
        <v>270</v>
      </c>
      <c r="Z34" s="128">
        <v>516</v>
      </c>
      <c r="AA34" s="128">
        <v>1263</v>
      </c>
      <c r="AB34" s="128">
        <v>82</v>
      </c>
      <c r="AC34" s="128">
        <v>355</v>
      </c>
      <c r="AD34" s="128">
        <v>11</v>
      </c>
      <c r="AE34" s="128">
        <v>4</v>
      </c>
      <c r="AF34" s="128">
        <f t="shared" si="1"/>
        <v>92251.048596460969</v>
      </c>
      <c r="AG34" s="128">
        <v>43850</v>
      </c>
      <c r="AH34" s="128">
        <f t="shared" si="2"/>
        <v>2103.7867410823483</v>
      </c>
      <c r="AI34" t="s">
        <v>118</v>
      </c>
      <c r="AM34" t="s">
        <v>258</v>
      </c>
      <c r="AN34" s="128">
        <v>1840.3851963690433</v>
      </c>
      <c r="AO34" t="s">
        <v>441</v>
      </c>
    </row>
    <row r="35" spans="1:41" x14ac:dyDescent="0.25">
      <c r="A35" t="s">
        <v>517</v>
      </c>
      <c r="B35" t="s">
        <v>348</v>
      </c>
      <c r="C35" s="128">
        <v>85852</v>
      </c>
      <c r="D35" s="128">
        <v>14968</v>
      </c>
      <c r="E35" s="128">
        <v>519</v>
      </c>
      <c r="F35" s="128">
        <v>2370</v>
      </c>
      <c r="G35" s="128">
        <v>14217</v>
      </c>
      <c r="H35" s="128">
        <v>5574</v>
      </c>
      <c r="I35" s="128">
        <v>2237</v>
      </c>
      <c r="J35" s="128">
        <v>2644</v>
      </c>
      <c r="K35" s="128">
        <v>716</v>
      </c>
      <c r="L35" s="128">
        <v>1753</v>
      </c>
      <c r="M35" s="128">
        <v>4219</v>
      </c>
      <c r="N35" s="128">
        <v>11322</v>
      </c>
      <c r="O35" s="128">
        <v>17623</v>
      </c>
      <c r="P35" s="128">
        <v>7149</v>
      </c>
      <c r="Q35" s="128">
        <v>1108</v>
      </c>
      <c r="R35" s="128"/>
      <c r="S35" t="s">
        <v>348</v>
      </c>
      <c r="T35" s="128">
        <f t="shared" si="0"/>
        <v>67995</v>
      </c>
      <c r="U35" s="128">
        <v>50578</v>
      </c>
      <c r="V35" s="128">
        <v>42054703.141302541</v>
      </c>
      <c r="W35" s="128">
        <v>2524</v>
      </c>
      <c r="X35" s="128">
        <v>2991</v>
      </c>
      <c r="Y35" s="128">
        <v>106</v>
      </c>
      <c r="Z35" s="128">
        <v>468</v>
      </c>
      <c r="AA35" s="128">
        <v>1447</v>
      </c>
      <c r="AB35" s="128">
        <v>191</v>
      </c>
      <c r="AC35" s="128">
        <v>94</v>
      </c>
      <c r="AD35" s="128">
        <v>0</v>
      </c>
      <c r="AE35" s="128">
        <v>256</v>
      </c>
      <c r="AF35" s="128">
        <f t="shared" si="1"/>
        <v>51394.70314130254</v>
      </c>
      <c r="AG35" s="128">
        <v>31698</v>
      </c>
      <c r="AH35" s="128">
        <f t="shared" si="2"/>
        <v>1621.3863064326626</v>
      </c>
      <c r="AI35" t="s">
        <v>467</v>
      </c>
      <c r="AM35" t="s">
        <v>111</v>
      </c>
      <c r="AN35" s="128">
        <v>2104.8379053812423</v>
      </c>
      <c r="AO35" t="s">
        <v>441</v>
      </c>
    </row>
    <row r="36" spans="1:41" x14ac:dyDescent="0.25">
      <c r="A36" t="s">
        <v>517</v>
      </c>
      <c r="B36" t="s">
        <v>349</v>
      </c>
      <c r="C36" s="128">
        <v>87247</v>
      </c>
      <c r="D36" s="128">
        <v>13870</v>
      </c>
      <c r="E36" s="128">
        <v>0</v>
      </c>
      <c r="F36" s="128">
        <v>3024</v>
      </c>
      <c r="G36" s="128">
        <v>19567</v>
      </c>
      <c r="H36" s="128">
        <v>5369</v>
      </c>
      <c r="I36" s="128">
        <v>1728</v>
      </c>
      <c r="J36" s="128">
        <v>1398</v>
      </c>
      <c r="K36" s="128">
        <v>592</v>
      </c>
      <c r="L36" s="128">
        <v>1407</v>
      </c>
      <c r="M36" s="128">
        <v>4382</v>
      </c>
      <c r="N36" s="128">
        <v>11385</v>
      </c>
      <c r="O36" s="128">
        <v>16738</v>
      </c>
      <c r="P36" s="128">
        <v>6916</v>
      </c>
      <c r="Q36" s="128">
        <v>1407</v>
      </c>
      <c r="R36" s="128"/>
      <c r="S36" t="s">
        <v>349</v>
      </c>
      <c r="T36" s="128">
        <f t="shared" si="0"/>
        <v>70353</v>
      </c>
      <c r="U36" s="128">
        <v>52457</v>
      </c>
      <c r="V36" s="128">
        <v>42401208.815247521</v>
      </c>
      <c r="W36" s="128">
        <v>2540</v>
      </c>
      <c r="X36" s="128">
        <v>4227</v>
      </c>
      <c r="Y36" s="128">
        <v>4</v>
      </c>
      <c r="Z36" s="128">
        <v>423</v>
      </c>
      <c r="AA36" s="128">
        <v>1156</v>
      </c>
      <c r="AB36" s="128">
        <v>523</v>
      </c>
      <c r="AC36" s="128">
        <v>109</v>
      </c>
      <c r="AD36" s="128">
        <v>0</v>
      </c>
      <c r="AE36" s="128">
        <v>121</v>
      </c>
      <c r="AF36" s="128">
        <f t="shared" si="1"/>
        <v>51194.208815247519</v>
      </c>
      <c r="AG36" s="128">
        <v>30606</v>
      </c>
      <c r="AH36" s="128">
        <f t="shared" si="2"/>
        <v>1672.6853824494387</v>
      </c>
      <c r="AI36" t="s">
        <v>467</v>
      </c>
      <c r="AM36" t="s">
        <v>260</v>
      </c>
      <c r="AN36" s="128">
        <v>2108.5391034710801</v>
      </c>
      <c r="AO36" t="s">
        <v>441</v>
      </c>
    </row>
    <row r="37" spans="1:41" x14ac:dyDescent="0.25">
      <c r="A37" t="s">
        <v>519</v>
      </c>
      <c r="B37" t="s">
        <v>170</v>
      </c>
      <c r="C37" s="128">
        <v>68238</v>
      </c>
      <c r="D37" s="128">
        <v>3425</v>
      </c>
      <c r="E37" s="128">
        <v>1978</v>
      </c>
      <c r="F37" s="128">
        <v>2199</v>
      </c>
      <c r="G37" s="128">
        <v>12998</v>
      </c>
      <c r="H37" s="128">
        <v>5947</v>
      </c>
      <c r="I37" s="128">
        <v>1634</v>
      </c>
      <c r="J37" s="128">
        <v>2380</v>
      </c>
      <c r="K37" s="128">
        <v>204</v>
      </c>
      <c r="L37" s="128">
        <v>1281</v>
      </c>
      <c r="M37" s="128">
        <v>3816</v>
      </c>
      <c r="N37" s="128">
        <v>14513</v>
      </c>
      <c r="O37" s="128">
        <v>12895</v>
      </c>
      <c r="P37" s="128">
        <v>4165</v>
      </c>
      <c r="Q37" s="128">
        <v>1418</v>
      </c>
      <c r="R37" s="128"/>
      <c r="S37" t="s">
        <v>170</v>
      </c>
      <c r="T37" s="128">
        <f t="shared" si="0"/>
        <v>60636</v>
      </c>
      <c r="U37" s="128">
        <v>45761</v>
      </c>
      <c r="V37" s="128">
        <v>36559553.602666445</v>
      </c>
      <c r="W37" s="128">
        <v>2611</v>
      </c>
      <c r="X37" s="128">
        <v>2417</v>
      </c>
      <c r="Y37" s="128">
        <v>51</v>
      </c>
      <c r="Z37" s="128">
        <v>573</v>
      </c>
      <c r="AA37" s="128">
        <v>507</v>
      </c>
      <c r="AB37" s="128">
        <v>48</v>
      </c>
      <c r="AC37" s="128">
        <v>212</v>
      </c>
      <c r="AD37" s="128">
        <v>0</v>
      </c>
      <c r="AE37" s="128">
        <v>510</v>
      </c>
      <c r="AF37" s="128">
        <f t="shared" si="1"/>
        <v>44505.553602666449</v>
      </c>
      <c r="AG37" s="128">
        <v>26232</v>
      </c>
      <c r="AH37" s="128">
        <f t="shared" si="2"/>
        <v>1696.6130528616363</v>
      </c>
      <c r="AI37" t="s">
        <v>467</v>
      </c>
      <c r="AM37" t="s">
        <v>151</v>
      </c>
      <c r="AN37" s="128">
        <v>1897.1719066245209</v>
      </c>
      <c r="AO37" t="s">
        <v>441</v>
      </c>
    </row>
    <row r="38" spans="1:41" x14ac:dyDescent="0.25">
      <c r="A38" t="s">
        <v>518</v>
      </c>
      <c r="B38" t="s">
        <v>243</v>
      </c>
      <c r="C38" s="128">
        <v>128145</v>
      </c>
      <c r="D38" s="128">
        <v>4696</v>
      </c>
      <c r="E38" s="128">
        <v>3588</v>
      </c>
      <c r="F38" s="128">
        <v>4626</v>
      </c>
      <c r="G38" s="128">
        <v>24141</v>
      </c>
      <c r="H38" s="128">
        <v>6584</v>
      </c>
      <c r="I38" s="128">
        <v>3818</v>
      </c>
      <c r="J38" s="128">
        <v>5344</v>
      </c>
      <c r="K38" s="128">
        <v>838</v>
      </c>
      <c r="L38" s="128">
        <v>3638</v>
      </c>
      <c r="M38" s="128">
        <v>7267</v>
      </c>
      <c r="N38" s="128">
        <v>24982</v>
      </c>
      <c r="O38" s="128">
        <v>25818</v>
      </c>
      <c r="P38" s="128">
        <v>11655</v>
      </c>
      <c r="Q38" s="128">
        <v>1176</v>
      </c>
      <c r="R38" s="128"/>
      <c r="S38" t="s">
        <v>243</v>
      </c>
      <c r="T38" s="128">
        <f t="shared" si="0"/>
        <v>115235</v>
      </c>
      <c r="U38" s="128">
        <v>97971</v>
      </c>
      <c r="V38" s="128">
        <v>72416165.860169277</v>
      </c>
      <c r="W38" s="128">
        <v>4142</v>
      </c>
      <c r="X38" s="128">
        <v>5507</v>
      </c>
      <c r="Y38" s="128">
        <v>545</v>
      </c>
      <c r="Z38" s="128">
        <v>542</v>
      </c>
      <c r="AA38" s="128">
        <v>529</v>
      </c>
      <c r="AB38" s="128">
        <v>785</v>
      </c>
      <c r="AC38" s="128">
        <v>157</v>
      </c>
      <c r="AD38" s="128">
        <v>1413</v>
      </c>
      <c r="AE38" s="128">
        <v>284</v>
      </c>
      <c r="AF38" s="128">
        <f t="shared" si="1"/>
        <v>75776.165860169276</v>
      </c>
      <c r="AG38" s="128">
        <v>42092</v>
      </c>
      <c r="AH38" s="128">
        <f t="shared" si="2"/>
        <v>1800.251018249769</v>
      </c>
      <c r="AI38" t="s">
        <v>118</v>
      </c>
      <c r="AM38" t="s">
        <v>409</v>
      </c>
      <c r="AN38" s="128">
        <v>2269.1144772164921</v>
      </c>
      <c r="AO38" t="s">
        <v>441</v>
      </c>
    </row>
    <row r="39" spans="1:41" x14ac:dyDescent="0.25">
      <c r="A39" t="s">
        <v>524</v>
      </c>
      <c r="B39" t="s">
        <v>350</v>
      </c>
      <c r="C39" s="128">
        <v>53898</v>
      </c>
      <c r="D39" s="128">
        <v>3565</v>
      </c>
      <c r="E39" s="128">
        <v>875</v>
      </c>
      <c r="F39" s="128">
        <v>2619</v>
      </c>
      <c r="G39" s="128">
        <v>6959</v>
      </c>
      <c r="H39" s="128">
        <v>3289</v>
      </c>
      <c r="I39" s="128">
        <v>1588</v>
      </c>
      <c r="J39" s="128">
        <v>1459</v>
      </c>
      <c r="K39" s="128">
        <v>607</v>
      </c>
      <c r="L39" s="128">
        <v>1971</v>
      </c>
      <c r="M39" s="128">
        <v>3637</v>
      </c>
      <c r="N39" s="128">
        <v>9268</v>
      </c>
      <c r="O39" s="128">
        <v>12334</v>
      </c>
      <c r="P39" s="128">
        <v>4285</v>
      </c>
      <c r="Q39" s="128">
        <v>1591</v>
      </c>
      <c r="R39" s="128"/>
      <c r="S39" t="s">
        <v>350</v>
      </c>
      <c r="T39" s="128">
        <f t="shared" si="0"/>
        <v>46839</v>
      </c>
      <c r="U39" s="128">
        <v>36882</v>
      </c>
      <c r="V39" s="128">
        <v>29341742.159081735</v>
      </c>
      <c r="W39" s="128">
        <v>2033</v>
      </c>
      <c r="X39" s="128">
        <v>1379</v>
      </c>
      <c r="Y39" s="128">
        <v>0</v>
      </c>
      <c r="Z39" s="128">
        <v>229</v>
      </c>
      <c r="AA39" s="128">
        <v>994</v>
      </c>
      <c r="AB39" s="128">
        <v>109</v>
      </c>
      <c r="AC39" s="128">
        <v>1214</v>
      </c>
      <c r="AD39" s="128">
        <v>4</v>
      </c>
      <c r="AE39" s="128">
        <v>100</v>
      </c>
      <c r="AF39" s="128">
        <f t="shared" si="1"/>
        <v>33236.742159081739</v>
      </c>
      <c r="AG39" s="128">
        <v>20717</v>
      </c>
      <c r="AH39" s="128">
        <f t="shared" si="2"/>
        <v>1604.3221585693748</v>
      </c>
      <c r="AI39" t="s">
        <v>467</v>
      </c>
      <c r="AM39" t="s">
        <v>410</v>
      </c>
      <c r="AN39" s="128">
        <v>2142.329051469791</v>
      </c>
      <c r="AO39" t="s">
        <v>441</v>
      </c>
    </row>
    <row r="40" spans="1:41" x14ac:dyDescent="0.25">
      <c r="A40" t="s">
        <v>517</v>
      </c>
      <c r="B40" t="s">
        <v>244</v>
      </c>
      <c r="C40" s="128">
        <v>34467</v>
      </c>
      <c r="D40" s="128">
        <v>9395</v>
      </c>
      <c r="E40" s="128">
        <v>62</v>
      </c>
      <c r="F40" s="128">
        <v>1077</v>
      </c>
      <c r="G40" s="128">
        <v>968</v>
      </c>
      <c r="H40" s="128">
        <v>5260</v>
      </c>
      <c r="I40" s="128">
        <v>1499</v>
      </c>
      <c r="J40" s="128">
        <v>1036</v>
      </c>
      <c r="K40" s="128">
        <v>119</v>
      </c>
      <c r="L40" s="128">
        <v>543</v>
      </c>
      <c r="M40" s="128">
        <v>2094</v>
      </c>
      <c r="N40" s="128">
        <v>2808</v>
      </c>
      <c r="O40" s="128">
        <v>5770</v>
      </c>
      <c r="P40" s="128">
        <v>2819</v>
      </c>
      <c r="Q40" s="128">
        <v>1079</v>
      </c>
      <c r="R40" s="128"/>
      <c r="S40" t="s">
        <v>244</v>
      </c>
      <c r="T40" s="128">
        <f t="shared" si="0"/>
        <v>23933</v>
      </c>
      <c r="U40" s="128">
        <v>14730</v>
      </c>
      <c r="V40" s="128">
        <v>13202466.152890373</v>
      </c>
      <c r="W40" s="128">
        <v>1211</v>
      </c>
      <c r="X40" s="128">
        <v>1491</v>
      </c>
      <c r="Y40" s="128">
        <v>181</v>
      </c>
      <c r="Z40" s="128">
        <v>178</v>
      </c>
      <c r="AA40" s="128">
        <v>937</v>
      </c>
      <c r="AB40" s="128">
        <v>58</v>
      </c>
      <c r="AC40" s="128">
        <v>37</v>
      </c>
      <c r="AD40" s="128">
        <v>0</v>
      </c>
      <c r="AE40" s="128">
        <v>93</v>
      </c>
      <c r="AF40" s="128">
        <f t="shared" si="1"/>
        <v>18219.466152890374</v>
      </c>
      <c r="AG40" s="128">
        <v>12358</v>
      </c>
      <c r="AH40" s="128">
        <f t="shared" si="2"/>
        <v>1474.3054015933301</v>
      </c>
      <c r="AI40" t="s">
        <v>467</v>
      </c>
      <c r="AM40" t="s">
        <v>132</v>
      </c>
      <c r="AN40" s="128">
        <v>2359.908643237879</v>
      </c>
      <c r="AO40" t="s">
        <v>441</v>
      </c>
    </row>
    <row r="41" spans="1:41" x14ac:dyDescent="0.25">
      <c r="A41" t="s">
        <v>518</v>
      </c>
      <c r="B41" t="s">
        <v>245</v>
      </c>
      <c r="C41" s="128">
        <v>56953</v>
      </c>
      <c r="D41" s="128">
        <v>0</v>
      </c>
      <c r="E41" s="128">
        <v>392</v>
      </c>
      <c r="F41" s="128">
        <v>2466</v>
      </c>
      <c r="G41" s="128">
        <v>14868</v>
      </c>
      <c r="H41" s="128">
        <v>7027</v>
      </c>
      <c r="I41" s="128">
        <v>2046</v>
      </c>
      <c r="J41" s="128">
        <v>2832</v>
      </c>
      <c r="K41" s="128">
        <v>110</v>
      </c>
      <c r="L41" s="128">
        <v>1293</v>
      </c>
      <c r="M41" s="128">
        <v>3459</v>
      </c>
      <c r="N41" s="128">
        <v>6106</v>
      </c>
      <c r="O41" s="128">
        <v>10173</v>
      </c>
      <c r="P41" s="128">
        <v>5912</v>
      </c>
      <c r="Q41" s="128">
        <v>269</v>
      </c>
      <c r="R41" s="128"/>
      <c r="S41" t="s">
        <v>245</v>
      </c>
      <c r="T41" s="128">
        <f t="shared" si="0"/>
        <v>54095</v>
      </c>
      <c r="U41" s="128">
        <v>28283</v>
      </c>
      <c r="V41" s="128">
        <v>24082308.930680033</v>
      </c>
      <c r="W41" s="128">
        <v>3125</v>
      </c>
      <c r="X41" s="128">
        <v>3607</v>
      </c>
      <c r="Y41" s="128">
        <v>308</v>
      </c>
      <c r="Z41" s="128">
        <v>349</v>
      </c>
      <c r="AA41" s="128">
        <v>738</v>
      </c>
      <c r="AB41" s="128">
        <v>49</v>
      </c>
      <c r="AC41" s="128">
        <v>1496</v>
      </c>
      <c r="AD41" s="128">
        <v>1888</v>
      </c>
      <c r="AE41" s="128">
        <v>313</v>
      </c>
      <c r="AF41" s="128">
        <f t="shared" si="1"/>
        <v>38021.308930680032</v>
      </c>
      <c r="AG41" s="128">
        <v>23732</v>
      </c>
      <c r="AH41" s="128">
        <f t="shared" si="2"/>
        <v>1602.1114499696625</v>
      </c>
      <c r="AI41" t="s">
        <v>467</v>
      </c>
      <c r="AM41" t="s">
        <v>303</v>
      </c>
      <c r="AN41" s="128">
        <v>2309.8897148085439</v>
      </c>
      <c r="AO41" t="s">
        <v>441</v>
      </c>
    </row>
    <row r="42" spans="1:41" x14ac:dyDescent="0.25">
      <c r="A42" t="s">
        <v>518</v>
      </c>
      <c r="B42" t="s">
        <v>287</v>
      </c>
      <c r="C42" s="128">
        <v>90542</v>
      </c>
      <c r="D42" s="128">
        <v>8037</v>
      </c>
      <c r="E42" s="128">
        <v>2692</v>
      </c>
      <c r="F42" s="128">
        <v>6289</v>
      </c>
      <c r="G42" s="128">
        <v>15502</v>
      </c>
      <c r="H42" s="128">
        <v>3684</v>
      </c>
      <c r="I42" s="128">
        <v>2799</v>
      </c>
      <c r="J42" s="128">
        <v>4061</v>
      </c>
      <c r="K42" s="128">
        <v>590</v>
      </c>
      <c r="L42" s="128">
        <v>2117</v>
      </c>
      <c r="M42" s="128">
        <v>4937</v>
      </c>
      <c r="N42" s="128">
        <v>9445</v>
      </c>
      <c r="O42" s="128">
        <v>19740</v>
      </c>
      <c r="P42" s="128">
        <v>8747</v>
      </c>
      <c r="Q42" s="128">
        <v>2027</v>
      </c>
      <c r="R42" s="128"/>
      <c r="S42" t="s">
        <v>287</v>
      </c>
      <c r="T42" s="128">
        <f t="shared" si="0"/>
        <v>73524</v>
      </c>
      <c r="U42" s="128">
        <v>55074</v>
      </c>
      <c r="V42" s="128">
        <v>47306203.202851735</v>
      </c>
      <c r="W42" s="128">
        <v>4950</v>
      </c>
      <c r="X42" s="128">
        <v>4746</v>
      </c>
      <c r="Y42" s="128">
        <v>462</v>
      </c>
      <c r="Z42" s="128">
        <v>381</v>
      </c>
      <c r="AA42" s="128">
        <v>1953</v>
      </c>
      <c r="AB42" s="128">
        <v>160</v>
      </c>
      <c r="AC42" s="128">
        <v>862</v>
      </c>
      <c r="AD42" s="128">
        <v>7</v>
      </c>
      <c r="AE42" s="128">
        <v>128</v>
      </c>
      <c r="AF42" s="128">
        <f t="shared" si="1"/>
        <v>52107.203202851728</v>
      </c>
      <c r="AG42" s="128">
        <v>35730</v>
      </c>
      <c r="AH42" s="128">
        <f t="shared" si="2"/>
        <v>1458.3600112748875</v>
      </c>
      <c r="AI42" t="s">
        <v>467</v>
      </c>
      <c r="AM42" t="s">
        <v>431</v>
      </c>
      <c r="AN42" s="128">
        <v>2397.1668015327168</v>
      </c>
      <c r="AO42" t="s">
        <v>441</v>
      </c>
    </row>
    <row r="43" spans="1:41" x14ac:dyDescent="0.25">
      <c r="A43" t="s">
        <v>521</v>
      </c>
      <c r="B43" t="s">
        <v>351</v>
      </c>
      <c r="C43" s="128">
        <v>38652</v>
      </c>
      <c r="D43" s="128">
        <v>10533</v>
      </c>
      <c r="E43" s="128">
        <v>544</v>
      </c>
      <c r="F43" s="128">
        <v>1126</v>
      </c>
      <c r="G43" s="128">
        <v>5274</v>
      </c>
      <c r="H43" s="128">
        <v>2562</v>
      </c>
      <c r="I43" s="128">
        <v>762</v>
      </c>
      <c r="J43" s="128">
        <v>632</v>
      </c>
      <c r="K43" s="128">
        <v>4750</v>
      </c>
      <c r="L43" s="128">
        <v>521</v>
      </c>
      <c r="M43" s="128">
        <v>1379</v>
      </c>
      <c r="N43" s="128">
        <v>3339</v>
      </c>
      <c r="O43" s="128">
        <v>4732</v>
      </c>
      <c r="P43" s="128">
        <v>2622</v>
      </c>
      <c r="Q43" s="128">
        <v>344</v>
      </c>
      <c r="R43" s="128"/>
      <c r="S43" t="s">
        <v>351</v>
      </c>
      <c r="T43" s="128">
        <f t="shared" si="0"/>
        <v>26449</v>
      </c>
      <c r="U43" s="128">
        <v>16690</v>
      </c>
      <c r="V43" s="128">
        <v>15076436.659595612</v>
      </c>
      <c r="W43" s="128">
        <v>1129</v>
      </c>
      <c r="X43" s="128">
        <v>903</v>
      </c>
      <c r="Y43" s="128">
        <v>100</v>
      </c>
      <c r="Z43" s="128">
        <v>116</v>
      </c>
      <c r="AA43" s="128">
        <v>440</v>
      </c>
      <c r="AB43" s="128">
        <v>41</v>
      </c>
      <c r="AC43" s="128">
        <v>30</v>
      </c>
      <c r="AD43" s="128">
        <v>0</v>
      </c>
      <c r="AE43" s="128">
        <v>21</v>
      </c>
      <c r="AF43" s="128">
        <f t="shared" si="1"/>
        <v>22055.436659595613</v>
      </c>
      <c r="AG43" s="128">
        <v>11021</v>
      </c>
      <c r="AH43" s="128">
        <f t="shared" si="2"/>
        <v>2001.2191869699313</v>
      </c>
      <c r="AI43" t="s">
        <v>467</v>
      </c>
      <c r="AM43" t="s">
        <v>413</v>
      </c>
      <c r="AN43" s="128">
        <v>2458.496225759141</v>
      </c>
      <c r="AO43" t="s">
        <v>441</v>
      </c>
    </row>
    <row r="44" spans="1:41" x14ac:dyDescent="0.25">
      <c r="A44" t="s">
        <v>517</v>
      </c>
      <c r="B44" t="s">
        <v>108</v>
      </c>
      <c r="C44" s="128">
        <v>73931</v>
      </c>
      <c r="D44" s="128">
        <v>85</v>
      </c>
      <c r="E44" s="128">
        <v>682</v>
      </c>
      <c r="F44" s="128">
        <v>3454</v>
      </c>
      <c r="G44" s="128">
        <v>16444</v>
      </c>
      <c r="H44" s="128">
        <v>6361</v>
      </c>
      <c r="I44" s="128">
        <v>1573</v>
      </c>
      <c r="J44" s="128">
        <v>1033</v>
      </c>
      <c r="K44" s="128">
        <v>345</v>
      </c>
      <c r="L44" s="128">
        <v>2003</v>
      </c>
      <c r="M44" s="128">
        <v>4433</v>
      </c>
      <c r="N44" s="128">
        <v>15627</v>
      </c>
      <c r="O44" s="128">
        <v>17962</v>
      </c>
      <c r="P44" s="128">
        <v>3563</v>
      </c>
      <c r="Q44" s="128">
        <v>447</v>
      </c>
      <c r="R44" s="128"/>
      <c r="S44" t="s">
        <v>108</v>
      </c>
      <c r="T44" s="128">
        <f t="shared" si="0"/>
        <v>69710</v>
      </c>
      <c r="U44" s="128">
        <v>57480</v>
      </c>
      <c r="V44" s="128">
        <v>43721127.956720725</v>
      </c>
      <c r="W44" s="128">
        <v>3134</v>
      </c>
      <c r="X44" s="128">
        <v>2423</v>
      </c>
      <c r="Y44" s="128">
        <v>161</v>
      </c>
      <c r="Z44" s="128">
        <v>334</v>
      </c>
      <c r="AA44" s="128">
        <v>449</v>
      </c>
      <c r="AB44" s="128">
        <v>28</v>
      </c>
      <c r="AC44" s="128">
        <v>1558</v>
      </c>
      <c r="AD44" s="128">
        <v>0</v>
      </c>
      <c r="AE44" s="128">
        <v>67</v>
      </c>
      <c r="AF44" s="128">
        <f t="shared" si="1"/>
        <v>47797.127956720724</v>
      </c>
      <c r="AG44" s="128">
        <v>25678</v>
      </c>
      <c r="AH44" s="128">
        <f t="shared" si="2"/>
        <v>1861.4038459662249</v>
      </c>
      <c r="AI44" t="s">
        <v>118</v>
      </c>
      <c r="AM44" t="s">
        <v>112</v>
      </c>
      <c r="AN44" s="128">
        <v>2006.6701451334345</v>
      </c>
      <c r="AO44" t="s">
        <v>441</v>
      </c>
    </row>
    <row r="45" spans="1:41" x14ac:dyDescent="0.25">
      <c r="A45" t="s">
        <v>516</v>
      </c>
      <c r="B45" t="s">
        <v>142</v>
      </c>
      <c r="C45" s="128">
        <v>70903</v>
      </c>
      <c r="D45" s="128">
        <v>9905</v>
      </c>
      <c r="E45" s="128">
        <v>1270</v>
      </c>
      <c r="F45" s="128">
        <v>2930</v>
      </c>
      <c r="G45" s="128">
        <v>11277</v>
      </c>
      <c r="H45" s="128">
        <v>6041</v>
      </c>
      <c r="I45" s="128">
        <v>1562</v>
      </c>
      <c r="J45" s="128">
        <v>1484</v>
      </c>
      <c r="K45" s="128">
        <v>2136</v>
      </c>
      <c r="L45" s="128">
        <v>1401</v>
      </c>
      <c r="M45" s="128">
        <v>4934</v>
      </c>
      <c r="N45" s="128">
        <v>9814</v>
      </c>
      <c r="O45" s="128">
        <v>13351</v>
      </c>
      <c r="P45" s="128">
        <v>4842</v>
      </c>
      <c r="Q45" s="128">
        <v>554</v>
      </c>
      <c r="R45" s="128"/>
      <c r="S45" t="s">
        <v>142</v>
      </c>
      <c r="T45" s="128">
        <f t="shared" si="0"/>
        <v>56798</v>
      </c>
      <c r="U45" s="128">
        <v>41710</v>
      </c>
      <c r="V45" s="128">
        <v>33914005.275529906</v>
      </c>
      <c r="W45" s="128">
        <v>1810</v>
      </c>
      <c r="X45" s="128">
        <v>2009</v>
      </c>
      <c r="Y45" s="128">
        <v>122</v>
      </c>
      <c r="Z45" s="128">
        <v>189</v>
      </c>
      <c r="AA45" s="128">
        <v>453</v>
      </c>
      <c r="AB45" s="128">
        <v>124</v>
      </c>
      <c r="AC45" s="128">
        <v>0</v>
      </c>
      <c r="AD45" s="128">
        <v>10</v>
      </c>
      <c r="AE45" s="128">
        <v>10</v>
      </c>
      <c r="AF45" s="128">
        <f t="shared" si="1"/>
        <v>44275.005275529904</v>
      </c>
      <c r="AG45" s="128">
        <v>24002</v>
      </c>
      <c r="AH45" s="128">
        <f t="shared" si="2"/>
        <v>1844.6381666331934</v>
      </c>
      <c r="AI45" t="s">
        <v>118</v>
      </c>
      <c r="AM45" t="s">
        <v>334</v>
      </c>
      <c r="AN45" s="128">
        <v>2144.4727654795715</v>
      </c>
      <c r="AO45" t="s">
        <v>441</v>
      </c>
    </row>
    <row r="46" spans="1:41" x14ac:dyDescent="0.25">
      <c r="A46" t="s">
        <v>522</v>
      </c>
      <c r="B46" t="s">
        <v>330</v>
      </c>
      <c r="C46" s="128">
        <v>58986</v>
      </c>
      <c r="D46" s="128">
        <v>1799</v>
      </c>
      <c r="E46" s="128">
        <v>417</v>
      </c>
      <c r="F46" s="128">
        <v>1791</v>
      </c>
      <c r="G46" s="128">
        <v>12417</v>
      </c>
      <c r="H46" s="128">
        <v>5671</v>
      </c>
      <c r="I46" s="128">
        <v>1968</v>
      </c>
      <c r="J46" s="128">
        <v>2417</v>
      </c>
      <c r="K46" s="128">
        <v>74</v>
      </c>
      <c r="L46" s="128">
        <v>1867</v>
      </c>
      <c r="M46" s="128">
        <v>2297</v>
      </c>
      <c r="N46" s="128">
        <v>6830</v>
      </c>
      <c r="O46" s="128">
        <v>16337</v>
      </c>
      <c r="P46" s="128">
        <v>5094</v>
      </c>
      <c r="Q46" s="128">
        <v>177</v>
      </c>
      <c r="R46" s="128"/>
      <c r="S46" t="s">
        <v>330</v>
      </c>
      <c r="T46" s="128">
        <f t="shared" si="0"/>
        <v>54979</v>
      </c>
      <c r="U46" s="128">
        <v>38380</v>
      </c>
      <c r="V46" s="128">
        <v>32987647.233014621</v>
      </c>
      <c r="W46" s="128">
        <v>1915</v>
      </c>
      <c r="X46" s="128">
        <v>3168</v>
      </c>
      <c r="Y46" s="128">
        <v>325</v>
      </c>
      <c r="Z46" s="128">
        <v>288</v>
      </c>
      <c r="AA46" s="128">
        <v>232</v>
      </c>
      <c r="AB46" s="128">
        <v>21</v>
      </c>
      <c r="AC46" s="128">
        <v>0</v>
      </c>
      <c r="AD46" s="128">
        <v>0</v>
      </c>
      <c r="AE46" s="128">
        <v>795</v>
      </c>
      <c r="AF46" s="128">
        <f t="shared" si="1"/>
        <v>42842.647233014621</v>
      </c>
      <c r="AG46" s="128">
        <v>22843</v>
      </c>
      <c r="AH46" s="128">
        <f t="shared" si="2"/>
        <v>1875.5262983414884</v>
      </c>
      <c r="AI46" t="s">
        <v>467</v>
      </c>
      <c r="AM46" t="s">
        <v>602</v>
      </c>
      <c r="AN46" s="128">
        <v>2342.1987375173758</v>
      </c>
      <c r="AO46" t="s">
        <v>441</v>
      </c>
    </row>
    <row r="47" spans="1:41" x14ac:dyDescent="0.25">
      <c r="A47" t="s">
        <v>528</v>
      </c>
      <c r="B47" t="s">
        <v>353</v>
      </c>
      <c r="C47" s="128">
        <v>95748</v>
      </c>
      <c r="D47" s="128">
        <v>1572</v>
      </c>
      <c r="E47" s="128">
        <v>755</v>
      </c>
      <c r="F47" s="128">
        <v>7632</v>
      </c>
      <c r="G47" s="128">
        <v>1539</v>
      </c>
      <c r="H47" s="128">
        <v>6448</v>
      </c>
      <c r="I47" s="128">
        <v>2982</v>
      </c>
      <c r="J47" s="128">
        <v>6047</v>
      </c>
      <c r="K47" s="128">
        <v>3604</v>
      </c>
      <c r="L47" s="128">
        <v>3039</v>
      </c>
      <c r="M47" s="128">
        <v>6714</v>
      </c>
      <c r="N47" s="128">
        <v>21084</v>
      </c>
      <c r="O47" s="128">
        <v>22252</v>
      </c>
      <c r="P47" s="128">
        <v>9231</v>
      </c>
      <c r="Q47" s="128">
        <v>2855</v>
      </c>
      <c r="R47" s="128"/>
      <c r="S47" t="s">
        <v>353</v>
      </c>
      <c r="T47" s="128">
        <f t="shared" si="0"/>
        <v>85789</v>
      </c>
      <c r="U47" s="128">
        <v>65512</v>
      </c>
      <c r="V47" s="128">
        <v>51288399.23085063</v>
      </c>
      <c r="W47" s="128">
        <v>3313</v>
      </c>
      <c r="X47" s="128">
        <v>3902</v>
      </c>
      <c r="Y47" s="128">
        <v>187</v>
      </c>
      <c r="Z47" s="128">
        <v>482</v>
      </c>
      <c r="AA47" s="128">
        <v>893</v>
      </c>
      <c r="AB47" s="128">
        <v>136</v>
      </c>
      <c r="AC47" s="128">
        <v>29</v>
      </c>
      <c r="AD47" s="128">
        <v>351</v>
      </c>
      <c r="AE47" s="128">
        <v>40</v>
      </c>
      <c r="AF47" s="128">
        <f t="shared" si="1"/>
        <v>62232.399230850628</v>
      </c>
      <c r="AG47" s="128">
        <v>33142</v>
      </c>
      <c r="AH47" s="128">
        <f t="shared" si="2"/>
        <v>1877.750263437651</v>
      </c>
      <c r="AI47" t="s">
        <v>118</v>
      </c>
      <c r="AM47" t="s">
        <v>193</v>
      </c>
      <c r="AN47" s="128">
        <v>2316.098799180631</v>
      </c>
      <c r="AO47" t="s">
        <v>441</v>
      </c>
    </row>
    <row r="48" spans="1:41" x14ac:dyDescent="0.25">
      <c r="A48" t="s">
        <v>517</v>
      </c>
      <c r="B48" t="s">
        <v>354</v>
      </c>
      <c r="C48" s="128">
        <v>711070</v>
      </c>
      <c r="D48" s="128">
        <v>14364</v>
      </c>
      <c r="E48" s="128">
        <v>7820</v>
      </c>
      <c r="F48" s="128">
        <v>33449</v>
      </c>
      <c r="G48" s="128">
        <v>193967</v>
      </c>
      <c r="H48" s="128">
        <v>31714</v>
      </c>
      <c r="I48" s="128">
        <v>15998</v>
      </c>
      <c r="J48" s="128">
        <v>23493</v>
      </c>
      <c r="K48" s="128">
        <v>17024</v>
      </c>
      <c r="L48" s="128">
        <v>33319</v>
      </c>
      <c r="M48" s="128">
        <v>45291</v>
      </c>
      <c r="N48" s="128">
        <v>70785</v>
      </c>
      <c r="O48" s="128">
        <v>184163</v>
      </c>
      <c r="P48" s="128">
        <v>35068</v>
      </c>
      <c r="Q48" s="128">
        <v>9747</v>
      </c>
      <c r="R48" s="128"/>
      <c r="S48" t="s">
        <v>354</v>
      </c>
      <c r="T48" s="128">
        <f t="shared" si="0"/>
        <v>655437</v>
      </c>
      <c r="U48" s="128">
        <v>459558</v>
      </c>
      <c r="V48" s="128">
        <v>303773918.5955227</v>
      </c>
      <c r="W48" s="128">
        <v>21544</v>
      </c>
      <c r="X48" s="128">
        <v>25670</v>
      </c>
      <c r="Y48" s="128">
        <v>0</v>
      </c>
      <c r="Z48" s="128">
        <v>2502</v>
      </c>
      <c r="AA48" s="128">
        <v>6205</v>
      </c>
      <c r="AB48" s="128">
        <v>1186</v>
      </c>
      <c r="AC48" s="128">
        <v>950</v>
      </c>
      <c r="AD48" s="128">
        <v>19653</v>
      </c>
      <c r="AE48" s="128">
        <v>2054</v>
      </c>
      <c r="AF48" s="128">
        <f t="shared" si="1"/>
        <v>419888.9185955227</v>
      </c>
      <c r="AG48" s="128">
        <v>184706</v>
      </c>
      <c r="AH48" s="128">
        <f t="shared" si="2"/>
        <v>2273.2825062289407</v>
      </c>
      <c r="AI48" t="s">
        <v>441</v>
      </c>
      <c r="AM48" t="s">
        <v>123</v>
      </c>
      <c r="AN48" s="128">
        <v>2568.9768269289234</v>
      </c>
      <c r="AO48" t="s">
        <v>441</v>
      </c>
    </row>
    <row r="49" spans="1:41" x14ac:dyDescent="0.25">
      <c r="A49" t="s">
        <v>517</v>
      </c>
      <c r="B49" t="s">
        <v>288</v>
      </c>
      <c r="C49" s="128">
        <v>53066</v>
      </c>
      <c r="D49" s="128">
        <v>1940</v>
      </c>
      <c r="E49" s="128">
        <v>114</v>
      </c>
      <c r="F49" s="128">
        <v>4731</v>
      </c>
      <c r="G49" s="128">
        <v>11830</v>
      </c>
      <c r="H49" s="128">
        <v>4716</v>
      </c>
      <c r="I49" s="128">
        <v>1468</v>
      </c>
      <c r="J49" s="128">
        <v>3496</v>
      </c>
      <c r="K49" s="128">
        <v>492</v>
      </c>
      <c r="L49" s="128">
        <v>907</v>
      </c>
      <c r="M49" s="128">
        <v>6470</v>
      </c>
      <c r="N49" s="128">
        <v>4954</v>
      </c>
      <c r="O49" s="128">
        <v>7658</v>
      </c>
      <c r="P49" s="128">
        <v>3973</v>
      </c>
      <c r="Q49" s="128">
        <v>460</v>
      </c>
      <c r="R49" s="128"/>
      <c r="S49" t="s">
        <v>288</v>
      </c>
      <c r="T49" s="128">
        <f t="shared" si="0"/>
        <v>46281</v>
      </c>
      <c r="U49" s="128">
        <v>28303</v>
      </c>
      <c r="V49" s="128">
        <v>24245927.209222399</v>
      </c>
      <c r="W49" s="128">
        <v>2000</v>
      </c>
      <c r="X49" s="128">
        <v>2256</v>
      </c>
      <c r="Y49" s="128">
        <v>85</v>
      </c>
      <c r="Z49" s="128">
        <v>247</v>
      </c>
      <c r="AA49" s="128">
        <v>513</v>
      </c>
      <c r="AB49" s="128">
        <v>103</v>
      </c>
      <c r="AC49" s="128">
        <v>364</v>
      </c>
      <c r="AD49" s="128">
        <v>11</v>
      </c>
      <c r="AE49" s="128">
        <v>352</v>
      </c>
      <c r="AF49" s="128">
        <f t="shared" si="1"/>
        <v>36292.927209222398</v>
      </c>
      <c r="AG49" s="128">
        <v>17714</v>
      </c>
      <c r="AH49" s="128">
        <f t="shared" si="2"/>
        <v>2048.8273235419665</v>
      </c>
      <c r="AI49" t="s">
        <v>467</v>
      </c>
      <c r="AM49" t="s">
        <v>383</v>
      </c>
      <c r="AN49" s="128">
        <v>2378.2735560025494</v>
      </c>
      <c r="AO49" t="s">
        <v>441</v>
      </c>
    </row>
    <row r="50" spans="1:41" x14ac:dyDescent="0.25">
      <c r="A50" t="s">
        <v>517</v>
      </c>
      <c r="B50" t="s">
        <v>171</v>
      </c>
      <c r="C50" s="128">
        <v>84379</v>
      </c>
      <c r="D50" s="128">
        <v>405</v>
      </c>
      <c r="E50" s="128">
        <v>597</v>
      </c>
      <c r="F50" s="128">
        <v>3004</v>
      </c>
      <c r="G50" s="128">
        <v>23804</v>
      </c>
      <c r="H50" s="128">
        <v>6555</v>
      </c>
      <c r="I50" s="128">
        <v>2756</v>
      </c>
      <c r="J50" s="128">
        <v>3524</v>
      </c>
      <c r="K50" s="128">
        <v>550</v>
      </c>
      <c r="L50" s="128">
        <v>1663</v>
      </c>
      <c r="M50" s="128">
        <v>5471</v>
      </c>
      <c r="N50" s="128">
        <v>9255</v>
      </c>
      <c r="O50" s="128">
        <v>17851</v>
      </c>
      <c r="P50" s="128">
        <v>7578</v>
      </c>
      <c r="Q50" s="128">
        <v>1456</v>
      </c>
      <c r="R50" s="128"/>
      <c r="S50" t="s">
        <v>171</v>
      </c>
      <c r="T50" s="128">
        <f t="shared" si="0"/>
        <v>80373</v>
      </c>
      <c r="U50" s="128">
        <v>59978</v>
      </c>
      <c r="V50" s="128">
        <v>52175108.375124417</v>
      </c>
      <c r="W50" s="128">
        <v>4360</v>
      </c>
      <c r="X50" s="128">
        <v>3734</v>
      </c>
      <c r="Y50" s="128">
        <v>139</v>
      </c>
      <c r="Z50" s="128">
        <v>345</v>
      </c>
      <c r="AA50" s="128">
        <v>1299</v>
      </c>
      <c r="AB50" s="128">
        <v>13</v>
      </c>
      <c r="AC50" s="128">
        <v>260</v>
      </c>
      <c r="AD50" s="128">
        <v>0</v>
      </c>
      <c r="AE50" s="128">
        <v>28</v>
      </c>
      <c r="AF50" s="128">
        <f t="shared" si="1"/>
        <v>62392.108375124415</v>
      </c>
      <c r="AG50" s="128">
        <v>36075</v>
      </c>
      <c r="AH50" s="128">
        <f t="shared" si="2"/>
        <v>1729.5109736694226</v>
      </c>
      <c r="AI50" t="s">
        <v>467</v>
      </c>
      <c r="AM50" t="s">
        <v>124</v>
      </c>
      <c r="AN50" s="128">
        <v>2402.7482094173611</v>
      </c>
      <c r="AO50" t="s">
        <v>441</v>
      </c>
    </row>
    <row r="51" spans="1:41" x14ac:dyDescent="0.25">
      <c r="A51" t="s">
        <v>521</v>
      </c>
      <c r="B51" t="s">
        <v>172</v>
      </c>
      <c r="C51" s="128">
        <v>54364</v>
      </c>
      <c r="D51" s="128">
        <v>248</v>
      </c>
      <c r="E51" s="128">
        <v>351</v>
      </c>
      <c r="F51" s="128">
        <v>2398</v>
      </c>
      <c r="G51" s="128">
        <v>15698</v>
      </c>
      <c r="H51" s="128">
        <v>3753</v>
      </c>
      <c r="I51" s="128">
        <v>1335</v>
      </c>
      <c r="J51" s="128">
        <v>1725</v>
      </c>
      <c r="K51" s="128">
        <v>182</v>
      </c>
      <c r="L51" s="128">
        <v>1489</v>
      </c>
      <c r="M51" s="128">
        <v>3256</v>
      </c>
      <c r="N51" s="128">
        <v>6511</v>
      </c>
      <c r="O51" s="128">
        <v>12790</v>
      </c>
      <c r="P51" s="128">
        <v>4128</v>
      </c>
      <c r="Q51" s="128">
        <v>670</v>
      </c>
      <c r="R51" s="128"/>
      <c r="S51" t="s">
        <v>172</v>
      </c>
      <c r="T51" s="128">
        <f t="shared" si="0"/>
        <v>51367</v>
      </c>
      <c r="U51" s="128">
        <v>39195</v>
      </c>
      <c r="V51" s="128">
        <v>31972922.240039352</v>
      </c>
      <c r="W51" s="128">
        <v>2580</v>
      </c>
      <c r="X51" s="128">
        <v>1536</v>
      </c>
      <c r="Y51" s="128">
        <v>111</v>
      </c>
      <c r="Z51" s="128">
        <v>222</v>
      </c>
      <c r="AA51" s="128">
        <v>293</v>
      </c>
      <c r="AB51" s="128">
        <v>112</v>
      </c>
      <c r="AC51" s="128">
        <v>981</v>
      </c>
      <c r="AD51" s="128">
        <v>0</v>
      </c>
      <c r="AE51" s="128">
        <v>17</v>
      </c>
      <c r="AF51" s="128">
        <f t="shared" si="1"/>
        <v>38292.922240039348</v>
      </c>
      <c r="AG51" s="128">
        <v>20888</v>
      </c>
      <c r="AH51" s="128">
        <f t="shared" si="2"/>
        <v>1833.2498199942238</v>
      </c>
      <c r="AI51" t="s">
        <v>118</v>
      </c>
      <c r="AM51" t="s">
        <v>419</v>
      </c>
      <c r="AN51" s="128">
        <v>2343.9072553433061</v>
      </c>
      <c r="AO51" t="s">
        <v>441</v>
      </c>
    </row>
    <row r="52" spans="1:41" x14ac:dyDescent="0.25">
      <c r="A52" t="s">
        <v>519</v>
      </c>
      <c r="B52" t="s">
        <v>402</v>
      </c>
      <c r="C52" s="128">
        <v>110593</v>
      </c>
      <c r="D52" s="128">
        <v>12810</v>
      </c>
      <c r="E52" s="128">
        <v>320</v>
      </c>
      <c r="F52" s="128">
        <v>3276</v>
      </c>
      <c r="G52" s="128">
        <v>19398</v>
      </c>
      <c r="H52" s="128">
        <v>6030</v>
      </c>
      <c r="I52" s="128">
        <v>2195</v>
      </c>
      <c r="J52" s="128">
        <v>2175</v>
      </c>
      <c r="K52" s="128">
        <v>587</v>
      </c>
      <c r="L52" s="128">
        <v>3392</v>
      </c>
      <c r="M52" s="128">
        <v>3810</v>
      </c>
      <c r="N52" s="128">
        <v>29629</v>
      </c>
      <c r="O52" s="128">
        <v>20711</v>
      </c>
      <c r="P52" s="128">
        <v>6310</v>
      </c>
      <c r="Q52" s="128">
        <v>409</v>
      </c>
      <c r="R52" s="128"/>
      <c r="S52" t="s">
        <v>402</v>
      </c>
      <c r="T52" s="128">
        <f t="shared" si="0"/>
        <v>94187</v>
      </c>
      <c r="U52" s="128">
        <v>78916</v>
      </c>
      <c r="V52" s="128">
        <v>55691716.676687941</v>
      </c>
      <c r="W52" s="128">
        <v>3563</v>
      </c>
      <c r="X52" s="128">
        <v>3652</v>
      </c>
      <c r="Y52" s="128">
        <v>60</v>
      </c>
      <c r="Z52" s="128">
        <v>246</v>
      </c>
      <c r="AA52" s="128">
        <v>439</v>
      </c>
      <c r="AB52" s="128">
        <v>90</v>
      </c>
      <c r="AC52" s="128">
        <v>172</v>
      </c>
      <c r="AD52" s="128">
        <v>0</v>
      </c>
      <c r="AE52" s="128">
        <v>40</v>
      </c>
      <c r="AF52" s="128">
        <f t="shared" si="1"/>
        <v>62700.716676687938</v>
      </c>
      <c r="AG52" s="128">
        <v>27676</v>
      </c>
      <c r="AH52" s="128">
        <f t="shared" si="2"/>
        <v>2265.5266901534883</v>
      </c>
      <c r="AI52" s="177" t="s">
        <v>441</v>
      </c>
      <c r="AM52" t="s">
        <v>385</v>
      </c>
      <c r="AN52" s="128">
        <v>2023.0630226986946</v>
      </c>
      <c r="AO52" t="s">
        <v>441</v>
      </c>
    </row>
    <row r="53" spans="1:41" x14ac:dyDescent="0.25">
      <c r="A53" t="s">
        <v>519</v>
      </c>
      <c r="B53" t="s">
        <v>216</v>
      </c>
      <c r="C53" s="128">
        <v>33124</v>
      </c>
      <c r="D53" s="128">
        <v>266</v>
      </c>
      <c r="E53" s="128">
        <v>70</v>
      </c>
      <c r="F53" s="128">
        <v>1589</v>
      </c>
      <c r="G53" s="128">
        <v>9579</v>
      </c>
      <c r="H53" s="128">
        <v>3130</v>
      </c>
      <c r="I53" s="128">
        <v>1191</v>
      </c>
      <c r="J53" s="128">
        <v>1503</v>
      </c>
      <c r="K53" s="128">
        <v>16</v>
      </c>
      <c r="L53" s="128">
        <v>681</v>
      </c>
      <c r="M53" s="128">
        <v>2177</v>
      </c>
      <c r="N53" s="128">
        <v>3752</v>
      </c>
      <c r="O53" s="128">
        <v>6087</v>
      </c>
      <c r="P53" s="128">
        <v>2740</v>
      </c>
      <c r="Q53" s="128">
        <v>343</v>
      </c>
      <c r="R53" s="128"/>
      <c r="S53" t="s">
        <v>216</v>
      </c>
      <c r="T53" s="128">
        <f t="shared" si="0"/>
        <v>31199</v>
      </c>
      <c r="U53" s="128">
        <v>21190</v>
      </c>
      <c r="V53" s="128">
        <v>18134531.318682749</v>
      </c>
      <c r="W53" s="128">
        <v>1620</v>
      </c>
      <c r="X53" s="128">
        <v>1883</v>
      </c>
      <c r="Y53" s="128">
        <v>0</v>
      </c>
      <c r="Z53" s="128">
        <v>196</v>
      </c>
      <c r="AA53" s="128">
        <v>607</v>
      </c>
      <c r="AB53" s="128">
        <v>105</v>
      </c>
      <c r="AC53" s="128">
        <v>149</v>
      </c>
      <c r="AD53" s="128">
        <v>6</v>
      </c>
      <c r="AE53" s="128">
        <v>1</v>
      </c>
      <c r="AF53" s="128">
        <f t="shared" si="1"/>
        <v>23576.531318682748</v>
      </c>
      <c r="AG53" s="128">
        <v>15592</v>
      </c>
      <c r="AH53" s="128">
        <f t="shared" si="2"/>
        <v>1512.0915417318336</v>
      </c>
      <c r="AI53" t="s">
        <v>467</v>
      </c>
      <c r="AM53" t="s">
        <v>316</v>
      </c>
      <c r="AN53" s="128">
        <v>3218.4537076938118</v>
      </c>
      <c r="AO53" t="s">
        <v>441</v>
      </c>
    </row>
    <row r="54" spans="1:41" x14ac:dyDescent="0.25">
      <c r="A54" t="s">
        <v>526</v>
      </c>
      <c r="B54" t="s">
        <v>217</v>
      </c>
      <c r="C54" s="128">
        <v>50148</v>
      </c>
      <c r="D54" s="128">
        <v>6400</v>
      </c>
      <c r="E54" s="128">
        <v>277</v>
      </c>
      <c r="F54" s="128">
        <v>2208</v>
      </c>
      <c r="G54" s="128">
        <v>9903</v>
      </c>
      <c r="H54" s="128">
        <v>1633</v>
      </c>
      <c r="I54" s="128">
        <v>1314</v>
      </c>
      <c r="J54" s="128">
        <v>2192</v>
      </c>
      <c r="K54" s="128">
        <v>63</v>
      </c>
      <c r="L54" s="128">
        <v>1739</v>
      </c>
      <c r="M54" s="128">
        <v>4086</v>
      </c>
      <c r="N54" s="128">
        <v>5496</v>
      </c>
      <c r="O54" s="128">
        <v>9889</v>
      </c>
      <c r="P54" s="128">
        <v>5039</v>
      </c>
      <c r="Q54" s="128">
        <v>185</v>
      </c>
      <c r="R54" s="128"/>
      <c r="S54" t="s">
        <v>217</v>
      </c>
      <c r="T54" s="128">
        <f t="shared" si="0"/>
        <v>41263</v>
      </c>
      <c r="U54" s="128">
        <v>31867</v>
      </c>
      <c r="V54" s="128">
        <v>27419014.050384</v>
      </c>
      <c r="W54" s="128">
        <v>1544</v>
      </c>
      <c r="X54" s="128">
        <v>2266</v>
      </c>
      <c r="Y54" s="128">
        <v>387</v>
      </c>
      <c r="Z54" s="128">
        <v>252</v>
      </c>
      <c r="AA54" s="128">
        <v>571</v>
      </c>
      <c r="AB54" s="128">
        <v>287</v>
      </c>
      <c r="AC54" s="128">
        <v>0</v>
      </c>
      <c r="AD54" s="128">
        <v>43</v>
      </c>
      <c r="AE54" s="128">
        <v>91</v>
      </c>
      <c r="AF54" s="128">
        <f t="shared" si="1"/>
        <v>31374.014050384001</v>
      </c>
      <c r="AG54" s="128">
        <v>22329</v>
      </c>
      <c r="AH54" s="128">
        <f t="shared" si="2"/>
        <v>1405.079226583546</v>
      </c>
      <c r="AI54" t="s">
        <v>467</v>
      </c>
      <c r="AM54" t="s">
        <v>443</v>
      </c>
      <c r="AN54" s="128">
        <v>3092.3211813146659</v>
      </c>
      <c r="AO54" t="s">
        <v>441</v>
      </c>
    </row>
    <row r="55" spans="1:41" x14ac:dyDescent="0.25">
      <c r="A55" t="s">
        <v>524</v>
      </c>
      <c r="B55" t="s">
        <v>173</v>
      </c>
      <c r="C55" s="128">
        <v>63481</v>
      </c>
      <c r="D55" s="128">
        <v>288</v>
      </c>
      <c r="E55" s="128">
        <v>29</v>
      </c>
      <c r="F55" s="128">
        <v>1913</v>
      </c>
      <c r="G55" s="128">
        <v>13765</v>
      </c>
      <c r="H55" s="128">
        <v>5550</v>
      </c>
      <c r="I55" s="128">
        <v>2425</v>
      </c>
      <c r="J55" s="128">
        <v>3963</v>
      </c>
      <c r="K55" s="128">
        <v>263</v>
      </c>
      <c r="L55" s="128">
        <v>1949</v>
      </c>
      <c r="M55" s="128">
        <v>2731</v>
      </c>
      <c r="N55" s="128">
        <v>6235</v>
      </c>
      <c r="O55" s="128">
        <v>14788</v>
      </c>
      <c r="P55" s="128">
        <v>6462</v>
      </c>
      <c r="Q55" s="128">
        <v>3159</v>
      </c>
      <c r="R55" s="128"/>
      <c r="S55" t="s">
        <v>173</v>
      </c>
      <c r="T55" s="128">
        <f t="shared" si="0"/>
        <v>61251</v>
      </c>
      <c r="U55" s="128">
        <v>43084</v>
      </c>
      <c r="V55" s="128">
        <v>35612470.00389792</v>
      </c>
      <c r="W55" s="128">
        <v>2904</v>
      </c>
      <c r="X55" s="128">
        <v>0</v>
      </c>
      <c r="Y55" s="128">
        <v>166</v>
      </c>
      <c r="Z55" s="128">
        <v>288</v>
      </c>
      <c r="AA55" s="128">
        <v>1105</v>
      </c>
      <c r="AB55" s="128">
        <v>77</v>
      </c>
      <c r="AC55" s="128">
        <v>292</v>
      </c>
      <c r="AD55" s="128">
        <v>1</v>
      </c>
      <c r="AE55" s="128">
        <v>133</v>
      </c>
      <c r="AF55" s="128">
        <f t="shared" si="1"/>
        <v>48813.470003897921</v>
      </c>
      <c r="AG55" s="128">
        <v>27165</v>
      </c>
      <c r="AH55" s="128">
        <f t="shared" si="2"/>
        <v>1796.9250875721671</v>
      </c>
      <c r="AI55" t="s">
        <v>467</v>
      </c>
      <c r="AM55" t="s">
        <v>480</v>
      </c>
      <c r="AN55" s="128">
        <v>2594.3079844838708</v>
      </c>
      <c r="AO55" t="s">
        <v>441</v>
      </c>
    </row>
    <row r="56" spans="1:41" x14ac:dyDescent="0.25">
      <c r="A56" t="s">
        <v>524</v>
      </c>
      <c r="B56" t="s">
        <v>289</v>
      </c>
      <c r="C56" s="128">
        <v>220474</v>
      </c>
      <c r="D56" s="128">
        <v>13015</v>
      </c>
      <c r="E56" s="128">
        <v>617</v>
      </c>
      <c r="F56" s="128">
        <v>9158</v>
      </c>
      <c r="G56" s="128">
        <v>36186</v>
      </c>
      <c r="H56" s="128">
        <v>11827</v>
      </c>
      <c r="I56" s="128">
        <v>5749</v>
      </c>
      <c r="J56" s="128">
        <v>4877</v>
      </c>
      <c r="K56" s="128">
        <v>781</v>
      </c>
      <c r="L56" s="128">
        <v>6125</v>
      </c>
      <c r="M56" s="128">
        <v>14606</v>
      </c>
      <c r="N56" s="128">
        <v>54904</v>
      </c>
      <c r="O56" s="128">
        <v>46739</v>
      </c>
      <c r="P56" s="128">
        <v>14220</v>
      </c>
      <c r="Q56" s="128">
        <v>2910</v>
      </c>
      <c r="R56" s="128"/>
      <c r="S56" t="s">
        <v>289</v>
      </c>
      <c r="T56" s="128">
        <f t="shared" si="0"/>
        <v>197684</v>
      </c>
      <c r="U56" s="128">
        <v>161397</v>
      </c>
      <c r="V56" s="128">
        <v>124997373.26975502</v>
      </c>
      <c r="W56" s="128">
        <v>4396</v>
      </c>
      <c r="X56" s="128">
        <v>7906</v>
      </c>
      <c r="Y56" s="128">
        <v>0</v>
      </c>
      <c r="Z56" s="128">
        <v>686</v>
      </c>
      <c r="AA56" s="128">
        <v>1223</v>
      </c>
      <c r="AB56" s="128">
        <v>111</v>
      </c>
      <c r="AC56" s="128">
        <v>72</v>
      </c>
      <c r="AD56" s="128">
        <v>0</v>
      </c>
      <c r="AE56" s="128">
        <v>95</v>
      </c>
      <c r="AF56" s="128">
        <f t="shared" si="1"/>
        <v>146795.37326975501</v>
      </c>
      <c r="AG56" s="128">
        <v>67186</v>
      </c>
      <c r="AH56" s="128">
        <f t="shared" si="2"/>
        <v>2184.9101489857262</v>
      </c>
      <c r="AI56" t="s">
        <v>118</v>
      </c>
      <c r="AM56" t="s">
        <v>421</v>
      </c>
      <c r="AN56" s="128">
        <v>2601.6371257277747</v>
      </c>
      <c r="AO56" t="s">
        <v>441</v>
      </c>
    </row>
    <row r="57" spans="1:41" x14ac:dyDescent="0.25">
      <c r="A57" t="s">
        <v>519</v>
      </c>
      <c r="B57" t="s">
        <v>246</v>
      </c>
      <c r="C57" s="128">
        <v>74800</v>
      </c>
      <c r="D57" s="128">
        <v>496</v>
      </c>
      <c r="E57" s="128">
        <v>1635</v>
      </c>
      <c r="F57" s="128">
        <v>3397</v>
      </c>
      <c r="G57" s="128">
        <v>1545</v>
      </c>
      <c r="H57" s="128">
        <v>14391</v>
      </c>
      <c r="I57" s="128">
        <v>3082</v>
      </c>
      <c r="J57" s="128">
        <v>4285</v>
      </c>
      <c r="K57" s="128">
        <v>537</v>
      </c>
      <c r="L57" s="128">
        <v>2010</v>
      </c>
      <c r="M57" s="128">
        <v>8437</v>
      </c>
      <c r="N57" s="128">
        <v>8144</v>
      </c>
      <c r="O57" s="128">
        <v>15713</v>
      </c>
      <c r="P57" s="128">
        <v>8170</v>
      </c>
      <c r="Q57" s="128">
        <v>3114</v>
      </c>
      <c r="R57" s="128"/>
      <c r="S57" t="s">
        <v>246</v>
      </c>
      <c r="T57" s="128">
        <f t="shared" si="0"/>
        <v>69272</v>
      </c>
      <c r="U57" s="128">
        <v>52231</v>
      </c>
      <c r="V57" s="128">
        <v>46074135.70326747</v>
      </c>
      <c r="W57" s="128">
        <v>3529</v>
      </c>
      <c r="X57" s="128">
        <v>4354</v>
      </c>
      <c r="Y57" s="128">
        <v>230</v>
      </c>
      <c r="Z57" s="128">
        <v>462</v>
      </c>
      <c r="AA57" s="128">
        <v>1200</v>
      </c>
      <c r="AB57" s="128">
        <v>78</v>
      </c>
      <c r="AC57" s="128">
        <v>1140</v>
      </c>
      <c r="AD57" s="128">
        <v>0</v>
      </c>
      <c r="AE57" s="128">
        <v>54</v>
      </c>
      <c r="AF57" s="128">
        <f t="shared" si="1"/>
        <v>52068.135703267471</v>
      </c>
      <c r="AG57" s="128">
        <v>36249</v>
      </c>
      <c r="AH57" s="128">
        <f t="shared" si="2"/>
        <v>1436.4019891105263</v>
      </c>
      <c r="AI57" t="s">
        <v>467</v>
      </c>
      <c r="AM57" t="s">
        <v>136</v>
      </c>
      <c r="AN57" s="128">
        <v>2254.2119504842331</v>
      </c>
      <c r="AO57" t="s">
        <v>441</v>
      </c>
    </row>
    <row r="58" spans="1:41" x14ac:dyDescent="0.25">
      <c r="A58" t="s">
        <v>521</v>
      </c>
      <c r="B58" t="s">
        <v>109</v>
      </c>
      <c r="C58" s="128">
        <v>109936</v>
      </c>
      <c r="D58" s="128">
        <v>3143</v>
      </c>
      <c r="E58" s="128">
        <v>1750</v>
      </c>
      <c r="F58" s="128">
        <v>8209</v>
      </c>
      <c r="G58" s="128">
        <v>21126</v>
      </c>
      <c r="H58" s="128">
        <v>8501</v>
      </c>
      <c r="I58" s="128">
        <v>2497</v>
      </c>
      <c r="J58" s="128">
        <v>3724</v>
      </c>
      <c r="K58" s="128">
        <v>692</v>
      </c>
      <c r="L58" s="128">
        <v>2159</v>
      </c>
      <c r="M58" s="128">
        <v>3810</v>
      </c>
      <c r="N58" s="128">
        <v>21191</v>
      </c>
      <c r="O58" s="128">
        <v>21929</v>
      </c>
      <c r="P58" s="128">
        <v>7298</v>
      </c>
      <c r="Q58" s="128">
        <v>4092</v>
      </c>
      <c r="R58" s="128"/>
      <c r="S58" t="s">
        <v>109</v>
      </c>
      <c r="T58" s="128">
        <f t="shared" si="0"/>
        <v>96834</v>
      </c>
      <c r="U58" s="128">
        <v>81053</v>
      </c>
      <c r="V58" s="128">
        <v>62009548.091448016</v>
      </c>
      <c r="W58" s="128">
        <v>3584</v>
      </c>
      <c r="X58" s="128">
        <v>4280</v>
      </c>
      <c r="Y58" s="128">
        <v>443</v>
      </c>
      <c r="Z58" s="128">
        <v>343</v>
      </c>
      <c r="AA58" s="128">
        <v>1118</v>
      </c>
      <c r="AB58" s="128">
        <v>66</v>
      </c>
      <c r="AC58" s="128">
        <v>1890</v>
      </c>
      <c r="AD58" s="128">
        <v>0</v>
      </c>
      <c r="AE58" s="128">
        <v>207</v>
      </c>
      <c r="AF58" s="128">
        <f t="shared" si="1"/>
        <v>65859.548091448014</v>
      </c>
      <c r="AG58" s="128">
        <v>35515</v>
      </c>
      <c r="AH58" s="128">
        <f t="shared" si="2"/>
        <v>1854.4149821610029</v>
      </c>
      <c r="AI58" t="s">
        <v>118</v>
      </c>
      <c r="AM58" t="s">
        <v>125</v>
      </c>
      <c r="AN58" s="128">
        <v>2450.1551352925817</v>
      </c>
      <c r="AO58" t="s">
        <v>441</v>
      </c>
    </row>
    <row r="59" spans="1:41" x14ac:dyDescent="0.25">
      <c r="A59" t="s">
        <v>518</v>
      </c>
      <c r="B59" t="s">
        <v>355</v>
      </c>
      <c r="C59" s="128">
        <v>55441</v>
      </c>
      <c r="D59" s="128">
        <v>2203</v>
      </c>
      <c r="E59" s="128">
        <v>395</v>
      </c>
      <c r="F59" s="128">
        <v>2326</v>
      </c>
      <c r="G59" s="128">
        <v>8667</v>
      </c>
      <c r="H59" s="128">
        <v>8328</v>
      </c>
      <c r="I59" s="128">
        <v>1395</v>
      </c>
      <c r="J59" s="128">
        <v>2215</v>
      </c>
      <c r="K59" s="128">
        <v>1392</v>
      </c>
      <c r="L59" s="128">
        <v>1185</v>
      </c>
      <c r="M59" s="128">
        <v>3167</v>
      </c>
      <c r="N59" s="128">
        <v>8307</v>
      </c>
      <c r="O59" s="128">
        <v>10966</v>
      </c>
      <c r="P59" s="128">
        <v>3880</v>
      </c>
      <c r="Q59" s="128">
        <v>1092</v>
      </c>
      <c r="R59" s="128"/>
      <c r="S59" t="s">
        <v>355</v>
      </c>
      <c r="T59" s="128">
        <f t="shared" si="0"/>
        <v>50517</v>
      </c>
      <c r="U59" s="128">
        <v>39089</v>
      </c>
      <c r="V59" s="128">
        <v>30103250.055941828</v>
      </c>
      <c r="W59" s="128">
        <v>2112</v>
      </c>
      <c r="X59" s="128">
        <v>2371</v>
      </c>
      <c r="Y59" s="128">
        <v>53</v>
      </c>
      <c r="Z59" s="128">
        <v>216</v>
      </c>
      <c r="AA59" s="128">
        <v>608</v>
      </c>
      <c r="AB59" s="128">
        <v>103</v>
      </c>
      <c r="AC59" s="128">
        <v>230</v>
      </c>
      <c r="AD59" s="128">
        <v>0</v>
      </c>
      <c r="AE59" s="128">
        <v>340</v>
      </c>
      <c r="AF59" s="128">
        <f t="shared" si="1"/>
        <v>35498.250055941826</v>
      </c>
      <c r="AG59" s="128">
        <v>20668</v>
      </c>
      <c r="AH59" s="128">
        <f t="shared" si="2"/>
        <v>1717.5464513229063</v>
      </c>
      <c r="AI59" t="s">
        <v>467</v>
      </c>
      <c r="AM59" t="s">
        <v>204</v>
      </c>
      <c r="AN59" s="128">
        <v>2172.0623798723109</v>
      </c>
      <c r="AO59" t="s">
        <v>441</v>
      </c>
    </row>
    <row r="60" spans="1:41" x14ac:dyDescent="0.25">
      <c r="A60" t="s">
        <v>516</v>
      </c>
      <c r="B60" t="s">
        <v>174</v>
      </c>
      <c r="C60" s="128">
        <v>81360</v>
      </c>
      <c r="D60" s="128">
        <v>3563</v>
      </c>
      <c r="E60" s="128">
        <v>503</v>
      </c>
      <c r="F60" s="128">
        <v>4235</v>
      </c>
      <c r="G60" s="128">
        <v>13932</v>
      </c>
      <c r="H60" s="128">
        <v>7422</v>
      </c>
      <c r="I60" s="128">
        <v>2526</v>
      </c>
      <c r="J60" s="128">
        <v>2348</v>
      </c>
      <c r="K60" s="128">
        <v>847</v>
      </c>
      <c r="L60" s="128">
        <v>2401</v>
      </c>
      <c r="M60" s="128">
        <v>4915</v>
      </c>
      <c r="N60" s="128">
        <v>15968</v>
      </c>
      <c r="O60" s="128">
        <v>15877</v>
      </c>
      <c r="P60" s="128">
        <v>5732</v>
      </c>
      <c r="Q60" s="128">
        <v>1638</v>
      </c>
      <c r="R60" s="128"/>
      <c r="S60" t="s">
        <v>174</v>
      </c>
      <c r="T60" s="128">
        <f t="shared" si="0"/>
        <v>73059</v>
      </c>
      <c r="U60" s="128">
        <v>57884</v>
      </c>
      <c r="V60" s="128">
        <v>48068049.819767162</v>
      </c>
      <c r="W60" s="128">
        <v>3449</v>
      </c>
      <c r="X60" s="128">
        <v>0</v>
      </c>
      <c r="Y60" s="128">
        <v>0</v>
      </c>
      <c r="Z60" s="128">
        <v>245</v>
      </c>
      <c r="AA60" s="128">
        <v>796</v>
      </c>
      <c r="AB60" s="128">
        <v>122</v>
      </c>
      <c r="AC60" s="128">
        <v>26</v>
      </c>
      <c r="AD60" s="128">
        <v>509</v>
      </c>
      <c r="AE60" s="128">
        <v>65</v>
      </c>
      <c r="AF60" s="128">
        <f t="shared" si="1"/>
        <v>58031.049819767162</v>
      </c>
      <c r="AG60" s="128">
        <v>29387</v>
      </c>
      <c r="AH60" s="128">
        <f t="shared" si="2"/>
        <v>1974.7184067705844</v>
      </c>
      <c r="AI60" t="s">
        <v>118</v>
      </c>
      <c r="AM60" t="s">
        <v>391</v>
      </c>
      <c r="AN60" s="128">
        <v>2432.2105439587926</v>
      </c>
      <c r="AO60" t="s">
        <v>441</v>
      </c>
    </row>
    <row r="61" spans="1:41" x14ac:dyDescent="0.25">
      <c r="A61" t="s">
        <v>517</v>
      </c>
      <c r="B61" t="s">
        <v>143</v>
      </c>
      <c r="C61" s="128">
        <v>69652</v>
      </c>
      <c r="D61" s="128">
        <v>4294</v>
      </c>
      <c r="E61" s="128">
        <v>203</v>
      </c>
      <c r="F61" s="128">
        <v>2219</v>
      </c>
      <c r="G61" s="128">
        <v>20579</v>
      </c>
      <c r="H61" s="128">
        <v>5888</v>
      </c>
      <c r="I61" s="128">
        <v>2125</v>
      </c>
      <c r="J61" s="128">
        <v>1655</v>
      </c>
      <c r="K61" s="128">
        <v>132</v>
      </c>
      <c r="L61" s="128">
        <v>1425</v>
      </c>
      <c r="M61" s="128">
        <v>3552</v>
      </c>
      <c r="N61" s="128">
        <v>5483</v>
      </c>
      <c r="O61" s="128">
        <v>15872</v>
      </c>
      <c r="P61" s="128">
        <v>6147</v>
      </c>
      <c r="Q61" s="128">
        <v>582</v>
      </c>
      <c r="R61" s="128"/>
      <c r="S61" t="s">
        <v>143</v>
      </c>
      <c r="T61" s="128">
        <f t="shared" si="0"/>
        <v>62936</v>
      </c>
      <c r="U61" s="128">
        <v>46454</v>
      </c>
      <c r="V61" s="128">
        <v>39498347.8839949</v>
      </c>
      <c r="W61" s="128">
        <v>1465</v>
      </c>
      <c r="X61" s="128">
        <v>2898</v>
      </c>
      <c r="Y61" s="128">
        <v>296</v>
      </c>
      <c r="Z61" s="128">
        <v>324</v>
      </c>
      <c r="AA61" s="128">
        <v>1368</v>
      </c>
      <c r="AB61" s="128">
        <v>124</v>
      </c>
      <c r="AC61" s="128">
        <v>200</v>
      </c>
      <c r="AD61" s="128">
        <v>0</v>
      </c>
      <c r="AE61" s="128">
        <v>100</v>
      </c>
      <c r="AF61" s="128">
        <f t="shared" si="1"/>
        <v>49205.347883994902</v>
      </c>
      <c r="AG61" s="128">
        <v>29158</v>
      </c>
      <c r="AH61" s="128">
        <f t="shared" si="2"/>
        <v>1687.5419399133993</v>
      </c>
      <c r="AI61" t="s">
        <v>467</v>
      </c>
      <c r="AM61" t="s">
        <v>231</v>
      </c>
      <c r="AN61" s="128">
        <v>2251.7621835812529</v>
      </c>
      <c r="AO61" t="s">
        <v>441</v>
      </c>
    </row>
    <row r="62" spans="1:41" x14ac:dyDescent="0.25">
      <c r="A62" t="s">
        <v>517</v>
      </c>
      <c r="B62" t="s">
        <v>129</v>
      </c>
      <c r="C62" s="128">
        <v>56558</v>
      </c>
      <c r="D62" s="128">
        <v>55</v>
      </c>
      <c r="E62" s="128">
        <v>316</v>
      </c>
      <c r="F62" s="128">
        <v>1911</v>
      </c>
      <c r="G62" s="128">
        <v>896</v>
      </c>
      <c r="H62" s="128">
        <v>8217</v>
      </c>
      <c r="I62" s="128">
        <v>1478</v>
      </c>
      <c r="J62" s="128">
        <v>3010</v>
      </c>
      <c r="K62" s="128">
        <v>447</v>
      </c>
      <c r="L62" s="128">
        <v>2236</v>
      </c>
      <c r="M62" s="128">
        <v>2141</v>
      </c>
      <c r="N62" s="128">
        <v>15708</v>
      </c>
      <c r="O62" s="128">
        <v>14730</v>
      </c>
      <c r="P62" s="128">
        <v>4638</v>
      </c>
      <c r="Q62" s="128">
        <v>779</v>
      </c>
      <c r="R62" s="128"/>
      <c r="S62" t="s">
        <v>129</v>
      </c>
      <c r="T62" s="128">
        <f t="shared" si="0"/>
        <v>54276</v>
      </c>
      <c r="U62" s="128">
        <v>44872</v>
      </c>
      <c r="V62" s="128">
        <v>33774833.553582191</v>
      </c>
      <c r="W62" s="128">
        <v>1586</v>
      </c>
      <c r="X62" s="128">
        <v>2061</v>
      </c>
      <c r="Y62" s="128">
        <v>0</v>
      </c>
      <c r="Z62" s="128">
        <v>209</v>
      </c>
      <c r="AA62" s="128">
        <v>423</v>
      </c>
      <c r="AB62" s="128">
        <v>35</v>
      </c>
      <c r="AC62" s="128">
        <v>20</v>
      </c>
      <c r="AD62" s="128">
        <v>2</v>
      </c>
      <c r="AE62" s="128">
        <v>64</v>
      </c>
      <c r="AF62" s="128">
        <f t="shared" si="1"/>
        <v>38778.83355358219</v>
      </c>
      <c r="AG62" s="128">
        <v>18961</v>
      </c>
      <c r="AH62" s="128">
        <f t="shared" si="2"/>
        <v>2045.1892597216493</v>
      </c>
      <c r="AI62" t="s">
        <v>118</v>
      </c>
      <c r="AM62" t="s">
        <v>423</v>
      </c>
      <c r="AN62" s="128">
        <v>1897.7743597524075</v>
      </c>
      <c r="AO62" t="s">
        <v>441</v>
      </c>
    </row>
    <row r="63" spans="1:41" x14ac:dyDescent="0.25">
      <c r="A63" t="s">
        <v>519</v>
      </c>
      <c r="B63" t="s">
        <v>218</v>
      </c>
      <c r="C63" s="128">
        <v>110094</v>
      </c>
      <c r="D63" s="128">
        <v>9670</v>
      </c>
      <c r="E63" s="128">
        <v>1630</v>
      </c>
      <c r="F63" s="128">
        <v>4269</v>
      </c>
      <c r="G63" s="128">
        <v>20194</v>
      </c>
      <c r="H63" s="128">
        <v>6899</v>
      </c>
      <c r="I63" s="128">
        <v>3033</v>
      </c>
      <c r="J63" s="128">
        <v>3482</v>
      </c>
      <c r="K63" s="128">
        <v>612</v>
      </c>
      <c r="L63" s="128">
        <v>2562</v>
      </c>
      <c r="M63" s="128">
        <v>6870</v>
      </c>
      <c r="N63" s="128">
        <v>15554</v>
      </c>
      <c r="O63" s="128">
        <v>24772</v>
      </c>
      <c r="P63" s="128">
        <v>9898</v>
      </c>
      <c r="Q63" s="128">
        <v>1195</v>
      </c>
      <c r="R63" s="128"/>
      <c r="S63" t="s">
        <v>218</v>
      </c>
      <c r="T63" s="128">
        <f t="shared" si="0"/>
        <v>94525</v>
      </c>
      <c r="U63" s="128">
        <v>66355</v>
      </c>
      <c r="V63" s="128">
        <v>57999132.314770788</v>
      </c>
      <c r="W63" s="128">
        <v>4455</v>
      </c>
      <c r="X63" s="128">
        <v>5337</v>
      </c>
      <c r="Y63" s="128">
        <v>483</v>
      </c>
      <c r="Z63" s="128">
        <v>466</v>
      </c>
      <c r="AA63" s="128">
        <v>1261</v>
      </c>
      <c r="AB63" s="128">
        <v>164</v>
      </c>
      <c r="AC63" s="128">
        <v>215</v>
      </c>
      <c r="AD63" s="128">
        <v>0</v>
      </c>
      <c r="AE63" s="128">
        <v>668</v>
      </c>
      <c r="AF63" s="128">
        <f t="shared" si="1"/>
        <v>73120.132314770788</v>
      </c>
      <c r="AG63" s="128">
        <v>43508</v>
      </c>
      <c r="AH63" s="128">
        <f t="shared" si="2"/>
        <v>1680.6135036032636</v>
      </c>
      <c r="AI63" t="s">
        <v>467</v>
      </c>
      <c r="AM63" t="s">
        <v>126</v>
      </c>
      <c r="AN63" s="128">
        <v>2547.3454882181154</v>
      </c>
      <c r="AO63" t="s">
        <v>441</v>
      </c>
    </row>
    <row r="64" spans="1:41" x14ac:dyDescent="0.25">
      <c r="A64" t="s">
        <v>522</v>
      </c>
      <c r="B64" t="s">
        <v>529</v>
      </c>
      <c r="C64" s="128">
        <v>140491</v>
      </c>
      <c r="D64" s="128">
        <v>826</v>
      </c>
      <c r="E64" s="128">
        <v>2002</v>
      </c>
      <c r="F64" s="128">
        <v>6313</v>
      </c>
      <c r="G64" s="128">
        <v>35995</v>
      </c>
      <c r="H64" s="128">
        <v>9448</v>
      </c>
      <c r="I64" s="128">
        <v>3892</v>
      </c>
      <c r="J64" s="128">
        <v>7237</v>
      </c>
      <c r="K64" s="128">
        <v>900</v>
      </c>
      <c r="L64" s="128">
        <v>4363</v>
      </c>
      <c r="M64" s="128">
        <v>9101</v>
      </c>
      <c r="N64" s="128">
        <v>23886</v>
      </c>
      <c r="O64" s="128">
        <v>26019</v>
      </c>
      <c r="P64" s="128">
        <v>10443</v>
      </c>
      <c r="Q64" s="128">
        <v>676</v>
      </c>
      <c r="R64" s="128"/>
      <c r="S64" t="s">
        <v>529</v>
      </c>
      <c r="T64" s="128">
        <f t="shared" si="0"/>
        <v>131350</v>
      </c>
      <c r="U64" s="128">
        <v>100174</v>
      </c>
      <c r="V64" s="128">
        <v>81752159.207330436</v>
      </c>
      <c r="W64" s="128">
        <v>5064</v>
      </c>
      <c r="X64" s="128">
        <v>5781</v>
      </c>
      <c r="Y64" s="128">
        <v>371</v>
      </c>
      <c r="Z64" s="128">
        <v>567</v>
      </c>
      <c r="AA64" s="128">
        <v>1164</v>
      </c>
      <c r="AB64" s="128">
        <v>1029</v>
      </c>
      <c r="AC64" s="128">
        <v>960</v>
      </c>
      <c r="AD64" s="128">
        <v>0</v>
      </c>
      <c r="AE64" s="128">
        <v>909</v>
      </c>
      <c r="AF64" s="128">
        <f t="shared" si="1"/>
        <v>97083.159207330435</v>
      </c>
      <c r="AG64" s="128">
        <v>51595</v>
      </c>
      <c r="AH64" s="128">
        <f t="shared" si="2"/>
        <v>1881.6389031365527</v>
      </c>
      <c r="AI64" t="s">
        <v>118</v>
      </c>
      <c r="AM64" t="s">
        <v>233</v>
      </c>
      <c r="AN64" s="128">
        <v>1927.4615858531167</v>
      </c>
      <c r="AO64" t="s">
        <v>441</v>
      </c>
    </row>
    <row r="65" spans="1:43" x14ac:dyDescent="0.25">
      <c r="A65" t="s">
        <v>520</v>
      </c>
      <c r="B65" t="s">
        <v>219</v>
      </c>
      <c r="C65" s="128">
        <v>97243</v>
      </c>
      <c r="D65" s="128">
        <v>-317</v>
      </c>
      <c r="E65" s="128">
        <v>1044</v>
      </c>
      <c r="F65" s="128">
        <v>4377</v>
      </c>
      <c r="G65" s="128">
        <v>28249</v>
      </c>
      <c r="H65" s="128">
        <v>8218</v>
      </c>
      <c r="I65" s="128">
        <v>2953</v>
      </c>
      <c r="J65" s="128">
        <v>5946</v>
      </c>
      <c r="K65" s="128">
        <v>247</v>
      </c>
      <c r="L65" s="128">
        <v>2293</v>
      </c>
      <c r="M65" s="128">
        <v>4695</v>
      </c>
      <c r="N65" s="128">
        <v>8832</v>
      </c>
      <c r="O65" s="128">
        <v>19474</v>
      </c>
      <c r="P65" s="128">
        <v>9065</v>
      </c>
      <c r="Q65" s="128">
        <v>2145</v>
      </c>
      <c r="R65" s="128"/>
      <c r="S65" t="s">
        <v>219</v>
      </c>
      <c r="T65" s="128">
        <f t="shared" si="0"/>
        <v>92139</v>
      </c>
      <c r="U65" s="128">
        <v>68492</v>
      </c>
      <c r="V65" s="128">
        <v>57160156.691190355</v>
      </c>
      <c r="W65" s="128">
        <v>4922</v>
      </c>
      <c r="X65" s="128">
        <v>6105</v>
      </c>
      <c r="Y65" s="128">
        <v>60</v>
      </c>
      <c r="Z65" s="128">
        <v>384</v>
      </c>
      <c r="AA65" s="128">
        <v>1966</v>
      </c>
      <c r="AB65" s="128">
        <v>219</v>
      </c>
      <c r="AC65" s="128">
        <v>448</v>
      </c>
      <c r="AD65" s="128">
        <v>6</v>
      </c>
      <c r="AE65" s="128">
        <v>83</v>
      </c>
      <c r="AF65" s="128">
        <f t="shared" si="1"/>
        <v>66614.15669119035</v>
      </c>
      <c r="AG65" s="128">
        <v>44950</v>
      </c>
      <c r="AH65" s="128">
        <f t="shared" si="2"/>
        <v>1481.9612167116873</v>
      </c>
      <c r="AI65" t="s">
        <v>467</v>
      </c>
      <c r="AM65" t="s">
        <v>425</v>
      </c>
      <c r="AN65" s="128">
        <v>2308.2911722556937</v>
      </c>
      <c r="AO65" t="s">
        <v>441</v>
      </c>
    </row>
    <row r="66" spans="1:43" x14ac:dyDescent="0.25">
      <c r="A66" t="s">
        <v>521</v>
      </c>
      <c r="B66" t="s">
        <v>117</v>
      </c>
      <c r="C66" s="128">
        <v>56034</v>
      </c>
      <c r="D66" s="128">
        <v>747</v>
      </c>
      <c r="E66" s="128">
        <v>421</v>
      </c>
      <c r="F66" s="128">
        <v>3258</v>
      </c>
      <c r="G66" s="128">
        <v>1396</v>
      </c>
      <c r="H66" s="128">
        <v>10305</v>
      </c>
      <c r="I66" s="128">
        <v>1902</v>
      </c>
      <c r="J66" s="128">
        <v>2664</v>
      </c>
      <c r="K66" s="128">
        <v>673</v>
      </c>
      <c r="L66" s="128">
        <v>1431</v>
      </c>
      <c r="M66" s="128">
        <v>4706</v>
      </c>
      <c r="N66" s="128">
        <v>7629</v>
      </c>
      <c r="O66" s="128">
        <v>14165</v>
      </c>
      <c r="P66" s="128">
        <v>5199</v>
      </c>
      <c r="Q66" s="128">
        <v>1535</v>
      </c>
      <c r="R66" s="128"/>
      <c r="S66" t="s">
        <v>117</v>
      </c>
      <c r="T66" s="128">
        <f t="shared" si="0"/>
        <v>51608</v>
      </c>
      <c r="U66" s="128">
        <v>40947</v>
      </c>
      <c r="V66" s="128">
        <v>35398389.506377675</v>
      </c>
      <c r="W66" s="128">
        <v>2648</v>
      </c>
      <c r="X66" s="128">
        <v>1917</v>
      </c>
      <c r="Y66" s="128">
        <v>212</v>
      </c>
      <c r="Z66" s="128">
        <v>300</v>
      </c>
      <c r="AA66" s="128">
        <v>758</v>
      </c>
      <c r="AB66" s="128">
        <v>38</v>
      </c>
      <c r="AC66" s="128">
        <v>388</v>
      </c>
      <c r="AD66" s="128">
        <v>0</v>
      </c>
      <c r="AE66" s="128">
        <v>37</v>
      </c>
      <c r="AF66" s="128">
        <f t="shared" si="1"/>
        <v>39761.389506377673</v>
      </c>
      <c r="AG66" s="128">
        <v>24514</v>
      </c>
      <c r="AH66" s="128">
        <f t="shared" si="2"/>
        <v>1621.9870076844936</v>
      </c>
      <c r="AI66" t="s">
        <v>467</v>
      </c>
      <c r="AM66" t="s">
        <v>426</v>
      </c>
      <c r="AN66" s="128">
        <v>1973.955223817909</v>
      </c>
      <c r="AO66" t="s">
        <v>441</v>
      </c>
    </row>
    <row r="67" spans="1:43" x14ac:dyDescent="0.25">
      <c r="A67" t="s">
        <v>525</v>
      </c>
      <c r="B67" t="s">
        <v>290</v>
      </c>
      <c r="C67" s="128">
        <v>419732</v>
      </c>
      <c r="D67" s="128">
        <v>6604</v>
      </c>
      <c r="E67" s="128">
        <v>7467</v>
      </c>
      <c r="F67" s="128">
        <v>16227</v>
      </c>
      <c r="G67" s="128">
        <v>75677</v>
      </c>
      <c r="H67" s="128">
        <v>29800</v>
      </c>
      <c r="I67" s="128">
        <v>9432</v>
      </c>
      <c r="J67" s="128">
        <v>15300</v>
      </c>
      <c r="K67" s="128">
        <v>3750</v>
      </c>
      <c r="L67" s="128">
        <v>9703</v>
      </c>
      <c r="M67" s="128">
        <v>20075</v>
      </c>
      <c r="N67" s="128">
        <v>78622</v>
      </c>
      <c r="O67" s="128">
        <v>102333</v>
      </c>
      <c r="P67" s="128">
        <v>40410</v>
      </c>
      <c r="Q67" s="128">
        <v>4730</v>
      </c>
      <c r="R67" s="128"/>
      <c r="S67" t="s">
        <v>290</v>
      </c>
      <c r="T67" s="128">
        <f t="shared" ref="T67:T130" si="3">SUM(C67,-D67,-E67,-F67)</f>
        <v>389434</v>
      </c>
      <c r="U67" s="128">
        <v>284456</v>
      </c>
      <c r="V67" s="128">
        <v>186784363.13160074</v>
      </c>
      <c r="W67" s="128">
        <v>13566</v>
      </c>
      <c r="X67" s="128">
        <v>16827</v>
      </c>
      <c r="Y67" s="128">
        <v>0</v>
      </c>
      <c r="Z67" s="128">
        <v>1251</v>
      </c>
      <c r="AA67" s="128">
        <v>3626</v>
      </c>
      <c r="AB67" s="128">
        <v>252</v>
      </c>
      <c r="AC67" s="128">
        <v>975</v>
      </c>
      <c r="AD67" s="128">
        <v>7272</v>
      </c>
      <c r="AE67" s="128">
        <v>1277</v>
      </c>
      <c r="AF67" s="128">
        <f t="shared" ref="AF67:AF130" si="4">SUM(T67,-U67,V67/1000,-W67,-X67,-Y67,-Z67,-AA67,-AB67,-AC67,-AD67,-AE67)</f>
        <v>246716.36313160072</v>
      </c>
      <c r="AG67" s="128">
        <v>104533</v>
      </c>
      <c r="AH67" s="128">
        <f t="shared" ref="AH67:AH130" si="5">AF67*1000/AG67</f>
        <v>2360.1768162360281</v>
      </c>
      <c r="AI67" t="s">
        <v>118</v>
      </c>
      <c r="AM67" t="s">
        <v>342</v>
      </c>
      <c r="AN67" s="128">
        <v>2361.4319770806892</v>
      </c>
      <c r="AO67" t="s">
        <v>441</v>
      </c>
    </row>
    <row r="68" spans="1:43" x14ac:dyDescent="0.25">
      <c r="A68" t="s">
        <v>517</v>
      </c>
      <c r="B68" t="s">
        <v>247</v>
      </c>
      <c r="C68" s="128">
        <v>216155</v>
      </c>
      <c r="D68" s="128">
        <v>5332</v>
      </c>
      <c r="E68" s="128">
        <v>1877</v>
      </c>
      <c r="F68" s="128">
        <v>8088</v>
      </c>
      <c r="G68" s="128">
        <v>38139</v>
      </c>
      <c r="H68" s="128">
        <v>11316</v>
      </c>
      <c r="I68" s="128">
        <v>4535</v>
      </c>
      <c r="J68" s="128">
        <v>6997</v>
      </c>
      <c r="K68" s="128">
        <v>1589</v>
      </c>
      <c r="L68" s="128">
        <v>7168</v>
      </c>
      <c r="M68" s="128">
        <v>14026</v>
      </c>
      <c r="N68" s="128">
        <v>41543</v>
      </c>
      <c r="O68" s="128">
        <v>60100</v>
      </c>
      <c r="P68" s="128">
        <v>13788</v>
      </c>
      <c r="Q68" s="128">
        <v>1847</v>
      </c>
      <c r="R68" s="128"/>
      <c r="S68" t="s">
        <v>247</v>
      </c>
      <c r="T68" s="128">
        <f t="shared" si="3"/>
        <v>200858</v>
      </c>
      <c r="U68" s="128">
        <v>164467</v>
      </c>
      <c r="V68" s="128">
        <v>108847981.91091004</v>
      </c>
      <c r="W68" s="128">
        <v>3936</v>
      </c>
      <c r="X68" s="128">
        <v>11135</v>
      </c>
      <c r="Y68" s="128">
        <v>368</v>
      </c>
      <c r="Z68" s="128">
        <v>889</v>
      </c>
      <c r="AA68" s="128">
        <v>1188</v>
      </c>
      <c r="AB68" s="128">
        <v>105</v>
      </c>
      <c r="AC68" s="128">
        <v>751</v>
      </c>
      <c r="AD68" s="128">
        <v>63</v>
      </c>
      <c r="AE68" s="128">
        <v>788</v>
      </c>
      <c r="AF68" s="128">
        <f t="shared" si="4"/>
        <v>126015.98191091005</v>
      </c>
      <c r="AG68" s="128">
        <v>56338</v>
      </c>
      <c r="AH68" s="128">
        <f t="shared" si="5"/>
        <v>2236.784797311052</v>
      </c>
      <c r="AI68" t="s">
        <v>441</v>
      </c>
      <c r="AM68" t="s">
        <v>428</v>
      </c>
      <c r="AN68" s="128">
        <v>2020.9298534601314</v>
      </c>
      <c r="AO68" t="s">
        <v>441</v>
      </c>
    </row>
    <row r="69" spans="1:43" x14ac:dyDescent="0.25">
      <c r="A69" t="s">
        <v>522</v>
      </c>
      <c r="B69" t="s">
        <v>357</v>
      </c>
      <c r="C69" s="128">
        <v>100089</v>
      </c>
      <c r="D69" s="128">
        <v>14414</v>
      </c>
      <c r="E69" s="128">
        <v>1632</v>
      </c>
      <c r="F69" s="128">
        <v>3545</v>
      </c>
      <c r="G69" s="128">
        <v>17545</v>
      </c>
      <c r="H69" s="128">
        <v>5406</v>
      </c>
      <c r="I69" s="128">
        <v>2074</v>
      </c>
      <c r="J69" s="128">
        <v>3503</v>
      </c>
      <c r="K69" s="128">
        <v>2045</v>
      </c>
      <c r="L69" s="128">
        <v>2556</v>
      </c>
      <c r="M69" s="128">
        <v>4334</v>
      </c>
      <c r="N69" s="128">
        <v>15048</v>
      </c>
      <c r="O69" s="128">
        <v>19764</v>
      </c>
      <c r="P69" s="128">
        <v>6895</v>
      </c>
      <c r="Q69" s="128">
        <v>1895</v>
      </c>
      <c r="R69" s="128"/>
      <c r="S69" t="s">
        <v>357</v>
      </c>
      <c r="T69" s="128">
        <f t="shared" si="3"/>
        <v>80498</v>
      </c>
      <c r="U69" s="128">
        <v>62122</v>
      </c>
      <c r="V69" s="128">
        <v>50413852.703215681</v>
      </c>
      <c r="W69" s="128">
        <v>4130</v>
      </c>
      <c r="X69" s="128">
        <v>2505</v>
      </c>
      <c r="Y69" s="128">
        <v>76</v>
      </c>
      <c r="Z69" s="128">
        <v>303</v>
      </c>
      <c r="AA69" s="128">
        <v>1400</v>
      </c>
      <c r="AB69" s="128">
        <v>175</v>
      </c>
      <c r="AC69" s="128">
        <v>360</v>
      </c>
      <c r="AD69" s="128">
        <v>317</v>
      </c>
      <c r="AE69" s="128">
        <v>300</v>
      </c>
      <c r="AF69" s="128">
        <f t="shared" si="4"/>
        <v>59223.852703215671</v>
      </c>
      <c r="AG69" s="128">
        <v>32602</v>
      </c>
      <c r="AH69" s="128">
        <f t="shared" si="5"/>
        <v>1816.5711521751939</v>
      </c>
      <c r="AI69" t="s">
        <v>118</v>
      </c>
      <c r="AM69" t="s">
        <v>281</v>
      </c>
      <c r="AN69" s="128">
        <v>1987.6093674526912</v>
      </c>
      <c r="AO69" t="s">
        <v>441</v>
      </c>
    </row>
    <row r="70" spans="1:43" x14ac:dyDescent="0.25">
      <c r="A70" t="s">
        <v>518</v>
      </c>
      <c r="B70" t="s">
        <v>144</v>
      </c>
      <c r="C70" s="128">
        <v>380214</v>
      </c>
      <c r="D70" s="128">
        <v>7013</v>
      </c>
      <c r="E70" s="128">
        <v>7865</v>
      </c>
      <c r="F70" s="128">
        <v>14323</v>
      </c>
      <c r="G70" s="128">
        <v>59822</v>
      </c>
      <c r="H70" s="128">
        <v>30795</v>
      </c>
      <c r="I70" s="128">
        <v>8208</v>
      </c>
      <c r="J70" s="128">
        <v>14041</v>
      </c>
      <c r="K70" s="128">
        <v>9413</v>
      </c>
      <c r="L70" s="128">
        <v>8007</v>
      </c>
      <c r="M70" s="128">
        <v>26634</v>
      </c>
      <c r="N70" s="128">
        <v>73859</v>
      </c>
      <c r="O70" s="128">
        <v>95722</v>
      </c>
      <c r="P70" s="128">
        <v>24745</v>
      </c>
      <c r="Q70" s="128">
        <v>2275</v>
      </c>
      <c r="R70" s="128"/>
      <c r="S70" t="s">
        <v>144</v>
      </c>
      <c r="T70" s="128">
        <f t="shared" si="3"/>
        <v>351013</v>
      </c>
      <c r="U70" s="128">
        <v>263610</v>
      </c>
      <c r="V70" s="128">
        <v>185985778.3405574</v>
      </c>
      <c r="W70" s="128">
        <v>8546</v>
      </c>
      <c r="X70" s="128">
        <v>14432</v>
      </c>
      <c r="Y70" s="128">
        <v>161</v>
      </c>
      <c r="Z70" s="128">
        <v>1162</v>
      </c>
      <c r="AA70" s="128">
        <v>3420</v>
      </c>
      <c r="AB70" s="128">
        <v>1107</v>
      </c>
      <c r="AC70" s="128">
        <v>243</v>
      </c>
      <c r="AD70" s="128">
        <v>4942</v>
      </c>
      <c r="AE70" s="128">
        <v>1409</v>
      </c>
      <c r="AF70" s="128">
        <f t="shared" si="4"/>
        <v>237966.77834055736</v>
      </c>
      <c r="AG70" s="128">
        <v>101415</v>
      </c>
      <c r="AH70" s="128">
        <f t="shared" si="5"/>
        <v>2346.4652994187977</v>
      </c>
      <c r="AI70" t="s">
        <v>441</v>
      </c>
      <c r="AM70" t="s">
        <v>326</v>
      </c>
      <c r="AN70" s="128">
        <v>2227.3989189402901</v>
      </c>
      <c r="AO70" t="s">
        <v>441</v>
      </c>
    </row>
    <row r="71" spans="1:43" x14ac:dyDescent="0.25">
      <c r="A71" t="s">
        <v>522</v>
      </c>
      <c r="B71" t="s">
        <v>248</v>
      </c>
      <c r="C71" s="128">
        <v>97208</v>
      </c>
      <c r="D71" s="128">
        <v>14519</v>
      </c>
      <c r="E71" s="128">
        <v>555</v>
      </c>
      <c r="F71" s="128">
        <v>5747</v>
      </c>
      <c r="G71" s="128">
        <v>18593</v>
      </c>
      <c r="H71" s="128">
        <v>10132</v>
      </c>
      <c r="I71" s="128">
        <v>2056</v>
      </c>
      <c r="J71" s="128">
        <v>4155</v>
      </c>
      <c r="K71" s="128">
        <v>344</v>
      </c>
      <c r="L71" s="128">
        <v>1954</v>
      </c>
      <c r="M71" s="128">
        <v>3564</v>
      </c>
      <c r="N71" s="128">
        <v>11517</v>
      </c>
      <c r="O71" s="128">
        <v>14418</v>
      </c>
      <c r="P71" s="128">
        <v>8768</v>
      </c>
      <c r="Q71" s="128">
        <v>827</v>
      </c>
      <c r="R71" s="128"/>
      <c r="S71" t="s">
        <v>248</v>
      </c>
      <c r="T71" s="128">
        <f t="shared" si="3"/>
        <v>76387</v>
      </c>
      <c r="U71" s="128">
        <v>55914</v>
      </c>
      <c r="V71" s="128">
        <v>46195488.688286826</v>
      </c>
      <c r="W71" s="128">
        <v>3420</v>
      </c>
      <c r="X71" s="128">
        <v>4420</v>
      </c>
      <c r="Y71" s="128">
        <v>2</v>
      </c>
      <c r="Z71" s="128">
        <v>356</v>
      </c>
      <c r="AA71" s="128">
        <v>1004</v>
      </c>
      <c r="AB71" s="128">
        <v>90</v>
      </c>
      <c r="AC71" s="128">
        <v>515</v>
      </c>
      <c r="AD71" s="128">
        <v>1205</v>
      </c>
      <c r="AE71" s="128">
        <v>320</v>
      </c>
      <c r="AF71" s="128">
        <f t="shared" si="4"/>
        <v>55336.48868828683</v>
      </c>
      <c r="AG71" s="128">
        <v>31820</v>
      </c>
      <c r="AH71" s="128">
        <f t="shared" si="5"/>
        <v>1739.04741320826</v>
      </c>
      <c r="AI71" t="s">
        <v>118</v>
      </c>
      <c r="AM71" t="s">
        <v>213</v>
      </c>
      <c r="AN71" s="128">
        <v>2192.9819453188393</v>
      </c>
      <c r="AO71" t="s">
        <v>441</v>
      </c>
    </row>
    <row r="72" spans="1:43" x14ac:dyDescent="0.25">
      <c r="A72" t="s">
        <v>519</v>
      </c>
      <c r="B72" s="207" t="s">
        <v>867</v>
      </c>
      <c r="C72" s="242">
        <v>248795</v>
      </c>
      <c r="D72" s="242">
        <v>22341</v>
      </c>
      <c r="E72" s="242">
        <v>2610</v>
      </c>
      <c r="F72" s="242">
        <v>10032</v>
      </c>
      <c r="G72" s="242">
        <v>8113</v>
      </c>
      <c r="H72" s="242">
        <v>39323</v>
      </c>
      <c r="I72" s="242">
        <v>8178</v>
      </c>
      <c r="J72" s="242">
        <v>14282</v>
      </c>
      <c r="K72" s="242">
        <v>2651</v>
      </c>
      <c r="L72" s="242">
        <v>5976</v>
      </c>
      <c r="M72" s="242">
        <v>19035</v>
      </c>
      <c r="N72" s="242">
        <v>31272</v>
      </c>
      <c r="O72" s="242">
        <v>61885</v>
      </c>
      <c r="P72" s="242">
        <v>20954</v>
      </c>
      <c r="Q72" s="242">
        <v>7146</v>
      </c>
      <c r="R72" s="128"/>
      <c r="S72" t="s">
        <v>867</v>
      </c>
      <c r="T72" s="242">
        <f t="shared" si="3"/>
        <v>213812</v>
      </c>
      <c r="U72" s="242">
        <v>158602</v>
      </c>
      <c r="V72" s="128">
        <v>132853409.94056925</v>
      </c>
      <c r="W72" s="128">
        <v>10399</v>
      </c>
      <c r="X72" s="128">
        <v>9629</v>
      </c>
      <c r="Y72" s="128">
        <v>410</v>
      </c>
      <c r="Z72" s="128">
        <v>916</v>
      </c>
      <c r="AA72" s="128">
        <v>2018</v>
      </c>
      <c r="AB72" s="128">
        <v>221</v>
      </c>
      <c r="AC72" s="128">
        <v>89</v>
      </c>
      <c r="AD72" s="128">
        <v>254</v>
      </c>
      <c r="AE72" s="128">
        <v>0</v>
      </c>
      <c r="AF72" s="128">
        <f t="shared" si="4"/>
        <v>164127.40994056925</v>
      </c>
      <c r="AG72" s="128">
        <v>87654</v>
      </c>
      <c r="AH72" s="128">
        <f t="shared" si="5"/>
        <v>1872.4463223648579</v>
      </c>
      <c r="AI72" t="s">
        <v>118</v>
      </c>
      <c r="AM72" t="s">
        <v>164</v>
      </c>
      <c r="AN72" s="128">
        <v>2292.8228556259642</v>
      </c>
      <c r="AO72" t="s">
        <v>441</v>
      </c>
      <c r="AP72">
        <f>_xlfn.QUARTILE.INC(AN2:AN72,3)</f>
        <v>2454.3256805258616</v>
      </c>
      <c r="AQ72">
        <f>SUM(AP72,0.05*AP72)</f>
        <v>2577.0419645521547</v>
      </c>
    </row>
    <row r="73" spans="1:43" x14ac:dyDescent="0.25">
      <c r="A73" t="s">
        <v>519</v>
      </c>
      <c r="B73" t="s">
        <v>145</v>
      </c>
      <c r="C73" s="128">
        <v>61204</v>
      </c>
      <c r="D73" s="128">
        <v>3043</v>
      </c>
      <c r="E73" s="128">
        <v>567</v>
      </c>
      <c r="F73" s="128">
        <v>2565</v>
      </c>
      <c r="G73" s="128">
        <v>1030</v>
      </c>
      <c r="H73" s="128">
        <v>8804</v>
      </c>
      <c r="I73" s="128">
        <v>3870</v>
      </c>
      <c r="J73" s="128">
        <v>3637</v>
      </c>
      <c r="K73" s="128">
        <v>906</v>
      </c>
      <c r="L73" s="128">
        <v>1522</v>
      </c>
      <c r="M73" s="128">
        <v>6334</v>
      </c>
      <c r="N73" s="128">
        <v>7151</v>
      </c>
      <c r="O73" s="128">
        <v>14775</v>
      </c>
      <c r="P73" s="128">
        <v>4677</v>
      </c>
      <c r="Q73" s="128">
        <v>2363</v>
      </c>
      <c r="R73" s="128"/>
      <c r="S73" t="s">
        <v>145</v>
      </c>
      <c r="T73" s="128">
        <f t="shared" si="3"/>
        <v>55029</v>
      </c>
      <c r="U73" s="128">
        <v>40370</v>
      </c>
      <c r="V73" s="128">
        <v>35854505.224646442</v>
      </c>
      <c r="W73" s="128">
        <v>3144</v>
      </c>
      <c r="X73" s="128">
        <v>1718</v>
      </c>
      <c r="Y73" s="128">
        <v>0</v>
      </c>
      <c r="Z73" s="128">
        <v>319</v>
      </c>
      <c r="AA73" s="128">
        <v>682</v>
      </c>
      <c r="AB73" s="128">
        <v>68</v>
      </c>
      <c r="AC73" s="128">
        <v>425</v>
      </c>
      <c r="AD73" s="128">
        <v>0</v>
      </c>
      <c r="AE73" s="128">
        <v>35</v>
      </c>
      <c r="AF73" s="128">
        <f t="shared" si="4"/>
        <v>44122.50522464644</v>
      </c>
      <c r="AG73" s="128">
        <v>26591</v>
      </c>
      <c r="AH73" s="128">
        <f t="shared" si="5"/>
        <v>1659.3022159620339</v>
      </c>
      <c r="AI73" t="s">
        <v>467</v>
      </c>
      <c r="AM73" t="s">
        <v>238</v>
      </c>
      <c r="AN73" s="128">
        <v>2163.364270823894</v>
      </c>
      <c r="AO73" t="s">
        <v>467</v>
      </c>
    </row>
    <row r="74" spans="1:43" x14ac:dyDescent="0.25">
      <c r="A74" s="86" t="s">
        <v>522</v>
      </c>
      <c r="B74" s="86" t="s">
        <v>175</v>
      </c>
      <c r="C74" s="128">
        <v>37159</v>
      </c>
      <c r="D74" s="128">
        <v>0</v>
      </c>
      <c r="E74" s="128">
        <v>0</v>
      </c>
      <c r="F74" s="128">
        <v>1632</v>
      </c>
      <c r="G74" s="128">
        <v>8113</v>
      </c>
      <c r="H74" s="128">
        <v>1356</v>
      </c>
      <c r="I74" s="128">
        <v>874</v>
      </c>
      <c r="J74" s="128">
        <v>1306</v>
      </c>
      <c r="K74" s="128">
        <v>208</v>
      </c>
      <c r="L74" s="128">
        <v>1069</v>
      </c>
      <c r="M74" s="128">
        <v>1836</v>
      </c>
      <c r="N74" s="128">
        <v>7696</v>
      </c>
      <c r="O74" s="128">
        <v>9556</v>
      </c>
      <c r="P74" s="128">
        <v>2515</v>
      </c>
      <c r="Q74" s="128">
        <v>304</v>
      </c>
      <c r="R74" s="128"/>
      <c r="S74" t="s">
        <v>175</v>
      </c>
      <c r="T74" s="128">
        <f t="shared" si="3"/>
        <v>35527</v>
      </c>
      <c r="U74" s="128">
        <v>28895</v>
      </c>
      <c r="V74" s="128">
        <v>20764682.799626008</v>
      </c>
      <c r="W74" s="128">
        <v>1229</v>
      </c>
      <c r="X74" s="128">
        <v>1533</v>
      </c>
      <c r="Y74" s="128">
        <v>67</v>
      </c>
      <c r="Z74" s="128">
        <v>137</v>
      </c>
      <c r="AA74" s="128">
        <v>335</v>
      </c>
      <c r="AB74" s="128">
        <v>27</v>
      </c>
      <c r="AC74" s="128">
        <v>408</v>
      </c>
      <c r="AD74" s="128">
        <v>541</v>
      </c>
      <c r="AE74" s="128">
        <v>126</v>
      </c>
      <c r="AF74" s="128">
        <f t="shared" si="4"/>
        <v>22993.682799626007</v>
      </c>
      <c r="AG74" s="128">
        <v>11034</v>
      </c>
      <c r="AH74" s="128">
        <f t="shared" si="5"/>
        <v>2083.8936740643471</v>
      </c>
      <c r="AI74" t="s">
        <v>441</v>
      </c>
      <c r="AM74" t="s">
        <v>283</v>
      </c>
      <c r="AN74" s="128">
        <v>1903.3610791438418</v>
      </c>
      <c r="AO74" t="s">
        <v>467</v>
      </c>
    </row>
    <row r="75" spans="1:43" x14ac:dyDescent="0.25">
      <c r="A75" t="s">
        <v>518</v>
      </c>
      <c r="B75" t="s">
        <v>176</v>
      </c>
      <c r="C75" s="128">
        <v>249428</v>
      </c>
      <c r="D75" s="128">
        <v>7368</v>
      </c>
      <c r="E75" s="128">
        <v>3264</v>
      </c>
      <c r="F75" s="128">
        <v>9149</v>
      </c>
      <c r="G75" s="128">
        <v>28344</v>
      </c>
      <c r="H75" s="128">
        <v>16644</v>
      </c>
      <c r="I75" s="128">
        <v>4537</v>
      </c>
      <c r="J75" s="128">
        <v>8336</v>
      </c>
      <c r="K75" s="128">
        <v>9631</v>
      </c>
      <c r="L75" s="128">
        <v>6596</v>
      </c>
      <c r="M75" s="128">
        <v>15271</v>
      </c>
      <c r="N75" s="128">
        <v>38116</v>
      </c>
      <c r="O75" s="128">
        <v>78755</v>
      </c>
      <c r="P75" s="128">
        <v>15854</v>
      </c>
      <c r="Q75" s="128">
        <v>1332</v>
      </c>
      <c r="R75" s="128"/>
      <c r="S75" t="s">
        <v>176</v>
      </c>
      <c r="T75" s="128">
        <f t="shared" si="3"/>
        <v>229647</v>
      </c>
      <c r="U75" s="128">
        <v>169665</v>
      </c>
      <c r="V75" s="128">
        <v>104200743.22472578</v>
      </c>
      <c r="W75" s="128">
        <v>6084</v>
      </c>
      <c r="X75" s="128">
        <v>8498</v>
      </c>
      <c r="Y75" s="128">
        <v>51</v>
      </c>
      <c r="Z75" s="128">
        <v>956</v>
      </c>
      <c r="AA75" s="128">
        <v>1837</v>
      </c>
      <c r="AB75" s="128">
        <v>241</v>
      </c>
      <c r="AC75" s="128">
        <v>75</v>
      </c>
      <c r="AD75" s="128">
        <v>3536</v>
      </c>
      <c r="AE75" s="128">
        <v>111</v>
      </c>
      <c r="AF75" s="128">
        <f t="shared" si="4"/>
        <v>142793.74322472577</v>
      </c>
      <c r="AG75" s="128">
        <v>58547</v>
      </c>
      <c r="AH75" s="128">
        <f t="shared" si="5"/>
        <v>2438.9591819346124</v>
      </c>
      <c r="AI75" t="s">
        <v>441</v>
      </c>
      <c r="AM75" t="s">
        <v>284</v>
      </c>
      <c r="AN75" s="128">
        <v>1553.7737201852867</v>
      </c>
      <c r="AO75" t="s">
        <v>467</v>
      </c>
    </row>
    <row r="76" spans="1:43" x14ac:dyDescent="0.25">
      <c r="A76" t="s">
        <v>522</v>
      </c>
      <c r="B76" t="s">
        <v>358</v>
      </c>
      <c r="C76" s="128">
        <v>64075</v>
      </c>
      <c r="D76" s="128">
        <v>1434</v>
      </c>
      <c r="E76" s="128">
        <v>649</v>
      </c>
      <c r="F76" s="128">
        <v>2915</v>
      </c>
      <c r="G76" s="128">
        <v>15611</v>
      </c>
      <c r="H76" s="128">
        <v>5692</v>
      </c>
      <c r="I76" s="128">
        <v>1505</v>
      </c>
      <c r="J76" s="128">
        <v>1193</v>
      </c>
      <c r="K76" s="128">
        <v>2216</v>
      </c>
      <c r="L76" s="128">
        <v>2066</v>
      </c>
      <c r="M76" s="128">
        <v>4152</v>
      </c>
      <c r="N76" s="128">
        <v>7234</v>
      </c>
      <c r="O76" s="128">
        <v>14484</v>
      </c>
      <c r="P76" s="128">
        <v>4531</v>
      </c>
      <c r="Q76" s="128">
        <v>735</v>
      </c>
      <c r="R76" s="128"/>
      <c r="S76" t="s">
        <v>358</v>
      </c>
      <c r="T76" s="128">
        <f t="shared" si="3"/>
        <v>59077</v>
      </c>
      <c r="U76" s="128">
        <v>45205</v>
      </c>
      <c r="V76" s="128">
        <v>37916026.569784075</v>
      </c>
      <c r="W76" s="128">
        <v>1999</v>
      </c>
      <c r="X76" s="128">
        <v>3814</v>
      </c>
      <c r="Y76" s="128">
        <v>134</v>
      </c>
      <c r="Z76" s="128">
        <v>258</v>
      </c>
      <c r="AA76" s="128">
        <v>589</v>
      </c>
      <c r="AB76" s="128">
        <v>69</v>
      </c>
      <c r="AC76" s="128">
        <v>140</v>
      </c>
      <c r="AD76" s="128">
        <v>1</v>
      </c>
      <c r="AE76" s="128">
        <v>97</v>
      </c>
      <c r="AF76" s="128">
        <f t="shared" si="4"/>
        <v>44687.026569784073</v>
      </c>
      <c r="AG76" s="128">
        <v>26475</v>
      </c>
      <c r="AH76" s="128">
        <f t="shared" si="5"/>
        <v>1687.8952434290491</v>
      </c>
      <c r="AI76" t="s">
        <v>467</v>
      </c>
      <c r="AM76" t="s">
        <v>285</v>
      </c>
      <c r="AN76" s="128">
        <v>2036.8062819699162</v>
      </c>
      <c r="AO76" t="s">
        <v>467</v>
      </c>
    </row>
    <row r="77" spans="1:43" x14ac:dyDescent="0.25">
      <c r="A77" t="s">
        <v>519</v>
      </c>
      <c r="B77" t="s">
        <v>291</v>
      </c>
      <c r="C77" s="128">
        <v>545350</v>
      </c>
      <c r="D77" s="128">
        <v>28256</v>
      </c>
      <c r="E77" s="128">
        <v>4643</v>
      </c>
      <c r="F77" s="128">
        <v>18126</v>
      </c>
      <c r="G77" s="128">
        <v>60262</v>
      </c>
      <c r="H77" s="128">
        <v>37708</v>
      </c>
      <c r="I77" s="128">
        <v>16523</v>
      </c>
      <c r="J77" s="128">
        <v>22304</v>
      </c>
      <c r="K77" s="128">
        <v>6595</v>
      </c>
      <c r="L77" s="128">
        <v>19442</v>
      </c>
      <c r="M77" s="128">
        <v>33027</v>
      </c>
      <c r="N77" s="128">
        <v>109697</v>
      </c>
      <c r="O77" s="128">
        <v>150496</v>
      </c>
      <c r="P77" s="128">
        <v>27258</v>
      </c>
      <c r="Q77" s="128">
        <v>11060</v>
      </c>
      <c r="R77" s="128"/>
      <c r="S77" t="s">
        <v>291</v>
      </c>
      <c r="T77" s="128">
        <f t="shared" si="3"/>
        <v>494325</v>
      </c>
      <c r="U77" s="128">
        <v>376553</v>
      </c>
      <c r="V77" s="128">
        <v>235899615.74547204</v>
      </c>
      <c r="W77" s="128">
        <v>13540</v>
      </c>
      <c r="X77" s="128">
        <v>16421</v>
      </c>
      <c r="Y77" s="128">
        <v>2133</v>
      </c>
      <c r="Z77" s="128">
        <v>1458</v>
      </c>
      <c r="AA77" s="128">
        <v>3871</v>
      </c>
      <c r="AB77" s="128">
        <v>1129</v>
      </c>
      <c r="AC77" s="128">
        <v>450</v>
      </c>
      <c r="AD77" s="128">
        <v>10510</v>
      </c>
      <c r="AE77" s="128">
        <v>5645</v>
      </c>
      <c r="AF77" s="128">
        <f t="shared" si="4"/>
        <v>298514.61574547202</v>
      </c>
      <c r="AG77" s="128">
        <v>119513</v>
      </c>
      <c r="AH77" s="128">
        <f t="shared" si="5"/>
        <v>2497.7585345985126</v>
      </c>
      <c r="AI77" t="s">
        <v>441</v>
      </c>
      <c r="AM77" t="s">
        <v>343</v>
      </c>
      <c r="AN77" s="128">
        <v>1505.1418262236355</v>
      </c>
      <c r="AO77" t="s">
        <v>467</v>
      </c>
    </row>
    <row r="78" spans="1:43" x14ac:dyDescent="0.25">
      <c r="A78" t="s">
        <v>519</v>
      </c>
      <c r="B78" t="s">
        <v>249</v>
      </c>
      <c r="C78" s="128">
        <v>44657</v>
      </c>
      <c r="D78" s="128">
        <v>73</v>
      </c>
      <c r="E78" s="128">
        <v>0</v>
      </c>
      <c r="F78" s="128">
        <v>1968</v>
      </c>
      <c r="G78" s="128">
        <v>1621</v>
      </c>
      <c r="H78" s="128">
        <v>7951</v>
      </c>
      <c r="I78" s="128">
        <v>1780</v>
      </c>
      <c r="J78" s="128">
        <v>3534</v>
      </c>
      <c r="K78" s="128">
        <v>308</v>
      </c>
      <c r="L78" s="128">
        <v>977</v>
      </c>
      <c r="M78" s="128">
        <v>3640</v>
      </c>
      <c r="N78" s="128">
        <v>5719</v>
      </c>
      <c r="O78" s="128">
        <v>10581</v>
      </c>
      <c r="P78" s="128">
        <v>5253</v>
      </c>
      <c r="Q78" s="128">
        <v>1248</v>
      </c>
      <c r="R78" s="128"/>
      <c r="S78" t="s">
        <v>249</v>
      </c>
      <c r="T78" s="128">
        <f t="shared" si="3"/>
        <v>42616</v>
      </c>
      <c r="U78" s="128">
        <v>32310</v>
      </c>
      <c r="V78" s="128">
        <v>27262061.84222417</v>
      </c>
      <c r="W78" s="128">
        <v>1496</v>
      </c>
      <c r="X78" s="128">
        <v>3077</v>
      </c>
      <c r="Y78" s="128">
        <v>35</v>
      </c>
      <c r="Z78" s="128">
        <v>197</v>
      </c>
      <c r="AA78" s="128">
        <v>377</v>
      </c>
      <c r="AB78" s="128">
        <v>49</v>
      </c>
      <c r="AC78" s="128">
        <v>165</v>
      </c>
      <c r="AD78" s="128">
        <v>0</v>
      </c>
      <c r="AE78" s="128">
        <v>26</v>
      </c>
      <c r="AF78" s="128">
        <f t="shared" si="4"/>
        <v>32146.061842224168</v>
      </c>
      <c r="AG78" s="128">
        <v>19978</v>
      </c>
      <c r="AH78" s="128">
        <f t="shared" si="5"/>
        <v>1609.0730724909486</v>
      </c>
      <c r="AI78" t="s">
        <v>467</v>
      </c>
      <c r="AM78" t="s">
        <v>598</v>
      </c>
      <c r="AN78" s="128">
        <v>1461.7552161374585</v>
      </c>
      <c r="AO78" t="s">
        <v>467</v>
      </c>
    </row>
    <row r="79" spans="1:43" x14ac:dyDescent="0.25">
      <c r="A79" t="s">
        <v>517</v>
      </c>
      <c r="B79" t="s">
        <v>359</v>
      </c>
      <c r="C79" s="128">
        <v>63541</v>
      </c>
      <c r="D79" s="128">
        <v>4373</v>
      </c>
      <c r="E79" s="128">
        <v>177</v>
      </c>
      <c r="F79" s="128">
        <v>4208</v>
      </c>
      <c r="G79" s="128">
        <v>13519</v>
      </c>
      <c r="H79" s="128">
        <v>4252</v>
      </c>
      <c r="I79" s="128">
        <v>1720</v>
      </c>
      <c r="J79" s="128">
        <v>2616</v>
      </c>
      <c r="K79" s="128">
        <v>298</v>
      </c>
      <c r="L79" s="128">
        <v>1274</v>
      </c>
      <c r="M79" s="128">
        <v>3576</v>
      </c>
      <c r="N79" s="128">
        <v>5356</v>
      </c>
      <c r="O79" s="128">
        <v>12924</v>
      </c>
      <c r="P79" s="128">
        <v>6493</v>
      </c>
      <c r="Q79" s="128">
        <v>2794</v>
      </c>
      <c r="R79" s="128"/>
      <c r="S79" t="s">
        <v>359</v>
      </c>
      <c r="T79" s="128">
        <f t="shared" si="3"/>
        <v>54783</v>
      </c>
      <c r="U79" s="128">
        <v>41959</v>
      </c>
      <c r="V79" s="128">
        <v>36265752.915992655</v>
      </c>
      <c r="W79" s="128">
        <v>1639</v>
      </c>
      <c r="X79" s="128">
        <v>2604</v>
      </c>
      <c r="Y79" s="128">
        <v>114</v>
      </c>
      <c r="Z79" s="128">
        <v>291</v>
      </c>
      <c r="AA79" s="128">
        <v>1313</v>
      </c>
      <c r="AB79" s="128">
        <v>97</v>
      </c>
      <c r="AC79" s="128">
        <v>119</v>
      </c>
      <c r="AD79" s="128">
        <v>8</v>
      </c>
      <c r="AE79" s="128">
        <v>240</v>
      </c>
      <c r="AF79" s="128">
        <f t="shared" si="4"/>
        <v>42664.752915992656</v>
      </c>
      <c r="AG79" s="128">
        <v>27473</v>
      </c>
      <c r="AH79" s="128">
        <f t="shared" si="5"/>
        <v>1552.9702950530577</v>
      </c>
      <c r="AI79" t="s">
        <v>467</v>
      </c>
      <c r="AM79" t="s">
        <v>128</v>
      </c>
      <c r="AN79" s="128">
        <v>4674.5267610030278</v>
      </c>
      <c r="AO79" t="s">
        <v>467</v>
      </c>
    </row>
    <row r="80" spans="1:43" x14ac:dyDescent="0.25">
      <c r="A80" t="s">
        <v>521</v>
      </c>
      <c r="B80" t="s">
        <v>430</v>
      </c>
      <c r="C80" s="128">
        <v>110803</v>
      </c>
      <c r="D80" s="128">
        <v>1958</v>
      </c>
      <c r="E80" s="128">
        <v>578</v>
      </c>
      <c r="F80" s="128">
        <v>4348</v>
      </c>
      <c r="G80" s="128">
        <v>29327</v>
      </c>
      <c r="H80" s="128">
        <v>7885</v>
      </c>
      <c r="I80" s="128">
        <v>2675</v>
      </c>
      <c r="J80" s="128">
        <v>4815</v>
      </c>
      <c r="K80" s="128">
        <v>663</v>
      </c>
      <c r="L80" s="128">
        <v>3452</v>
      </c>
      <c r="M80" s="128">
        <v>12469</v>
      </c>
      <c r="N80" s="128">
        <v>14475</v>
      </c>
      <c r="O80" s="128">
        <v>23092</v>
      </c>
      <c r="P80" s="128">
        <v>7709</v>
      </c>
      <c r="Q80" s="128">
        <v>856</v>
      </c>
      <c r="R80" s="128"/>
      <c r="S80" t="s">
        <v>430</v>
      </c>
      <c r="T80" s="128">
        <f t="shared" si="3"/>
        <v>103919</v>
      </c>
      <c r="U80" s="128">
        <v>79606</v>
      </c>
      <c r="V80" s="128">
        <v>66888751.487001926</v>
      </c>
      <c r="W80" s="128">
        <v>2565</v>
      </c>
      <c r="X80" s="128">
        <v>5169</v>
      </c>
      <c r="Y80" s="128">
        <v>405</v>
      </c>
      <c r="Z80" s="128">
        <v>275</v>
      </c>
      <c r="AA80" s="128">
        <v>764</v>
      </c>
      <c r="AB80" s="128">
        <v>145</v>
      </c>
      <c r="AC80" s="128">
        <v>1220</v>
      </c>
      <c r="AD80" s="128">
        <v>8</v>
      </c>
      <c r="AE80" s="128">
        <v>780</v>
      </c>
      <c r="AF80" s="128">
        <f t="shared" si="4"/>
        <v>79870.751487001922</v>
      </c>
      <c r="AG80" s="128">
        <v>42902</v>
      </c>
      <c r="AH80" s="128">
        <f t="shared" si="5"/>
        <v>1861.7022863037137</v>
      </c>
      <c r="AI80" t="s">
        <v>467</v>
      </c>
      <c r="AM80" t="s">
        <v>240</v>
      </c>
      <c r="AN80" s="128">
        <v>2148.0100833777483</v>
      </c>
      <c r="AO80" t="s">
        <v>467</v>
      </c>
    </row>
    <row r="81" spans="1:41" x14ac:dyDescent="0.25">
      <c r="A81" t="s">
        <v>518</v>
      </c>
      <c r="B81" t="s">
        <v>177</v>
      </c>
      <c r="C81" s="128">
        <v>49181</v>
      </c>
      <c r="D81" s="128">
        <v>348</v>
      </c>
      <c r="E81" s="128">
        <v>378</v>
      </c>
      <c r="F81" s="128">
        <v>1678</v>
      </c>
      <c r="G81" s="128">
        <v>1026</v>
      </c>
      <c r="H81" s="128">
        <v>7926</v>
      </c>
      <c r="I81" s="128">
        <v>1714</v>
      </c>
      <c r="J81" s="128">
        <v>2209</v>
      </c>
      <c r="K81" s="128">
        <v>502</v>
      </c>
      <c r="L81" s="128">
        <v>1371</v>
      </c>
      <c r="M81" s="128">
        <v>3796</v>
      </c>
      <c r="N81" s="128">
        <v>9521</v>
      </c>
      <c r="O81" s="128">
        <v>12837</v>
      </c>
      <c r="P81" s="128">
        <v>4445</v>
      </c>
      <c r="Q81" s="128">
        <v>1436</v>
      </c>
      <c r="R81" s="128"/>
      <c r="S81" t="s">
        <v>177</v>
      </c>
      <c r="T81" s="128">
        <f t="shared" si="3"/>
        <v>46777</v>
      </c>
      <c r="U81" s="128">
        <v>36478</v>
      </c>
      <c r="V81" s="128">
        <v>30179304.352412347</v>
      </c>
      <c r="W81" s="128">
        <v>1937</v>
      </c>
      <c r="X81" s="128">
        <v>1527</v>
      </c>
      <c r="Y81" s="128">
        <v>26</v>
      </c>
      <c r="Z81" s="128">
        <v>233</v>
      </c>
      <c r="AA81" s="128">
        <v>628</v>
      </c>
      <c r="AB81" s="128">
        <v>78</v>
      </c>
      <c r="AC81" s="128">
        <v>0</v>
      </c>
      <c r="AD81" s="128">
        <v>0</v>
      </c>
      <c r="AE81" s="128">
        <v>103</v>
      </c>
      <c r="AF81" s="128">
        <f t="shared" si="4"/>
        <v>35946.30435241235</v>
      </c>
      <c r="AG81" s="128">
        <v>19177</v>
      </c>
      <c r="AH81" s="128">
        <f t="shared" si="5"/>
        <v>1874.4487851286619</v>
      </c>
      <c r="AI81" t="s">
        <v>118</v>
      </c>
      <c r="AM81" t="s">
        <v>344</v>
      </c>
      <c r="AN81" s="128">
        <v>1777.330317780488</v>
      </c>
      <c r="AO81" t="s">
        <v>467</v>
      </c>
    </row>
    <row r="82" spans="1:41" x14ac:dyDescent="0.25">
      <c r="A82" t="s">
        <v>517</v>
      </c>
      <c r="B82" t="s">
        <v>178</v>
      </c>
      <c r="C82" s="128">
        <v>65615</v>
      </c>
      <c r="D82" s="128">
        <v>331</v>
      </c>
      <c r="E82" s="128">
        <v>415</v>
      </c>
      <c r="F82" s="128">
        <v>2472</v>
      </c>
      <c r="G82" s="128">
        <v>1116</v>
      </c>
      <c r="H82" s="128">
        <v>11488</v>
      </c>
      <c r="I82" s="128">
        <v>1446</v>
      </c>
      <c r="J82" s="128">
        <v>2844</v>
      </c>
      <c r="K82" s="128">
        <v>3972</v>
      </c>
      <c r="L82" s="128">
        <v>1498</v>
      </c>
      <c r="M82" s="128">
        <v>3747</v>
      </c>
      <c r="N82" s="128">
        <v>11842</v>
      </c>
      <c r="O82" s="128">
        <v>16638</v>
      </c>
      <c r="P82" s="128">
        <v>5708</v>
      </c>
      <c r="Q82" s="128">
        <v>2119</v>
      </c>
      <c r="R82" s="128"/>
      <c r="S82" t="s">
        <v>178</v>
      </c>
      <c r="T82" s="128">
        <f t="shared" si="3"/>
        <v>62397</v>
      </c>
      <c r="U82" s="128">
        <v>44942</v>
      </c>
      <c r="V82" s="128">
        <v>37593773.267275333</v>
      </c>
      <c r="W82" s="128">
        <v>2714</v>
      </c>
      <c r="X82" s="128">
        <v>2750</v>
      </c>
      <c r="Y82" s="128">
        <v>60</v>
      </c>
      <c r="Z82" s="128">
        <v>218</v>
      </c>
      <c r="AA82" s="128">
        <v>796</v>
      </c>
      <c r="AB82" s="128">
        <v>113</v>
      </c>
      <c r="AC82" s="128">
        <v>177</v>
      </c>
      <c r="AD82" s="128">
        <v>1</v>
      </c>
      <c r="AE82" s="128">
        <v>39</v>
      </c>
      <c r="AF82" s="128">
        <f t="shared" si="4"/>
        <v>48180.773267275334</v>
      </c>
      <c r="AG82" s="128">
        <v>24944</v>
      </c>
      <c r="AH82" s="128">
        <f t="shared" si="5"/>
        <v>1931.5576197592741</v>
      </c>
      <c r="AI82" t="s">
        <v>467</v>
      </c>
      <c r="AM82" t="s">
        <v>345</v>
      </c>
      <c r="AN82" s="128">
        <v>1974.4304661478827</v>
      </c>
      <c r="AO82" t="s">
        <v>467</v>
      </c>
    </row>
    <row r="83" spans="1:41" x14ac:dyDescent="0.25">
      <c r="A83" t="s">
        <v>523</v>
      </c>
      <c r="B83" t="s">
        <v>403</v>
      </c>
      <c r="C83" s="128">
        <v>84039</v>
      </c>
      <c r="D83" s="128">
        <v>157</v>
      </c>
      <c r="E83" s="128">
        <v>863</v>
      </c>
      <c r="F83" s="128">
        <v>3537</v>
      </c>
      <c r="G83" s="128">
        <v>10857</v>
      </c>
      <c r="H83" s="128">
        <v>9590</v>
      </c>
      <c r="I83" s="128">
        <v>2675</v>
      </c>
      <c r="J83" s="128">
        <v>3402</v>
      </c>
      <c r="K83" s="128">
        <v>4559</v>
      </c>
      <c r="L83" s="128">
        <v>1705</v>
      </c>
      <c r="M83" s="128">
        <v>5277</v>
      </c>
      <c r="N83" s="128">
        <v>15438</v>
      </c>
      <c r="O83" s="128">
        <v>16766</v>
      </c>
      <c r="P83" s="128">
        <v>6247</v>
      </c>
      <c r="Q83" s="128">
        <v>3032</v>
      </c>
      <c r="R83" s="128"/>
      <c r="S83" t="s">
        <v>403</v>
      </c>
      <c r="T83" s="128">
        <f t="shared" si="3"/>
        <v>79482</v>
      </c>
      <c r="U83" s="128">
        <v>59346</v>
      </c>
      <c r="V83" s="128">
        <v>51958699.318484619</v>
      </c>
      <c r="W83" s="128">
        <v>4274</v>
      </c>
      <c r="X83" s="128">
        <v>2859</v>
      </c>
      <c r="Y83" s="128">
        <v>51</v>
      </c>
      <c r="Z83" s="128">
        <v>354</v>
      </c>
      <c r="AA83" s="128">
        <v>755</v>
      </c>
      <c r="AB83" s="128">
        <v>90</v>
      </c>
      <c r="AC83" s="128">
        <v>385</v>
      </c>
      <c r="AD83" s="128">
        <v>0</v>
      </c>
      <c r="AE83" s="128">
        <v>592</v>
      </c>
      <c r="AF83" s="128">
        <f t="shared" si="4"/>
        <v>62734.699318484621</v>
      </c>
      <c r="AG83" s="128">
        <v>31739</v>
      </c>
      <c r="AH83" s="128">
        <f t="shared" si="5"/>
        <v>1976.5808411885887</v>
      </c>
      <c r="AI83" t="s">
        <v>118</v>
      </c>
      <c r="AM83" t="s">
        <v>286</v>
      </c>
      <c r="AN83" s="128">
        <v>1672.1513728064422</v>
      </c>
      <c r="AO83" t="s">
        <v>467</v>
      </c>
    </row>
    <row r="84" spans="1:41" x14ac:dyDescent="0.25">
      <c r="A84" t="s">
        <v>519</v>
      </c>
      <c r="B84" t="s">
        <v>250</v>
      </c>
      <c r="C84" s="128">
        <v>88252</v>
      </c>
      <c r="D84" s="128">
        <v>106</v>
      </c>
      <c r="E84" s="128">
        <v>510</v>
      </c>
      <c r="F84" s="128">
        <v>8567</v>
      </c>
      <c r="G84" s="128">
        <v>25288</v>
      </c>
      <c r="H84" s="128">
        <v>4585</v>
      </c>
      <c r="I84" s="128">
        <v>3265</v>
      </c>
      <c r="J84" s="128">
        <v>8788</v>
      </c>
      <c r="K84" s="128">
        <v>218</v>
      </c>
      <c r="L84" s="128">
        <v>1686</v>
      </c>
      <c r="M84" s="128">
        <v>5472</v>
      </c>
      <c r="N84" s="128">
        <v>7542</v>
      </c>
      <c r="O84" s="128">
        <v>15043</v>
      </c>
      <c r="P84" s="128">
        <v>6060</v>
      </c>
      <c r="Q84" s="128">
        <v>1228</v>
      </c>
      <c r="R84" s="128"/>
      <c r="S84" t="s">
        <v>250</v>
      </c>
      <c r="T84" s="128">
        <f t="shared" si="3"/>
        <v>79069</v>
      </c>
      <c r="U84" s="128">
        <v>55680</v>
      </c>
      <c r="V84" s="128">
        <v>48323616.917198166</v>
      </c>
      <c r="W84" s="128">
        <v>3692</v>
      </c>
      <c r="X84" s="128">
        <v>5038</v>
      </c>
      <c r="Y84" s="128">
        <v>100</v>
      </c>
      <c r="Z84" s="128">
        <v>305</v>
      </c>
      <c r="AA84" s="128">
        <v>2086</v>
      </c>
      <c r="AB84" s="128">
        <v>270</v>
      </c>
      <c r="AC84" s="128">
        <v>1209</v>
      </c>
      <c r="AD84" s="128">
        <v>153</v>
      </c>
      <c r="AE84" s="128">
        <v>530</v>
      </c>
      <c r="AF84" s="128">
        <f t="shared" si="4"/>
        <v>58329.616917198175</v>
      </c>
      <c r="AG84" s="128">
        <v>36465</v>
      </c>
      <c r="AH84" s="128">
        <f t="shared" si="5"/>
        <v>1599.6055647113169</v>
      </c>
      <c r="AI84" t="s">
        <v>467</v>
      </c>
      <c r="AM84" t="s">
        <v>168</v>
      </c>
      <c r="AN84" s="128">
        <v>1645.6032186864825</v>
      </c>
      <c r="AO84" t="s">
        <v>467</v>
      </c>
    </row>
    <row r="85" spans="1:41" x14ac:dyDescent="0.25">
      <c r="A85" t="s">
        <v>519</v>
      </c>
      <c r="B85" t="s">
        <v>179</v>
      </c>
      <c r="C85" s="128">
        <v>392274</v>
      </c>
      <c r="D85" s="128">
        <v>13690</v>
      </c>
      <c r="E85" s="128">
        <v>4290</v>
      </c>
      <c r="F85" s="128">
        <v>14389</v>
      </c>
      <c r="G85" s="128">
        <v>62663</v>
      </c>
      <c r="H85" s="128">
        <v>19294</v>
      </c>
      <c r="I85" s="128">
        <v>9022</v>
      </c>
      <c r="J85" s="128">
        <v>8291</v>
      </c>
      <c r="K85" s="128">
        <v>20281</v>
      </c>
      <c r="L85" s="128">
        <v>9518</v>
      </c>
      <c r="M85" s="128">
        <v>24392</v>
      </c>
      <c r="N85" s="128">
        <v>47613</v>
      </c>
      <c r="O85" s="128">
        <v>88046</v>
      </c>
      <c r="P85" s="128">
        <v>26377</v>
      </c>
      <c r="Q85" s="128">
        <v>45979</v>
      </c>
      <c r="R85" s="128"/>
      <c r="S85" t="s">
        <v>179</v>
      </c>
      <c r="T85" s="128">
        <f t="shared" si="3"/>
        <v>359905</v>
      </c>
      <c r="U85" s="128">
        <v>242880</v>
      </c>
      <c r="V85" s="128">
        <v>181118671.33862281</v>
      </c>
      <c r="W85" s="128">
        <v>11067</v>
      </c>
      <c r="X85" s="128">
        <v>11016</v>
      </c>
      <c r="Y85" s="128">
        <v>1263</v>
      </c>
      <c r="Z85" s="128">
        <v>1641</v>
      </c>
      <c r="AA85" s="128">
        <v>4348</v>
      </c>
      <c r="AB85" s="128">
        <v>330</v>
      </c>
      <c r="AC85" s="128">
        <v>1174</v>
      </c>
      <c r="AD85" s="128">
        <v>1634</v>
      </c>
      <c r="AE85" s="128">
        <v>1141</v>
      </c>
      <c r="AF85" s="128">
        <f t="shared" si="4"/>
        <v>264529.67133862281</v>
      </c>
      <c r="AG85" s="128">
        <v>119997</v>
      </c>
      <c r="AH85" s="128">
        <f t="shared" si="5"/>
        <v>2204.4690395478456</v>
      </c>
      <c r="AI85" t="s">
        <v>441</v>
      </c>
      <c r="AM85" t="s">
        <v>346</v>
      </c>
      <c r="AN85" s="128">
        <v>1691.195999598863</v>
      </c>
      <c r="AO85" t="s">
        <v>467</v>
      </c>
    </row>
    <row r="86" spans="1:41" x14ac:dyDescent="0.25">
      <c r="A86" t="s">
        <v>526</v>
      </c>
      <c r="B86" s="86" t="s">
        <v>220</v>
      </c>
      <c r="C86" s="128">
        <v>28569</v>
      </c>
      <c r="D86" s="128">
        <v>4239</v>
      </c>
      <c r="E86" s="128">
        <v>428</v>
      </c>
      <c r="F86" s="128">
        <v>1277</v>
      </c>
      <c r="G86" s="128">
        <v>1306</v>
      </c>
      <c r="H86" s="128">
        <v>4525</v>
      </c>
      <c r="I86" s="128">
        <v>967</v>
      </c>
      <c r="J86" s="128">
        <v>851</v>
      </c>
      <c r="K86" s="128">
        <v>89</v>
      </c>
      <c r="L86" s="128">
        <v>458</v>
      </c>
      <c r="M86" s="128">
        <v>2118</v>
      </c>
      <c r="N86" s="128">
        <v>2519</v>
      </c>
      <c r="O86" s="128">
        <v>6225</v>
      </c>
      <c r="P86" s="128">
        <v>2477</v>
      </c>
      <c r="Q86" s="128">
        <v>1165</v>
      </c>
      <c r="R86" s="128"/>
      <c r="S86" t="s">
        <v>220</v>
      </c>
      <c r="T86" s="128">
        <f t="shared" si="3"/>
        <v>22625</v>
      </c>
      <c r="U86" s="128">
        <v>13810</v>
      </c>
      <c r="V86" s="128">
        <v>11950180.906679848</v>
      </c>
      <c r="W86" s="128">
        <v>854</v>
      </c>
      <c r="X86" s="128">
        <v>1461</v>
      </c>
      <c r="Y86" s="128">
        <v>15</v>
      </c>
      <c r="Z86" s="128">
        <v>125</v>
      </c>
      <c r="AA86" s="128">
        <v>861</v>
      </c>
      <c r="AB86" s="128">
        <v>84</v>
      </c>
      <c r="AC86" s="128">
        <v>115</v>
      </c>
      <c r="AD86" s="128">
        <v>4</v>
      </c>
      <c r="AE86" s="128">
        <v>61</v>
      </c>
      <c r="AF86" s="128">
        <f t="shared" si="4"/>
        <v>17185.180906679849</v>
      </c>
      <c r="AG86" s="128">
        <v>9449</v>
      </c>
      <c r="AH86" s="128">
        <f t="shared" si="5"/>
        <v>1818.7301202963117</v>
      </c>
      <c r="AI86" t="s">
        <v>467</v>
      </c>
      <c r="AM86" t="s">
        <v>437</v>
      </c>
      <c r="AN86" s="128">
        <v>1533.8012737472513</v>
      </c>
      <c r="AO86" t="s">
        <v>467</v>
      </c>
    </row>
    <row r="87" spans="1:41" x14ac:dyDescent="0.25">
      <c r="A87" t="s">
        <v>518</v>
      </c>
      <c r="B87" t="s">
        <v>754</v>
      </c>
      <c r="C87" s="128">
        <v>322333</v>
      </c>
      <c r="D87" s="128">
        <v>4912</v>
      </c>
      <c r="E87" s="128">
        <v>2255</v>
      </c>
      <c r="F87" s="128">
        <v>7075</v>
      </c>
      <c r="G87" s="128">
        <v>53826</v>
      </c>
      <c r="H87" s="128">
        <v>11931</v>
      </c>
      <c r="I87" s="128">
        <v>11661</v>
      </c>
      <c r="J87" s="128">
        <v>4202</v>
      </c>
      <c r="K87" s="128">
        <v>706</v>
      </c>
      <c r="L87" s="128">
        <v>6078</v>
      </c>
      <c r="M87" s="128">
        <v>8809</v>
      </c>
      <c r="N87" s="128">
        <v>31057</v>
      </c>
      <c r="O87" s="128">
        <v>42282</v>
      </c>
      <c r="P87" s="128">
        <v>9825</v>
      </c>
      <c r="Q87" s="128">
        <v>127804</v>
      </c>
      <c r="R87" s="128"/>
      <c r="S87" t="s">
        <v>754</v>
      </c>
      <c r="T87" s="128">
        <f t="shared" si="3"/>
        <v>308091</v>
      </c>
      <c r="U87" s="128">
        <v>148621</v>
      </c>
      <c r="V87" s="128">
        <v>94558733.611021802</v>
      </c>
      <c r="W87" s="128">
        <v>5420</v>
      </c>
      <c r="X87" s="128">
        <v>5383</v>
      </c>
      <c r="Y87" s="128">
        <v>286</v>
      </c>
      <c r="Z87" s="128">
        <v>518</v>
      </c>
      <c r="AA87" s="128">
        <v>2614</v>
      </c>
      <c r="AB87" s="128">
        <v>200</v>
      </c>
      <c r="AC87" s="128">
        <v>214</v>
      </c>
      <c r="AD87" s="128">
        <v>2</v>
      </c>
      <c r="AE87" s="128">
        <v>143</v>
      </c>
      <c r="AF87" s="128">
        <f t="shared" si="4"/>
        <v>239248.7336110218</v>
      </c>
      <c r="AG87" s="128">
        <v>45443</v>
      </c>
      <c r="AH87" s="128">
        <f t="shared" si="5"/>
        <v>5264.8094010303421</v>
      </c>
      <c r="AI87" s="177" t="s">
        <v>441</v>
      </c>
      <c r="AM87" t="s">
        <v>348</v>
      </c>
      <c r="AN87" s="128">
        <v>1621.3863064326626</v>
      </c>
      <c r="AO87" t="s">
        <v>467</v>
      </c>
    </row>
    <row r="88" spans="1:41" x14ac:dyDescent="0.25">
      <c r="A88" t="s">
        <v>519</v>
      </c>
      <c r="B88" t="s">
        <v>360</v>
      </c>
      <c r="C88" s="128">
        <v>49183</v>
      </c>
      <c r="D88" s="128">
        <v>4662</v>
      </c>
      <c r="E88" s="128">
        <v>303</v>
      </c>
      <c r="F88" s="128">
        <v>4171</v>
      </c>
      <c r="G88" s="128">
        <v>8024</v>
      </c>
      <c r="H88" s="128">
        <v>4001</v>
      </c>
      <c r="I88" s="128">
        <v>1576</v>
      </c>
      <c r="J88" s="128">
        <v>1892</v>
      </c>
      <c r="K88" s="128">
        <v>350</v>
      </c>
      <c r="L88" s="128">
        <v>601</v>
      </c>
      <c r="M88" s="128">
        <v>2474</v>
      </c>
      <c r="N88" s="128">
        <v>7456</v>
      </c>
      <c r="O88" s="128">
        <v>8507</v>
      </c>
      <c r="P88" s="128">
        <v>4110</v>
      </c>
      <c r="Q88" s="128">
        <v>1189</v>
      </c>
      <c r="R88" s="128"/>
      <c r="S88" t="s">
        <v>360</v>
      </c>
      <c r="T88" s="128">
        <f t="shared" si="3"/>
        <v>40047</v>
      </c>
      <c r="U88" s="128">
        <v>30978</v>
      </c>
      <c r="V88" s="128">
        <v>26965166.952185653</v>
      </c>
      <c r="W88" s="128">
        <v>2205</v>
      </c>
      <c r="X88" s="128">
        <v>1224</v>
      </c>
      <c r="Y88" s="128">
        <v>0</v>
      </c>
      <c r="Z88" s="128">
        <v>168</v>
      </c>
      <c r="AA88" s="128">
        <v>708</v>
      </c>
      <c r="AB88" s="128">
        <v>162</v>
      </c>
      <c r="AC88" s="128">
        <v>450</v>
      </c>
      <c r="AD88" s="128">
        <v>6</v>
      </c>
      <c r="AE88" s="128">
        <v>314</v>
      </c>
      <c r="AF88" s="128">
        <f t="shared" si="4"/>
        <v>30797.166952185653</v>
      </c>
      <c r="AG88" s="128">
        <v>19822</v>
      </c>
      <c r="AH88" s="128">
        <f t="shared" si="5"/>
        <v>1553.686154383294</v>
      </c>
      <c r="AI88" t="s">
        <v>467</v>
      </c>
      <c r="AM88" t="s">
        <v>349</v>
      </c>
      <c r="AN88" s="128">
        <v>1672.6853824494387</v>
      </c>
      <c r="AO88" t="s">
        <v>467</v>
      </c>
    </row>
    <row r="89" spans="1:41" x14ac:dyDescent="0.25">
      <c r="A89" t="s">
        <v>524</v>
      </c>
      <c r="B89" t="s">
        <v>404</v>
      </c>
      <c r="C89" s="128">
        <v>60742</v>
      </c>
      <c r="D89" s="128">
        <v>2740</v>
      </c>
      <c r="E89" s="128">
        <v>801</v>
      </c>
      <c r="F89" s="128">
        <v>3579</v>
      </c>
      <c r="G89" s="128">
        <v>15165</v>
      </c>
      <c r="H89" s="128">
        <v>6025</v>
      </c>
      <c r="I89" s="128">
        <v>2173</v>
      </c>
      <c r="J89" s="128">
        <v>1942</v>
      </c>
      <c r="K89" s="128">
        <v>414</v>
      </c>
      <c r="L89" s="128">
        <v>709</v>
      </c>
      <c r="M89" s="128">
        <v>3290</v>
      </c>
      <c r="N89" s="128">
        <v>6844</v>
      </c>
      <c r="O89" s="128">
        <v>9933</v>
      </c>
      <c r="P89" s="128">
        <v>5858</v>
      </c>
      <c r="Q89" s="128">
        <v>1270</v>
      </c>
      <c r="R89" s="128"/>
      <c r="S89" t="s">
        <v>404</v>
      </c>
      <c r="T89" s="128">
        <f t="shared" si="3"/>
        <v>53622</v>
      </c>
      <c r="U89" s="128">
        <v>39910</v>
      </c>
      <c r="V89" s="128">
        <v>33490656.221522346</v>
      </c>
      <c r="W89" s="128">
        <v>3412</v>
      </c>
      <c r="X89" s="128">
        <v>3108</v>
      </c>
      <c r="Y89" s="128">
        <v>115</v>
      </c>
      <c r="Z89" s="128">
        <v>276</v>
      </c>
      <c r="AA89" s="128">
        <v>558</v>
      </c>
      <c r="AB89" s="128">
        <v>36</v>
      </c>
      <c r="AC89" s="128">
        <v>639</v>
      </c>
      <c r="AD89" s="128">
        <v>0</v>
      </c>
      <c r="AE89" s="128">
        <v>32</v>
      </c>
      <c r="AF89" s="128">
        <f t="shared" si="4"/>
        <v>39026.656221522346</v>
      </c>
      <c r="AG89" s="128">
        <v>25855</v>
      </c>
      <c r="AH89" s="128">
        <f t="shared" si="5"/>
        <v>1509.4432883976926</v>
      </c>
      <c r="AI89" t="s">
        <v>467</v>
      </c>
      <c r="AM89" t="s">
        <v>170</v>
      </c>
      <c r="AN89" s="128">
        <v>1696.6130528616363</v>
      </c>
      <c r="AO89" t="s">
        <v>467</v>
      </c>
    </row>
    <row r="90" spans="1:41" x14ac:dyDescent="0.25">
      <c r="A90" t="s">
        <v>525</v>
      </c>
      <c r="B90" t="s">
        <v>361</v>
      </c>
      <c r="C90" s="128">
        <v>969841</v>
      </c>
      <c r="D90" s="128">
        <v>75430</v>
      </c>
      <c r="E90" s="128">
        <v>9106</v>
      </c>
      <c r="F90" s="128">
        <v>32955</v>
      </c>
      <c r="G90" s="128">
        <v>179188</v>
      </c>
      <c r="H90" s="128">
        <v>26488</v>
      </c>
      <c r="I90" s="128">
        <v>19665</v>
      </c>
      <c r="J90" s="128">
        <v>37775</v>
      </c>
      <c r="K90" s="128">
        <v>13956</v>
      </c>
      <c r="L90" s="128">
        <v>33969</v>
      </c>
      <c r="M90" s="128">
        <v>58880</v>
      </c>
      <c r="N90" s="128">
        <v>182437</v>
      </c>
      <c r="O90" s="128">
        <v>237361</v>
      </c>
      <c r="P90" s="128">
        <v>63598</v>
      </c>
      <c r="Q90" s="128">
        <v>4500</v>
      </c>
      <c r="R90" s="128"/>
      <c r="S90" t="s">
        <v>361</v>
      </c>
      <c r="T90" s="128">
        <f t="shared" si="3"/>
        <v>852350</v>
      </c>
      <c r="U90" s="128">
        <v>669774</v>
      </c>
      <c r="V90" s="128">
        <v>421158618.84514922</v>
      </c>
      <c r="W90" s="128">
        <v>21854</v>
      </c>
      <c r="X90" s="128">
        <v>28557</v>
      </c>
      <c r="Y90" s="128">
        <v>648</v>
      </c>
      <c r="Z90" s="128">
        <v>2837</v>
      </c>
      <c r="AA90" s="128">
        <v>7105</v>
      </c>
      <c r="AB90" s="128">
        <v>1426</v>
      </c>
      <c r="AC90" s="128">
        <v>2557</v>
      </c>
      <c r="AD90" s="128">
        <v>16370</v>
      </c>
      <c r="AE90" s="128">
        <v>3648</v>
      </c>
      <c r="AF90" s="128">
        <f t="shared" si="4"/>
        <v>518732.61884514918</v>
      </c>
      <c r="AG90" s="128">
        <v>238305</v>
      </c>
      <c r="AH90" s="128">
        <f t="shared" si="5"/>
        <v>2176.7592742290308</v>
      </c>
      <c r="AI90" t="s">
        <v>441</v>
      </c>
      <c r="AM90" t="s">
        <v>350</v>
      </c>
      <c r="AN90" s="128">
        <v>1604.3221585693748</v>
      </c>
      <c r="AO90" t="s">
        <v>467</v>
      </c>
    </row>
    <row r="91" spans="1:41" x14ac:dyDescent="0.25">
      <c r="A91" t="s">
        <v>517</v>
      </c>
      <c r="B91" t="s">
        <v>180</v>
      </c>
      <c r="C91" s="128">
        <v>56445</v>
      </c>
      <c r="D91" s="128">
        <v>404</v>
      </c>
      <c r="E91" s="128">
        <v>478</v>
      </c>
      <c r="F91" s="128">
        <v>3032</v>
      </c>
      <c r="G91" s="128">
        <v>14501</v>
      </c>
      <c r="H91" s="128">
        <v>3260</v>
      </c>
      <c r="I91" s="128">
        <v>1529</v>
      </c>
      <c r="J91" s="128">
        <v>1560</v>
      </c>
      <c r="K91" s="128">
        <v>415</v>
      </c>
      <c r="L91" s="128">
        <v>1224</v>
      </c>
      <c r="M91" s="128">
        <v>3038</v>
      </c>
      <c r="N91" s="128">
        <v>8174</v>
      </c>
      <c r="O91" s="128">
        <v>14363</v>
      </c>
      <c r="P91" s="128">
        <v>4447</v>
      </c>
      <c r="Q91" s="128">
        <v>260</v>
      </c>
      <c r="R91" s="128"/>
      <c r="S91" t="s">
        <v>180</v>
      </c>
      <c r="T91" s="128">
        <f t="shared" si="3"/>
        <v>52531</v>
      </c>
      <c r="U91" s="128">
        <v>40428</v>
      </c>
      <c r="V91" s="128">
        <v>35527385.278141819</v>
      </c>
      <c r="W91" s="128">
        <v>2298</v>
      </c>
      <c r="X91" s="128">
        <v>2272</v>
      </c>
      <c r="Y91" s="128">
        <v>543</v>
      </c>
      <c r="Z91" s="128">
        <v>323</v>
      </c>
      <c r="AA91" s="128">
        <v>563</v>
      </c>
      <c r="AB91" s="128">
        <v>332</v>
      </c>
      <c r="AC91" s="128">
        <v>274</v>
      </c>
      <c r="AD91" s="128">
        <v>36</v>
      </c>
      <c r="AE91" s="128">
        <v>200</v>
      </c>
      <c r="AF91" s="128">
        <f t="shared" si="4"/>
        <v>40789.385278141817</v>
      </c>
      <c r="AG91" s="128">
        <v>23739</v>
      </c>
      <c r="AH91" s="128">
        <f t="shared" si="5"/>
        <v>1718.2436192822704</v>
      </c>
      <c r="AI91" t="s">
        <v>467</v>
      </c>
      <c r="AM91" t="s">
        <v>244</v>
      </c>
      <c r="AN91" s="128">
        <v>1474.3054015933301</v>
      </c>
      <c r="AO91" t="s">
        <v>467</v>
      </c>
    </row>
    <row r="92" spans="1:41" x14ac:dyDescent="0.25">
      <c r="A92" t="s">
        <v>526</v>
      </c>
      <c r="B92" t="s">
        <v>110</v>
      </c>
      <c r="C92" s="128">
        <v>411124</v>
      </c>
      <c r="D92" s="128">
        <v>5415</v>
      </c>
      <c r="E92" s="128">
        <v>8647</v>
      </c>
      <c r="F92" s="128">
        <v>20439</v>
      </c>
      <c r="G92" s="128">
        <v>67655</v>
      </c>
      <c r="H92" s="128">
        <v>21766</v>
      </c>
      <c r="I92" s="128">
        <v>8168</v>
      </c>
      <c r="J92" s="128">
        <v>10066</v>
      </c>
      <c r="K92" s="128">
        <v>3933</v>
      </c>
      <c r="L92" s="128">
        <v>11020</v>
      </c>
      <c r="M92" s="128">
        <v>18994</v>
      </c>
      <c r="N92" s="128">
        <v>103263</v>
      </c>
      <c r="O92" s="128">
        <v>108999</v>
      </c>
      <c r="P92" s="128">
        <v>23804</v>
      </c>
      <c r="Q92" s="128">
        <v>2564</v>
      </c>
      <c r="R92" s="128"/>
      <c r="S92" t="s">
        <v>110</v>
      </c>
      <c r="T92" s="128">
        <f t="shared" si="3"/>
        <v>376623</v>
      </c>
      <c r="U92" s="128">
        <v>328313</v>
      </c>
      <c r="V92" s="128">
        <v>208841318.55070379</v>
      </c>
      <c r="W92" s="128">
        <v>10437</v>
      </c>
      <c r="X92" s="128">
        <v>13967</v>
      </c>
      <c r="Y92" s="128">
        <v>762</v>
      </c>
      <c r="Z92" s="128">
        <v>833</v>
      </c>
      <c r="AA92" s="128">
        <v>3276</v>
      </c>
      <c r="AB92" s="128">
        <v>285</v>
      </c>
      <c r="AC92" s="128">
        <v>602</v>
      </c>
      <c r="AD92" s="128">
        <v>4543</v>
      </c>
      <c r="AE92" s="128">
        <v>905</v>
      </c>
      <c r="AF92" s="128">
        <f t="shared" si="4"/>
        <v>221541.31855070379</v>
      </c>
      <c r="AG92" s="128">
        <v>107860</v>
      </c>
      <c r="AH92" s="128">
        <f t="shared" si="5"/>
        <v>2053.9710601771167</v>
      </c>
      <c r="AI92" t="s">
        <v>441</v>
      </c>
      <c r="AM92" t="s">
        <v>245</v>
      </c>
      <c r="AN92" s="128">
        <v>1602.1114499696625</v>
      </c>
      <c r="AO92" t="s">
        <v>467</v>
      </c>
    </row>
    <row r="93" spans="1:41" x14ac:dyDescent="0.25">
      <c r="A93" t="s">
        <v>517</v>
      </c>
      <c r="B93" t="s">
        <v>251</v>
      </c>
      <c r="C93" s="128">
        <v>56966</v>
      </c>
      <c r="D93" s="128">
        <v>27</v>
      </c>
      <c r="E93" s="128">
        <v>674</v>
      </c>
      <c r="F93" s="128">
        <v>1688</v>
      </c>
      <c r="G93" s="128">
        <v>1188</v>
      </c>
      <c r="H93" s="128">
        <v>8976</v>
      </c>
      <c r="I93" s="128">
        <v>1819</v>
      </c>
      <c r="J93" s="128">
        <v>3739</v>
      </c>
      <c r="K93" s="128">
        <v>1035</v>
      </c>
      <c r="L93" s="128">
        <v>1658</v>
      </c>
      <c r="M93" s="128">
        <v>5309</v>
      </c>
      <c r="N93" s="128">
        <v>10805</v>
      </c>
      <c r="O93" s="128">
        <v>13423</v>
      </c>
      <c r="P93" s="128">
        <v>5002</v>
      </c>
      <c r="Q93" s="128">
        <v>1627</v>
      </c>
      <c r="R93" s="128"/>
      <c r="S93" t="s">
        <v>251</v>
      </c>
      <c r="T93" s="128">
        <f t="shared" si="3"/>
        <v>54577</v>
      </c>
      <c r="U93" s="128">
        <v>41643</v>
      </c>
      <c r="V93" s="128">
        <v>34149765.604295805</v>
      </c>
      <c r="W93" s="128">
        <v>1802</v>
      </c>
      <c r="X93" s="128">
        <v>3328</v>
      </c>
      <c r="Y93" s="128">
        <v>207</v>
      </c>
      <c r="Z93" s="128">
        <v>217</v>
      </c>
      <c r="AA93" s="128">
        <v>462</v>
      </c>
      <c r="AB93" s="128">
        <v>841</v>
      </c>
      <c r="AC93" s="128">
        <v>472</v>
      </c>
      <c r="AD93" s="128">
        <v>155</v>
      </c>
      <c r="AE93" s="128">
        <v>270</v>
      </c>
      <c r="AF93" s="128">
        <f t="shared" si="4"/>
        <v>39329.765604295804</v>
      </c>
      <c r="AG93" s="128">
        <v>18620</v>
      </c>
      <c r="AH93" s="128">
        <f t="shared" si="5"/>
        <v>2112.2323095754996</v>
      </c>
      <c r="AI93" t="s">
        <v>118</v>
      </c>
      <c r="AM93" t="s">
        <v>287</v>
      </c>
      <c r="AN93" s="128">
        <v>1458.3600112748875</v>
      </c>
      <c r="AO93" t="s">
        <v>467</v>
      </c>
    </row>
    <row r="94" spans="1:41" x14ac:dyDescent="0.25">
      <c r="A94" t="s">
        <v>519</v>
      </c>
      <c r="B94" t="s">
        <v>146</v>
      </c>
      <c r="C94" s="128">
        <v>727622</v>
      </c>
      <c r="D94" s="128">
        <v>15192</v>
      </c>
      <c r="E94" s="128">
        <v>11052</v>
      </c>
      <c r="F94" s="128">
        <v>25735</v>
      </c>
      <c r="G94" s="128">
        <v>142367</v>
      </c>
      <c r="H94" s="128">
        <v>39062</v>
      </c>
      <c r="I94" s="128">
        <v>17730</v>
      </c>
      <c r="J94" s="128">
        <v>26824</v>
      </c>
      <c r="K94" s="128">
        <v>12248</v>
      </c>
      <c r="L94" s="128">
        <v>20261</v>
      </c>
      <c r="M94" s="128">
        <v>41853</v>
      </c>
      <c r="N94" s="128">
        <v>132737</v>
      </c>
      <c r="O94" s="128">
        <v>186153</v>
      </c>
      <c r="P94" s="128">
        <v>45780</v>
      </c>
      <c r="Q94" s="128">
        <v>12880</v>
      </c>
      <c r="R94" s="128"/>
      <c r="S94" t="s">
        <v>146</v>
      </c>
      <c r="T94" s="128">
        <f t="shared" si="3"/>
        <v>675643</v>
      </c>
      <c r="U94" s="128">
        <v>528534</v>
      </c>
      <c r="V94" s="128">
        <v>322393594.95574689</v>
      </c>
      <c r="W94" s="128">
        <v>20830</v>
      </c>
      <c r="X94" s="128">
        <v>19277</v>
      </c>
      <c r="Y94" s="128">
        <v>561</v>
      </c>
      <c r="Z94" s="128">
        <v>1871</v>
      </c>
      <c r="AA94" s="128">
        <v>4571</v>
      </c>
      <c r="AB94" s="128">
        <v>408</v>
      </c>
      <c r="AC94" s="128">
        <v>600</v>
      </c>
      <c r="AD94" s="128">
        <v>13860</v>
      </c>
      <c r="AE94" s="128">
        <v>940</v>
      </c>
      <c r="AF94" s="128">
        <f t="shared" si="4"/>
        <v>406584.5949557469</v>
      </c>
      <c r="AG94" s="128">
        <v>160558</v>
      </c>
      <c r="AH94" s="128">
        <f t="shared" si="5"/>
        <v>2532.3222446452178</v>
      </c>
      <c r="AI94" t="s">
        <v>441</v>
      </c>
      <c r="AM94" t="s">
        <v>351</v>
      </c>
      <c r="AN94" s="128">
        <v>2001.2191869699313</v>
      </c>
      <c r="AO94" t="s">
        <v>467</v>
      </c>
    </row>
    <row r="95" spans="1:41" x14ac:dyDescent="0.25">
      <c r="A95" t="s">
        <v>516</v>
      </c>
      <c r="B95" t="s">
        <v>181</v>
      </c>
      <c r="C95" s="128">
        <v>85663</v>
      </c>
      <c r="D95" s="128">
        <v>814</v>
      </c>
      <c r="E95" s="128">
        <v>96</v>
      </c>
      <c r="F95" s="128">
        <v>4014</v>
      </c>
      <c r="G95" s="128">
        <v>16403</v>
      </c>
      <c r="H95" s="128">
        <v>5827</v>
      </c>
      <c r="I95" s="128">
        <v>2275</v>
      </c>
      <c r="J95" s="128">
        <v>3179</v>
      </c>
      <c r="K95" s="128">
        <v>652</v>
      </c>
      <c r="L95" s="128">
        <v>2236</v>
      </c>
      <c r="M95" s="128">
        <v>5045</v>
      </c>
      <c r="N95" s="128">
        <v>15684</v>
      </c>
      <c r="O95" s="128">
        <v>21173</v>
      </c>
      <c r="P95" s="128">
        <v>7618</v>
      </c>
      <c r="Q95" s="128">
        <v>708</v>
      </c>
      <c r="R95" s="128"/>
      <c r="S95" t="s">
        <v>181</v>
      </c>
      <c r="T95" s="128">
        <f t="shared" si="3"/>
        <v>80739</v>
      </c>
      <c r="U95" s="128">
        <v>62439</v>
      </c>
      <c r="V95" s="128">
        <v>50335959.87212798</v>
      </c>
      <c r="W95" s="128">
        <v>2931</v>
      </c>
      <c r="X95" s="128">
        <v>4212</v>
      </c>
      <c r="Y95" s="128">
        <v>799</v>
      </c>
      <c r="Z95" s="128">
        <v>399</v>
      </c>
      <c r="AA95" s="128">
        <v>735</v>
      </c>
      <c r="AB95" s="128">
        <v>108</v>
      </c>
      <c r="AC95" s="128">
        <v>794</v>
      </c>
      <c r="AD95" s="128">
        <v>0</v>
      </c>
      <c r="AE95" s="128">
        <v>330</v>
      </c>
      <c r="AF95" s="128">
        <f t="shared" si="4"/>
        <v>58327.959872127976</v>
      </c>
      <c r="AG95" s="128">
        <v>33260</v>
      </c>
      <c r="AH95" s="128">
        <f t="shared" si="5"/>
        <v>1753.6969294085382</v>
      </c>
      <c r="AI95" t="s">
        <v>118</v>
      </c>
      <c r="AM95" t="s">
        <v>330</v>
      </c>
      <c r="AN95" s="128">
        <v>1875.5262983414884</v>
      </c>
      <c r="AO95" t="s">
        <v>467</v>
      </c>
    </row>
    <row r="96" spans="1:41" x14ac:dyDescent="0.25">
      <c r="A96" t="s">
        <v>518</v>
      </c>
      <c r="B96" t="s">
        <v>182</v>
      </c>
      <c r="C96" s="128">
        <v>82271</v>
      </c>
      <c r="D96" s="128">
        <v>124</v>
      </c>
      <c r="E96" s="128">
        <v>152</v>
      </c>
      <c r="F96" s="128">
        <v>3569</v>
      </c>
      <c r="G96" s="128">
        <v>11990</v>
      </c>
      <c r="H96" s="128">
        <v>9497</v>
      </c>
      <c r="I96" s="128">
        <v>1837</v>
      </c>
      <c r="J96" s="128">
        <v>2173</v>
      </c>
      <c r="K96" s="128">
        <v>416</v>
      </c>
      <c r="L96" s="128">
        <v>1610</v>
      </c>
      <c r="M96" s="128">
        <v>6110</v>
      </c>
      <c r="N96" s="128">
        <v>12769</v>
      </c>
      <c r="O96" s="128">
        <v>23860</v>
      </c>
      <c r="P96" s="128">
        <v>7677</v>
      </c>
      <c r="Q96" s="128">
        <v>561</v>
      </c>
      <c r="R96" s="128"/>
      <c r="S96" t="s">
        <v>182</v>
      </c>
      <c r="T96" s="128">
        <f t="shared" si="3"/>
        <v>78426</v>
      </c>
      <c r="U96" s="128">
        <v>52885</v>
      </c>
      <c r="V96" s="128">
        <v>44694812.253569022</v>
      </c>
      <c r="W96" s="128">
        <v>2925</v>
      </c>
      <c r="X96" s="128">
        <v>2379</v>
      </c>
      <c r="Y96" s="128">
        <v>398</v>
      </c>
      <c r="Z96" s="128">
        <v>474</v>
      </c>
      <c r="AA96" s="128">
        <v>736</v>
      </c>
      <c r="AB96" s="128">
        <v>54</v>
      </c>
      <c r="AC96" s="128">
        <v>580</v>
      </c>
      <c r="AD96" s="128">
        <v>0</v>
      </c>
      <c r="AE96" s="128">
        <v>337</v>
      </c>
      <c r="AF96" s="128">
        <f t="shared" si="4"/>
        <v>62352.81225356902</v>
      </c>
      <c r="AG96" s="128">
        <v>27260</v>
      </c>
      <c r="AH96" s="128">
        <f t="shared" si="5"/>
        <v>2287.3372066606389</v>
      </c>
      <c r="AI96" t="s">
        <v>118</v>
      </c>
      <c r="AM96" t="s">
        <v>288</v>
      </c>
      <c r="AN96" s="128">
        <v>2048.8273235419665</v>
      </c>
      <c r="AO96" t="s">
        <v>467</v>
      </c>
    </row>
    <row r="97" spans="1:41" x14ac:dyDescent="0.25">
      <c r="A97" t="s">
        <v>522</v>
      </c>
      <c r="B97" t="s">
        <v>362</v>
      </c>
      <c r="C97" s="128">
        <v>135272</v>
      </c>
      <c r="D97" s="128">
        <v>12049</v>
      </c>
      <c r="E97" s="128">
        <v>588</v>
      </c>
      <c r="F97" s="128">
        <v>7755</v>
      </c>
      <c r="G97" s="128">
        <v>24620</v>
      </c>
      <c r="H97" s="128">
        <v>8575</v>
      </c>
      <c r="I97" s="128">
        <v>2674</v>
      </c>
      <c r="J97" s="128">
        <v>4995</v>
      </c>
      <c r="K97" s="128">
        <v>107</v>
      </c>
      <c r="L97" s="128">
        <v>4383</v>
      </c>
      <c r="M97" s="128">
        <v>8411</v>
      </c>
      <c r="N97" s="128">
        <v>23497</v>
      </c>
      <c r="O97" s="128">
        <v>27583</v>
      </c>
      <c r="P97" s="128">
        <v>9691</v>
      </c>
      <c r="Q97" s="128">
        <v>1145</v>
      </c>
      <c r="R97" s="128"/>
      <c r="S97" t="s">
        <v>362</v>
      </c>
      <c r="T97" s="128">
        <f t="shared" si="3"/>
        <v>114880</v>
      </c>
      <c r="U97" s="128">
        <v>89080</v>
      </c>
      <c r="V97" s="128">
        <v>68669774.144224659</v>
      </c>
      <c r="W97" s="128">
        <v>4236</v>
      </c>
      <c r="X97" s="128">
        <v>5629</v>
      </c>
      <c r="Y97" s="128">
        <v>90</v>
      </c>
      <c r="Z97" s="128">
        <v>504</v>
      </c>
      <c r="AA97" s="128">
        <v>714</v>
      </c>
      <c r="AB97" s="128">
        <v>672</v>
      </c>
      <c r="AC97" s="128">
        <v>0</v>
      </c>
      <c r="AD97" s="128">
        <v>3064</v>
      </c>
      <c r="AE97" s="128">
        <v>253</v>
      </c>
      <c r="AF97" s="128">
        <f t="shared" si="4"/>
        <v>79307.774144224662</v>
      </c>
      <c r="AG97" s="128">
        <v>44150</v>
      </c>
      <c r="AH97" s="128">
        <f t="shared" si="5"/>
        <v>1796.3255751806264</v>
      </c>
      <c r="AI97" t="s">
        <v>118</v>
      </c>
      <c r="AM97" t="s">
        <v>171</v>
      </c>
      <c r="AN97" s="128">
        <v>1729.5109736694226</v>
      </c>
      <c r="AO97" t="s">
        <v>467</v>
      </c>
    </row>
    <row r="98" spans="1:41" x14ac:dyDescent="0.25">
      <c r="A98" t="s">
        <v>519</v>
      </c>
      <c r="B98" t="s">
        <v>363</v>
      </c>
      <c r="C98" s="128">
        <v>58240</v>
      </c>
      <c r="D98" s="128">
        <v>2810</v>
      </c>
      <c r="E98" s="128">
        <v>416</v>
      </c>
      <c r="F98" s="128">
        <v>2548</v>
      </c>
      <c r="G98" s="128">
        <v>13568</v>
      </c>
      <c r="H98" s="128">
        <v>3688</v>
      </c>
      <c r="I98" s="128">
        <v>1560</v>
      </c>
      <c r="J98" s="128">
        <v>2538</v>
      </c>
      <c r="K98" s="128">
        <v>248</v>
      </c>
      <c r="L98" s="128">
        <v>1268</v>
      </c>
      <c r="M98" s="128">
        <v>3230</v>
      </c>
      <c r="N98" s="128">
        <v>7862</v>
      </c>
      <c r="O98" s="128">
        <v>13693</v>
      </c>
      <c r="P98" s="128">
        <v>4360</v>
      </c>
      <c r="Q98" s="128">
        <v>478</v>
      </c>
      <c r="R98" s="128"/>
      <c r="S98" t="s">
        <v>363</v>
      </c>
      <c r="T98" s="128">
        <f t="shared" si="3"/>
        <v>52466</v>
      </c>
      <c r="U98" s="128">
        <v>41120</v>
      </c>
      <c r="V98" s="128">
        <v>32481609.347973667</v>
      </c>
      <c r="W98" s="128">
        <v>2192</v>
      </c>
      <c r="X98" s="128">
        <v>2285</v>
      </c>
      <c r="Y98" s="128">
        <v>48</v>
      </c>
      <c r="Z98" s="128">
        <v>177</v>
      </c>
      <c r="AA98" s="128">
        <v>476</v>
      </c>
      <c r="AB98" s="128">
        <v>89</v>
      </c>
      <c r="AC98" s="128">
        <v>38</v>
      </c>
      <c r="AD98" s="128">
        <v>9</v>
      </c>
      <c r="AE98" s="128">
        <v>145</v>
      </c>
      <c r="AF98" s="128">
        <f t="shared" si="4"/>
        <v>38368.609347973666</v>
      </c>
      <c r="AG98" s="128">
        <v>21950</v>
      </c>
      <c r="AH98" s="128">
        <f t="shared" si="5"/>
        <v>1748.0004258757936</v>
      </c>
      <c r="AI98" t="s">
        <v>118</v>
      </c>
      <c r="AM98" t="s">
        <v>216</v>
      </c>
      <c r="AN98" s="128">
        <v>1512.0915417318336</v>
      </c>
      <c r="AO98" t="s">
        <v>467</v>
      </c>
    </row>
    <row r="99" spans="1:41" x14ac:dyDescent="0.25">
      <c r="A99" t="s">
        <v>519</v>
      </c>
      <c r="B99" t="s">
        <v>364</v>
      </c>
      <c r="C99" s="128">
        <v>110664</v>
      </c>
      <c r="D99" s="128">
        <v>17199</v>
      </c>
      <c r="E99" s="128">
        <v>180</v>
      </c>
      <c r="F99" s="128">
        <v>5840</v>
      </c>
      <c r="G99" s="128">
        <v>17450</v>
      </c>
      <c r="H99" s="128">
        <v>11233</v>
      </c>
      <c r="I99" s="128">
        <v>2462</v>
      </c>
      <c r="J99" s="128">
        <v>2324</v>
      </c>
      <c r="K99" s="128">
        <v>493</v>
      </c>
      <c r="L99" s="128">
        <v>2265</v>
      </c>
      <c r="M99" s="128">
        <v>5858</v>
      </c>
      <c r="N99" s="128">
        <v>17695</v>
      </c>
      <c r="O99" s="128">
        <v>21957</v>
      </c>
      <c r="P99" s="128">
        <v>7076</v>
      </c>
      <c r="Q99" s="128">
        <v>358</v>
      </c>
      <c r="R99" s="128"/>
      <c r="S99" t="s">
        <v>364</v>
      </c>
      <c r="T99" s="128">
        <f t="shared" si="3"/>
        <v>87445</v>
      </c>
      <c r="U99" s="128">
        <v>70482</v>
      </c>
      <c r="V99" s="128">
        <v>60156020.81779772</v>
      </c>
      <c r="W99" s="128">
        <v>4204</v>
      </c>
      <c r="X99" s="128">
        <v>4408</v>
      </c>
      <c r="Y99" s="128">
        <v>0</v>
      </c>
      <c r="Z99" s="128">
        <v>517</v>
      </c>
      <c r="AA99" s="128">
        <v>836</v>
      </c>
      <c r="AB99" s="128">
        <v>70</v>
      </c>
      <c r="AC99" s="128">
        <v>545</v>
      </c>
      <c r="AD99" s="128">
        <v>423</v>
      </c>
      <c r="AE99" s="128">
        <v>75</v>
      </c>
      <c r="AF99" s="128">
        <f t="shared" si="4"/>
        <v>66041.020817797718</v>
      </c>
      <c r="AG99" s="128">
        <v>40116</v>
      </c>
      <c r="AH99" s="128">
        <f t="shared" si="5"/>
        <v>1646.2513914098545</v>
      </c>
      <c r="AI99" t="s">
        <v>118</v>
      </c>
      <c r="AM99" t="s">
        <v>217</v>
      </c>
      <c r="AN99" s="128">
        <v>1405.079226583546</v>
      </c>
      <c r="AO99" t="s">
        <v>467</v>
      </c>
    </row>
    <row r="100" spans="1:41" x14ac:dyDescent="0.25">
      <c r="A100" t="s">
        <v>517</v>
      </c>
      <c r="B100" t="s">
        <v>365</v>
      </c>
      <c r="C100" s="128">
        <v>81610</v>
      </c>
      <c r="D100" s="128">
        <v>1870</v>
      </c>
      <c r="E100" s="128">
        <v>3154</v>
      </c>
      <c r="F100" s="128">
        <v>3590</v>
      </c>
      <c r="G100" s="128">
        <v>15614</v>
      </c>
      <c r="H100" s="128">
        <v>5270</v>
      </c>
      <c r="I100" s="128">
        <v>2025</v>
      </c>
      <c r="J100" s="128">
        <v>2877</v>
      </c>
      <c r="K100" s="128">
        <v>2452</v>
      </c>
      <c r="L100" s="128">
        <v>2278</v>
      </c>
      <c r="M100" s="128">
        <v>4971</v>
      </c>
      <c r="N100" s="128">
        <v>12799</v>
      </c>
      <c r="O100" s="128">
        <v>17249</v>
      </c>
      <c r="P100" s="128">
        <v>6826</v>
      </c>
      <c r="Q100" s="128">
        <v>1296</v>
      </c>
      <c r="R100" s="128"/>
      <c r="S100" t="s">
        <v>365</v>
      </c>
      <c r="T100" s="128">
        <f t="shared" si="3"/>
        <v>72996</v>
      </c>
      <c r="U100" s="128">
        <v>57912</v>
      </c>
      <c r="V100" s="128">
        <v>45873259.291595466</v>
      </c>
      <c r="W100" s="128">
        <v>2626</v>
      </c>
      <c r="X100" s="128">
        <v>3211</v>
      </c>
      <c r="Y100" s="128">
        <v>42</v>
      </c>
      <c r="Z100" s="128">
        <v>313</v>
      </c>
      <c r="AA100" s="128">
        <v>1317</v>
      </c>
      <c r="AB100" s="128">
        <v>93</v>
      </c>
      <c r="AC100" s="128">
        <v>153</v>
      </c>
      <c r="AD100" s="128">
        <v>4</v>
      </c>
      <c r="AE100" s="128">
        <v>35</v>
      </c>
      <c r="AF100" s="128">
        <f t="shared" si="4"/>
        <v>53163.259291595466</v>
      </c>
      <c r="AG100" s="128">
        <v>31037</v>
      </c>
      <c r="AH100" s="128">
        <f t="shared" si="5"/>
        <v>1712.8994197762499</v>
      </c>
      <c r="AI100" t="s">
        <v>118</v>
      </c>
      <c r="AM100" t="s">
        <v>173</v>
      </c>
      <c r="AN100" s="128">
        <v>1796.9250875721671</v>
      </c>
      <c r="AO100" t="s">
        <v>467</v>
      </c>
    </row>
    <row r="101" spans="1:41" x14ac:dyDescent="0.25">
      <c r="A101" t="s">
        <v>517</v>
      </c>
      <c r="B101" t="s">
        <v>405</v>
      </c>
      <c r="C101" s="128">
        <v>50170</v>
      </c>
      <c r="D101" s="128">
        <v>149</v>
      </c>
      <c r="E101" s="128">
        <v>581</v>
      </c>
      <c r="F101" s="128">
        <v>2282</v>
      </c>
      <c r="G101" s="128">
        <v>10795</v>
      </c>
      <c r="H101" s="128">
        <v>3276</v>
      </c>
      <c r="I101" s="128">
        <v>1455</v>
      </c>
      <c r="J101" s="128">
        <v>1065</v>
      </c>
      <c r="K101" s="128">
        <v>519</v>
      </c>
      <c r="L101" s="128">
        <v>713</v>
      </c>
      <c r="M101" s="128">
        <v>4008</v>
      </c>
      <c r="N101" s="128">
        <v>11068</v>
      </c>
      <c r="O101" s="128">
        <v>10027</v>
      </c>
      <c r="P101" s="128">
        <v>3534</v>
      </c>
      <c r="Q101" s="128">
        <v>760</v>
      </c>
      <c r="R101" s="128"/>
      <c r="S101" t="s">
        <v>405</v>
      </c>
      <c r="T101" s="128">
        <f t="shared" si="3"/>
        <v>47158</v>
      </c>
      <c r="U101" s="128">
        <v>35910</v>
      </c>
      <c r="V101" s="128">
        <v>29310301.563591354</v>
      </c>
      <c r="W101" s="128">
        <v>1950</v>
      </c>
      <c r="X101" s="128">
        <v>1594</v>
      </c>
      <c r="Y101" s="128">
        <v>46</v>
      </c>
      <c r="Z101" s="128">
        <v>168</v>
      </c>
      <c r="AA101" s="128">
        <v>369</v>
      </c>
      <c r="AB101" s="128">
        <v>65</v>
      </c>
      <c r="AC101" s="128">
        <v>1843</v>
      </c>
      <c r="AD101" s="128">
        <v>5</v>
      </c>
      <c r="AE101" s="128">
        <v>30</v>
      </c>
      <c r="AF101" s="128">
        <f t="shared" si="4"/>
        <v>34488.301563591354</v>
      </c>
      <c r="AG101" s="128">
        <v>17245</v>
      </c>
      <c r="AH101" s="128">
        <f t="shared" si="5"/>
        <v>1999.9015113709106</v>
      </c>
      <c r="AI101" t="s">
        <v>118</v>
      </c>
      <c r="AM101" t="s">
        <v>246</v>
      </c>
      <c r="AN101" s="128">
        <v>1436.4019891105263</v>
      </c>
      <c r="AO101" t="s">
        <v>467</v>
      </c>
    </row>
    <row r="102" spans="1:41" x14ac:dyDescent="0.25">
      <c r="A102" t="s">
        <v>519</v>
      </c>
      <c r="B102" t="s">
        <v>366</v>
      </c>
      <c r="C102" s="128">
        <v>73854</v>
      </c>
      <c r="D102" s="128">
        <v>4409</v>
      </c>
      <c r="E102" s="128">
        <v>169</v>
      </c>
      <c r="F102" s="128">
        <v>3468</v>
      </c>
      <c r="G102" s="128">
        <v>1233</v>
      </c>
      <c r="H102" s="128">
        <v>10751</v>
      </c>
      <c r="I102" s="128">
        <v>2716</v>
      </c>
      <c r="J102" s="128">
        <v>2286</v>
      </c>
      <c r="K102" s="128">
        <v>2577</v>
      </c>
      <c r="L102" s="128">
        <v>2002</v>
      </c>
      <c r="M102" s="128">
        <v>5651</v>
      </c>
      <c r="N102" s="128">
        <v>12165</v>
      </c>
      <c r="O102" s="128">
        <v>18699</v>
      </c>
      <c r="P102" s="128">
        <v>5528</v>
      </c>
      <c r="Q102" s="128">
        <v>2199</v>
      </c>
      <c r="R102" s="128"/>
      <c r="S102" t="s">
        <v>366</v>
      </c>
      <c r="T102" s="128">
        <f t="shared" si="3"/>
        <v>65808</v>
      </c>
      <c r="U102" s="128">
        <v>50488</v>
      </c>
      <c r="V102" s="128">
        <v>39100372.402660199</v>
      </c>
      <c r="W102" s="128">
        <v>1332</v>
      </c>
      <c r="X102" s="128">
        <v>2256</v>
      </c>
      <c r="Y102" s="128">
        <v>0</v>
      </c>
      <c r="Z102" s="128">
        <v>207</v>
      </c>
      <c r="AA102" s="128">
        <v>601</v>
      </c>
      <c r="AB102" s="128">
        <v>91</v>
      </c>
      <c r="AC102" s="128">
        <v>390</v>
      </c>
      <c r="AD102" s="128">
        <v>0</v>
      </c>
      <c r="AE102" s="128">
        <v>2</v>
      </c>
      <c r="AF102" s="128">
        <f t="shared" si="4"/>
        <v>49541.372402660199</v>
      </c>
      <c r="AG102" s="128">
        <v>26592</v>
      </c>
      <c r="AH102" s="128">
        <f t="shared" si="5"/>
        <v>1863.0179152624924</v>
      </c>
      <c r="AI102" t="s">
        <v>118</v>
      </c>
      <c r="AM102" t="s">
        <v>355</v>
      </c>
      <c r="AN102" s="128">
        <v>1717.5464513229063</v>
      </c>
      <c r="AO102" t="s">
        <v>467</v>
      </c>
    </row>
    <row r="103" spans="1:41" x14ac:dyDescent="0.25">
      <c r="A103" t="s">
        <v>517</v>
      </c>
      <c r="B103" t="s">
        <v>292</v>
      </c>
      <c r="C103" s="128">
        <v>136216</v>
      </c>
      <c r="D103" s="128">
        <v>3496</v>
      </c>
      <c r="E103" s="128">
        <v>1408</v>
      </c>
      <c r="F103" s="128">
        <v>6816</v>
      </c>
      <c r="G103" s="128">
        <v>37653</v>
      </c>
      <c r="H103" s="128">
        <v>7882</v>
      </c>
      <c r="I103" s="128">
        <v>3676</v>
      </c>
      <c r="J103" s="128">
        <v>9230</v>
      </c>
      <c r="K103" s="128">
        <v>2231</v>
      </c>
      <c r="L103" s="128">
        <v>3053</v>
      </c>
      <c r="M103" s="128">
        <v>9155</v>
      </c>
      <c r="N103" s="128">
        <v>10819</v>
      </c>
      <c r="O103" s="128">
        <v>26854</v>
      </c>
      <c r="P103" s="128">
        <v>13216</v>
      </c>
      <c r="Q103" s="128">
        <v>1080</v>
      </c>
      <c r="R103" s="128"/>
      <c r="S103" t="s">
        <v>292</v>
      </c>
      <c r="T103" s="128">
        <f t="shared" si="3"/>
        <v>124496</v>
      </c>
      <c r="U103" s="128">
        <v>92174</v>
      </c>
      <c r="V103" s="128">
        <v>77581161.539108738</v>
      </c>
      <c r="W103" s="128">
        <v>5972</v>
      </c>
      <c r="X103" s="128">
        <v>6130</v>
      </c>
      <c r="Y103" s="128">
        <v>997</v>
      </c>
      <c r="Z103" s="128">
        <v>459</v>
      </c>
      <c r="AA103" s="128">
        <v>1778</v>
      </c>
      <c r="AB103" s="128">
        <v>335</v>
      </c>
      <c r="AC103" s="128">
        <v>2507</v>
      </c>
      <c r="AD103" s="128">
        <v>12</v>
      </c>
      <c r="AE103" s="128">
        <v>532</v>
      </c>
      <c r="AF103" s="128">
        <f t="shared" si="4"/>
        <v>91181.16153910874</v>
      </c>
      <c r="AG103" s="128">
        <v>51044</v>
      </c>
      <c r="AH103" s="128">
        <f t="shared" si="5"/>
        <v>1786.3247695930713</v>
      </c>
      <c r="AI103" t="s">
        <v>467</v>
      </c>
      <c r="AM103" t="s">
        <v>143</v>
      </c>
      <c r="AN103" s="128">
        <v>1687.5419399133993</v>
      </c>
      <c r="AO103" t="s">
        <v>467</v>
      </c>
    </row>
    <row r="104" spans="1:41" x14ac:dyDescent="0.25">
      <c r="A104" t="s">
        <v>517</v>
      </c>
      <c r="B104" t="s">
        <v>331</v>
      </c>
      <c r="C104" s="128">
        <v>141194</v>
      </c>
      <c r="D104" s="128">
        <v>5979</v>
      </c>
      <c r="E104" s="128">
        <v>3023</v>
      </c>
      <c r="F104" s="128">
        <v>6305</v>
      </c>
      <c r="G104" s="128">
        <v>22146</v>
      </c>
      <c r="H104" s="128">
        <v>3603</v>
      </c>
      <c r="I104" s="128">
        <v>3174</v>
      </c>
      <c r="J104" s="128">
        <v>6813</v>
      </c>
      <c r="K104" s="128">
        <v>9830</v>
      </c>
      <c r="L104" s="128">
        <v>4014</v>
      </c>
      <c r="M104" s="128">
        <v>7921</v>
      </c>
      <c r="N104" s="128">
        <v>23782</v>
      </c>
      <c r="O104" s="128">
        <v>35194</v>
      </c>
      <c r="P104" s="128">
        <v>8309</v>
      </c>
      <c r="Q104" s="128">
        <v>643</v>
      </c>
      <c r="R104" s="128"/>
      <c r="S104" t="s">
        <v>331</v>
      </c>
      <c r="T104" s="128">
        <f t="shared" si="3"/>
        <v>125887</v>
      </c>
      <c r="U104" s="128">
        <v>86963</v>
      </c>
      <c r="V104" s="128">
        <v>70668442.866893858</v>
      </c>
      <c r="W104" s="128">
        <v>4245</v>
      </c>
      <c r="X104" s="128">
        <v>4436</v>
      </c>
      <c r="Y104" s="128">
        <v>453</v>
      </c>
      <c r="Z104" s="128">
        <v>772</v>
      </c>
      <c r="AA104" s="128">
        <v>1536</v>
      </c>
      <c r="AB104" s="128">
        <v>354</v>
      </c>
      <c r="AC104" s="128">
        <v>317</v>
      </c>
      <c r="AD104" s="128">
        <v>4026</v>
      </c>
      <c r="AE104" s="128">
        <v>1655</v>
      </c>
      <c r="AF104" s="128">
        <f t="shared" si="4"/>
        <v>91798.442866893864</v>
      </c>
      <c r="AG104" s="128">
        <v>38948</v>
      </c>
      <c r="AH104" s="128">
        <f t="shared" si="5"/>
        <v>2356.9488257906401</v>
      </c>
      <c r="AI104" t="s">
        <v>441</v>
      </c>
      <c r="AM104" t="s">
        <v>218</v>
      </c>
      <c r="AN104" s="128">
        <v>1680.6135036032636</v>
      </c>
      <c r="AO104" t="s">
        <v>467</v>
      </c>
    </row>
    <row r="105" spans="1:41" x14ac:dyDescent="0.25">
      <c r="A105" t="s">
        <v>526</v>
      </c>
      <c r="B105" t="s">
        <v>367</v>
      </c>
      <c r="C105" s="128">
        <v>61735</v>
      </c>
      <c r="D105" s="128">
        <v>2160</v>
      </c>
      <c r="E105" s="128">
        <v>329</v>
      </c>
      <c r="F105" s="128">
        <v>3786</v>
      </c>
      <c r="G105" s="128">
        <v>12201</v>
      </c>
      <c r="H105" s="128">
        <v>3667</v>
      </c>
      <c r="I105" s="128">
        <v>1350</v>
      </c>
      <c r="J105" s="128">
        <v>1980</v>
      </c>
      <c r="K105" s="128">
        <v>499</v>
      </c>
      <c r="L105" s="128">
        <v>1819</v>
      </c>
      <c r="M105" s="128">
        <v>3722</v>
      </c>
      <c r="N105" s="128">
        <v>8648</v>
      </c>
      <c r="O105" s="128">
        <v>16329</v>
      </c>
      <c r="P105" s="128">
        <v>4212</v>
      </c>
      <c r="Q105" s="128">
        <v>422</v>
      </c>
      <c r="R105" s="128"/>
      <c r="S105" t="s">
        <v>367</v>
      </c>
      <c r="T105" s="128">
        <f t="shared" si="3"/>
        <v>55460</v>
      </c>
      <c r="U105" s="128">
        <v>41583</v>
      </c>
      <c r="V105" s="128">
        <v>34589874.420004636</v>
      </c>
      <c r="W105" s="128">
        <v>1950</v>
      </c>
      <c r="X105" s="128">
        <v>2330</v>
      </c>
      <c r="Y105" s="128">
        <v>0</v>
      </c>
      <c r="Z105" s="128">
        <v>256</v>
      </c>
      <c r="AA105" s="128">
        <v>995</v>
      </c>
      <c r="AB105" s="128">
        <v>190</v>
      </c>
      <c r="AC105" s="128">
        <v>75</v>
      </c>
      <c r="AD105" s="128">
        <v>64</v>
      </c>
      <c r="AE105" s="128">
        <v>70</v>
      </c>
      <c r="AF105" s="128">
        <f t="shared" si="4"/>
        <v>42536.874420004635</v>
      </c>
      <c r="AG105" s="128">
        <v>23986</v>
      </c>
      <c r="AH105" s="128">
        <f t="shared" si="5"/>
        <v>1773.4042533146267</v>
      </c>
      <c r="AI105" t="s">
        <v>467</v>
      </c>
      <c r="AM105" t="s">
        <v>219</v>
      </c>
      <c r="AN105" s="128">
        <v>1481.9612167116873</v>
      </c>
      <c r="AO105" t="s">
        <v>467</v>
      </c>
    </row>
    <row r="106" spans="1:41" x14ac:dyDescent="0.25">
      <c r="A106" t="s">
        <v>521</v>
      </c>
      <c r="B106" t="s">
        <v>490</v>
      </c>
      <c r="C106" s="128">
        <v>142514</v>
      </c>
      <c r="D106" s="128">
        <v>2718</v>
      </c>
      <c r="E106" s="128">
        <v>2459</v>
      </c>
      <c r="F106" s="128">
        <v>9180</v>
      </c>
      <c r="G106" s="128">
        <v>32289</v>
      </c>
      <c r="H106" s="128">
        <v>9632</v>
      </c>
      <c r="I106" s="128">
        <v>5059</v>
      </c>
      <c r="J106" s="128">
        <v>5244</v>
      </c>
      <c r="K106" s="128">
        <v>1091</v>
      </c>
      <c r="L106" s="128">
        <v>3487</v>
      </c>
      <c r="M106" s="128">
        <v>10245</v>
      </c>
      <c r="N106" s="128">
        <v>18113</v>
      </c>
      <c r="O106" s="128">
        <v>29390</v>
      </c>
      <c r="P106" s="128">
        <v>12770</v>
      </c>
      <c r="Q106" s="128">
        <v>982</v>
      </c>
      <c r="R106" s="128"/>
      <c r="S106" t="s">
        <v>490</v>
      </c>
      <c r="T106" s="128">
        <f t="shared" si="3"/>
        <v>128157</v>
      </c>
      <c r="U106" s="128">
        <v>95373</v>
      </c>
      <c r="V106" s="128">
        <v>79550885.391974822</v>
      </c>
      <c r="W106" s="128">
        <v>5868</v>
      </c>
      <c r="X106" s="128">
        <v>7916</v>
      </c>
      <c r="Y106" s="128">
        <v>680</v>
      </c>
      <c r="Z106" s="128">
        <v>663</v>
      </c>
      <c r="AA106" s="128">
        <v>2335</v>
      </c>
      <c r="AB106" s="128">
        <v>186</v>
      </c>
      <c r="AC106" s="128">
        <v>311</v>
      </c>
      <c r="AD106" s="128">
        <v>2745</v>
      </c>
      <c r="AE106" s="128">
        <v>409</v>
      </c>
      <c r="AF106" s="128">
        <f t="shared" si="4"/>
        <v>91221.885391974822</v>
      </c>
      <c r="AG106" s="128">
        <v>58846</v>
      </c>
      <c r="AH106" s="128">
        <f t="shared" si="5"/>
        <v>1550.1798829482857</v>
      </c>
      <c r="AI106" t="s">
        <v>467</v>
      </c>
      <c r="AM106" t="s">
        <v>117</v>
      </c>
      <c r="AN106" s="128">
        <v>1621.9870076844936</v>
      </c>
      <c r="AO106" t="s">
        <v>467</v>
      </c>
    </row>
    <row r="107" spans="1:41" x14ac:dyDescent="0.25">
      <c r="A107" t="s">
        <v>528</v>
      </c>
      <c r="B107" t="s">
        <v>293</v>
      </c>
      <c r="C107" s="128">
        <v>146615</v>
      </c>
      <c r="D107" s="128">
        <v>3390</v>
      </c>
      <c r="E107" s="128">
        <v>2021</v>
      </c>
      <c r="F107" s="128">
        <v>6532</v>
      </c>
      <c r="G107" s="128">
        <v>25888</v>
      </c>
      <c r="H107" s="128">
        <v>7080</v>
      </c>
      <c r="I107" s="128">
        <v>3647</v>
      </c>
      <c r="J107" s="128">
        <v>5012</v>
      </c>
      <c r="K107" s="128">
        <v>15226</v>
      </c>
      <c r="L107" s="128">
        <v>6794</v>
      </c>
      <c r="M107" s="128">
        <v>7949</v>
      </c>
      <c r="N107" s="128">
        <v>29498</v>
      </c>
      <c r="O107" s="128">
        <v>23387</v>
      </c>
      <c r="P107" s="128">
        <v>9891</v>
      </c>
      <c r="Q107" s="128">
        <v>747</v>
      </c>
      <c r="R107" s="128"/>
      <c r="S107" t="s">
        <v>293</v>
      </c>
      <c r="T107" s="128">
        <f t="shared" si="3"/>
        <v>134672</v>
      </c>
      <c r="U107" s="128">
        <v>90357</v>
      </c>
      <c r="V107" s="128">
        <v>70786444.963559061</v>
      </c>
      <c r="W107" s="128">
        <v>3854</v>
      </c>
      <c r="X107" s="128">
        <v>5339</v>
      </c>
      <c r="Y107" s="128">
        <v>223</v>
      </c>
      <c r="Z107" s="128">
        <v>490</v>
      </c>
      <c r="AA107" s="128">
        <v>1076</v>
      </c>
      <c r="AB107" s="128">
        <v>1471</v>
      </c>
      <c r="AC107" s="128">
        <v>0</v>
      </c>
      <c r="AD107" s="128">
        <v>2421</v>
      </c>
      <c r="AE107" s="128">
        <v>894</v>
      </c>
      <c r="AF107" s="128">
        <f t="shared" si="4"/>
        <v>99333.444963559057</v>
      </c>
      <c r="AG107" s="128">
        <v>37622</v>
      </c>
      <c r="AH107" s="128">
        <f t="shared" si="5"/>
        <v>2640.3020829184802</v>
      </c>
      <c r="AI107" t="s">
        <v>441</v>
      </c>
      <c r="AM107" t="s">
        <v>145</v>
      </c>
      <c r="AN107" s="128">
        <v>1659.3022159620339</v>
      </c>
      <c r="AO107" t="s">
        <v>467</v>
      </c>
    </row>
    <row r="108" spans="1:41" x14ac:dyDescent="0.25">
      <c r="A108" t="s">
        <v>517</v>
      </c>
      <c r="B108" t="s">
        <v>294</v>
      </c>
      <c r="C108" s="128">
        <v>292423</v>
      </c>
      <c r="D108" s="128">
        <v>9973</v>
      </c>
      <c r="E108" s="128">
        <v>6700</v>
      </c>
      <c r="F108" s="128">
        <v>18042</v>
      </c>
      <c r="G108" s="128">
        <v>43063</v>
      </c>
      <c r="H108" s="128">
        <v>16352</v>
      </c>
      <c r="I108" s="128">
        <v>6900</v>
      </c>
      <c r="J108" s="128">
        <v>10628</v>
      </c>
      <c r="K108" s="128">
        <v>2721</v>
      </c>
      <c r="L108" s="128">
        <v>11335</v>
      </c>
      <c r="M108" s="128">
        <v>21752</v>
      </c>
      <c r="N108" s="128">
        <v>43818</v>
      </c>
      <c r="O108" s="128">
        <v>72644</v>
      </c>
      <c r="P108" s="128">
        <v>25645</v>
      </c>
      <c r="Q108" s="128">
        <v>3193</v>
      </c>
      <c r="R108" s="128"/>
      <c r="S108" t="s">
        <v>294</v>
      </c>
      <c r="T108" s="128">
        <f t="shared" si="3"/>
        <v>257708</v>
      </c>
      <c r="U108" s="128">
        <v>198273</v>
      </c>
      <c r="V108" s="128">
        <v>140127636.51613387</v>
      </c>
      <c r="W108" s="128">
        <v>18920</v>
      </c>
      <c r="X108" s="128">
        <v>10531</v>
      </c>
      <c r="Y108" s="128">
        <v>0</v>
      </c>
      <c r="Z108" s="128">
        <v>1007</v>
      </c>
      <c r="AA108" s="128">
        <v>2284</v>
      </c>
      <c r="AB108" s="128">
        <v>276</v>
      </c>
      <c r="AC108" s="128">
        <v>145</v>
      </c>
      <c r="AD108" s="128">
        <v>4046</v>
      </c>
      <c r="AE108" s="128">
        <v>1095</v>
      </c>
      <c r="AF108" s="128">
        <f t="shared" si="4"/>
        <v>161258.63651613388</v>
      </c>
      <c r="AG108" s="128">
        <v>74134</v>
      </c>
      <c r="AH108" s="128">
        <f t="shared" si="5"/>
        <v>2175.2318304169999</v>
      </c>
      <c r="AI108" t="s">
        <v>441</v>
      </c>
      <c r="AM108" t="s">
        <v>358</v>
      </c>
      <c r="AN108" s="128">
        <v>1687.8952434290491</v>
      </c>
      <c r="AO108" t="s">
        <v>467</v>
      </c>
    </row>
    <row r="109" spans="1:41" x14ac:dyDescent="0.25">
      <c r="A109" t="s">
        <v>518</v>
      </c>
      <c r="B109" t="s">
        <v>121</v>
      </c>
      <c r="C109" s="128">
        <v>1081946</v>
      </c>
      <c r="D109" s="128">
        <v>3781</v>
      </c>
      <c r="E109" s="128">
        <v>29379</v>
      </c>
      <c r="F109" s="128">
        <v>45576</v>
      </c>
      <c r="G109" s="128">
        <v>240088</v>
      </c>
      <c r="H109" s="128">
        <v>60696</v>
      </c>
      <c r="I109" s="128">
        <v>22610</v>
      </c>
      <c r="J109" s="128">
        <v>31662</v>
      </c>
      <c r="K109" s="128">
        <v>8148</v>
      </c>
      <c r="L109" s="128">
        <v>22505</v>
      </c>
      <c r="M109" s="128">
        <v>81137</v>
      </c>
      <c r="N109" s="128">
        <v>219213</v>
      </c>
      <c r="O109" s="128">
        <v>260017</v>
      </c>
      <c r="P109" s="128">
        <v>41309</v>
      </c>
      <c r="Q109" s="128">
        <v>18985</v>
      </c>
      <c r="R109" s="128"/>
      <c r="S109" t="s">
        <v>756</v>
      </c>
      <c r="T109" s="128">
        <f t="shared" si="3"/>
        <v>1003210</v>
      </c>
      <c r="U109" s="128">
        <v>773821</v>
      </c>
      <c r="V109" s="128">
        <v>465531846.1554836</v>
      </c>
      <c r="W109" s="128">
        <v>18509</v>
      </c>
      <c r="X109" s="128">
        <v>34166</v>
      </c>
      <c r="Y109" s="128">
        <v>1624</v>
      </c>
      <c r="Z109" s="128">
        <v>2281</v>
      </c>
      <c r="AA109" s="128">
        <v>16146</v>
      </c>
      <c r="AB109" s="128">
        <v>2328</v>
      </c>
      <c r="AC109" s="128">
        <v>2276</v>
      </c>
      <c r="AD109" s="128">
        <v>23008</v>
      </c>
      <c r="AE109" s="128">
        <v>2150</v>
      </c>
      <c r="AF109" s="128">
        <f t="shared" si="4"/>
        <v>592432.84615548362</v>
      </c>
      <c r="AG109" s="128">
        <v>234977</v>
      </c>
      <c r="AH109" s="128">
        <f t="shared" si="5"/>
        <v>2521.2375941282917</v>
      </c>
      <c r="AI109" t="s">
        <v>441</v>
      </c>
      <c r="AM109" t="s">
        <v>249</v>
      </c>
      <c r="AN109" s="128">
        <v>1609.0730724909486</v>
      </c>
      <c r="AO109" t="s">
        <v>467</v>
      </c>
    </row>
    <row r="110" spans="1:41" x14ac:dyDescent="0.25">
      <c r="A110" t="s">
        <v>521</v>
      </c>
      <c r="B110" t="s">
        <v>406</v>
      </c>
      <c r="C110" s="128">
        <v>38786</v>
      </c>
      <c r="D110" s="128">
        <v>108</v>
      </c>
      <c r="E110" s="128">
        <v>764</v>
      </c>
      <c r="F110" s="128">
        <v>1832</v>
      </c>
      <c r="G110" s="128">
        <v>9983</v>
      </c>
      <c r="H110" s="128">
        <v>3895</v>
      </c>
      <c r="I110" s="128">
        <v>1382</v>
      </c>
      <c r="J110" s="128">
        <v>1019</v>
      </c>
      <c r="K110" s="128">
        <v>289</v>
      </c>
      <c r="L110" s="128">
        <v>1261</v>
      </c>
      <c r="M110" s="128">
        <v>2125</v>
      </c>
      <c r="N110" s="128">
        <v>5824</v>
      </c>
      <c r="O110" s="128">
        <v>6950</v>
      </c>
      <c r="P110" s="128">
        <v>2898</v>
      </c>
      <c r="Q110" s="128">
        <v>564</v>
      </c>
      <c r="R110" s="128"/>
      <c r="S110" t="s">
        <v>406</v>
      </c>
      <c r="T110" s="128">
        <f t="shared" si="3"/>
        <v>36082</v>
      </c>
      <c r="U110" s="128">
        <v>26882</v>
      </c>
      <c r="V110" s="128">
        <v>22105543.602476481</v>
      </c>
      <c r="W110" s="128">
        <v>2131</v>
      </c>
      <c r="X110" s="128">
        <v>1828</v>
      </c>
      <c r="Y110" s="128">
        <v>20</v>
      </c>
      <c r="Z110" s="128">
        <v>200</v>
      </c>
      <c r="AA110" s="128">
        <v>230</v>
      </c>
      <c r="AB110" s="128">
        <v>43</v>
      </c>
      <c r="AC110" s="128">
        <v>1457</v>
      </c>
      <c r="AD110" s="128">
        <v>9</v>
      </c>
      <c r="AE110" s="128">
        <v>4</v>
      </c>
      <c r="AF110" s="128">
        <f t="shared" si="4"/>
        <v>25383.543602476482</v>
      </c>
      <c r="AG110" s="128">
        <v>14185</v>
      </c>
      <c r="AH110" s="128">
        <f t="shared" si="5"/>
        <v>1789.463771764292</v>
      </c>
      <c r="AI110" t="s">
        <v>118</v>
      </c>
      <c r="AM110" t="s">
        <v>359</v>
      </c>
      <c r="AN110" s="128">
        <v>1552.9702950530577</v>
      </c>
      <c r="AO110" t="s">
        <v>467</v>
      </c>
    </row>
    <row r="111" spans="1:41" x14ac:dyDescent="0.25">
      <c r="A111" t="s">
        <v>521</v>
      </c>
      <c r="B111" t="s">
        <v>147</v>
      </c>
      <c r="C111" s="128">
        <v>62340</v>
      </c>
      <c r="D111" s="128">
        <v>125</v>
      </c>
      <c r="E111" s="128">
        <v>1035</v>
      </c>
      <c r="F111" s="128">
        <v>3711</v>
      </c>
      <c r="G111" s="128">
        <v>12401</v>
      </c>
      <c r="H111" s="128">
        <v>4215</v>
      </c>
      <c r="I111" s="128">
        <v>1846</v>
      </c>
      <c r="J111" s="128">
        <v>2026</v>
      </c>
      <c r="K111" s="128">
        <v>632</v>
      </c>
      <c r="L111" s="128">
        <v>1085</v>
      </c>
      <c r="M111" s="128">
        <v>3497</v>
      </c>
      <c r="N111" s="128">
        <v>11113</v>
      </c>
      <c r="O111" s="128">
        <v>14435</v>
      </c>
      <c r="P111" s="128">
        <v>5396</v>
      </c>
      <c r="Q111" s="128">
        <v>929</v>
      </c>
      <c r="R111" s="128"/>
      <c r="S111" t="s">
        <v>147</v>
      </c>
      <c r="T111" s="128">
        <f t="shared" si="3"/>
        <v>57469</v>
      </c>
      <c r="U111" s="128">
        <v>45098</v>
      </c>
      <c r="V111" s="128">
        <v>37162020.005382173</v>
      </c>
      <c r="W111" s="128">
        <v>3687</v>
      </c>
      <c r="X111" s="128">
        <v>2442</v>
      </c>
      <c r="Y111" s="128">
        <v>46</v>
      </c>
      <c r="Z111" s="128">
        <v>293</v>
      </c>
      <c r="AA111" s="128">
        <v>905</v>
      </c>
      <c r="AB111" s="128">
        <v>26</v>
      </c>
      <c r="AC111" s="128">
        <v>110</v>
      </c>
      <c r="AD111" s="128">
        <v>0</v>
      </c>
      <c r="AE111" s="128">
        <v>11</v>
      </c>
      <c r="AF111" s="128">
        <f t="shared" si="4"/>
        <v>42013.020005382175</v>
      </c>
      <c r="AG111" s="128">
        <v>24267</v>
      </c>
      <c r="AH111" s="128">
        <f t="shared" si="5"/>
        <v>1731.2819881065716</v>
      </c>
      <c r="AI111" t="s">
        <v>118</v>
      </c>
      <c r="AM111" t="s">
        <v>430</v>
      </c>
      <c r="AN111" s="128">
        <v>1861.7022863037137</v>
      </c>
      <c r="AO111" t="s">
        <v>467</v>
      </c>
    </row>
    <row r="112" spans="1:41" x14ac:dyDescent="0.25">
      <c r="A112" t="s">
        <v>517</v>
      </c>
      <c r="B112" s="86" t="s">
        <v>252</v>
      </c>
      <c r="C112" s="128">
        <v>598728</v>
      </c>
      <c r="D112" s="128">
        <v>8060</v>
      </c>
      <c r="E112" s="128">
        <v>7922</v>
      </c>
      <c r="F112" s="128">
        <v>31136</v>
      </c>
      <c r="G112" s="128">
        <v>109563</v>
      </c>
      <c r="H112" s="128">
        <v>38886</v>
      </c>
      <c r="I112" s="128">
        <v>17599</v>
      </c>
      <c r="J112" s="128">
        <v>40406</v>
      </c>
      <c r="K112" s="128">
        <v>2873</v>
      </c>
      <c r="L112" s="128">
        <v>22284</v>
      </c>
      <c r="M112" s="128">
        <v>58444</v>
      </c>
      <c r="N112" s="128">
        <v>104671</v>
      </c>
      <c r="O112" s="128">
        <v>133851</v>
      </c>
      <c r="P112" s="128">
        <v>46444</v>
      </c>
      <c r="Q112" s="128">
        <v>8574</v>
      </c>
      <c r="R112" s="128"/>
      <c r="S112" t="s">
        <v>252</v>
      </c>
      <c r="T112" s="128">
        <f t="shared" si="3"/>
        <v>551610</v>
      </c>
      <c r="U112" s="128">
        <v>415344</v>
      </c>
      <c r="V112" s="128">
        <v>281425188.19653946</v>
      </c>
      <c r="W112" s="128">
        <v>12548</v>
      </c>
      <c r="X112" s="128">
        <v>26370</v>
      </c>
      <c r="Y112" s="128">
        <v>996</v>
      </c>
      <c r="Z112" s="128">
        <v>2477</v>
      </c>
      <c r="AA112" s="128">
        <v>6053</v>
      </c>
      <c r="AB112" s="128">
        <v>1212</v>
      </c>
      <c r="AC112" s="128">
        <v>2590</v>
      </c>
      <c r="AD112" s="128">
        <v>23972</v>
      </c>
      <c r="AE112" s="128">
        <v>3119</v>
      </c>
      <c r="AF112" s="128">
        <f t="shared" si="4"/>
        <v>338354.18819653947</v>
      </c>
      <c r="AG112" s="128">
        <v>162889</v>
      </c>
      <c r="AH112" s="128">
        <f t="shared" si="5"/>
        <v>2077.2071054309345</v>
      </c>
      <c r="AI112" t="s">
        <v>441</v>
      </c>
      <c r="AM112" t="s">
        <v>178</v>
      </c>
      <c r="AN112" s="128">
        <v>1931.5576197592741</v>
      </c>
      <c r="AO112" t="s">
        <v>467</v>
      </c>
    </row>
    <row r="113" spans="1:49" x14ac:dyDescent="0.25">
      <c r="A113" t="s">
        <v>525</v>
      </c>
      <c r="B113" t="s">
        <v>253</v>
      </c>
      <c r="C113" s="128">
        <v>499363</v>
      </c>
      <c r="D113" s="128">
        <v>55773</v>
      </c>
      <c r="E113" s="128">
        <v>8219</v>
      </c>
      <c r="F113" s="128">
        <v>28975</v>
      </c>
      <c r="G113" s="128">
        <v>93226</v>
      </c>
      <c r="H113" s="128">
        <v>-10213</v>
      </c>
      <c r="I113" s="128">
        <v>18720</v>
      </c>
      <c r="J113" s="128">
        <v>21762</v>
      </c>
      <c r="K113" s="128">
        <v>27730</v>
      </c>
      <c r="L113" s="128">
        <v>13215</v>
      </c>
      <c r="M113" s="128">
        <v>49024</v>
      </c>
      <c r="N113" s="128">
        <v>55471</v>
      </c>
      <c r="O113" s="128">
        <v>89877</v>
      </c>
      <c r="P113" s="128">
        <v>41472</v>
      </c>
      <c r="Q113" s="128">
        <v>7674</v>
      </c>
      <c r="R113" s="128"/>
      <c r="S113" t="s">
        <v>253</v>
      </c>
      <c r="T113" s="128">
        <f t="shared" si="3"/>
        <v>406396</v>
      </c>
      <c r="U113" s="128">
        <v>245866</v>
      </c>
      <c r="V113" s="128">
        <v>204618364.88322836</v>
      </c>
      <c r="W113" s="128">
        <v>10441</v>
      </c>
      <c r="X113" s="128">
        <v>19817</v>
      </c>
      <c r="Y113" s="128">
        <v>774</v>
      </c>
      <c r="Z113" s="128">
        <v>2442</v>
      </c>
      <c r="AA113" s="128">
        <v>10245</v>
      </c>
      <c r="AB113" s="128">
        <v>622</v>
      </c>
      <c r="AC113" s="128">
        <v>12781</v>
      </c>
      <c r="AD113" s="128">
        <v>3617</v>
      </c>
      <c r="AE113" s="128">
        <v>1455</v>
      </c>
      <c r="AF113" s="128">
        <f t="shared" si="4"/>
        <v>302954.36488322832</v>
      </c>
      <c r="AG113" s="128">
        <v>159334</v>
      </c>
      <c r="AH113" s="128">
        <f t="shared" si="5"/>
        <v>1901.3792717387896</v>
      </c>
      <c r="AI113" t="s">
        <v>467</v>
      </c>
      <c r="AM113" t="s">
        <v>250</v>
      </c>
      <c r="AN113" s="128">
        <v>1599.6055647113169</v>
      </c>
      <c r="AO113" t="s">
        <v>467</v>
      </c>
    </row>
    <row r="114" spans="1:49" x14ac:dyDescent="0.25">
      <c r="A114" t="s">
        <v>526</v>
      </c>
      <c r="B114" t="s">
        <v>370</v>
      </c>
      <c r="C114" s="128">
        <v>86852</v>
      </c>
      <c r="D114" s="128">
        <v>8966</v>
      </c>
      <c r="E114" s="128">
        <v>946</v>
      </c>
      <c r="F114" s="128">
        <v>2975</v>
      </c>
      <c r="G114" s="128">
        <v>16154</v>
      </c>
      <c r="H114" s="128">
        <v>5249</v>
      </c>
      <c r="I114" s="128">
        <v>2013</v>
      </c>
      <c r="J114" s="128">
        <v>2363</v>
      </c>
      <c r="K114" s="128">
        <v>793</v>
      </c>
      <c r="L114" s="128">
        <v>2881</v>
      </c>
      <c r="M114" s="128">
        <v>3542</v>
      </c>
      <c r="N114" s="128">
        <v>17135</v>
      </c>
      <c r="O114" s="128">
        <v>16915</v>
      </c>
      <c r="P114" s="128">
        <v>6726</v>
      </c>
      <c r="Q114" s="128">
        <v>402</v>
      </c>
      <c r="R114" s="128"/>
      <c r="S114" t="s">
        <v>370</v>
      </c>
      <c r="T114" s="128">
        <f t="shared" si="3"/>
        <v>73965</v>
      </c>
      <c r="U114" s="128">
        <v>59961</v>
      </c>
      <c r="V114" s="128">
        <v>45173912.67535685</v>
      </c>
      <c r="W114" s="128">
        <v>3039</v>
      </c>
      <c r="X114" s="128">
        <v>4107</v>
      </c>
      <c r="Y114" s="128">
        <v>30</v>
      </c>
      <c r="Z114" s="128">
        <v>314</v>
      </c>
      <c r="AA114" s="128">
        <v>689</v>
      </c>
      <c r="AB114" s="128">
        <v>69</v>
      </c>
      <c r="AC114" s="128">
        <v>534</v>
      </c>
      <c r="AD114" s="128">
        <v>11</v>
      </c>
      <c r="AE114" s="128">
        <v>23</v>
      </c>
      <c r="AF114" s="128">
        <f t="shared" si="4"/>
        <v>50361.912675356849</v>
      </c>
      <c r="AG114" s="128">
        <v>30765</v>
      </c>
      <c r="AH114" s="128">
        <f t="shared" si="5"/>
        <v>1636.9872476956557</v>
      </c>
      <c r="AI114" t="s">
        <v>118</v>
      </c>
      <c r="AM114" t="s">
        <v>220</v>
      </c>
      <c r="AN114" s="128">
        <v>1818.7301202963117</v>
      </c>
      <c r="AO114" t="s">
        <v>467</v>
      </c>
    </row>
    <row r="115" spans="1:49" x14ac:dyDescent="0.25">
      <c r="A115" t="s">
        <v>522</v>
      </c>
      <c r="B115" t="s">
        <v>148</v>
      </c>
      <c r="C115" s="128">
        <v>189984</v>
      </c>
      <c r="D115" s="128">
        <v>14535</v>
      </c>
      <c r="E115" s="128">
        <v>4273</v>
      </c>
      <c r="F115" s="128">
        <v>10827</v>
      </c>
      <c r="G115" s="128">
        <v>49968</v>
      </c>
      <c r="H115" s="128">
        <v>15725</v>
      </c>
      <c r="I115" s="128">
        <v>4332</v>
      </c>
      <c r="J115" s="128">
        <v>4870</v>
      </c>
      <c r="K115" s="128">
        <v>4820</v>
      </c>
      <c r="L115" s="128">
        <v>3164</v>
      </c>
      <c r="M115" s="128">
        <v>8302</v>
      </c>
      <c r="N115" s="128">
        <v>18485</v>
      </c>
      <c r="O115" s="128">
        <v>38458</v>
      </c>
      <c r="P115" s="128">
        <v>12575</v>
      </c>
      <c r="Q115" s="128">
        <v>866</v>
      </c>
      <c r="R115" s="128"/>
      <c r="S115" t="s">
        <v>148</v>
      </c>
      <c r="T115" s="128">
        <f t="shared" si="3"/>
        <v>160349</v>
      </c>
      <c r="U115" s="128">
        <v>120180</v>
      </c>
      <c r="V115" s="128">
        <v>96921585.901932284</v>
      </c>
      <c r="W115" s="128">
        <v>7442</v>
      </c>
      <c r="X115" s="128">
        <v>5740</v>
      </c>
      <c r="Y115" s="128">
        <v>505</v>
      </c>
      <c r="Z115" s="128">
        <v>661</v>
      </c>
      <c r="AA115" s="128">
        <v>1795</v>
      </c>
      <c r="AB115" s="128">
        <v>156</v>
      </c>
      <c r="AC115" s="128">
        <v>1382</v>
      </c>
      <c r="AD115" s="128">
        <v>1470</v>
      </c>
      <c r="AE115" s="128">
        <v>81</v>
      </c>
      <c r="AF115" s="128">
        <f t="shared" si="4"/>
        <v>117858.58590193227</v>
      </c>
      <c r="AG115" s="128">
        <v>61795</v>
      </c>
      <c r="AH115" s="128">
        <f t="shared" si="5"/>
        <v>1907.2511676014608</v>
      </c>
      <c r="AI115" t="s">
        <v>118</v>
      </c>
      <c r="AM115" t="s">
        <v>360</v>
      </c>
      <c r="AN115" s="128">
        <v>1553.686154383294</v>
      </c>
      <c r="AO115" t="s">
        <v>467</v>
      </c>
    </row>
    <row r="116" spans="1:49" x14ac:dyDescent="0.25">
      <c r="A116" t="s">
        <v>518</v>
      </c>
      <c r="B116" t="s">
        <v>183</v>
      </c>
      <c r="C116" s="128">
        <v>180228</v>
      </c>
      <c r="D116" s="128">
        <v>12678</v>
      </c>
      <c r="E116" s="128">
        <v>184</v>
      </c>
      <c r="F116" s="128">
        <v>5535</v>
      </c>
      <c r="G116" s="128">
        <v>21390</v>
      </c>
      <c r="H116" s="128">
        <v>22144</v>
      </c>
      <c r="I116" s="128">
        <v>3424</v>
      </c>
      <c r="J116" s="128">
        <v>5230</v>
      </c>
      <c r="K116" s="128">
        <v>1996</v>
      </c>
      <c r="L116" s="128">
        <v>6796</v>
      </c>
      <c r="M116" s="128">
        <v>8318</v>
      </c>
      <c r="N116" s="128">
        <v>24328</v>
      </c>
      <c r="O116" s="128">
        <v>57975</v>
      </c>
      <c r="P116" s="128">
        <v>10747</v>
      </c>
      <c r="Q116" s="128">
        <v>767</v>
      </c>
      <c r="R116" s="128"/>
      <c r="S116" t="s">
        <v>183</v>
      </c>
      <c r="T116" s="128">
        <f t="shared" si="3"/>
        <v>161831</v>
      </c>
      <c r="U116" s="128">
        <v>102265</v>
      </c>
      <c r="V116" s="128">
        <v>80505743.953309402</v>
      </c>
      <c r="W116" s="128">
        <v>3515</v>
      </c>
      <c r="X116" s="128">
        <v>4907</v>
      </c>
      <c r="Y116" s="128">
        <v>905</v>
      </c>
      <c r="Z116" s="128">
        <v>723</v>
      </c>
      <c r="AA116" s="128">
        <v>1091</v>
      </c>
      <c r="AB116" s="128">
        <v>388</v>
      </c>
      <c r="AC116" s="128">
        <v>325</v>
      </c>
      <c r="AD116" s="128">
        <v>2259</v>
      </c>
      <c r="AE116" s="128">
        <v>902</v>
      </c>
      <c r="AF116" s="128">
        <f t="shared" si="4"/>
        <v>125056.7439533094</v>
      </c>
      <c r="AG116" s="128">
        <v>48859</v>
      </c>
      <c r="AH116" s="128">
        <f t="shared" si="5"/>
        <v>2559.5436655131994</v>
      </c>
      <c r="AI116" t="s">
        <v>441</v>
      </c>
      <c r="AM116" t="s">
        <v>404</v>
      </c>
      <c r="AN116" s="128">
        <v>1509.4432883976926</v>
      </c>
      <c r="AO116" t="s">
        <v>467</v>
      </c>
    </row>
    <row r="117" spans="1:49" x14ac:dyDescent="0.25">
      <c r="A117" t="s">
        <v>518</v>
      </c>
      <c r="B117" t="s">
        <v>295</v>
      </c>
      <c r="C117" s="128">
        <v>49746</v>
      </c>
      <c r="D117" s="128">
        <v>8249</v>
      </c>
      <c r="E117" s="128">
        <v>447</v>
      </c>
      <c r="F117" s="128">
        <v>1611</v>
      </c>
      <c r="G117" s="128">
        <v>8959</v>
      </c>
      <c r="H117" s="128">
        <v>5749</v>
      </c>
      <c r="I117" s="128">
        <v>1476</v>
      </c>
      <c r="J117" s="128">
        <v>1226</v>
      </c>
      <c r="K117" s="128">
        <v>170</v>
      </c>
      <c r="L117" s="128">
        <v>860</v>
      </c>
      <c r="M117" s="128">
        <v>1527</v>
      </c>
      <c r="N117" s="128">
        <v>4329</v>
      </c>
      <c r="O117" s="128">
        <v>10990</v>
      </c>
      <c r="P117" s="128">
        <v>3386</v>
      </c>
      <c r="Q117" s="128">
        <v>837</v>
      </c>
      <c r="R117" s="128"/>
      <c r="S117" t="s">
        <v>295</v>
      </c>
      <c r="T117" s="128">
        <f t="shared" si="3"/>
        <v>39439</v>
      </c>
      <c r="U117" s="128">
        <v>28720</v>
      </c>
      <c r="V117" s="128">
        <v>25709666.716560818</v>
      </c>
      <c r="W117" s="128">
        <v>1821</v>
      </c>
      <c r="X117" s="128">
        <v>2086</v>
      </c>
      <c r="Y117" s="128">
        <v>382</v>
      </c>
      <c r="Z117" s="128">
        <v>236</v>
      </c>
      <c r="AA117" s="128">
        <v>784</v>
      </c>
      <c r="AB117" s="128">
        <v>102</v>
      </c>
      <c r="AC117" s="128">
        <v>0</v>
      </c>
      <c r="AD117" s="128">
        <v>0</v>
      </c>
      <c r="AE117" s="128">
        <v>245</v>
      </c>
      <c r="AF117" s="128">
        <f t="shared" si="4"/>
        <v>30772.666716560823</v>
      </c>
      <c r="AG117" s="128">
        <v>18511</v>
      </c>
      <c r="AH117" s="128">
        <f t="shared" si="5"/>
        <v>1662.3989366625694</v>
      </c>
      <c r="AI117" t="s">
        <v>467</v>
      </c>
      <c r="AM117" t="s">
        <v>180</v>
      </c>
      <c r="AN117" s="128">
        <v>1718.2436192822704</v>
      </c>
      <c r="AO117" t="s">
        <v>467</v>
      </c>
    </row>
    <row r="118" spans="1:49" x14ac:dyDescent="0.25">
      <c r="A118" t="s">
        <v>517</v>
      </c>
      <c r="B118" t="s">
        <v>130</v>
      </c>
      <c r="C118" s="128">
        <v>60889</v>
      </c>
      <c r="D118" s="128">
        <v>0</v>
      </c>
      <c r="E118" s="128">
        <v>447</v>
      </c>
      <c r="F118" s="128">
        <v>3162</v>
      </c>
      <c r="G118" s="128">
        <v>11020</v>
      </c>
      <c r="H118" s="128">
        <v>4710</v>
      </c>
      <c r="I118" s="128">
        <v>1162</v>
      </c>
      <c r="J118" s="128">
        <v>6237</v>
      </c>
      <c r="K118" s="128">
        <v>446</v>
      </c>
      <c r="L118" s="128">
        <v>1429</v>
      </c>
      <c r="M118" s="128">
        <v>2865</v>
      </c>
      <c r="N118" s="128">
        <v>14135</v>
      </c>
      <c r="O118" s="128">
        <v>11294</v>
      </c>
      <c r="P118" s="128">
        <v>3535</v>
      </c>
      <c r="Q118" s="128">
        <v>447</v>
      </c>
      <c r="R118" s="128"/>
      <c r="S118" t="s">
        <v>130</v>
      </c>
      <c r="T118" s="128">
        <f t="shared" si="3"/>
        <v>57280</v>
      </c>
      <c r="U118" s="128">
        <v>42793</v>
      </c>
      <c r="V118" s="128">
        <v>32277544.397649426</v>
      </c>
      <c r="W118" s="128">
        <v>1509</v>
      </c>
      <c r="X118" s="128">
        <v>1870</v>
      </c>
      <c r="Y118" s="128">
        <v>30</v>
      </c>
      <c r="Z118" s="128">
        <v>156</v>
      </c>
      <c r="AA118" s="128">
        <v>249</v>
      </c>
      <c r="AB118" s="128">
        <v>389</v>
      </c>
      <c r="AC118" s="128">
        <v>202</v>
      </c>
      <c r="AD118" s="128">
        <v>5318</v>
      </c>
      <c r="AE118" s="128">
        <v>543</v>
      </c>
      <c r="AF118" s="128">
        <f t="shared" si="4"/>
        <v>36498.544397649428</v>
      </c>
      <c r="AG118" s="128">
        <v>15906</v>
      </c>
      <c r="AH118" s="128">
        <f t="shared" si="5"/>
        <v>2294.6400350590611</v>
      </c>
      <c r="AI118" t="s">
        <v>441</v>
      </c>
      <c r="AM118" t="s">
        <v>292</v>
      </c>
      <c r="AN118" s="128">
        <v>1786.3247695930713</v>
      </c>
      <c r="AO118" t="s">
        <v>467</v>
      </c>
    </row>
    <row r="119" spans="1:49" x14ac:dyDescent="0.25">
      <c r="A119" t="s">
        <v>522</v>
      </c>
      <c r="B119" t="s">
        <v>184</v>
      </c>
      <c r="C119" s="128">
        <v>29315</v>
      </c>
      <c r="D119" s="128">
        <v>28</v>
      </c>
      <c r="E119" s="128">
        <v>545</v>
      </c>
      <c r="F119" s="128">
        <v>1529</v>
      </c>
      <c r="G119" s="128">
        <v>8013</v>
      </c>
      <c r="H119" s="128">
        <v>2554</v>
      </c>
      <c r="I119" s="128">
        <v>717</v>
      </c>
      <c r="J119" s="128">
        <v>660</v>
      </c>
      <c r="K119" s="128">
        <v>138</v>
      </c>
      <c r="L119" s="128">
        <v>722</v>
      </c>
      <c r="M119" s="128">
        <v>1765</v>
      </c>
      <c r="N119" s="128">
        <v>3437</v>
      </c>
      <c r="O119" s="128">
        <v>5751</v>
      </c>
      <c r="P119" s="128">
        <v>2573</v>
      </c>
      <c r="Q119" s="128">
        <v>911</v>
      </c>
      <c r="R119" s="128"/>
      <c r="S119" t="s">
        <v>184</v>
      </c>
      <c r="T119" s="128">
        <f t="shared" si="3"/>
        <v>27213</v>
      </c>
      <c r="U119" s="128">
        <v>19893</v>
      </c>
      <c r="V119" s="128">
        <v>16752775.824580511</v>
      </c>
      <c r="W119" s="128">
        <v>1205</v>
      </c>
      <c r="X119" s="128">
        <v>1265</v>
      </c>
      <c r="Y119" s="128">
        <v>272</v>
      </c>
      <c r="Z119" s="128">
        <v>166</v>
      </c>
      <c r="AA119" s="128">
        <v>1308</v>
      </c>
      <c r="AB119" s="128">
        <v>17</v>
      </c>
      <c r="AC119" s="128">
        <v>297</v>
      </c>
      <c r="AD119" s="128">
        <v>0</v>
      </c>
      <c r="AE119" s="128">
        <v>32</v>
      </c>
      <c r="AF119" s="128">
        <f t="shared" si="4"/>
        <v>19510.775824580513</v>
      </c>
      <c r="AG119" s="128">
        <v>12305</v>
      </c>
      <c r="AH119" s="128">
        <f t="shared" si="5"/>
        <v>1585.5973851751737</v>
      </c>
      <c r="AI119" t="s">
        <v>467</v>
      </c>
      <c r="AM119" t="s">
        <v>367</v>
      </c>
      <c r="AN119" s="128">
        <v>1773.4042533146267</v>
      </c>
      <c r="AO119" t="s">
        <v>467</v>
      </c>
    </row>
    <row r="120" spans="1:49" x14ac:dyDescent="0.25">
      <c r="A120" t="s">
        <v>519</v>
      </c>
      <c r="B120" t="s">
        <v>254</v>
      </c>
      <c r="C120" s="128">
        <v>107064</v>
      </c>
      <c r="D120" s="128">
        <v>1055</v>
      </c>
      <c r="E120" s="128">
        <v>874</v>
      </c>
      <c r="F120" s="128">
        <v>4030</v>
      </c>
      <c r="G120" s="128">
        <v>19840</v>
      </c>
      <c r="H120" s="128">
        <v>9233</v>
      </c>
      <c r="I120" s="128">
        <v>3124</v>
      </c>
      <c r="J120" s="128">
        <v>3194</v>
      </c>
      <c r="K120" s="128">
        <v>1113</v>
      </c>
      <c r="L120" s="128">
        <v>3997</v>
      </c>
      <c r="M120" s="128">
        <v>5704</v>
      </c>
      <c r="N120" s="128">
        <v>20486</v>
      </c>
      <c r="O120" s="128">
        <v>23716</v>
      </c>
      <c r="P120" s="128">
        <v>9231</v>
      </c>
      <c r="Q120" s="128">
        <v>1570</v>
      </c>
      <c r="R120" s="128"/>
      <c r="S120" t="s">
        <v>254</v>
      </c>
      <c r="T120" s="128">
        <f t="shared" si="3"/>
        <v>101105</v>
      </c>
      <c r="U120" s="128">
        <v>82964</v>
      </c>
      <c r="V120" s="128">
        <v>62394015.247019716</v>
      </c>
      <c r="W120" s="128">
        <v>3411</v>
      </c>
      <c r="X120" s="128">
        <v>5982</v>
      </c>
      <c r="Y120" s="128">
        <v>229</v>
      </c>
      <c r="Z120" s="128">
        <v>524</v>
      </c>
      <c r="AA120" s="128">
        <v>549</v>
      </c>
      <c r="AB120" s="128">
        <v>491</v>
      </c>
      <c r="AC120" s="128">
        <v>106</v>
      </c>
      <c r="AD120" s="128">
        <v>0</v>
      </c>
      <c r="AE120" s="128">
        <v>257</v>
      </c>
      <c r="AF120" s="128">
        <f t="shared" si="4"/>
        <v>68986.015247019706</v>
      </c>
      <c r="AG120" s="128">
        <v>39182</v>
      </c>
      <c r="AH120" s="128">
        <f t="shared" si="5"/>
        <v>1760.6557921244375</v>
      </c>
      <c r="AI120" t="s">
        <v>118</v>
      </c>
      <c r="AM120" t="s">
        <v>490</v>
      </c>
      <c r="AN120" s="128">
        <v>1550.1798829482857</v>
      </c>
      <c r="AO120" t="s">
        <v>467</v>
      </c>
    </row>
    <row r="121" spans="1:49" x14ac:dyDescent="0.25">
      <c r="A121" t="s">
        <v>521</v>
      </c>
      <c r="B121" t="s">
        <v>255</v>
      </c>
      <c r="C121" s="128">
        <v>64419</v>
      </c>
      <c r="D121" s="128">
        <v>0</v>
      </c>
      <c r="E121" s="128">
        <v>4</v>
      </c>
      <c r="F121" s="128">
        <v>3941</v>
      </c>
      <c r="G121" s="128">
        <v>15373</v>
      </c>
      <c r="H121" s="128">
        <v>8268</v>
      </c>
      <c r="I121" s="128">
        <v>2029</v>
      </c>
      <c r="J121" s="128">
        <v>3483</v>
      </c>
      <c r="K121" s="128">
        <v>167</v>
      </c>
      <c r="L121" s="128">
        <v>2267</v>
      </c>
      <c r="M121" s="128">
        <v>3223</v>
      </c>
      <c r="N121" s="128">
        <v>6447</v>
      </c>
      <c r="O121" s="128">
        <v>12284</v>
      </c>
      <c r="P121" s="128">
        <v>6466</v>
      </c>
      <c r="Q121" s="128">
        <v>467</v>
      </c>
      <c r="R121" s="128"/>
      <c r="S121" t="s">
        <v>255</v>
      </c>
      <c r="T121" s="128">
        <f t="shared" si="3"/>
        <v>60474</v>
      </c>
      <c r="U121" s="128">
        <v>39497</v>
      </c>
      <c r="V121" s="128">
        <v>34234070.212010115</v>
      </c>
      <c r="W121" s="128">
        <v>3242</v>
      </c>
      <c r="X121" s="128">
        <v>4372</v>
      </c>
      <c r="Y121" s="128">
        <v>592</v>
      </c>
      <c r="Z121" s="128">
        <v>370</v>
      </c>
      <c r="AA121" s="128">
        <v>118</v>
      </c>
      <c r="AB121" s="128">
        <v>63</v>
      </c>
      <c r="AC121" s="128">
        <v>0</v>
      </c>
      <c r="AD121" s="128">
        <v>734</v>
      </c>
      <c r="AE121" s="128">
        <v>167</v>
      </c>
      <c r="AF121" s="128">
        <f t="shared" si="4"/>
        <v>45553.070212010112</v>
      </c>
      <c r="AG121" s="128">
        <v>27560</v>
      </c>
      <c r="AH121" s="128">
        <f t="shared" si="5"/>
        <v>1652.869020755084</v>
      </c>
      <c r="AI121" t="s">
        <v>467</v>
      </c>
      <c r="AM121" t="s">
        <v>253</v>
      </c>
      <c r="AN121" s="128">
        <v>1901.3792717387896</v>
      </c>
      <c r="AO121" t="s">
        <v>467</v>
      </c>
    </row>
    <row r="122" spans="1:49" x14ac:dyDescent="0.25">
      <c r="A122" t="s">
        <v>520</v>
      </c>
      <c r="B122" t="s">
        <v>185</v>
      </c>
      <c r="C122" s="128">
        <v>47426</v>
      </c>
      <c r="D122" s="128">
        <v>203</v>
      </c>
      <c r="E122" s="128">
        <v>436</v>
      </c>
      <c r="F122" s="128">
        <v>2095</v>
      </c>
      <c r="G122" s="128">
        <v>12042</v>
      </c>
      <c r="H122" s="128">
        <v>4884</v>
      </c>
      <c r="I122" s="128">
        <v>1211</v>
      </c>
      <c r="J122" s="128">
        <v>1657</v>
      </c>
      <c r="K122" s="128">
        <v>488</v>
      </c>
      <c r="L122" s="128">
        <v>1947</v>
      </c>
      <c r="M122" s="128">
        <v>2437</v>
      </c>
      <c r="N122" s="128">
        <v>5513</v>
      </c>
      <c r="O122" s="128">
        <v>11038</v>
      </c>
      <c r="P122" s="128">
        <v>3276</v>
      </c>
      <c r="Q122" s="128">
        <v>351</v>
      </c>
      <c r="R122" s="128"/>
      <c r="S122" t="s">
        <v>185</v>
      </c>
      <c r="T122" s="128">
        <f t="shared" si="3"/>
        <v>44692</v>
      </c>
      <c r="U122" s="128">
        <v>33817</v>
      </c>
      <c r="V122" s="128">
        <v>27309266.574962839</v>
      </c>
      <c r="W122" s="128">
        <v>1480</v>
      </c>
      <c r="X122" s="128">
        <v>1973</v>
      </c>
      <c r="Y122" s="128">
        <v>236</v>
      </c>
      <c r="Z122" s="128">
        <v>234</v>
      </c>
      <c r="AA122" s="128">
        <v>713</v>
      </c>
      <c r="AB122" s="128">
        <v>91</v>
      </c>
      <c r="AC122" s="128">
        <v>270</v>
      </c>
      <c r="AD122" s="128">
        <v>0</v>
      </c>
      <c r="AE122" s="128">
        <v>175</v>
      </c>
      <c r="AF122" s="128">
        <f t="shared" si="4"/>
        <v>33012.266574962836</v>
      </c>
      <c r="AG122" s="128">
        <v>18979</v>
      </c>
      <c r="AH122" s="128">
        <f t="shared" si="5"/>
        <v>1739.4102205049178</v>
      </c>
      <c r="AI122" t="s">
        <v>467</v>
      </c>
      <c r="AM122" t="s">
        <v>295</v>
      </c>
      <c r="AN122" s="128">
        <v>1662.3989366625694</v>
      </c>
      <c r="AO122" t="s">
        <v>467</v>
      </c>
      <c r="AU122" s="86"/>
    </row>
    <row r="123" spans="1:49" s="86" customFormat="1" x14ac:dyDescent="0.25">
      <c r="A123" t="s">
        <v>522</v>
      </c>
      <c r="B123" t="s">
        <v>131</v>
      </c>
      <c r="C123" s="128">
        <v>181594</v>
      </c>
      <c r="D123" s="128">
        <v>9766</v>
      </c>
      <c r="E123" s="128">
        <v>2759</v>
      </c>
      <c r="F123" s="128">
        <v>8037</v>
      </c>
      <c r="G123" s="128">
        <v>39731</v>
      </c>
      <c r="H123" s="128">
        <v>-25780</v>
      </c>
      <c r="I123" s="128">
        <v>4879</v>
      </c>
      <c r="J123" s="128">
        <v>5975</v>
      </c>
      <c r="K123" s="128">
        <v>8610</v>
      </c>
      <c r="L123" s="128">
        <v>4521</v>
      </c>
      <c r="M123" s="128">
        <v>15797</v>
      </c>
      <c r="N123" s="128">
        <v>38053</v>
      </c>
      <c r="O123" s="128">
        <v>46927</v>
      </c>
      <c r="P123" s="128">
        <v>17089</v>
      </c>
      <c r="Q123" s="128">
        <v>5633</v>
      </c>
      <c r="R123" s="128"/>
      <c r="S123" t="s">
        <v>131</v>
      </c>
      <c r="T123" s="128">
        <f t="shared" si="3"/>
        <v>161032</v>
      </c>
      <c r="U123" s="128">
        <v>120691</v>
      </c>
      <c r="V123" s="128">
        <v>90463644.988149181</v>
      </c>
      <c r="W123" s="128">
        <v>6219</v>
      </c>
      <c r="X123" s="128">
        <v>6471</v>
      </c>
      <c r="Y123" s="128">
        <v>265</v>
      </c>
      <c r="Z123" s="128">
        <v>573</v>
      </c>
      <c r="AA123" s="128">
        <v>1941</v>
      </c>
      <c r="AB123" s="128">
        <v>211</v>
      </c>
      <c r="AC123" s="128">
        <v>240</v>
      </c>
      <c r="AD123" s="128">
        <v>3219</v>
      </c>
      <c r="AE123" s="128">
        <v>263</v>
      </c>
      <c r="AF123" s="128">
        <f t="shared" si="4"/>
        <v>111402.64498814919</v>
      </c>
      <c r="AG123" s="243">
        <v>51123</v>
      </c>
      <c r="AH123" s="128">
        <f t="shared" si="5"/>
        <v>2179.1100872043735</v>
      </c>
      <c r="AI123" s="86" t="s">
        <v>441</v>
      </c>
      <c r="AM123" t="s">
        <v>184</v>
      </c>
      <c r="AN123" s="128">
        <v>1585.5973851751737</v>
      </c>
      <c r="AO123" t="s">
        <v>467</v>
      </c>
      <c r="AU123"/>
      <c r="AV123"/>
      <c r="AW123"/>
    </row>
    <row r="124" spans="1:49" x14ac:dyDescent="0.25">
      <c r="A124" s="86" t="s">
        <v>518</v>
      </c>
      <c r="B124" t="s">
        <v>407</v>
      </c>
      <c r="C124" s="128">
        <v>426201</v>
      </c>
      <c r="D124" s="128">
        <v>320</v>
      </c>
      <c r="E124" s="243">
        <v>3643</v>
      </c>
      <c r="F124" s="128">
        <v>16889</v>
      </c>
      <c r="G124" s="128">
        <v>71441</v>
      </c>
      <c r="H124" s="128">
        <v>30573</v>
      </c>
      <c r="I124" s="128">
        <v>9211</v>
      </c>
      <c r="J124" s="128">
        <v>7806</v>
      </c>
      <c r="K124" s="128">
        <v>3452</v>
      </c>
      <c r="L124" s="128">
        <v>11015</v>
      </c>
      <c r="M124" s="128">
        <v>25369</v>
      </c>
      <c r="N124" s="128">
        <v>108161</v>
      </c>
      <c r="O124" s="128">
        <v>108213</v>
      </c>
      <c r="P124" s="128">
        <v>22357</v>
      </c>
      <c r="Q124" s="128">
        <v>8128</v>
      </c>
      <c r="R124" s="128"/>
      <c r="S124" t="s">
        <v>407</v>
      </c>
      <c r="T124" s="128">
        <f t="shared" si="3"/>
        <v>405349</v>
      </c>
      <c r="U124" s="128">
        <v>349174</v>
      </c>
      <c r="V124" s="128">
        <v>203082435.09592664</v>
      </c>
      <c r="W124" s="128">
        <v>8948</v>
      </c>
      <c r="X124" s="128">
        <v>12148</v>
      </c>
      <c r="Y124" s="128">
        <v>427</v>
      </c>
      <c r="Z124" s="128">
        <v>1057</v>
      </c>
      <c r="AA124" s="128">
        <v>1511</v>
      </c>
      <c r="AB124" s="128">
        <v>190</v>
      </c>
      <c r="AC124" s="128">
        <v>317</v>
      </c>
      <c r="AD124" s="128">
        <v>2300</v>
      </c>
      <c r="AE124" s="128">
        <v>116</v>
      </c>
      <c r="AF124" s="128">
        <f t="shared" si="4"/>
        <v>232243.43509592663</v>
      </c>
      <c r="AG124" s="128">
        <v>86858</v>
      </c>
      <c r="AH124" s="128">
        <f t="shared" si="5"/>
        <v>2673.8289518055522</v>
      </c>
      <c r="AI124" t="s">
        <v>441</v>
      </c>
      <c r="AM124" t="s">
        <v>255</v>
      </c>
      <c r="AN124" s="128">
        <v>1652.869020755084</v>
      </c>
      <c r="AO124" t="s">
        <v>467</v>
      </c>
    </row>
    <row r="125" spans="1:49" x14ac:dyDescent="0.25">
      <c r="A125" t="s">
        <v>518</v>
      </c>
      <c r="B125" s="86" t="s">
        <v>371</v>
      </c>
      <c r="C125" s="128">
        <v>35725</v>
      </c>
      <c r="D125" s="243">
        <v>71</v>
      </c>
      <c r="E125" s="128">
        <v>570</v>
      </c>
      <c r="F125" s="243">
        <v>1515</v>
      </c>
      <c r="G125" s="243">
        <v>6805</v>
      </c>
      <c r="H125" s="128">
        <v>5706</v>
      </c>
      <c r="I125" s="128">
        <v>1081</v>
      </c>
      <c r="J125" s="128">
        <v>1661</v>
      </c>
      <c r="K125" s="128">
        <v>294</v>
      </c>
      <c r="L125" s="128">
        <v>864</v>
      </c>
      <c r="M125" s="128">
        <v>1457</v>
      </c>
      <c r="N125" s="128">
        <v>3877</v>
      </c>
      <c r="O125" s="128">
        <v>7708</v>
      </c>
      <c r="P125" s="128">
        <v>3517</v>
      </c>
      <c r="Q125" s="128">
        <v>771</v>
      </c>
      <c r="R125" s="128"/>
      <c r="S125" t="s">
        <v>371</v>
      </c>
      <c r="T125" s="128">
        <f t="shared" si="3"/>
        <v>33569</v>
      </c>
      <c r="U125" s="243">
        <v>25596</v>
      </c>
      <c r="V125" s="243">
        <v>22210300.156917743</v>
      </c>
      <c r="W125" s="243">
        <v>2155</v>
      </c>
      <c r="X125" s="243">
        <v>1585</v>
      </c>
      <c r="Y125" s="243">
        <v>2</v>
      </c>
      <c r="Z125" s="243">
        <v>163</v>
      </c>
      <c r="AA125" s="243">
        <v>518</v>
      </c>
      <c r="AB125" s="243">
        <v>16</v>
      </c>
      <c r="AC125" s="243">
        <v>178</v>
      </c>
      <c r="AD125" s="243">
        <v>0</v>
      </c>
      <c r="AE125" s="243">
        <v>15</v>
      </c>
      <c r="AF125" s="128">
        <f t="shared" si="4"/>
        <v>25551.300156917743</v>
      </c>
      <c r="AG125" s="128">
        <v>16478</v>
      </c>
      <c r="AH125" s="128">
        <f t="shared" si="5"/>
        <v>1550.6311540792417</v>
      </c>
      <c r="AI125" t="s">
        <v>467</v>
      </c>
      <c r="AM125" t="s">
        <v>185</v>
      </c>
      <c r="AN125" s="128">
        <v>1739.4102205049178</v>
      </c>
      <c r="AO125" t="s">
        <v>467</v>
      </c>
    </row>
    <row r="126" spans="1:49" x14ac:dyDescent="0.25">
      <c r="A126" t="s">
        <v>519</v>
      </c>
      <c r="B126" t="s">
        <v>257</v>
      </c>
      <c r="C126" s="128">
        <v>57154</v>
      </c>
      <c r="D126" s="128">
        <v>3951</v>
      </c>
      <c r="E126" s="128">
        <v>1539</v>
      </c>
      <c r="F126" s="128">
        <v>2214</v>
      </c>
      <c r="G126" s="128">
        <v>1330</v>
      </c>
      <c r="H126" s="128">
        <v>9272</v>
      </c>
      <c r="I126" s="128">
        <v>1918</v>
      </c>
      <c r="J126" s="128">
        <v>2393</v>
      </c>
      <c r="K126" s="128">
        <v>857</v>
      </c>
      <c r="L126" s="128">
        <v>1436</v>
      </c>
      <c r="M126" s="128">
        <v>4383</v>
      </c>
      <c r="N126" s="128">
        <v>6984</v>
      </c>
      <c r="O126" s="128">
        <v>11414</v>
      </c>
      <c r="P126" s="128">
        <v>5543</v>
      </c>
      <c r="Q126" s="128">
        <v>3951</v>
      </c>
      <c r="R126" s="128"/>
      <c r="S126" t="s">
        <v>257</v>
      </c>
      <c r="T126" s="128">
        <f t="shared" si="3"/>
        <v>49450</v>
      </c>
      <c r="U126" s="128">
        <v>36207</v>
      </c>
      <c r="V126" s="128">
        <v>30463673.528462429</v>
      </c>
      <c r="W126" s="128">
        <v>2135</v>
      </c>
      <c r="X126" s="128">
        <v>3274</v>
      </c>
      <c r="Y126" s="128">
        <v>151</v>
      </c>
      <c r="Z126" s="128">
        <v>222</v>
      </c>
      <c r="AA126" s="128">
        <v>827</v>
      </c>
      <c r="AB126" s="128">
        <v>87</v>
      </c>
      <c r="AC126" s="128">
        <v>80</v>
      </c>
      <c r="AD126" s="128">
        <v>0</v>
      </c>
      <c r="AE126" s="128">
        <v>23</v>
      </c>
      <c r="AF126" s="128">
        <f t="shared" si="4"/>
        <v>36907.67352846243</v>
      </c>
      <c r="AG126" s="128">
        <v>24417</v>
      </c>
      <c r="AH126" s="128">
        <f t="shared" si="5"/>
        <v>1511.5564372552906</v>
      </c>
      <c r="AI126" t="s">
        <v>467</v>
      </c>
      <c r="AM126" t="s">
        <v>371</v>
      </c>
      <c r="AN126" s="128">
        <v>1550.6311540792417</v>
      </c>
      <c r="AO126" t="s">
        <v>467</v>
      </c>
    </row>
    <row r="127" spans="1:49" x14ac:dyDescent="0.25">
      <c r="A127" t="s">
        <v>520</v>
      </c>
      <c r="B127" t="s">
        <v>149</v>
      </c>
      <c r="C127" s="128">
        <v>98725</v>
      </c>
      <c r="D127" s="128">
        <v>1224</v>
      </c>
      <c r="E127" s="128">
        <v>2346</v>
      </c>
      <c r="F127" s="128">
        <v>7015</v>
      </c>
      <c r="G127" s="128">
        <v>27876</v>
      </c>
      <c r="H127" s="128">
        <v>5828</v>
      </c>
      <c r="I127" s="128">
        <v>2559</v>
      </c>
      <c r="J127" s="128">
        <v>3999</v>
      </c>
      <c r="K127" s="128">
        <v>4275</v>
      </c>
      <c r="L127" s="128">
        <v>1791</v>
      </c>
      <c r="M127" s="128">
        <v>6018</v>
      </c>
      <c r="N127" s="128">
        <v>9260</v>
      </c>
      <c r="O127" s="128">
        <v>20810</v>
      </c>
      <c r="P127" s="128">
        <v>5251</v>
      </c>
      <c r="Q127" s="128">
        <v>544</v>
      </c>
      <c r="R127" s="128"/>
      <c r="S127" t="s">
        <v>149</v>
      </c>
      <c r="T127" s="128">
        <f t="shared" si="3"/>
        <v>88140</v>
      </c>
      <c r="U127" s="128">
        <v>65497</v>
      </c>
      <c r="V127" s="128">
        <v>55624607.087045565</v>
      </c>
      <c r="W127" s="128">
        <v>4198</v>
      </c>
      <c r="X127" s="128">
        <v>3938</v>
      </c>
      <c r="Y127" s="128">
        <v>429</v>
      </c>
      <c r="Z127" s="128">
        <v>329</v>
      </c>
      <c r="AA127" s="128">
        <v>822</v>
      </c>
      <c r="AB127" s="128">
        <v>166</v>
      </c>
      <c r="AC127" s="128">
        <v>533</v>
      </c>
      <c r="AD127" s="128">
        <v>80</v>
      </c>
      <c r="AE127" s="128">
        <v>202</v>
      </c>
      <c r="AF127" s="128">
        <f t="shared" si="4"/>
        <v>67570.607087045559</v>
      </c>
      <c r="AG127" s="128">
        <v>35942</v>
      </c>
      <c r="AH127" s="128">
        <f t="shared" si="5"/>
        <v>1879.990181042946</v>
      </c>
      <c r="AI127" t="s">
        <v>118</v>
      </c>
      <c r="AM127" t="s">
        <v>257</v>
      </c>
      <c r="AN127" s="128">
        <v>1511.5564372552906</v>
      </c>
      <c r="AO127" t="s">
        <v>467</v>
      </c>
    </row>
    <row r="128" spans="1:49" x14ac:dyDescent="0.25">
      <c r="A128" t="s">
        <v>518</v>
      </c>
      <c r="B128" t="s">
        <v>296</v>
      </c>
      <c r="C128" s="128">
        <v>122216</v>
      </c>
      <c r="D128" s="128">
        <v>25383</v>
      </c>
      <c r="E128" s="128">
        <v>2050</v>
      </c>
      <c r="F128" s="128">
        <v>5605</v>
      </c>
      <c r="G128" s="128">
        <v>18492</v>
      </c>
      <c r="H128" s="128">
        <v>10221</v>
      </c>
      <c r="I128" s="128">
        <v>2235</v>
      </c>
      <c r="J128" s="128">
        <v>4409</v>
      </c>
      <c r="K128" s="128">
        <v>1679</v>
      </c>
      <c r="L128" s="128">
        <v>4599</v>
      </c>
      <c r="M128" s="128">
        <v>5128</v>
      </c>
      <c r="N128" s="128">
        <v>25413</v>
      </c>
      <c r="O128" s="128">
        <v>10841</v>
      </c>
      <c r="P128" s="128">
        <v>7815</v>
      </c>
      <c r="Q128" s="128">
        <v>326</v>
      </c>
      <c r="R128" s="128"/>
      <c r="S128" t="s">
        <v>296</v>
      </c>
      <c r="T128" s="128">
        <f t="shared" si="3"/>
        <v>89178</v>
      </c>
      <c r="U128" s="128">
        <v>73590</v>
      </c>
      <c r="V128" s="128">
        <v>63833074.456798002</v>
      </c>
      <c r="W128" s="128">
        <v>2923</v>
      </c>
      <c r="X128" s="128">
        <v>4157</v>
      </c>
      <c r="Y128" s="128">
        <v>76</v>
      </c>
      <c r="Z128" s="128">
        <v>470</v>
      </c>
      <c r="AA128" s="128">
        <v>215</v>
      </c>
      <c r="AB128" s="128">
        <v>303</v>
      </c>
      <c r="AC128" s="128">
        <v>544</v>
      </c>
      <c r="AD128" s="128">
        <v>0</v>
      </c>
      <c r="AE128" s="128">
        <v>172</v>
      </c>
      <c r="AF128" s="128">
        <f t="shared" si="4"/>
        <v>70561.074456798</v>
      </c>
      <c r="AG128" s="128">
        <v>40570</v>
      </c>
      <c r="AH128" s="128">
        <f t="shared" si="5"/>
        <v>1739.2426536060636</v>
      </c>
      <c r="AI128" t="s">
        <v>118</v>
      </c>
      <c r="AM128" t="s">
        <v>297</v>
      </c>
      <c r="AN128" s="128">
        <v>1875.5140592478231</v>
      </c>
      <c r="AO128" t="s">
        <v>467</v>
      </c>
    </row>
    <row r="129" spans="1:41" x14ac:dyDescent="0.25">
      <c r="A129" t="s">
        <v>526</v>
      </c>
      <c r="B129" t="s">
        <v>372</v>
      </c>
      <c r="C129" s="128">
        <v>388841</v>
      </c>
      <c r="D129" s="128">
        <v>41876</v>
      </c>
      <c r="E129" s="128">
        <v>4196</v>
      </c>
      <c r="F129" s="128">
        <v>10065</v>
      </c>
      <c r="G129" s="128">
        <v>56883</v>
      </c>
      <c r="H129" s="128">
        <v>-2978</v>
      </c>
      <c r="I129" s="128">
        <v>8674</v>
      </c>
      <c r="J129" s="128">
        <v>13660</v>
      </c>
      <c r="K129" s="128">
        <v>14586</v>
      </c>
      <c r="L129" s="128">
        <v>6235</v>
      </c>
      <c r="M129" s="128">
        <v>23720</v>
      </c>
      <c r="N129" s="128">
        <v>83878</v>
      </c>
      <c r="O129" s="128">
        <v>106027</v>
      </c>
      <c r="P129" s="128">
        <v>20260</v>
      </c>
      <c r="Q129" s="128">
        <v>5923</v>
      </c>
      <c r="R129" s="128"/>
      <c r="S129" t="s">
        <v>372</v>
      </c>
      <c r="T129" s="128">
        <f t="shared" si="3"/>
        <v>332704</v>
      </c>
      <c r="U129" s="128">
        <v>256630</v>
      </c>
      <c r="V129" s="128">
        <v>166452346.02445546</v>
      </c>
      <c r="W129" s="128">
        <v>8796</v>
      </c>
      <c r="X129" s="128">
        <v>11189</v>
      </c>
      <c r="Y129" s="128">
        <v>0</v>
      </c>
      <c r="Z129" s="128">
        <v>1238</v>
      </c>
      <c r="AA129" s="128">
        <v>3135</v>
      </c>
      <c r="AB129" s="128">
        <v>220</v>
      </c>
      <c r="AC129" s="128">
        <v>102</v>
      </c>
      <c r="AD129" s="128">
        <v>3722</v>
      </c>
      <c r="AE129" s="128">
        <v>1012</v>
      </c>
      <c r="AF129" s="128">
        <f t="shared" si="4"/>
        <v>213112.34602445544</v>
      </c>
      <c r="AG129" s="128">
        <v>93470</v>
      </c>
      <c r="AH129" s="128">
        <f t="shared" si="5"/>
        <v>2280.0079814320688</v>
      </c>
      <c r="AI129" t="s">
        <v>441</v>
      </c>
      <c r="AM129" t="s">
        <v>186</v>
      </c>
      <c r="AN129" s="128">
        <v>1702.1052021606715</v>
      </c>
      <c r="AO129" t="s">
        <v>467</v>
      </c>
    </row>
    <row r="130" spans="1:41" x14ac:dyDescent="0.25">
      <c r="A130" t="s">
        <v>517</v>
      </c>
      <c r="B130" t="s">
        <v>297</v>
      </c>
      <c r="C130" s="128">
        <v>96771</v>
      </c>
      <c r="D130" s="128">
        <v>18852</v>
      </c>
      <c r="E130" s="128">
        <v>886</v>
      </c>
      <c r="F130" s="128">
        <v>2505</v>
      </c>
      <c r="G130" s="128">
        <v>8805</v>
      </c>
      <c r="H130" s="128">
        <v>7926</v>
      </c>
      <c r="I130" s="128">
        <v>2333</v>
      </c>
      <c r="J130" s="128">
        <v>3516</v>
      </c>
      <c r="K130" s="128">
        <v>10218</v>
      </c>
      <c r="L130" s="128">
        <v>1876</v>
      </c>
      <c r="M130" s="128">
        <v>6272</v>
      </c>
      <c r="N130" s="128">
        <v>9144</v>
      </c>
      <c r="O130" s="128">
        <v>16519</v>
      </c>
      <c r="P130" s="128">
        <v>8046</v>
      </c>
      <c r="Q130" s="128">
        <v>404</v>
      </c>
      <c r="R130" s="128"/>
      <c r="S130" t="s">
        <v>297</v>
      </c>
      <c r="T130" s="128">
        <f t="shared" si="3"/>
        <v>74528</v>
      </c>
      <c r="U130" s="128">
        <v>49919</v>
      </c>
      <c r="V130" s="128">
        <v>42919526.143904567</v>
      </c>
      <c r="W130" s="128">
        <v>2408</v>
      </c>
      <c r="X130" s="128">
        <v>4251</v>
      </c>
      <c r="Y130" s="128">
        <v>313</v>
      </c>
      <c r="Z130" s="128">
        <v>299</v>
      </c>
      <c r="AA130" s="128">
        <v>736</v>
      </c>
      <c r="AB130" s="128">
        <v>139</v>
      </c>
      <c r="AC130" s="128">
        <v>0</v>
      </c>
      <c r="AD130" s="128">
        <v>0</v>
      </c>
      <c r="AE130" s="128">
        <v>0</v>
      </c>
      <c r="AF130" s="128">
        <f t="shared" si="4"/>
        <v>59382.526143904572</v>
      </c>
      <c r="AG130" s="128">
        <v>31662</v>
      </c>
      <c r="AH130" s="128">
        <f t="shared" si="5"/>
        <v>1875.5140592478231</v>
      </c>
      <c r="AI130" t="s">
        <v>467</v>
      </c>
      <c r="AM130" t="s">
        <v>373</v>
      </c>
      <c r="AN130" s="128">
        <v>1704.2239981263206</v>
      </c>
      <c r="AO130" t="s">
        <v>467</v>
      </c>
    </row>
    <row r="131" spans="1:41" x14ac:dyDescent="0.25">
      <c r="A131" t="s">
        <v>518</v>
      </c>
      <c r="B131" t="s">
        <v>444</v>
      </c>
      <c r="C131" s="128">
        <v>315002</v>
      </c>
      <c r="D131" s="128">
        <v>19472</v>
      </c>
      <c r="E131" s="128">
        <v>14229</v>
      </c>
      <c r="F131" s="128">
        <v>11993</v>
      </c>
      <c r="G131" s="128">
        <v>54275</v>
      </c>
      <c r="H131" s="128">
        <v>17491</v>
      </c>
      <c r="I131" s="128">
        <v>7201</v>
      </c>
      <c r="J131" s="128">
        <v>7280</v>
      </c>
      <c r="K131" s="128">
        <v>3452</v>
      </c>
      <c r="L131" s="128">
        <v>7905</v>
      </c>
      <c r="M131" s="128">
        <v>20332</v>
      </c>
      <c r="N131" s="128">
        <v>64832</v>
      </c>
      <c r="O131" s="128">
        <v>69178</v>
      </c>
      <c r="P131" s="128">
        <v>19374</v>
      </c>
      <c r="Q131" s="128">
        <v>857</v>
      </c>
      <c r="R131" s="128"/>
      <c r="S131" t="s">
        <v>757</v>
      </c>
      <c r="T131" s="128">
        <f t="shared" ref="T131:T194" si="6">SUM(C131,-D131,-E131,-F131)</f>
        <v>269308</v>
      </c>
      <c r="U131" s="128">
        <v>204501</v>
      </c>
      <c r="V131" s="128">
        <v>147369056.18876651</v>
      </c>
      <c r="W131" s="128">
        <v>10407</v>
      </c>
      <c r="X131" s="128">
        <v>8415</v>
      </c>
      <c r="Y131" s="128">
        <v>539</v>
      </c>
      <c r="Z131" s="128">
        <v>931</v>
      </c>
      <c r="AA131" s="128">
        <v>1959</v>
      </c>
      <c r="AB131" s="128">
        <v>1465</v>
      </c>
      <c r="AC131" s="128">
        <v>148</v>
      </c>
      <c r="AD131" s="128">
        <v>1812</v>
      </c>
      <c r="AE131" s="128">
        <v>1626</v>
      </c>
      <c r="AF131" s="128">
        <f t="shared" ref="AF131:AF194" si="7">SUM(T131,-U131,V131/1000,-W131,-X131,-Y131,-Z131,-AA131,-AB131,-AC131,-AD131,-AE131)</f>
        <v>184874.0561887665</v>
      </c>
      <c r="AG131" s="128">
        <v>81429</v>
      </c>
      <c r="AH131" s="128">
        <f t="shared" ref="AH131:AH194" si="8">AF131*1000/AG131</f>
        <v>2270.3711968557454</v>
      </c>
      <c r="AI131" t="s">
        <v>441</v>
      </c>
      <c r="AM131" t="s">
        <v>374</v>
      </c>
      <c r="AN131" s="128">
        <v>1604.4038158633432</v>
      </c>
      <c r="AO131" t="s">
        <v>467</v>
      </c>
    </row>
    <row r="132" spans="1:41" x14ac:dyDescent="0.25">
      <c r="A132" t="s">
        <v>522</v>
      </c>
      <c r="B132" t="s">
        <v>600</v>
      </c>
      <c r="C132" s="128">
        <v>165571</v>
      </c>
      <c r="D132" s="128">
        <v>190</v>
      </c>
      <c r="E132" s="128">
        <v>1952</v>
      </c>
      <c r="F132" s="128">
        <v>9000</v>
      </c>
      <c r="G132" s="128">
        <v>50306</v>
      </c>
      <c r="H132" s="128">
        <v>11023</v>
      </c>
      <c r="I132" s="128">
        <v>4540</v>
      </c>
      <c r="J132" s="128">
        <v>4611</v>
      </c>
      <c r="K132" s="128">
        <v>568</v>
      </c>
      <c r="L132" s="128">
        <v>3350</v>
      </c>
      <c r="M132" s="128">
        <v>5334</v>
      </c>
      <c r="N132" s="128">
        <v>24097</v>
      </c>
      <c r="O132" s="128">
        <v>39231</v>
      </c>
      <c r="P132" s="128">
        <v>8571</v>
      </c>
      <c r="Q132" s="128">
        <v>2988</v>
      </c>
      <c r="R132" s="128"/>
      <c r="S132" t="s">
        <v>600</v>
      </c>
      <c r="T132" s="128">
        <f t="shared" si="6"/>
        <v>154429</v>
      </c>
      <c r="U132" s="128">
        <v>123020</v>
      </c>
      <c r="V132" s="128">
        <v>88607140.649517968</v>
      </c>
      <c r="W132" s="128">
        <v>4840</v>
      </c>
      <c r="X132" s="128">
        <v>5929</v>
      </c>
      <c r="Y132" s="128">
        <v>737</v>
      </c>
      <c r="Z132" s="128">
        <v>703</v>
      </c>
      <c r="AA132" s="128">
        <v>1612</v>
      </c>
      <c r="AB132" s="128">
        <v>29</v>
      </c>
      <c r="AC132" s="128">
        <v>361</v>
      </c>
      <c r="AD132" s="128">
        <v>0</v>
      </c>
      <c r="AE132" s="128">
        <v>91</v>
      </c>
      <c r="AF132" s="128">
        <f t="shared" si="7"/>
        <v>105714.14064951797</v>
      </c>
      <c r="AG132" s="128">
        <v>48007</v>
      </c>
      <c r="AH132" s="128">
        <f t="shared" si="8"/>
        <v>2202.0567969154076</v>
      </c>
      <c r="AI132" t="s">
        <v>118</v>
      </c>
      <c r="AM132" t="s">
        <v>601</v>
      </c>
      <c r="AN132" s="128">
        <v>1660.3916502128336</v>
      </c>
      <c r="AO132" t="s">
        <v>467</v>
      </c>
    </row>
    <row r="133" spans="1:41" x14ac:dyDescent="0.25">
      <c r="A133" t="s">
        <v>521</v>
      </c>
      <c r="B133" t="s">
        <v>186</v>
      </c>
      <c r="C133" s="128">
        <v>40175</v>
      </c>
      <c r="D133" s="128">
        <v>147</v>
      </c>
      <c r="E133" s="128">
        <v>577</v>
      </c>
      <c r="F133" s="128">
        <v>1394</v>
      </c>
      <c r="G133" s="128">
        <v>9540</v>
      </c>
      <c r="H133" s="128">
        <v>4121</v>
      </c>
      <c r="I133" s="128">
        <v>1462</v>
      </c>
      <c r="J133" s="128">
        <v>1359</v>
      </c>
      <c r="K133" s="128">
        <v>194</v>
      </c>
      <c r="L133" s="128">
        <v>911</v>
      </c>
      <c r="M133" s="128">
        <v>2778</v>
      </c>
      <c r="N133" s="128">
        <v>6195</v>
      </c>
      <c r="O133" s="128">
        <v>7125</v>
      </c>
      <c r="P133" s="128">
        <v>3285</v>
      </c>
      <c r="Q133" s="128">
        <v>1234</v>
      </c>
      <c r="R133" s="128"/>
      <c r="S133" t="s">
        <v>186</v>
      </c>
      <c r="T133" s="128">
        <f t="shared" si="6"/>
        <v>38057</v>
      </c>
      <c r="U133" s="128">
        <v>27742</v>
      </c>
      <c r="V133" s="128">
        <v>22698103.161557071</v>
      </c>
      <c r="W133" s="128">
        <v>1253</v>
      </c>
      <c r="X133" s="128">
        <v>1545</v>
      </c>
      <c r="Y133" s="128">
        <v>82</v>
      </c>
      <c r="Z133" s="128">
        <v>260</v>
      </c>
      <c r="AA133" s="128">
        <v>459</v>
      </c>
      <c r="AB133" s="128">
        <v>48</v>
      </c>
      <c r="AC133" s="128">
        <v>0</v>
      </c>
      <c r="AD133" s="128">
        <v>1</v>
      </c>
      <c r="AE133" s="128">
        <v>94</v>
      </c>
      <c r="AF133" s="128">
        <f t="shared" si="7"/>
        <v>29271.103161557068</v>
      </c>
      <c r="AG133" s="128">
        <v>17197</v>
      </c>
      <c r="AH133" s="128">
        <f t="shared" si="8"/>
        <v>1702.1052021606715</v>
      </c>
      <c r="AI133" t="s">
        <v>467</v>
      </c>
      <c r="AM133" t="s">
        <v>150</v>
      </c>
      <c r="AN133" s="128">
        <v>1896.5261000726998</v>
      </c>
      <c r="AO133" t="s">
        <v>467</v>
      </c>
    </row>
    <row r="134" spans="1:41" x14ac:dyDescent="0.25">
      <c r="A134" t="s">
        <v>517</v>
      </c>
      <c r="B134" t="s">
        <v>373</v>
      </c>
      <c r="C134" s="128">
        <v>120261</v>
      </c>
      <c r="D134" s="128">
        <v>16397</v>
      </c>
      <c r="E134" s="128">
        <v>1152</v>
      </c>
      <c r="F134" s="128">
        <v>3356</v>
      </c>
      <c r="G134" s="128">
        <v>24129</v>
      </c>
      <c r="H134" s="128">
        <v>5745</v>
      </c>
      <c r="I134" s="128">
        <v>3132</v>
      </c>
      <c r="J134" s="128">
        <v>3033</v>
      </c>
      <c r="K134" s="128">
        <v>5331</v>
      </c>
      <c r="L134" s="128">
        <v>2163</v>
      </c>
      <c r="M134" s="128">
        <v>7268</v>
      </c>
      <c r="N134" s="128">
        <v>16065</v>
      </c>
      <c r="O134" s="128">
        <v>24246</v>
      </c>
      <c r="P134" s="128">
        <v>9289</v>
      </c>
      <c r="Q134" s="128">
        <v>403</v>
      </c>
      <c r="R134" s="128"/>
      <c r="S134" t="s">
        <v>373</v>
      </c>
      <c r="T134" s="128">
        <f t="shared" si="6"/>
        <v>99356</v>
      </c>
      <c r="U134" s="128">
        <v>74344</v>
      </c>
      <c r="V134" s="128">
        <v>63157670.698623925</v>
      </c>
      <c r="W134" s="128">
        <v>4667</v>
      </c>
      <c r="X134" s="128">
        <v>3318</v>
      </c>
      <c r="Y134" s="128">
        <v>160</v>
      </c>
      <c r="Z134" s="128">
        <v>422</v>
      </c>
      <c r="AA134" s="128">
        <v>1052</v>
      </c>
      <c r="AB134" s="128">
        <v>52</v>
      </c>
      <c r="AC134" s="128">
        <v>91</v>
      </c>
      <c r="AD134" s="128">
        <v>83</v>
      </c>
      <c r="AE134" s="128">
        <v>670</v>
      </c>
      <c r="AF134" s="128">
        <f t="shared" si="7"/>
        <v>77654.67069862393</v>
      </c>
      <c r="AG134" s="128">
        <v>45566</v>
      </c>
      <c r="AH134" s="128">
        <f t="shared" si="8"/>
        <v>1704.2239981263206</v>
      </c>
      <c r="AI134" t="s">
        <v>467</v>
      </c>
      <c r="AM134" t="s">
        <v>259</v>
      </c>
      <c r="AN134" s="128">
        <v>1666.6193066434844</v>
      </c>
      <c r="AO134" t="s">
        <v>467</v>
      </c>
    </row>
    <row r="135" spans="1:41" x14ac:dyDescent="0.25">
      <c r="A135" t="s">
        <v>521</v>
      </c>
      <c r="B135" t="s">
        <v>298</v>
      </c>
      <c r="C135" s="128">
        <v>57733</v>
      </c>
      <c r="D135" s="128">
        <v>4024</v>
      </c>
      <c r="E135" s="128">
        <v>121</v>
      </c>
      <c r="F135" s="128">
        <v>3526</v>
      </c>
      <c r="G135" s="128">
        <v>1130</v>
      </c>
      <c r="H135" s="128">
        <v>9002</v>
      </c>
      <c r="I135" s="128">
        <v>2180</v>
      </c>
      <c r="J135" s="128">
        <v>2685</v>
      </c>
      <c r="K135" s="128">
        <v>991</v>
      </c>
      <c r="L135" s="128">
        <v>1130</v>
      </c>
      <c r="M135" s="128">
        <v>4407</v>
      </c>
      <c r="N135" s="128">
        <v>7590</v>
      </c>
      <c r="O135" s="128">
        <v>13218</v>
      </c>
      <c r="P135" s="128">
        <v>6490</v>
      </c>
      <c r="Q135" s="128">
        <v>1239</v>
      </c>
      <c r="R135" s="128"/>
      <c r="S135" t="s">
        <v>298</v>
      </c>
      <c r="T135" s="128">
        <f t="shared" si="6"/>
        <v>50062</v>
      </c>
      <c r="U135" s="128">
        <v>38603</v>
      </c>
      <c r="V135" s="128">
        <v>32196276.472502396</v>
      </c>
      <c r="W135" s="128">
        <v>2524</v>
      </c>
      <c r="X135" s="128">
        <v>3167</v>
      </c>
      <c r="Y135" s="128">
        <v>81</v>
      </c>
      <c r="Z135" s="128">
        <v>293</v>
      </c>
      <c r="AA135" s="128">
        <v>512</v>
      </c>
      <c r="AB135" s="128">
        <v>74</v>
      </c>
      <c r="AC135" s="128">
        <v>0</v>
      </c>
      <c r="AD135" s="128">
        <v>3</v>
      </c>
      <c r="AE135" s="128">
        <v>66</v>
      </c>
      <c r="AF135" s="128">
        <f t="shared" si="7"/>
        <v>36935.276472502395</v>
      </c>
      <c r="AG135" s="128">
        <v>22318</v>
      </c>
      <c r="AH135" s="128">
        <f t="shared" si="8"/>
        <v>1654.9545869926694</v>
      </c>
      <c r="AI135" t="s">
        <v>118</v>
      </c>
      <c r="AM135" t="s">
        <v>408</v>
      </c>
      <c r="AN135" s="128">
        <v>1852.8782960239059</v>
      </c>
      <c r="AO135" t="s">
        <v>467</v>
      </c>
    </row>
    <row r="136" spans="1:41" x14ac:dyDescent="0.25">
      <c r="A136" t="s">
        <v>522</v>
      </c>
      <c r="B136" t="s">
        <v>374</v>
      </c>
      <c r="C136" s="128">
        <v>39412</v>
      </c>
      <c r="D136" s="128">
        <v>2438</v>
      </c>
      <c r="E136" s="128">
        <v>403</v>
      </c>
      <c r="F136" s="128">
        <v>1732</v>
      </c>
      <c r="G136" s="128">
        <v>9748</v>
      </c>
      <c r="H136" s="128">
        <v>3281</v>
      </c>
      <c r="I136" s="128">
        <v>1104</v>
      </c>
      <c r="J136" s="128">
        <v>1086</v>
      </c>
      <c r="K136" s="128">
        <v>201</v>
      </c>
      <c r="L136" s="128">
        <v>1438</v>
      </c>
      <c r="M136" s="128">
        <v>2806</v>
      </c>
      <c r="N136" s="128">
        <v>3680</v>
      </c>
      <c r="O136" s="128">
        <v>7673</v>
      </c>
      <c r="P136" s="128">
        <v>2910</v>
      </c>
      <c r="Q136" s="128">
        <v>1085</v>
      </c>
      <c r="R136" s="128"/>
      <c r="S136" t="s">
        <v>374</v>
      </c>
      <c r="T136" s="128">
        <f t="shared" si="6"/>
        <v>34839</v>
      </c>
      <c r="U136" s="128">
        <v>24392</v>
      </c>
      <c r="V136" s="128">
        <v>20661811.117351867</v>
      </c>
      <c r="W136" s="128">
        <v>1478</v>
      </c>
      <c r="X136" s="128">
        <v>1193</v>
      </c>
      <c r="Y136" s="128">
        <v>0</v>
      </c>
      <c r="Z136" s="128">
        <v>186</v>
      </c>
      <c r="AA136" s="128">
        <v>1234</v>
      </c>
      <c r="AB136" s="128">
        <v>344</v>
      </c>
      <c r="AC136" s="128">
        <v>1228</v>
      </c>
      <c r="AD136" s="128">
        <v>6</v>
      </c>
      <c r="AE136" s="128">
        <v>79</v>
      </c>
      <c r="AF136" s="128">
        <f t="shared" si="7"/>
        <v>25360.811117351866</v>
      </c>
      <c r="AG136" s="128">
        <v>15807</v>
      </c>
      <c r="AH136" s="128">
        <f t="shared" si="8"/>
        <v>1604.4038158633432</v>
      </c>
      <c r="AI136" t="s">
        <v>467</v>
      </c>
      <c r="AM136" t="s">
        <v>221</v>
      </c>
      <c r="AN136" s="128">
        <v>1733.7684907152197</v>
      </c>
      <c r="AO136" t="s">
        <v>467</v>
      </c>
    </row>
    <row r="137" spans="1:41" x14ac:dyDescent="0.25">
      <c r="A137" t="s">
        <v>525</v>
      </c>
      <c r="B137" t="s">
        <v>258</v>
      </c>
      <c r="C137" s="128">
        <v>284610</v>
      </c>
      <c r="D137" s="128">
        <v>4137</v>
      </c>
      <c r="E137" s="128">
        <v>3610</v>
      </c>
      <c r="F137" s="128">
        <v>10473</v>
      </c>
      <c r="G137" s="128">
        <v>58596</v>
      </c>
      <c r="H137" s="128">
        <v>13394</v>
      </c>
      <c r="I137" s="128">
        <v>9789</v>
      </c>
      <c r="J137" s="128">
        <v>14294</v>
      </c>
      <c r="K137" s="128">
        <v>2692</v>
      </c>
      <c r="L137" s="128">
        <v>9513</v>
      </c>
      <c r="M137" s="128">
        <v>14246</v>
      </c>
      <c r="N137" s="128">
        <v>49499</v>
      </c>
      <c r="O137" s="128">
        <v>72877</v>
      </c>
      <c r="P137" s="128">
        <v>19776</v>
      </c>
      <c r="Q137" s="128">
        <v>2685</v>
      </c>
      <c r="R137" s="128"/>
      <c r="S137" t="s">
        <v>258</v>
      </c>
      <c r="T137" s="128">
        <f t="shared" si="6"/>
        <v>266390</v>
      </c>
      <c r="U137" s="128">
        <v>213831</v>
      </c>
      <c r="V137" s="128">
        <v>148585970.59616503</v>
      </c>
      <c r="W137" s="128">
        <v>8359</v>
      </c>
      <c r="X137" s="128">
        <v>12380</v>
      </c>
      <c r="Y137" s="128">
        <v>0</v>
      </c>
      <c r="Z137" s="128">
        <v>1127</v>
      </c>
      <c r="AA137" s="128">
        <v>3162</v>
      </c>
      <c r="AB137" s="128">
        <v>547</v>
      </c>
      <c r="AC137" s="128">
        <v>0</v>
      </c>
      <c r="AD137" s="128">
        <v>5878</v>
      </c>
      <c r="AE137" s="128">
        <v>890</v>
      </c>
      <c r="AF137" s="128">
        <f t="shared" si="7"/>
        <v>168801.97059616502</v>
      </c>
      <c r="AG137" s="128">
        <v>91721</v>
      </c>
      <c r="AH137" s="128">
        <f t="shared" si="8"/>
        <v>1840.3851963690433</v>
      </c>
      <c r="AI137" t="s">
        <v>441</v>
      </c>
      <c r="AM137" t="s">
        <v>222</v>
      </c>
      <c r="AN137" s="128">
        <v>1738.3502219441241</v>
      </c>
      <c r="AO137" t="s">
        <v>467</v>
      </c>
    </row>
    <row r="138" spans="1:41" x14ac:dyDescent="0.25">
      <c r="A138" t="s">
        <v>519</v>
      </c>
      <c r="B138" t="s">
        <v>601</v>
      </c>
      <c r="C138" s="128">
        <v>204027</v>
      </c>
      <c r="D138" s="128">
        <v>3886</v>
      </c>
      <c r="E138" s="128">
        <v>218</v>
      </c>
      <c r="F138" s="128">
        <v>10810</v>
      </c>
      <c r="G138" s="128">
        <v>53052</v>
      </c>
      <c r="H138" s="128">
        <v>16853</v>
      </c>
      <c r="I138" s="128">
        <v>7668</v>
      </c>
      <c r="J138" s="128">
        <v>9925</v>
      </c>
      <c r="K138" s="128">
        <v>1907</v>
      </c>
      <c r="L138" s="128">
        <v>4929</v>
      </c>
      <c r="M138" s="128">
        <v>14993</v>
      </c>
      <c r="N138" s="128">
        <v>17941</v>
      </c>
      <c r="O138" s="128">
        <v>42122</v>
      </c>
      <c r="P138" s="128">
        <v>17056</v>
      </c>
      <c r="Q138" s="128">
        <v>2835</v>
      </c>
      <c r="R138" s="128"/>
      <c r="S138" t="s">
        <v>601</v>
      </c>
      <c r="T138" s="128">
        <f t="shared" si="6"/>
        <v>189113</v>
      </c>
      <c r="U138" s="128">
        <v>137246</v>
      </c>
      <c r="V138" s="128">
        <v>118548588.77348347</v>
      </c>
      <c r="W138" s="128">
        <v>8388</v>
      </c>
      <c r="X138" s="128">
        <v>8506</v>
      </c>
      <c r="Y138" s="128">
        <v>1282</v>
      </c>
      <c r="Z138" s="128">
        <v>999</v>
      </c>
      <c r="AA138" s="128">
        <v>3442</v>
      </c>
      <c r="AB138" s="128">
        <v>291</v>
      </c>
      <c r="AC138" s="128">
        <v>122</v>
      </c>
      <c r="AD138" s="128">
        <v>24</v>
      </c>
      <c r="AE138" s="128">
        <v>45</v>
      </c>
      <c r="AF138" s="128">
        <f t="shared" si="7"/>
        <v>147316.58877348347</v>
      </c>
      <c r="AG138" s="128">
        <v>88724</v>
      </c>
      <c r="AH138" s="128">
        <f t="shared" si="8"/>
        <v>1660.3916502128336</v>
      </c>
      <c r="AI138" t="s">
        <v>467</v>
      </c>
      <c r="AM138" t="s">
        <v>299</v>
      </c>
      <c r="AN138" s="128">
        <v>1478.818362932727</v>
      </c>
      <c r="AO138" t="s">
        <v>467</v>
      </c>
    </row>
    <row r="139" spans="1:41" x14ac:dyDescent="0.25">
      <c r="A139" t="s">
        <v>517</v>
      </c>
      <c r="B139" t="s">
        <v>150</v>
      </c>
      <c r="C139" s="128">
        <v>91282</v>
      </c>
      <c r="D139" s="128">
        <v>247</v>
      </c>
      <c r="E139" s="128">
        <v>1201</v>
      </c>
      <c r="F139" s="128">
        <v>4930</v>
      </c>
      <c r="G139" s="128">
        <v>18140</v>
      </c>
      <c r="H139" s="128">
        <v>7000</v>
      </c>
      <c r="I139" s="128">
        <v>2859</v>
      </c>
      <c r="J139" s="128">
        <v>2875</v>
      </c>
      <c r="K139" s="128">
        <v>616</v>
      </c>
      <c r="L139" s="128">
        <v>1582</v>
      </c>
      <c r="M139" s="128">
        <v>7391</v>
      </c>
      <c r="N139" s="128">
        <v>11601</v>
      </c>
      <c r="O139" s="128">
        <v>22242</v>
      </c>
      <c r="P139" s="128">
        <v>8230</v>
      </c>
      <c r="Q139" s="128">
        <v>1560</v>
      </c>
      <c r="R139" s="128"/>
      <c r="S139" t="s">
        <v>150</v>
      </c>
      <c r="T139" s="128">
        <f t="shared" si="6"/>
        <v>84904</v>
      </c>
      <c r="U139" s="128">
        <v>59798</v>
      </c>
      <c r="V139" s="128">
        <v>51633412.01634872</v>
      </c>
      <c r="W139" s="128">
        <v>4754</v>
      </c>
      <c r="X139" s="128">
        <v>3235</v>
      </c>
      <c r="Y139" s="128">
        <v>234</v>
      </c>
      <c r="Z139" s="128">
        <v>335</v>
      </c>
      <c r="AA139" s="128">
        <v>1039</v>
      </c>
      <c r="AB139" s="128">
        <v>212</v>
      </c>
      <c r="AC139" s="128">
        <v>408</v>
      </c>
      <c r="AD139" s="128">
        <v>16</v>
      </c>
      <c r="AE139" s="128">
        <v>18</v>
      </c>
      <c r="AF139" s="128">
        <f t="shared" si="7"/>
        <v>66488.41201634871</v>
      </c>
      <c r="AG139" s="128">
        <v>35058</v>
      </c>
      <c r="AH139" s="128">
        <f t="shared" si="8"/>
        <v>1896.5261000726998</v>
      </c>
      <c r="AI139" t="s">
        <v>467</v>
      </c>
      <c r="AM139" t="s">
        <v>333</v>
      </c>
      <c r="AN139" s="128">
        <v>1805.1979617278341</v>
      </c>
      <c r="AO139" t="s">
        <v>467</v>
      </c>
    </row>
    <row r="140" spans="1:41" x14ac:dyDescent="0.25">
      <c r="A140" t="s">
        <v>521</v>
      </c>
      <c r="B140" t="s">
        <v>259</v>
      </c>
      <c r="C140" s="128">
        <v>116545</v>
      </c>
      <c r="D140" s="128">
        <v>73</v>
      </c>
      <c r="E140" s="128">
        <v>1089</v>
      </c>
      <c r="F140" s="128">
        <v>5224</v>
      </c>
      <c r="G140" s="128">
        <v>27759</v>
      </c>
      <c r="H140" s="128">
        <v>9187</v>
      </c>
      <c r="I140" s="128">
        <v>4082</v>
      </c>
      <c r="J140" s="128">
        <v>2857</v>
      </c>
      <c r="K140" s="128">
        <v>1907</v>
      </c>
      <c r="L140" s="128">
        <v>2314</v>
      </c>
      <c r="M140" s="128">
        <v>7448</v>
      </c>
      <c r="N140" s="128">
        <v>13217</v>
      </c>
      <c r="O140" s="128">
        <v>29280</v>
      </c>
      <c r="P140" s="128">
        <v>12026</v>
      </c>
      <c r="Q140" s="128">
        <v>105</v>
      </c>
      <c r="R140" s="128"/>
      <c r="S140" t="s">
        <v>259</v>
      </c>
      <c r="T140" s="128">
        <f t="shared" si="6"/>
        <v>110159</v>
      </c>
      <c r="U140" s="128">
        <v>87723</v>
      </c>
      <c r="V140" s="128">
        <v>71728689.351828963</v>
      </c>
      <c r="W140" s="128">
        <v>3950</v>
      </c>
      <c r="X140" s="128">
        <v>6261</v>
      </c>
      <c r="Y140" s="128">
        <v>406</v>
      </c>
      <c r="Z140" s="128">
        <v>559</v>
      </c>
      <c r="AA140" s="128">
        <v>1218</v>
      </c>
      <c r="AB140" s="128">
        <v>271</v>
      </c>
      <c r="AC140" s="128">
        <v>134</v>
      </c>
      <c r="AD140" s="128">
        <v>0</v>
      </c>
      <c r="AE140" s="128">
        <v>53</v>
      </c>
      <c r="AF140" s="128">
        <f t="shared" si="7"/>
        <v>81312.689351828958</v>
      </c>
      <c r="AG140" s="128">
        <v>48789</v>
      </c>
      <c r="AH140" s="128">
        <f t="shared" si="8"/>
        <v>1666.6193066434844</v>
      </c>
      <c r="AI140" t="s">
        <v>467</v>
      </c>
      <c r="AM140" t="s">
        <v>300</v>
      </c>
      <c r="AN140" s="128">
        <v>1685.0752031816664</v>
      </c>
      <c r="AO140" t="s">
        <v>467</v>
      </c>
    </row>
    <row r="141" spans="1:41" x14ac:dyDescent="0.25">
      <c r="A141" t="s">
        <v>517</v>
      </c>
      <c r="B141" t="s">
        <v>111</v>
      </c>
      <c r="C141" s="128">
        <v>194782</v>
      </c>
      <c r="D141" s="128">
        <v>4981</v>
      </c>
      <c r="E141" s="128">
        <v>2726</v>
      </c>
      <c r="F141" s="128">
        <v>7470</v>
      </c>
      <c r="G141" s="128">
        <v>2413</v>
      </c>
      <c r="H141" s="128">
        <v>25083</v>
      </c>
      <c r="I141" s="128">
        <v>3953</v>
      </c>
      <c r="J141" s="128">
        <v>7207</v>
      </c>
      <c r="K141" s="128">
        <v>4155</v>
      </c>
      <c r="L141" s="128">
        <v>8233</v>
      </c>
      <c r="M141" s="128">
        <v>15186</v>
      </c>
      <c r="N141" s="128">
        <v>46398</v>
      </c>
      <c r="O141" s="128">
        <v>50926</v>
      </c>
      <c r="P141" s="128">
        <v>12773</v>
      </c>
      <c r="Q141" s="128">
        <v>3458</v>
      </c>
      <c r="R141" s="128"/>
      <c r="S141" t="s">
        <v>111</v>
      </c>
      <c r="T141" s="128">
        <f t="shared" si="6"/>
        <v>179605</v>
      </c>
      <c r="U141" s="128">
        <v>148046</v>
      </c>
      <c r="V141" s="128">
        <v>102562503.44946076</v>
      </c>
      <c r="W141" s="128">
        <v>4550</v>
      </c>
      <c r="X141" s="128">
        <v>6392</v>
      </c>
      <c r="Y141" s="128">
        <v>910</v>
      </c>
      <c r="Z141" s="128">
        <v>646</v>
      </c>
      <c r="AA141" s="128">
        <v>945</v>
      </c>
      <c r="AB141" s="128">
        <v>116</v>
      </c>
      <c r="AC141" s="128">
        <v>102</v>
      </c>
      <c r="AD141" s="128">
        <v>2618</v>
      </c>
      <c r="AE141" s="128">
        <v>241</v>
      </c>
      <c r="AF141" s="128">
        <f t="shared" si="7"/>
        <v>117601.50344946075</v>
      </c>
      <c r="AG141" s="128">
        <v>55872</v>
      </c>
      <c r="AH141" s="128">
        <f t="shared" si="8"/>
        <v>2104.8379053812423</v>
      </c>
      <c r="AI141" t="s">
        <v>441</v>
      </c>
      <c r="AM141" t="s">
        <v>262</v>
      </c>
      <c r="AN141" s="128">
        <v>2085.8072408235503</v>
      </c>
      <c r="AO141" t="s">
        <v>467</v>
      </c>
    </row>
    <row r="142" spans="1:41" x14ac:dyDescent="0.25">
      <c r="A142" t="s">
        <v>518</v>
      </c>
      <c r="B142" t="s">
        <v>260</v>
      </c>
      <c r="C142" s="128">
        <v>259485</v>
      </c>
      <c r="D142" s="128">
        <v>10973</v>
      </c>
      <c r="E142" s="128">
        <v>2998</v>
      </c>
      <c r="F142" s="128">
        <v>11076</v>
      </c>
      <c r="G142" s="128">
        <v>51333</v>
      </c>
      <c r="H142" s="128">
        <v>8977</v>
      </c>
      <c r="I142" s="128">
        <v>5891</v>
      </c>
      <c r="J142" s="128">
        <v>4785</v>
      </c>
      <c r="K142" s="128">
        <v>2025</v>
      </c>
      <c r="L142" s="128">
        <v>12069</v>
      </c>
      <c r="M142" s="128">
        <v>14614</v>
      </c>
      <c r="N142" s="128">
        <v>42283</v>
      </c>
      <c r="O142" s="128">
        <v>66477</v>
      </c>
      <c r="P142" s="128">
        <v>17221</v>
      </c>
      <c r="Q142" s="128">
        <v>2728</v>
      </c>
      <c r="R142" s="128"/>
      <c r="S142" t="s">
        <v>260</v>
      </c>
      <c r="T142" s="128">
        <f t="shared" si="6"/>
        <v>234438</v>
      </c>
      <c r="U142" s="128">
        <v>186886</v>
      </c>
      <c r="V142" s="128">
        <v>133551323.700729</v>
      </c>
      <c r="W142" s="128">
        <v>5882</v>
      </c>
      <c r="X142" s="128">
        <v>10276</v>
      </c>
      <c r="Y142" s="128">
        <v>275</v>
      </c>
      <c r="Z142" s="128">
        <v>928</v>
      </c>
      <c r="AA142" s="128">
        <v>1013</v>
      </c>
      <c r="AB142" s="128">
        <v>277</v>
      </c>
      <c r="AC142" s="128">
        <v>440</v>
      </c>
      <c r="AD142" s="128">
        <v>4400</v>
      </c>
      <c r="AE142" s="128">
        <v>931</v>
      </c>
      <c r="AF142" s="128">
        <f t="shared" si="7"/>
        <v>156681.323700729</v>
      </c>
      <c r="AG142" s="128">
        <v>74308</v>
      </c>
      <c r="AH142" s="128">
        <f t="shared" si="8"/>
        <v>2108.5391034710801</v>
      </c>
      <c r="AI142" t="s">
        <v>441</v>
      </c>
      <c r="AM142" t="s">
        <v>301</v>
      </c>
      <c r="AN142" s="128">
        <v>1758.5505437065465</v>
      </c>
      <c r="AO142" t="s">
        <v>467</v>
      </c>
    </row>
    <row r="143" spans="1:41" x14ac:dyDescent="0.25">
      <c r="A143" t="s">
        <v>521</v>
      </c>
      <c r="B143" t="s">
        <v>408</v>
      </c>
      <c r="C143" s="128">
        <v>117668</v>
      </c>
      <c r="D143" s="128">
        <v>4560</v>
      </c>
      <c r="E143" s="128">
        <v>1277</v>
      </c>
      <c r="F143" s="128">
        <v>6127</v>
      </c>
      <c r="G143" s="128">
        <v>26125</v>
      </c>
      <c r="H143" s="128">
        <v>6765</v>
      </c>
      <c r="I143" s="128">
        <v>5740</v>
      </c>
      <c r="J143" s="128">
        <v>3506</v>
      </c>
      <c r="K143" s="128">
        <v>2622</v>
      </c>
      <c r="L143" s="128">
        <v>2543</v>
      </c>
      <c r="M143" s="128">
        <v>6660</v>
      </c>
      <c r="N143" s="128">
        <v>14488</v>
      </c>
      <c r="O143" s="128">
        <v>24525</v>
      </c>
      <c r="P143" s="128">
        <v>11755</v>
      </c>
      <c r="Q143" s="128">
        <v>1194</v>
      </c>
      <c r="R143" s="128"/>
      <c r="S143" t="s">
        <v>408</v>
      </c>
      <c r="T143" s="128">
        <f t="shared" si="6"/>
        <v>105704</v>
      </c>
      <c r="U143" s="128">
        <v>71555</v>
      </c>
      <c r="V143" s="128">
        <v>59820734.739164934</v>
      </c>
      <c r="W143" s="128">
        <v>4165</v>
      </c>
      <c r="X143" s="128">
        <v>3558</v>
      </c>
      <c r="Y143" s="128">
        <v>15</v>
      </c>
      <c r="Z143" s="128">
        <v>402</v>
      </c>
      <c r="AA143" s="128">
        <v>2193</v>
      </c>
      <c r="AB143" s="128">
        <v>96</v>
      </c>
      <c r="AC143" s="128">
        <v>3276</v>
      </c>
      <c r="AD143" s="128">
        <v>1</v>
      </c>
      <c r="AE143" s="128">
        <v>514</v>
      </c>
      <c r="AF143" s="128">
        <f t="shared" si="7"/>
        <v>79749.734739164938</v>
      </c>
      <c r="AG143" s="128">
        <v>43041</v>
      </c>
      <c r="AH143" s="128">
        <f t="shared" si="8"/>
        <v>1852.8782960239059</v>
      </c>
      <c r="AI143" t="s">
        <v>467</v>
      </c>
      <c r="AM143" t="s">
        <v>478</v>
      </c>
      <c r="AN143" s="128">
        <v>1744.4205467563879</v>
      </c>
      <c r="AO143" t="s">
        <v>467</v>
      </c>
    </row>
    <row r="144" spans="1:41" x14ac:dyDescent="0.25">
      <c r="A144" t="s">
        <v>522</v>
      </c>
      <c r="B144" t="s">
        <v>221</v>
      </c>
      <c r="C144" s="128">
        <v>140986</v>
      </c>
      <c r="D144" s="128">
        <v>26026</v>
      </c>
      <c r="E144" s="128">
        <v>1273</v>
      </c>
      <c r="F144" s="128">
        <v>5853</v>
      </c>
      <c r="G144" s="128">
        <v>28758</v>
      </c>
      <c r="H144" s="128">
        <v>7685</v>
      </c>
      <c r="I144" s="128">
        <v>2951</v>
      </c>
      <c r="J144" s="128">
        <v>4269</v>
      </c>
      <c r="K144" s="128">
        <v>3064</v>
      </c>
      <c r="L144" s="128">
        <v>2452</v>
      </c>
      <c r="M144" s="128">
        <v>7437</v>
      </c>
      <c r="N144" s="128">
        <v>14549</v>
      </c>
      <c r="O144" s="128">
        <v>26437</v>
      </c>
      <c r="P144" s="128">
        <v>10693</v>
      </c>
      <c r="Q144" s="128">
        <v>311</v>
      </c>
      <c r="R144" s="128"/>
      <c r="S144" t="s">
        <v>221</v>
      </c>
      <c r="T144" s="128">
        <f t="shared" si="6"/>
        <v>107834</v>
      </c>
      <c r="U144" s="128">
        <v>75844</v>
      </c>
      <c r="V144" s="128">
        <v>66630568.137697019</v>
      </c>
      <c r="W144" s="128">
        <v>3278</v>
      </c>
      <c r="X144" s="128">
        <v>5748</v>
      </c>
      <c r="Y144" s="128">
        <v>169</v>
      </c>
      <c r="Z144" s="128">
        <v>623</v>
      </c>
      <c r="AA144" s="128">
        <v>839</v>
      </c>
      <c r="AB144" s="128">
        <v>394</v>
      </c>
      <c r="AC144" s="128">
        <v>220</v>
      </c>
      <c r="AD144" s="128">
        <v>16</v>
      </c>
      <c r="AE144" s="128">
        <v>73</v>
      </c>
      <c r="AF144" s="128">
        <f t="shared" si="7"/>
        <v>87260.568137697017</v>
      </c>
      <c r="AG144" s="128">
        <v>50330</v>
      </c>
      <c r="AH144" s="128">
        <f t="shared" si="8"/>
        <v>1733.7684907152197</v>
      </c>
      <c r="AI144" t="s">
        <v>467</v>
      </c>
      <c r="AM144" t="s">
        <v>375</v>
      </c>
      <c r="AN144" s="128">
        <v>1822.0542808322948</v>
      </c>
      <c r="AO144" t="s">
        <v>467</v>
      </c>
    </row>
    <row r="145" spans="1:41" x14ac:dyDescent="0.25">
      <c r="A145" t="s">
        <v>518</v>
      </c>
      <c r="B145" t="s">
        <v>261</v>
      </c>
      <c r="C145" s="243">
        <v>105790</v>
      </c>
      <c r="D145" s="128">
        <v>69</v>
      </c>
      <c r="E145" s="128">
        <v>1</v>
      </c>
      <c r="F145" s="128">
        <v>5645</v>
      </c>
      <c r="G145" s="128">
        <v>26245</v>
      </c>
      <c r="H145" s="128">
        <v>6524</v>
      </c>
      <c r="I145" s="128">
        <v>3523</v>
      </c>
      <c r="J145" s="128">
        <v>3594</v>
      </c>
      <c r="K145" s="128">
        <v>367</v>
      </c>
      <c r="L145" s="128">
        <v>2735</v>
      </c>
      <c r="M145" s="128">
        <v>6631</v>
      </c>
      <c r="N145" s="128">
        <v>17632</v>
      </c>
      <c r="O145" s="128">
        <v>23859</v>
      </c>
      <c r="P145" s="128">
        <v>8286</v>
      </c>
      <c r="Q145" s="128">
        <v>742</v>
      </c>
      <c r="R145" s="128"/>
      <c r="S145" t="s">
        <v>261</v>
      </c>
      <c r="T145" s="128">
        <f t="shared" si="6"/>
        <v>100075</v>
      </c>
      <c r="U145" s="243">
        <v>73034</v>
      </c>
      <c r="V145" s="128">
        <v>61572047.517596155</v>
      </c>
      <c r="W145" s="243">
        <v>4479</v>
      </c>
      <c r="X145" s="243">
        <v>6369</v>
      </c>
      <c r="Y145" s="243">
        <v>352</v>
      </c>
      <c r="Z145" s="243">
        <v>577</v>
      </c>
      <c r="AA145" s="243">
        <v>376</v>
      </c>
      <c r="AB145" s="355">
        <v>114</v>
      </c>
      <c r="AC145" s="243">
        <v>60</v>
      </c>
      <c r="AD145" s="243">
        <v>6</v>
      </c>
      <c r="AE145" s="243">
        <v>734</v>
      </c>
      <c r="AF145" s="128">
        <f t="shared" si="7"/>
        <v>75546.047517596162</v>
      </c>
      <c r="AG145" s="128">
        <v>40941</v>
      </c>
      <c r="AH145" s="128">
        <f t="shared" si="8"/>
        <v>1845.2418728803927</v>
      </c>
      <c r="AI145" t="s">
        <v>118</v>
      </c>
      <c r="AM145" t="s">
        <v>263</v>
      </c>
      <c r="AN145" s="128">
        <v>1552.0115940186956</v>
      </c>
      <c r="AO145" t="s">
        <v>467</v>
      </c>
    </row>
    <row r="146" spans="1:41" x14ac:dyDescent="0.25">
      <c r="A146" t="s">
        <v>516</v>
      </c>
      <c r="B146" t="s">
        <v>332</v>
      </c>
      <c r="C146" s="128">
        <v>75520</v>
      </c>
      <c r="D146" s="128">
        <v>2050</v>
      </c>
      <c r="E146" s="128">
        <v>563</v>
      </c>
      <c r="F146" s="128">
        <v>2961</v>
      </c>
      <c r="G146" s="128">
        <v>15126</v>
      </c>
      <c r="H146" s="128">
        <v>7864</v>
      </c>
      <c r="I146" s="128">
        <v>2277</v>
      </c>
      <c r="J146" s="128">
        <v>3563</v>
      </c>
      <c r="K146" s="128">
        <v>314</v>
      </c>
      <c r="L146" s="128">
        <v>1813</v>
      </c>
      <c r="M146" s="128">
        <v>3961</v>
      </c>
      <c r="N146" s="128">
        <v>10544</v>
      </c>
      <c r="O146" s="128">
        <v>17774</v>
      </c>
      <c r="P146" s="128">
        <v>6381</v>
      </c>
      <c r="Q146" s="128">
        <v>413</v>
      </c>
      <c r="R146" s="128"/>
      <c r="S146" t="s">
        <v>332</v>
      </c>
      <c r="T146" s="128">
        <f t="shared" si="6"/>
        <v>69946</v>
      </c>
      <c r="U146" s="128">
        <v>55304</v>
      </c>
      <c r="V146" s="128">
        <v>44241320.039330333</v>
      </c>
      <c r="W146" s="128">
        <v>3544</v>
      </c>
      <c r="X146" s="128">
        <v>3619</v>
      </c>
      <c r="Y146" s="128">
        <v>115</v>
      </c>
      <c r="Z146" s="128">
        <v>258</v>
      </c>
      <c r="AA146" s="128">
        <v>853</v>
      </c>
      <c r="AB146" s="128">
        <v>72</v>
      </c>
      <c r="AC146" s="128">
        <v>110</v>
      </c>
      <c r="AD146" s="128">
        <v>655</v>
      </c>
      <c r="AE146" s="128">
        <v>1884</v>
      </c>
      <c r="AF146" s="128">
        <f t="shared" si="7"/>
        <v>47773.320039330334</v>
      </c>
      <c r="AG146" s="128">
        <v>27532</v>
      </c>
      <c r="AH146" s="128">
        <f t="shared" si="8"/>
        <v>1735.192504697455</v>
      </c>
      <c r="AI146" t="s">
        <v>118</v>
      </c>
      <c r="AM146" t="s">
        <v>302</v>
      </c>
      <c r="AN146" s="128">
        <v>1556.2218725991427</v>
      </c>
      <c r="AO146" t="s">
        <v>467</v>
      </c>
    </row>
    <row r="147" spans="1:41" x14ac:dyDescent="0.25">
      <c r="A147" t="s">
        <v>518</v>
      </c>
      <c r="B147" t="s">
        <v>222</v>
      </c>
      <c r="C147" s="128">
        <v>83084</v>
      </c>
      <c r="D147" s="128">
        <v>86</v>
      </c>
      <c r="E147" s="128">
        <v>618</v>
      </c>
      <c r="F147" s="128">
        <v>3511</v>
      </c>
      <c r="G147" s="128">
        <v>16983</v>
      </c>
      <c r="H147" s="128">
        <v>5302</v>
      </c>
      <c r="I147" s="128">
        <v>2298</v>
      </c>
      <c r="J147" s="128">
        <v>3415</v>
      </c>
      <c r="K147" s="128">
        <v>259</v>
      </c>
      <c r="L147" s="128">
        <v>2058</v>
      </c>
      <c r="M147" s="128">
        <v>7761</v>
      </c>
      <c r="N147" s="128">
        <v>13460</v>
      </c>
      <c r="O147" s="128">
        <v>16373</v>
      </c>
      <c r="P147" s="128">
        <v>8805</v>
      </c>
      <c r="Q147" s="128">
        <v>2186</v>
      </c>
      <c r="R147" s="128"/>
      <c r="S147" t="s">
        <v>222</v>
      </c>
      <c r="T147" s="128">
        <f t="shared" si="6"/>
        <v>78869</v>
      </c>
      <c r="U147" s="128">
        <v>59896</v>
      </c>
      <c r="V147" s="128">
        <v>50914216.371145688</v>
      </c>
      <c r="W147" s="128">
        <v>3888</v>
      </c>
      <c r="X147" s="128">
        <v>4850</v>
      </c>
      <c r="Y147" s="128">
        <v>275</v>
      </c>
      <c r="Z147" s="128">
        <v>378</v>
      </c>
      <c r="AA147" s="128">
        <v>712</v>
      </c>
      <c r="AB147" s="128">
        <v>116</v>
      </c>
      <c r="AC147" s="128">
        <v>25</v>
      </c>
      <c r="AD147" s="128">
        <v>1457</v>
      </c>
      <c r="AE147" s="128">
        <v>61</v>
      </c>
      <c r="AF147" s="128">
        <f t="shared" si="7"/>
        <v>58125.216371145681</v>
      </c>
      <c r="AG147" s="128">
        <v>33437</v>
      </c>
      <c r="AH147" s="128">
        <f t="shared" si="8"/>
        <v>1738.3502219441241</v>
      </c>
      <c r="AI147" t="s">
        <v>467</v>
      </c>
      <c r="AM147" t="s">
        <v>265</v>
      </c>
      <c r="AN147" s="128">
        <v>1704.3253272678626</v>
      </c>
      <c r="AO147" t="s">
        <v>467</v>
      </c>
    </row>
    <row r="148" spans="1:41" x14ac:dyDescent="0.25">
      <c r="A148" t="s">
        <v>526</v>
      </c>
      <c r="B148" t="s">
        <v>299</v>
      </c>
      <c r="C148" s="128">
        <v>62280</v>
      </c>
      <c r="D148" s="128">
        <v>2665</v>
      </c>
      <c r="E148" s="128">
        <v>920</v>
      </c>
      <c r="F148" s="128">
        <v>2787</v>
      </c>
      <c r="G148" s="128">
        <v>12548</v>
      </c>
      <c r="H148" s="128">
        <v>6547</v>
      </c>
      <c r="I148" s="128">
        <v>2067</v>
      </c>
      <c r="J148" s="128">
        <v>3311</v>
      </c>
      <c r="K148" s="128">
        <v>273</v>
      </c>
      <c r="L148" s="128">
        <v>2573</v>
      </c>
      <c r="M148" s="128">
        <v>3319</v>
      </c>
      <c r="N148" s="128">
        <v>9454</v>
      </c>
      <c r="O148" s="128">
        <v>8871</v>
      </c>
      <c r="P148" s="128">
        <v>6357</v>
      </c>
      <c r="Q148" s="128">
        <v>775</v>
      </c>
      <c r="R148" s="128"/>
      <c r="S148" t="s">
        <v>299</v>
      </c>
      <c r="T148" s="128">
        <f t="shared" si="6"/>
        <v>55908</v>
      </c>
      <c r="U148" s="128">
        <v>39719</v>
      </c>
      <c r="V148" s="128">
        <v>35088117.052371353</v>
      </c>
      <c r="W148" s="128">
        <v>3842</v>
      </c>
      <c r="X148" s="128">
        <v>4066</v>
      </c>
      <c r="Y148" s="128">
        <v>63</v>
      </c>
      <c r="Z148" s="128">
        <v>302</v>
      </c>
      <c r="AA148" s="128">
        <v>1318</v>
      </c>
      <c r="AB148" s="128">
        <v>226</v>
      </c>
      <c r="AC148" s="128">
        <v>0</v>
      </c>
      <c r="AD148" s="128">
        <v>0</v>
      </c>
      <c r="AE148" s="128">
        <v>207</v>
      </c>
      <c r="AF148" s="128">
        <f t="shared" si="7"/>
        <v>41253.117052371352</v>
      </c>
      <c r="AG148" s="128">
        <v>27896</v>
      </c>
      <c r="AH148" s="128">
        <f t="shared" si="8"/>
        <v>1478.818362932727</v>
      </c>
      <c r="AI148" t="s">
        <v>467</v>
      </c>
      <c r="AM148" t="s">
        <v>304</v>
      </c>
      <c r="AN148" s="128">
        <v>1757.3553882133358</v>
      </c>
      <c r="AO148" t="s">
        <v>467</v>
      </c>
    </row>
    <row r="149" spans="1:41" x14ac:dyDescent="0.25">
      <c r="A149" t="s">
        <v>524</v>
      </c>
      <c r="B149" t="s">
        <v>151</v>
      </c>
      <c r="C149" s="128">
        <v>157476</v>
      </c>
      <c r="D149" s="128">
        <v>9604</v>
      </c>
      <c r="E149" s="128">
        <v>3288</v>
      </c>
      <c r="F149" s="128">
        <v>6834</v>
      </c>
      <c r="G149" s="128">
        <v>34063</v>
      </c>
      <c r="H149" s="128">
        <v>14962</v>
      </c>
      <c r="I149" s="128">
        <v>3720</v>
      </c>
      <c r="J149" s="128">
        <v>5707</v>
      </c>
      <c r="K149" s="128">
        <v>924</v>
      </c>
      <c r="L149" s="128">
        <v>4136</v>
      </c>
      <c r="M149" s="128">
        <v>12658</v>
      </c>
      <c r="N149" s="128">
        <v>24966</v>
      </c>
      <c r="O149" s="128">
        <v>29583</v>
      </c>
      <c r="P149" s="128">
        <v>7868</v>
      </c>
      <c r="Q149" s="128">
        <v>1115</v>
      </c>
      <c r="R149" s="128"/>
      <c r="S149" t="s">
        <v>151</v>
      </c>
      <c r="T149" s="128">
        <f t="shared" si="6"/>
        <v>137750</v>
      </c>
      <c r="U149" s="128">
        <v>110712</v>
      </c>
      <c r="V149" s="128">
        <v>90720077.044891253</v>
      </c>
      <c r="W149" s="128">
        <v>3263</v>
      </c>
      <c r="X149" s="128">
        <v>5023</v>
      </c>
      <c r="Y149" s="128">
        <v>684</v>
      </c>
      <c r="Z149" s="128">
        <v>686</v>
      </c>
      <c r="AA149" s="128">
        <v>1248</v>
      </c>
      <c r="AB149" s="128">
        <v>607</v>
      </c>
      <c r="AC149" s="128">
        <v>77</v>
      </c>
      <c r="AD149" s="128">
        <v>1950</v>
      </c>
      <c r="AE149" s="128">
        <v>293</v>
      </c>
      <c r="AF149" s="128">
        <f t="shared" si="7"/>
        <v>103927.07704489125</v>
      </c>
      <c r="AG149" s="128">
        <v>54780</v>
      </c>
      <c r="AH149" s="128">
        <f t="shared" si="8"/>
        <v>1897.1719066245209</v>
      </c>
      <c r="AI149" t="s">
        <v>441</v>
      </c>
      <c r="AM149" t="s">
        <v>411</v>
      </c>
      <c r="AN149" s="128">
        <v>1615.9312985003207</v>
      </c>
      <c r="AO149" t="s">
        <v>467</v>
      </c>
    </row>
    <row r="150" spans="1:41" x14ac:dyDescent="0.25">
      <c r="A150" t="s">
        <v>518</v>
      </c>
      <c r="B150" t="s">
        <v>333</v>
      </c>
      <c r="C150" s="128">
        <v>35357</v>
      </c>
      <c r="D150" s="128">
        <v>2178</v>
      </c>
      <c r="E150" s="128">
        <v>477</v>
      </c>
      <c r="F150" s="128">
        <v>2297</v>
      </c>
      <c r="G150" s="128">
        <v>5732</v>
      </c>
      <c r="H150" s="128">
        <v>3424</v>
      </c>
      <c r="I150" s="128">
        <v>887</v>
      </c>
      <c r="J150" s="128">
        <v>1067</v>
      </c>
      <c r="K150" s="128">
        <v>2318</v>
      </c>
      <c r="L150" s="128">
        <v>992</v>
      </c>
      <c r="M150" s="128">
        <v>2025</v>
      </c>
      <c r="N150" s="128">
        <v>2507</v>
      </c>
      <c r="O150" s="128">
        <v>7729</v>
      </c>
      <c r="P150" s="128">
        <v>3298</v>
      </c>
      <c r="Q150" s="128">
        <v>494</v>
      </c>
      <c r="R150" s="128"/>
      <c r="S150" t="s">
        <v>333</v>
      </c>
      <c r="T150" s="128">
        <f t="shared" si="6"/>
        <v>30405</v>
      </c>
      <c r="U150" s="128">
        <v>21053</v>
      </c>
      <c r="V150" s="128">
        <v>18585093.055581585</v>
      </c>
      <c r="W150" s="128">
        <v>1572</v>
      </c>
      <c r="X150" s="128">
        <v>1489</v>
      </c>
      <c r="Y150" s="128">
        <v>229</v>
      </c>
      <c r="Z150" s="128">
        <v>150</v>
      </c>
      <c r="AA150" s="128">
        <v>503</v>
      </c>
      <c r="AB150" s="128">
        <v>29</v>
      </c>
      <c r="AC150" s="128">
        <v>175</v>
      </c>
      <c r="AD150" s="128">
        <v>0</v>
      </c>
      <c r="AE150" s="128">
        <v>281</v>
      </c>
      <c r="AF150" s="128">
        <f t="shared" si="7"/>
        <v>23509.093055581583</v>
      </c>
      <c r="AG150" s="128">
        <v>13023</v>
      </c>
      <c r="AH150" s="128">
        <f t="shared" si="8"/>
        <v>1805.1979617278341</v>
      </c>
      <c r="AI150" t="s">
        <v>467</v>
      </c>
      <c r="AM150" t="s">
        <v>223</v>
      </c>
      <c r="AN150" s="128">
        <v>1603.1588170876632</v>
      </c>
      <c r="AO150" t="s">
        <v>467</v>
      </c>
    </row>
    <row r="151" spans="1:41" x14ac:dyDescent="0.25">
      <c r="A151" t="s">
        <v>528</v>
      </c>
      <c r="B151" t="s">
        <v>300</v>
      </c>
      <c r="C151" s="128">
        <v>174550</v>
      </c>
      <c r="D151" s="128">
        <v>6547</v>
      </c>
      <c r="E151" s="128">
        <v>2860</v>
      </c>
      <c r="F151" s="128">
        <v>12061</v>
      </c>
      <c r="G151" s="128">
        <v>38332</v>
      </c>
      <c r="H151" s="128">
        <v>11225</v>
      </c>
      <c r="I151" s="128">
        <v>4274</v>
      </c>
      <c r="J151" s="128">
        <v>8206</v>
      </c>
      <c r="K151" s="128">
        <v>3263</v>
      </c>
      <c r="L151" s="128">
        <v>4132</v>
      </c>
      <c r="M151" s="128">
        <v>9566</v>
      </c>
      <c r="N151" s="128">
        <v>22969</v>
      </c>
      <c r="O151" s="128">
        <v>37060</v>
      </c>
      <c r="P151" s="128">
        <v>11947</v>
      </c>
      <c r="Q151" s="128">
        <v>2271</v>
      </c>
      <c r="R151" s="128"/>
      <c r="S151" t="s">
        <v>300</v>
      </c>
      <c r="T151" s="128">
        <f t="shared" si="6"/>
        <v>153082</v>
      </c>
      <c r="U151" s="128">
        <v>114349</v>
      </c>
      <c r="V151" s="128">
        <v>94306366.418117255</v>
      </c>
      <c r="W151" s="128">
        <v>4415</v>
      </c>
      <c r="X151" s="128">
        <v>8512</v>
      </c>
      <c r="Y151" s="128">
        <v>309</v>
      </c>
      <c r="Z151" s="128">
        <v>1180</v>
      </c>
      <c r="AA151" s="128">
        <v>1967</v>
      </c>
      <c r="AB151" s="128">
        <v>268</v>
      </c>
      <c r="AC151" s="128">
        <v>563</v>
      </c>
      <c r="AD151" s="128">
        <v>4207</v>
      </c>
      <c r="AE151" s="128">
        <v>336</v>
      </c>
      <c r="AF151" s="128">
        <f t="shared" si="7"/>
        <v>111282.36641811725</v>
      </c>
      <c r="AG151" s="128">
        <v>66040</v>
      </c>
      <c r="AH151" s="128">
        <f t="shared" si="8"/>
        <v>1685.0752031816664</v>
      </c>
      <c r="AI151" t="s">
        <v>467</v>
      </c>
      <c r="AM151" t="s">
        <v>187</v>
      </c>
      <c r="AN151" s="128">
        <v>1708.279219466601</v>
      </c>
      <c r="AO151" t="s">
        <v>467</v>
      </c>
    </row>
    <row r="152" spans="1:41" x14ac:dyDescent="0.25">
      <c r="A152" t="s">
        <v>524</v>
      </c>
      <c r="B152" t="s">
        <v>409</v>
      </c>
      <c r="C152" s="128">
        <v>180217</v>
      </c>
      <c r="D152" s="128">
        <v>29</v>
      </c>
      <c r="E152" s="128">
        <v>2281</v>
      </c>
      <c r="F152" s="128">
        <v>9311</v>
      </c>
      <c r="G152" s="128">
        <v>31351</v>
      </c>
      <c r="H152" s="128">
        <v>12174</v>
      </c>
      <c r="I152" s="128">
        <v>3891</v>
      </c>
      <c r="J152" s="128">
        <v>2800</v>
      </c>
      <c r="K152" s="128">
        <v>1384</v>
      </c>
      <c r="L152" s="128">
        <v>2465</v>
      </c>
      <c r="M152" s="128">
        <v>8782</v>
      </c>
      <c r="N152" s="128">
        <v>52733</v>
      </c>
      <c r="O152" s="128">
        <v>43362</v>
      </c>
      <c r="P152" s="128">
        <v>9044</v>
      </c>
      <c r="Q152" s="128">
        <v>392</v>
      </c>
      <c r="R152" s="128"/>
      <c r="S152" t="s">
        <v>409</v>
      </c>
      <c r="T152" s="128">
        <f t="shared" si="6"/>
        <v>168596</v>
      </c>
      <c r="U152" s="128">
        <v>147853</v>
      </c>
      <c r="V152" s="128">
        <v>95817194.673134923</v>
      </c>
      <c r="W152" s="128">
        <v>5377</v>
      </c>
      <c r="X152" s="128">
        <v>6140</v>
      </c>
      <c r="Y152" s="128">
        <v>45</v>
      </c>
      <c r="Z152" s="128">
        <v>443</v>
      </c>
      <c r="AA152" s="128">
        <v>337</v>
      </c>
      <c r="AB152" s="128">
        <v>301</v>
      </c>
      <c r="AC152" s="128">
        <v>171</v>
      </c>
      <c r="AD152" s="128">
        <v>674</v>
      </c>
      <c r="AE152" s="128">
        <v>304</v>
      </c>
      <c r="AF152" s="128">
        <f t="shared" si="7"/>
        <v>102768.19467313492</v>
      </c>
      <c r="AG152" s="128">
        <v>45290</v>
      </c>
      <c r="AH152" s="128">
        <f t="shared" si="8"/>
        <v>2269.1144772164921</v>
      </c>
      <c r="AI152" t="s">
        <v>441</v>
      </c>
      <c r="AM152" t="s">
        <v>306</v>
      </c>
      <c r="AN152" s="128">
        <v>1623.1163390860931</v>
      </c>
      <c r="AO152" t="s">
        <v>467</v>
      </c>
    </row>
    <row r="153" spans="1:41" x14ac:dyDescent="0.25">
      <c r="A153" t="s">
        <v>521</v>
      </c>
      <c r="B153" t="s">
        <v>262</v>
      </c>
      <c r="C153" s="128">
        <v>66760</v>
      </c>
      <c r="D153" s="128">
        <v>4980</v>
      </c>
      <c r="E153" s="128">
        <v>44</v>
      </c>
      <c r="F153" s="128">
        <v>2874</v>
      </c>
      <c r="G153" s="128">
        <v>15245</v>
      </c>
      <c r="H153" s="128">
        <v>7671</v>
      </c>
      <c r="I153" s="128">
        <v>1848</v>
      </c>
      <c r="J153" s="128">
        <v>1705</v>
      </c>
      <c r="K153" s="128">
        <v>282</v>
      </c>
      <c r="L153" s="128">
        <v>1779</v>
      </c>
      <c r="M153" s="128">
        <v>2384</v>
      </c>
      <c r="N153" s="128">
        <v>8182</v>
      </c>
      <c r="O153" s="128">
        <v>9224</v>
      </c>
      <c r="P153" s="128">
        <v>5884</v>
      </c>
      <c r="Q153" s="128">
        <v>4778</v>
      </c>
      <c r="R153" s="128"/>
      <c r="S153" t="s">
        <v>262</v>
      </c>
      <c r="T153" s="128">
        <f t="shared" si="6"/>
        <v>58862</v>
      </c>
      <c r="U153" s="128">
        <v>35657</v>
      </c>
      <c r="V153" s="128">
        <v>30252084.63581543</v>
      </c>
      <c r="W153" s="128">
        <v>1100</v>
      </c>
      <c r="X153" s="128">
        <v>3404</v>
      </c>
      <c r="Y153" s="128">
        <v>35</v>
      </c>
      <c r="Z153" s="128">
        <v>175</v>
      </c>
      <c r="AA153" s="128">
        <v>521</v>
      </c>
      <c r="AB153" s="128">
        <v>25</v>
      </c>
      <c r="AC153" s="128">
        <v>118</v>
      </c>
      <c r="AD153" s="128">
        <v>0</v>
      </c>
      <c r="AE153" s="128">
        <v>20</v>
      </c>
      <c r="AF153" s="128">
        <f t="shared" si="7"/>
        <v>48059.08463581543</v>
      </c>
      <c r="AG153" s="128">
        <v>23041</v>
      </c>
      <c r="AH153" s="128">
        <f t="shared" si="8"/>
        <v>2085.8072408235503</v>
      </c>
      <c r="AI153" t="s">
        <v>467</v>
      </c>
      <c r="AM153" t="s">
        <v>188</v>
      </c>
      <c r="AN153" s="128">
        <v>1762.5165839764743</v>
      </c>
      <c r="AO153" t="s">
        <v>467</v>
      </c>
    </row>
    <row r="154" spans="1:41" x14ac:dyDescent="0.25">
      <c r="A154" t="s">
        <v>522</v>
      </c>
      <c r="B154" t="s">
        <v>301</v>
      </c>
      <c r="C154" s="128">
        <v>75442</v>
      </c>
      <c r="D154" s="128">
        <v>301</v>
      </c>
      <c r="E154" s="128">
        <v>847</v>
      </c>
      <c r="F154" s="128">
        <v>2623</v>
      </c>
      <c r="G154" s="128">
        <v>12314</v>
      </c>
      <c r="H154" s="128">
        <v>5546</v>
      </c>
      <c r="I154" s="128">
        <v>1735</v>
      </c>
      <c r="J154" s="128">
        <v>2256</v>
      </c>
      <c r="K154" s="128">
        <v>183</v>
      </c>
      <c r="L154" s="128">
        <v>2129</v>
      </c>
      <c r="M154" s="128">
        <v>6764</v>
      </c>
      <c r="N154" s="128">
        <v>14100</v>
      </c>
      <c r="O154" s="128">
        <v>18446</v>
      </c>
      <c r="P154" s="128">
        <v>7977</v>
      </c>
      <c r="Q154" s="128">
        <v>221</v>
      </c>
      <c r="R154" s="128"/>
      <c r="S154" t="s">
        <v>301</v>
      </c>
      <c r="T154" s="128">
        <f t="shared" si="6"/>
        <v>71671</v>
      </c>
      <c r="U154" s="128">
        <v>55561</v>
      </c>
      <c r="V154" s="128">
        <v>45844522.793671772</v>
      </c>
      <c r="W154" s="128">
        <v>3647</v>
      </c>
      <c r="X154" s="128">
        <v>4808</v>
      </c>
      <c r="Y154" s="128">
        <v>539</v>
      </c>
      <c r="Z154" s="128">
        <v>286</v>
      </c>
      <c r="AA154" s="128">
        <v>740</v>
      </c>
      <c r="AB154" s="128">
        <v>135</v>
      </c>
      <c r="AC154" s="128">
        <v>0</v>
      </c>
      <c r="AD154" s="128">
        <v>13</v>
      </c>
      <c r="AE154" s="128">
        <v>57</v>
      </c>
      <c r="AF154" s="128">
        <f t="shared" si="7"/>
        <v>51729.522793671771</v>
      </c>
      <c r="AG154" s="128">
        <v>29416</v>
      </c>
      <c r="AH154" s="128">
        <f t="shared" si="8"/>
        <v>1758.5505437065465</v>
      </c>
      <c r="AI154" t="s">
        <v>467</v>
      </c>
      <c r="AM154" t="s">
        <v>377</v>
      </c>
      <c r="AN154" s="128">
        <v>1653.6571151447415</v>
      </c>
      <c r="AO154" t="s">
        <v>467</v>
      </c>
    </row>
    <row r="155" spans="1:41" x14ac:dyDescent="0.25">
      <c r="A155" t="s">
        <v>528</v>
      </c>
      <c r="B155" t="s">
        <v>478</v>
      </c>
      <c r="C155" s="128">
        <v>148053</v>
      </c>
      <c r="D155" s="128">
        <v>8884</v>
      </c>
      <c r="E155" s="128">
        <v>1094</v>
      </c>
      <c r="F155" s="128">
        <v>6474</v>
      </c>
      <c r="G155" s="128">
        <v>33602</v>
      </c>
      <c r="H155" s="128">
        <v>7579</v>
      </c>
      <c r="I155" s="128">
        <v>4066</v>
      </c>
      <c r="J155" s="128">
        <v>8121</v>
      </c>
      <c r="K155" s="128">
        <v>1062</v>
      </c>
      <c r="L155" s="128">
        <v>4603</v>
      </c>
      <c r="M155" s="128">
        <v>6982</v>
      </c>
      <c r="N155" s="128">
        <v>17725</v>
      </c>
      <c r="O155" s="128">
        <v>33259</v>
      </c>
      <c r="P155" s="128">
        <v>12735</v>
      </c>
      <c r="Q155" s="128">
        <v>2126</v>
      </c>
      <c r="R155" s="128"/>
      <c r="S155" t="s">
        <v>478</v>
      </c>
      <c r="T155" s="128">
        <f t="shared" si="6"/>
        <v>131601</v>
      </c>
      <c r="U155" s="128">
        <v>98452</v>
      </c>
      <c r="V155" s="128">
        <v>83327358.500653282</v>
      </c>
      <c r="W155" s="128">
        <v>6089</v>
      </c>
      <c r="X155" s="128">
        <v>6500</v>
      </c>
      <c r="Y155" s="128">
        <v>1013</v>
      </c>
      <c r="Z155" s="128">
        <v>625</v>
      </c>
      <c r="AA155" s="128">
        <v>2015</v>
      </c>
      <c r="AB155" s="128">
        <v>367</v>
      </c>
      <c r="AC155" s="128">
        <v>264</v>
      </c>
      <c r="AD155" s="128">
        <v>0</v>
      </c>
      <c r="AE155" s="128">
        <v>58</v>
      </c>
      <c r="AF155" s="128">
        <f t="shared" si="7"/>
        <v>99545.358500653281</v>
      </c>
      <c r="AG155" s="128">
        <v>57065</v>
      </c>
      <c r="AH155" s="128">
        <f t="shared" si="8"/>
        <v>1744.4205467563879</v>
      </c>
      <c r="AI155" t="s">
        <v>467</v>
      </c>
      <c r="AM155" t="s">
        <v>224</v>
      </c>
      <c r="AN155" s="128">
        <v>1728.8558124476408</v>
      </c>
      <c r="AO155" t="s">
        <v>467</v>
      </c>
    </row>
    <row r="156" spans="1:41" x14ac:dyDescent="0.25">
      <c r="A156" t="s">
        <v>521</v>
      </c>
      <c r="B156" t="s">
        <v>375</v>
      </c>
      <c r="C156" s="128">
        <v>61626</v>
      </c>
      <c r="D156" s="128">
        <v>4303</v>
      </c>
      <c r="E156" s="128">
        <v>220</v>
      </c>
      <c r="F156" s="128">
        <v>2312</v>
      </c>
      <c r="G156" s="128">
        <v>9836</v>
      </c>
      <c r="H156" s="128">
        <v>5371</v>
      </c>
      <c r="I156" s="128">
        <v>1509</v>
      </c>
      <c r="J156" s="128">
        <v>2022</v>
      </c>
      <c r="K156" s="128">
        <v>5020</v>
      </c>
      <c r="L156" s="128">
        <v>755</v>
      </c>
      <c r="M156" s="128">
        <v>3442</v>
      </c>
      <c r="N156" s="128">
        <v>8823</v>
      </c>
      <c r="O156" s="128">
        <v>12480</v>
      </c>
      <c r="P156" s="128">
        <v>4851</v>
      </c>
      <c r="Q156" s="128">
        <v>751</v>
      </c>
      <c r="R156" s="128"/>
      <c r="S156" t="s">
        <v>375</v>
      </c>
      <c r="T156" s="128">
        <f t="shared" si="6"/>
        <v>54791</v>
      </c>
      <c r="U156" s="128">
        <v>38605</v>
      </c>
      <c r="V156" s="128">
        <v>31227035.473697003</v>
      </c>
      <c r="W156" s="128">
        <v>2231</v>
      </c>
      <c r="X156" s="128">
        <v>2087</v>
      </c>
      <c r="Y156" s="128">
        <v>0</v>
      </c>
      <c r="Z156" s="128">
        <v>217</v>
      </c>
      <c r="AA156" s="128">
        <v>936</v>
      </c>
      <c r="AB156" s="128">
        <v>51</v>
      </c>
      <c r="AC156" s="128">
        <v>0</v>
      </c>
      <c r="AD156" s="128">
        <v>0</v>
      </c>
      <c r="AE156" s="128">
        <v>84</v>
      </c>
      <c r="AF156" s="128">
        <f t="shared" si="7"/>
        <v>41807.035473697004</v>
      </c>
      <c r="AG156" s="128">
        <v>22945</v>
      </c>
      <c r="AH156" s="128">
        <f t="shared" si="8"/>
        <v>1822.0542808322948</v>
      </c>
      <c r="AI156" t="s">
        <v>467</v>
      </c>
      <c r="AM156" t="s">
        <v>189</v>
      </c>
      <c r="AN156" s="128">
        <v>1694.2537001640985</v>
      </c>
      <c r="AO156" t="s">
        <v>467</v>
      </c>
    </row>
    <row r="157" spans="1:41" x14ac:dyDescent="0.25">
      <c r="A157" t="s">
        <v>526</v>
      </c>
      <c r="B157" s="207" t="s">
        <v>868</v>
      </c>
      <c r="C157" s="242">
        <v>241877</v>
      </c>
      <c r="D157" s="242">
        <v>17893</v>
      </c>
      <c r="E157" s="242">
        <v>3417</v>
      </c>
      <c r="F157" s="242">
        <v>14245</v>
      </c>
      <c r="G157" s="242">
        <v>25160</v>
      </c>
      <c r="H157" s="242">
        <v>26335</v>
      </c>
      <c r="I157" s="242">
        <v>7036</v>
      </c>
      <c r="J157" s="242">
        <v>7887</v>
      </c>
      <c r="K157" s="242">
        <v>5911</v>
      </c>
      <c r="L157" s="242">
        <v>5253</v>
      </c>
      <c r="M157" s="242">
        <v>15725</v>
      </c>
      <c r="N157" s="242">
        <v>39140</v>
      </c>
      <c r="O157" s="242">
        <v>53954</v>
      </c>
      <c r="P157" s="242">
        <v>16542</v>
      </c>
      <c r="Q157" s="242">
        <v>4571</v>
      </c>
      <c r="R157" s="128"/>
      <c r="S157" t="s">
        <v>868</v>
      </c>
      <c r="T157" s="128">
        <f t="shared" si="6"/>
        <v>206322</v>
      </c>
      <c r="U157" s="242">
        <v>170725</v>
      </c>
      <c r="V157" s="128">
        <v>138868193.33285576</v>
      </c>
      <c r="W157" s="128">
        <v>8633</v>
      </c>
      <c r="X157" s="128">
        <v>6498</v>
      </c>
      <c r="Y157" s="128">
        <v>315</v>
      </c>
      <c r="Z157" s="128">
        <v>1126</v>
      </c>
      <c r="AA157" s="128">
        <v>3230</v>
      </c>
      <c r="AB157" s="128">
        <v>1089</v>
      </c>
      <c r="AC157" s="128">
        <v>776</v>
      </c>
      <c r="AD157" s="128">
        <v>30</v>
      </c>
      <c r="AE157" s="128">
        <v>0</v>
      </c>
      <c r="AF157" s="128">
        <f t="shared" si="7"/>
        <v>152768.19333285576</v>
      </c>
      <c r="AG157" s="128">
        <v>90734</v>
      </c>
      <c r="AH157" s="128">
        <f t="shared" si="8"/>
        <v>1683.6929192238385</v>
      </c>
      <c r="AI157" t="s">
        <v>118</v>
      </c>
      <c r="AM157" t="s">
        <v>587</v>
      </c>
      <c r="AN157" s="128">
        <v>2114.8071156151168</v>
      </c>
      <c r="AO157" t="s">
        <v>467</v>
      </c>
    </row>
    <row r="158" spans="1:41" x14ac:dyDescent="0.25">
      <c r="A158" t="s">
        <v>518</v>
      </c>
      <c r="B158" t="s">
        <v>410</v>
      </c>
      <c r="C158" s="128">
        <v>124220</v>
      </c>
      <c r="D158" s="128">
        <v>320</v>
      </c>
      <c r="E158" s="128">
        <v>327</v>
      </c>
      <c r="F158" s="128">
        <v>7056</v>
      </c>
      <c r="G158" s="128">
        <v>21747</v>
      </c>
      <c r="H158" s="128">
        <v>9269</v>
      </c>
      <c r="I158" s="128">
        <v>2885</v>
      </c>
      <c r="J158" s="128">
        <v>2204</v>
      </c>
      <c r="K158" s="128">
        <v>455</v>
      </c>
      <c r="L158" s="128">
        <v>2219</v>
      </c>
      <c r="M158" s="128">
        <v>4563</v>
      </c>
      <c r="N158" s="128">
        <v>33277</v>
      </c>
      <c r="O158" s="128">
        <v>32642</v>
      </c>
      <c r="P158" s="128">
        <v>7113</v>
      </c>
      <c r="Q158" s="128">
        <v>419</v>
      </c>
      <c r="R158" s="128"/>
      <c r="S158" t="s">
        <v>410</v>
      </c>
      <c r="T158" s="128">
        <f t="shared" si="6"/>
        <v>116517</v>
      </c>
      <c r="U158" s="128">
        <v>98388</v>
      </c>
      <c r="V158" s="128">
        <v>71633452.169205785</v>
      </c>
      <c r="W158" s="128">
        <v>4956</v>
      </c>
      <c r="X158" s="128">
        <v>4625</v>
      </c>
      <c r="Y158" s="128">
        <v>20</v>
      </c>
      <c r="Z158" s="128">
        <v>340</v>
      </c>
      <c r="AA158" s="128">
        <v>283</v>
      </c>
      <c r="AB158" s="128">
        <v>44</v>
      </c>
      <c r="AC158" s="128">
        <v>108</v>
      </c>
      <c r="AD158" s="128">
        <v>17</v>
      </c>
      <c r="AE158" s="128">
        <v>69</v>
      </c>
      <c r="AF158" s="128">
        <f t="shared" si="7"/>
        <v>79300.45216920579</v>
      </c>
      <c r="AG158" s="128">
        <v>37016</v>
      </c>
      <c r="AH158" s="128">
        <f t="shared" si="8"/>
        <v>2142.329051469791</v>
      </c>
      <c r="AI158" t="s">
        <v>441</v>
      </c>
      <c r="AM158" t="s">
        <v>308</v>
      </c>
      <c r="AN158" s="128">
        <v>1627.2011086835782</v>
      </c>
      <c r="AO158" t="s">
        <v>467</v>
      </c>
    </row>
    <row r="159" spans="1:41" x14ac:dyDescent="0.25">
      <c r="A159" t="s">
        <v>521</v>
      </c>
      <c r="B159" t="s">
        <v>263</v>
      </c>
      <c r="C159" s="128">
        <v>26095</v>
      </c>
      <c r="D159" s="128">
        <v>39</v>
      </c>
      <c r="E159" s="128">
        <v>41</v>
      </c>
      <c r="F159" s="128">
        <v>1425</v>
      </c>
      <c r="G159" s="128">
        <v>7517</v>
      </c>
      <c r="H159" s="128">
        <v>3433</v>
      </c>
      <c r="I159" s="128">
        <v>905</v>
      </c>
      <c r="J159" s="128">
        <v>736</v>
      </c>
      <c r="K159" s="128">
        <v>41</v>
      </c>
      <c r="L159" s="128">
        <v>628</v>
      </c>
      <c r="M159" s="128">
        <v>950</v>
      </c>
      <c r="N159" s="128">
        <v>2831</v>
      </c>
      <c r="O159" s="128">
        <v>4339</v>
      </c>
      <c r="P159" s="128">
        <v>2579</v>
      </c>
      <c r="Q159" s="128">
        <v>666</v>
      </c>
      <c r="R159" s="128"/>
      <c r="S159" t="s">
        <v>263</v>
      </c>
      <c r="T159" s="128">
        <f t="shared" si="6"/>
        <v>24590</v>
      </c>
      <c r="U159" s="128">
        <v>17957</v>
      </c>
      <c r="V159" s="128">
        <v>15299254.026856121</v>
      </c>
      <c r="W159" s="128">
        <v>1172</v>
      </c>
      <c r="X159" s="128">
        <v>1863</v>
      </c>
      <c r="Y159" s="128">
        <v>151</v>
      </c>
      <c r="Z159" s="128">
        <v>151</v>
      </c>
      <c r="AA159" s="128">
        <v>385</v>
      </c>
      <c r="AB159" s="128">
        <v>117</v>
      </c>
      <c r="AC159" s="128">
        <v>71</v>
      </c>
      <c r="AD159" s="128">
        <v>0</v>
      </c>
      <c r="AE159" s="128">
        <v>81</v>
      </c>
      <c r="AF159" s="128">
        <f t="shared" si="7"/>
        <v>17941.254026856121</v>
      </c>
      <c r="AG159" s="128">
        <v>11560</v>
      </c>
      <c r="AH159" s="128">
        <f t="shared" si="8"/>
        <v>1552.0115940186956</v>
      </c>
      <c r="AI159" t="s">
        <v>467</v>
      </c>
      <c r="AM159" t="s">
        <v>379</v>
      </c>
      <c r="AN159" s="128">
        <v>1924.0402708285844</v>
      </c>
      <c r="AO159" t="s">
        <v>467</v>
      </c>
    </row>
    <row r="160" spans="1:41" x14ac:dyDescent="0.25">
      <c r="A160" t="s">
        <v>521</v>
      </c>
      <c r="B160" s="86" t="s">
        <v>302</v>
      </c>
      <c r="C160" s="128">
        <v>178580</v>
      </c>
      <c r="D160" s="128">
        <v>38888</v>
      </c>
      <c r="E160" s="128">
        <v>3190</v>
      </c>
      <c r="F160" s="128">
        <v>8910</v>
      </c>
      <c r="G160" s="128">
        <v>33769</v>
      </c>
      <c r="H160" s="128">
        <v>11298</v>
      </c>
      <c r="I160" s="128">
        <v>4299</v>
      </c>
      <c r="J160" s="128">
        <v>5132</v>
      </c>
      <c r="K160" s="128">
        <v>1867</v>
      </c>
      <c r="L160" s="128">
        <v>5129</v>
      </c>
      <c r="M160" s="128">
        <v>8865</v>
      </c>
      <c r="N160" s="128">
        <v>13176</v>
      </c>
      <c r="O160" s="128">
        <v>32941</v>
      </c>
      <c r="P160" s="128">
        <v>12231</v>
      </c>
      <c r="Q160" s="128">
        <v>2053</v>
      </c>
      <c r="R160" s="128"/>
      <c r="S160" t="s">
        <v>302</v>
      </c>
      <c r="T160" s="128">
        <f t="shared" si="6"/>
        <v>127592</v>
      </c>
      <c r="U160" s="128">
        <v>89170</v>
      </c>
      <c r="V160" s="128">
        <v>79034834.027311832</v>
      </c>
      <c r="W160" s="128">
        <v>6825</v>
      </c>
      <c r="X160" s="128">
        <v>7175</v>
      </c>
      <c r="Y160" s="128">
        <v>50</v>
      </c>
      <c r="Z160" s="128">
        <v>722</v>
      </c>
      <c r="AA160" s="128">
        <v>2465</v>
      </c>
      <c r="AB160" s="128">
        <v>214</v>
      </c>
      <c r="AC160" s="128">
        <v>0</v>
      </c>
      <c r="AD160" s="128">
        <v>0</v>
      </c>
      <c r="AE160" s="128">
        <v>224</v>
      </c>
      <c r="AF160" s="128">
        <f t="shared" si="7"/>
        <v>99781.834027311837</v>
      </c>
      <c r="AG160" s="128">
        <v>64118</v>
      </c>
      <c r="AH160" s="128">
        <f t="shared" si="8"/>
        <v>1556.2218725991427</v>
      </c>
      <c r="AI160" t="s">
        <v>467</v>
      </c>
      <c r="AM160" t="s">
        <v>603</v>
      </c>
      <c r="AN160" s="128">
        <v>1688.436630101419</v>
      </c>
      <c r="AO160" t="s">
        <v>467</v>
      </c>
    </row>
    <row r="161" spans="1:41" x14ac:dyDescent="0.25">
      <c r="A161" t="s">
        <v>521</v>
      </c>
      <c r="B161" t="s">
        <v>265</v>
      </c>
      <c r="C161" s="128">
        <v>27230</v>
      </c>
      <c r="D161" s="128">
        <v>0</v>
      </c>
      <c r="E161" s="128">
        <v>232</v>
      </c>
      <c r="F161" s="128">
        <v>1442</v>
      </c>
      <c r="G161" s="128">
        <v>1040</v>
      </c>
      <c r="H161" s="128">
        <v>5885</v>
      </c>
      <c r="I161" s="128">
        <v>1564</v>
      </c>
      <c r="J161" s="128">
        <v>913</v>
      </c>
      <c r="K161" s="128">
        <v>215</v>
      </c>
      <c r="L161" s="128">
        <v>497</v>
      </c>
      <c r="M161" s="128">
        <v>2415</v>
      </c>
      <c r="N161" s="128">
        <v>2971</v>
      </c>
      <c r="O161" s="128">
        <v>6099</v>
      </c>
      <c r="P161" s="128">
        <v>2675</v>
      </c>
      <c r="Q161" s="128">
        <v>1282</v>
      </c>
      <c r="R161" s="128"/>
      <c r="S161" t="s">
        <v>759</v>
      </c>
      <c r="T161" s="128">
        <f t="shared" si="6"/>
        <v>25556</v>
      </c>
      <c r="U161" s="128">
        <v>15620</v>
      </c>
      <c r="V161" s="128">
        <v>13562053.72208938</v>
      </c>
      <c r="W161" s="128">
        <v>1085</v>
      </c>
      <c r="X161" s="128">
        <v>1557</v>
      </c>
      <c r="Y161" s="128">
        <v>153</v>
      </c>
      <c r="Z161" s="128">
        <v>145</v>
      </c>
      <c r="AA161" s="128">
        <v>742</v>
      </c>
      <c r="AB161" s="128">
        <v>117</v>
      </c>
      <c r="AC161" s="128">
        <v>0</v>
      </c>
      <c r="AD161" s="128">
        <v>9</v>
      </c>
      <c r="AE161" s="128">
        <v>46</v>
      </c>
      <c r="AF161" s="128">
        <f t="shared" si="7"/>
        <v>19644.053722089382</v>
      </c>
      <c r="AG161" s="128">
        <v>11526</v>
      </c>
      <c r="AH161" s="128">
        <f t="shared" si="8"/>
        <v>1704.3253272678626</v>
      </c>
      <c r="AI161" t="s">
        <v>467</v>
      </c>
      <c r="AM161" t="s">
        <v>438</v>
      </c>
      <c r="AN161" s="128">
        <v>1480.1692925389325</v>
      </c>
      <c r="AO161" t="s">
        <v>467</v>
      </c>
    </row>
    <row r="162" spans="1:41" x14ac:dyDescent="0.25">
      <c r="A162" t="s">
        <v>517</v>
      </c>
      <c r="B162" t="s">
        <v>132</v>
      </c>
      <c r="C162" s="128">
        <v>582083</v>
      </c>
      <c r="D162" s="128">
        <v>23223</v>
      </c>
      <c r="E162" s="128">
        <v>9963</v>
      </c>
      <c r="F162" s="128">
        <v>22699</v>
      </c>
      <c r="G162" s="128">
        <v>101550</v>
      </c>
      <c r="H162" s="128">
        <v>24609</v>
      </c>
      <c r="I162" s="128">
        <v>9833</v>
      </c>
      <c r="J162" s="128">
        <v>23379</v>
      </c>
      <c r="K162" s="128">
        <v>8623</v>
      </c>
      <c r="L162" s="128">
        <v>11453</v>
      </c>
      <c r="M162" s="128">
        <v>22450</v>
      </c>
      <c r="N162" s="128">
        <v>124792</v>
      </c>
      <c r="O162" s="128">
        <v>173725</v>
      </c>
      <c r="P162" s="128">
        <v>27741</v>
      </c>
      <c r="Q162" s="128">
        <v>3513</v>
      </c>
      <c r="R162" s="128"/>
      <c r="S162" t="s">
        <v>132</v>
      </c>
      <c r="T162" s="128">
        <f t="shared" si="6"/>
        <v>526198</v>
      </c>
      <c r="U162" s="128">
        <v>446129</v>
      </c>
      <c r="V162" s="128">
        <v>259687133.81278622</v>
      </c>
      <c r="W162" s="128">
        <v>12354</v>
      </c>
      <c r="X162" s="128">
        <v>18373</v>
      </c>
      <c r="Y162" s="128">
        <v>312</v>
      </c>
      <c r="Z162" s="128">
        <v>1608</v>
      </c>
      <c r="AA162" s="128">
        <v>4191</v>
      </c>
      <c r="AB162" s="128">
        <v>663</v>
      </c>
      <c r="AC162" s="128">
        <v>707</v>
      </c>
      <c r="AD162" s="128">
        <v>3515</v>
      </c>
      <c r="AE162" s="128">
        <v>1841</v>
      </c>
      <c r="AF162" s="128">
        <f t="shared" si="7"/>
        <v>296192.1338127862</v>
      </c>
      <c r="AG162" s="128">
        <v>125510</v>
      </c>
      <c r="AH162" s="128">
        <f t="shared" si="8"/>
        <v>2359.908643237879</v>
      </c>
      <c r="AI162" t="s">
        <v>441</v>
      </c>
      <c r="AM162" t="s">
        <v>415</v>
      </c>
      <c r="AN162" s="128">
        <v>1522.2454169287173</v>
      </c>
      <c r="AO162" t="s">
        <v>467</v>
      </c>
    </row>
    <row r="163" spans="1:41" x14ac:dyDescent="0.25">
      <c r="A163" t="s">
        <v>526</v>
      </c>
      <c r="B163" t="s">
        <v>303</v>
      </c>
      <c r="C163" s="128">
        <v>532569</v>
      </c>
      <c r="D163" s="128">
        <v>17279</v>
      </c>
      <c r="E163" s="128">
        <v>6775</v>
      </c>
      <c r="F163" s="128">
        <v>28727</v>
      </c>
      <c r="G163" s="128">
        <v>116844</v>
      </c>
      <c r="H163" s="128">
        <v>58416</v>
      </c>
      <c r="I163" s="128">
        <v>12132</v>
      </c>
      <c r="J163" s="128">
        <v>23728</v>
      </c>
      <c r="K163" s="128">
        <v>6790</v>
      </c>
      <c r="L163" s="128">
        <v>17461</v>
      </c>
      <c r="M163" s="128">
        <v>28394</v>
      </c>
      <c r="N163" s="128">
        <v>69840</v>
      </c>
      <c r="O163" s="128">
        <v>124858</v>
      </c>
      <c r="P163" s="128">
        <v>23420</v>
      </c>
      <c r="Q163" s="128">
        <v>4137</v>
      </c>
      <c r="R163" s="128"/>
      <c r="S163" t="s">
        <v>303</v>
      </c>
      <c r="T163" s="128">
        <f t="shared" si="6"/>
        <v>479788</v>
      </c>
      <c r="U163" s="128">
        <v>355809</v>
      </c>
      <c r="V163" s="128">
        <v>220581203.32254887</v>
      </c>
      <c r="W163" s="128">
        <v>11109</v>
      </c>
      <c r="X163" s="128">
        <v>18807</v>
      </c>
      <c r="Y163" s="128">
        <v>0</v>
      </c>
      <c r="Z163" s="128">
        <v>1503</v>
      </c>
      <c r="AA163" s="128">
        <v>3556</v>
      </c>
      <c r="AB163" s="128">
        <v>1416</v>
      </c>
      <c r="AC163" s="128">
        <v>1177</v>
      </c>
      <c r="AD163" s="128">
        <v>15105</v>
      </c>
      <c r="AE163" s="128">
        <v>2920</v>
      </c>
      <c r="AF163" s="128">
        <f t="shared" si="7"/>
        <v>288967.20332254888</v>
      </c>
      <c r="AG163" s="128">
        <v>125100</v>
      </c>
      <c r="AH163" s="128">
        <f t="shared" si="8"/>
        <v>2309.8897148085439</v>
      </c>
      <c r="AI163" t="s">
        <v>441</v>
      </c>
      <c r="AM163" t="s">
        <v>191</v>
      </c>
      <c r="AN163" s="128">
        <v>1892.6850264339155</v>
      </c>
      <c r="AO163" t="s">
        <v>467</v>
      </c>
    </row>
    <row r="164" spans="1:41" x14ac:dyDescent="0.25">
      <c r="A164" t="s">
        <v>518</v>
      </c>
      <c r="B164" t="s">
        <v>304</v>
      </c>
      <c r="C164" s="128">
        <v>68006</v>
      </c>
      <c r="D164" s="128">
        <v>1244</v>
      </c>
      <c r="E164" s="128">
        <v>444</v>
      </c>
      <c r="F164" s="128">
        <v>3825</v>
      </c>
      <c r="G164" s="128">
        <v>11694</v>
      </c>
      <c r="H164" s="128">
        <v>9215</v>
      </c>
      <c r="I164" s="128">
        <v>2003</v>
      </c>
      <c r="J164" s="128">
        <v>2588</v>
      </c>
      <c r="K164" s="128">
        <v>547</v>
      </c>
      <c r="L164" s="128">
        <v>1493</v>
      </c>
      <c r="M164" s="128">
        <v>3972</v>
      </c>
      <c r="N164" s="128">
        <v>9345</v>
      </c>
      <c r="O164" s="128">
        <v>15949</v>
      </c>
      <c r="P164" s="128">
        <v>5749</v>
      </c>
      <c r="Q164" s="128">
        <v>142</v>
      </c>
      <c r="R164" s="128"/>
      <c r="S164" t="s">
        <v>304</v>
      </c>
      <c r="T164" s="128">
        <f t="shared" si="6"/>
        <v>62493</v>
      </c>
      <c r="U164" s="128">
        <v>46043</v>
      </c>
      <c r="V164" s="128">
        <v>39656736.315726414</v>
      </c>
      <c r="W164" s="128">
        <v>1835</v>
      </c>
      <c r="X164" s="128">
        <v>4952</v>
      </c>
      <c r="Y164" s="128">
        <v>291</v>
      </c>
      <c r="Z164" s="128">
        <v>282</v>
      </c>
      <c r="AA164" s="128">
        <v>293</v>
      </c>
      <c r="AB164" s="128">
        <v>29</v>
      </c>
      <c r="AC164" s="128">
        <v>70</v>
      </c>
      <c r="AD164" s="128">
        <v>22</v>
      </c>
      <c r="AE164" s="128">
        <v>74</v>
      </c>
      <c r="AF164" s="128">
        <f t="shared" si="7"/>
        <v>48258.736315726412</v>
      </c>
      <c r="AG164" s="128">
        <v>27461</v>
      </c>
      <c r="AH164" s="128">
        <f t="shared" si="8"/>
        <v>1757.3553882133358</v>
      </c>
      <c r="AI164" t="s">
        <v>467</v>
      </c>
      <c r="AM164" t="s">
        <v>416</v>
      </c>
      <c r="AN164" s="128">
        <v>1685.5719450708896</v>
      </c>
      <c r="AO164" t="s">
        <v>467</v>
      </c>
    </row>
    <row r="165" spans="1:41" x14ac:dyDescent="0.25">
      <c r="A165" t="s">
        <v>518</v>
      </c>
      <c r="B165" t="s">
        <v>305</v>
      </c>
      <c r="C165" s="128">
        <v>242332</v>
      </c>
      <c r="D165" s="128">
        <v>16303</v>
      </c>
      <c r="E165" s="128">
        <v>1297</v>
      </c>
      <c r="F165" s="128">
        <v>11840</v>
      </c>
      <c r="G165" s="128">
        <v>50817</v>
      </c>
      <c r="H165" s="128">
        <v>18724</v>
      </c>
      <c r="I165" s="128">
        <v>6696</v>
      </c>
      <c r="J165" s="128">
        <v>7733</v>
      </c>
      <c r="K165" s="128">
        <v>851</v>
      </c>
      <c r="L165" s="128">
        <v>5469</v>
      </c>
      <c r="M165" s="128">
        <v>12231</v>
      </c>
      <c r="N165" s="128">
        <v>40625</v>
      </c>
      <c r="O165" s="128">
        <v>50600</v>
      </c>
      <c r="P165" s="128">
        <v>15992</v>
      </c>
      <c r="Q165" s="128">
        <v>3703</v>
      </c>
      <c r="R165" s="128"/>
      <c r="S165" t="s">
        <v>305</v>
      </c>
      <c r="T165" s="128">
        <f t="shared" si="6"/>
        <v>212892</v>
      </c>
      <c r="U165" s="128">
        <v>158896</v>
      </c>
      <c r="V165" s="128">
        <v>123378041.10903549</v>
      </c>
      <c r="W165" s="128">
        <v>7247</v>
      </c>
      <c r="X165" s="128">
        <v>12797</v>
      </c>
      <c r="Y165" s="128">
        <v>897</v>
      </c>
      <c r="Z165" s="128">
        <v>1162</v>
      </c>
      <c r="AA165" s="128">
        <v>2092</v>
      </c>
      <c r="AB165" s="128">
        <v>239</v>
      </c>
      <c r="AC165" s="128">
        <v>379</v>
      </c>
      <c r="AD165" s="128">
        <v>308</v>
      </c>
      <c r="AE165" s="128">
        <v>167</v>
      </c>
      <c r="AF165" s="128">
        <f t="shared" si="7"/>
        <v>152086.04110903549</v>
      </c>
      <c r="AG165" s="128">
        <v>76648</v>
      </c>
      <c r="AH165" s="128">
        <f t="shared" si="8"/>
        <v>1984.2140839817803</v>
      </c>
      <c r="AI165" t="s">
        <v>118</v>
      </c>
      <c r="AM165" t="s">
        <v>309</v>
      </c>
      <c r="AN165" s="128">
        <v>1800.0965656505994</v>
      </c>
      <c r="AO165" t="s">
        <v>467</v>
      </c>
    </row>
    <row r="166" spans="1:41" x14ac:dyDescent="0.25">
      <c r="A166" t="s">
        <v>521</v>
      </c>
      <c r="B166" t="s">
        <v>431</v>
      </c>
      <c r="C166" s="128">
        <v>299304</v>
      </c>
      <c r="D166" s="128">
        <v>20469</v>
      </c>
      <c r="E166" s="128">
        <v>1660</v>
      </c>
      <c r="F166" s="128">
        <v>11261</v>
      </c>
      <c r="G166" s="128">
        <v>52017</v>
      </c>
      <c r="H166" s="128">
        <v>19044</v>
      </c>
      <c r="I166" s="128">
        <v>6843</v>
      </c>
      <c r="J166" s="128">
        <v>14797</v>
      </c>
      <c r="K166" s="128">
        <v>11683</v>
      </c>
      <c r="L166" s="128">
        <v>8890</v>
      </c>
      <c r="M166" s="128">
        <v>16715</v>
      </c>
      <c r="N166" s="128">
        <v>54432</v>
      </c>
      <c r="O166" s="128">
        <v>62921</v>
      </c>
      <c r="P166" s="128">
        <v>18431</v>
      </c>
      <c r="Q166" s="128">
        <v>1404</v>
      </c>
      <c r="R166" s="128"/>
      <c r="S166" t="s">
        <v>431</v>
      </c>
      <c r="T166" s="128">
        <f t="shared" si="6"/>
        <v>265914</v>
      </c>
      <c r="U166" s="128">
        <v>198594</v>
      </c>
      <c r="V166" s="128">
        <v>149386149.95085353</v>
      </c>
      <c r="W166" s="128">
        <v>6651</v>
      </c>
      <c r="X166" s="128">
        <v>8967</v>
      </c>
      <c r="Y166" s="128">
        <v>349</v>
      </c>
      <c r="Z166" s="128">
        <v>963</v>
      </c>
      <c r="AA166" s="128">
        <v>1500</v>
      </c>
      <c r="AB166" s="128">
        <v>323</v>
      </c>
      <c r="AC166" s="128">
        <v>300</v>
      </c>
      <c r="AD166" s="128">
        <v>2250</v>
      </c>
      <c r="AE166" s="128">
        <v>758</v>
      </c>
      <c r="AF166" s="128">
        <f t="shared" si="7"/>
        <v>194645.14995085352</v>
      </c>
      <c r="AG166" s="128">
        <v>81198</v>
      </c>
      <c r="AH166" s="128">
        <f t="shared" si="8"/>
        <v>2397.1668015327168</v>
      </c>
      <c r="AI166" t="s">
        <v>441</v>
      </c>
      <c r="AM166" t="s">
        <v>192</v>
      </c>
      <c r="AN166" s="128">
        <v>1697.8324675400031</v>
      </c>
      <c r="AO166" t="s">
        <v>467</v>
      </c>
    </row>
    <row r="167" spans="1:41" x14ac:dyDescent="0.25">
      <c r="A167" t="s">
        <v>518</v>
      </c>
      <c r="B167" t="s">
        <v>411</v>
      </c>
      <c r="C167" s="128">
        <v>84084</v>
      </c>
      <c r="D167" s="128">
        <v>33</v>
      </c>
      <c r="E167" s="128">
        <v>1501</v>
      </c>
      <c r="F167" s="128">
        <v>6000</v>
      </c>
      <c r="G167" s="128">
        <v>17391</v>
      </c>
      <c r="H167" s="128">
        <v>7758</v>
      </c>
      <c r="I167" s="128">
        <v>3156</v>
      </c>
      <c r="J167" s="128">
        <v>2103</v>
      </c>
      <c r="K167" s="128">
        <v>592</v>
      </c>
      <c r="L167" s="128">
        <v>1640</v>
      </c>
      <c r="M167" s="128">
        <v>5231</v>
      </c>
      <c r="N167" s="128">
        <v>10085</v>
      </c>
      <c r="O167" s="128">
        <v>19755</v>
      </c>
      <c r="P167" s="128">
        <v>6616</v>
      </c>
      <c r="Q167" s="128">
        <v>2255</v>
      </c>
      <c r="R167" s="128"/>
      <c r="S167" t="s">
        <v>411</v>
      </c>
      <c r="T167" s="128">
        <f t="shared" si="6"/>
        <v>76550</v>
      </c>
      <c r="U167" s="128">
        <v>59576</v>
      </c>
      <c r="V167" s="128">
        <v>51599186.799400032</v>
      </c>
      <c r="W167" s="128">
        <v>4794</v>
      </c>
      <c r="X167" s="128">
        <v>3545</v>
      </c>
      <c r="Y167" s="128">
        <v>7</v>
      </c>
      <c r="Z167" s="128">
        <v>274</v>
      </c>
      <c r="AA167" s="128">
        <v>743</v>
      </c>
      <c r="AB167" s="128">
        <v>23</v>
      </c>
      <c r="AC167" s="128">
        <v>975</v>
      </c>
      <c r="AD167" s="128">
        <v>0</v>
      </c>
      <c r="AE167" s="128">
        <v>134</v>
      </c>
      <c r="AF167" s="128">
        <f t="shared" si="7"/>
        <v>58078.186799400035</v>
      </c>
      <c r="AG167" s="128">
        <v>35941</v>
      </c>
      <c r="AH167" s="128">
        <f t="shared" si="8"/>
        <v>1615.9312985003207</v>
      </c>
      <c r="AI167" t="s">
        <v>467</v>
      </c>
      <c r="AM167" t="s">
        <v>435</v>
      </c>
      <c r="AN167" s="128">
        <v>1587.2299387761593</v>
      </c>
      <c r="AO167" t="s">
        <v>467</v>
      </c>
    </row>
    <row r="168" spans="1:41" x14ac:dyDescent="0.25">
      <c r="A168" t="s">
        <v>520</v>
      </c>
      <c r="B168" t="s">
        <v>223</v>
      </c>
      <c r="C168" s="128">
        <v>63782</v>
      </c>
      <c r="D168" s="128">
        <v>627</v>
      </c>
      <c r="E168" s="128">
        <v>234</v>
      </c>
      <c r="F168" s="128">
        <v>3191</v>
      </c>
      <c r="G168" s="128">
        <v>13777</v>
      </c>
      <c r="H168" s="128">
        <v>3963</v>
      </c>
      <c r="I168" s="128">
        <v>1848</v>
      </c>
      <c r="J168" s="128">
        <v>3004</v>
      </c>
      <c r="K168" s="128">
        <v>61</v>
      </c>
      <c r="L168" s="128">
        <v>1455</v>
      </c>
      <c r="M168" s="128">
        <v>4477</v>
      </c>
      <c r="N168" s="128">
        <v>8269</v>
      </c>
      <c r="O168" s="128">
        <v>16596</v>
      </c>
      <c r="P168" s="128">
        <v>5676</v>
      </c>
      <c r="Q168" s="128">
        <v>604</v>
      </c>
      <c r="R168" s="128"/>
      <c r="S168" t="s">
        <v>223</v>
      </c>
      <c r="T168" s="128">
        <f t="shared" si="6"/>
        <v>59730</v>
      </c>
      <c r="U168" s="128">
        <v>42869</v>
      </c>
      <c r="V168" s="128">
        <v>38441594.637493789</v>
      </c>
      <c r="W168" s="128">
        <v>1944</v>
      </c>
      <c r="X168" s="128">
        <v>3063</v>
      </c>
      <c r="Y168" s="128">
        <v>36</v>
      </c>
      <c r="Z168" s="128">
        <v>321</v>
      </c>
      <c r="AA168" s="128">
        <v>484</v>
      </c>
      <c r="AB168" s="128">
        <v>71</v>
      </c>
      <c r="AC168" s="128">
        <v>143</v>
      </c>
      <c r="AD168" s="128">
        <v>11</v>
      </c>
      <c r="AE168" s="128">
        <v>3</v>
      </c>
      <c r="AF168" s="128">
        <f t="shared" si="7"/>
        <v>49226.594637493792</v>
      </c>
      <c r="AG168" s="128">
        <v>30706</v>
      </c>
      <c r="AH168" s="128">
        <f t="shared" si="8"/>
        <v>1603.1588170876632</v>
      </c>
      <c r="AI168" t="s">
        <v>467</v>
      </c>
      <c r="AM168" t="s">
        <v>194</v>
      </c>
      <c r="AN168" s="128">
        <v>1786.3850908278635</v>
      </c>
      <c r="AO168" t="s">
        <v>467</v>
      </c>
    </row>
    <row r="169" spans="1:41" x14ac:dyDescent="0.25">
      <c r="A169" t="s">
        <v>521</v>
      </c>
      <c r="B169" t="s">
        <v>187</v>
      </c>
      <c r="C169" s="128">
        <v>112800</v>
      </c>
      <c r="D169" s="128">
        <v>447</v>
      </c>
      <c r="E169" s="128">
        <v>1867</v>
      </c>
      <c r="F169" s="128">
        <v>4993</v>
      </c>
      <c r="G169" s="128">
        <v>27245</v>
      </c>
      <c r="H169" s="128">
        <v>8776</v>
      </c>
      <c r="I169" s="128">
        <v>2580</v>
      </c>
      <c r="J169" s="128">
        <v>3539</v>
      </c>
      <c r="K169" s="128">
        <v>3218</v>
      </c>
      <c r="L169" s="128">
        <v>2475</v>
      </c>
      <c r="M169" s="128">
        <v>7265</v>
      </c>
      <c r="N169" s="128">
        <v>13433</v>
      </c>
      <c r="O169" s="128">
        <v>26704</v>
      </c>
      <c r="P169" s="128">
        <v>8399</v>
      </c>
      <c r="Q169" s="128">
        <v>2059</v>
      </c>
      <c r="R169" s="128"/>
      <c r="S169" t="s">
        <v>187</v>
      </c>
      <c r="T169" s="128">
        <f t="shared" si="6"/>
        <v>105493</v>
      </c>
      <c r="U169" s="128">
        <v>79249</v>
      </c>
      <c r="V169" s="128">
        <v>66168166.659126781</v>
      </c>
      <c r="W169" s="128">
        <v>4885</v>
      </c>
      <c r="X169" s="128">
        <v>4859</v>
      </c>
      <c r="Y169" s="128">
        <v>200</v>
      </c>
      <c r="Z169" s="128">
        <v>558</v>
      </c>
      <c r="AA169" s="128">
        <v>1157</v>
      </c>
      <c r="AB169" s="128">
        <v>258</v>
      </c>
      <c r="AC169" s="128">
        <v>93</v>
      </c>
      <c r="AD169" s="128">
        <v>0</v>
      </c>
      <c r="AE169" s="128">
        <v>166</v>
      </c>
      <c r="AF169" s="128">
        <f t="shared" si="7"/>
        <v>80236.166659126786</v>
      </c>
      <c r="AG169" s="128">
        <v>46969</v>
      </c>
      <c r="AH169" s="128">
        <f t="shared" si="8"/>
        <v>1708.279219466601</v>
      </c>
      <c r="AI169" t="s">
        <v>467</v>
      </c>
      <c r="AM169" t="s">
        <v>311</v>
      </c>
      <c r="AN169" s="128">
        <v>1493.9669802676335</v>
      </c>
      <c r="AO169" t="s">
        <v>467</v>
      </c>
    </row>
    <row r="170" spans="1:41" x14ac:dyDescent="0.25">
      <c r="A170" t="s">
        <v>521</v>
      </c>
      <c r="B170" t="s">
        <v>306</v>
      </c>
      <c r="C170" s="128">
        <v>55445</v>
      </c>
      <c r="D170" s="128">
        <v>21</v>
      </c>
      <c r="E170" s="128">
        <v>1744</v>
      </c>
      <c r="F170" s="128">
        <v>3793</v>
      </c>
      <c r="G170" s="128">
        <v>1103</v>
      </c>
      <c r="H170" s="128">
        <v>9061</v>
      </c>
      <c r="I170" s="128">
        <v>2372</v>
      </c>
      <c r="J170" s="128">
        <v>2656</v>
      </c>
      <c r="K170" s="128">
        <v>1181</v>
      </c>
      <c r="L170" s="128">
        <v>815</v>
      </c>
      <c r="M170" s="128">
        <v>4839</v>
      </c>
      <c r="N170" s="128">
        <v>6399</v>
      </c>
      <c r="O170" s="128">
        <v>13975</v>
      </c>
      <c r="P170" s="128">
        <v>6005</v>
      </c>
      <c r="Q170" s="128">
        <v>1481</v>
      </c>
      <c r="R170" s="128"/>
      <c r="S170" t="s">
        <v>306</v>
      </c>
      <c r="T170" s="128">
        <f t="shared" si="6"/>
        <v>49887</v>
      </c>
      <c r="U170" s="128">
        <v>37061</v>
      </c>
      <c r="V170" s="128">
        <v>31927153.195049182</v>
      </c>
      <c r="W170" s="128">
        <v>2130</v>
      </c>
      <c r="X170" s="128">
        <v>3887</v>
      </c>
      <c r="Y170" s="128">
        <v>0</v>
      </c>
      <c r="Z170" s="128">
        <v>283</v>
      </c>
      <c r="AA170" s="128">
        <v>773</v>
      </c>
      <c r="AB170" s="128">
        <v>65</v>
      </c>
      <c r="AC170" s="128">
        <v>125</v>
      </c>
      <c r="AD170" s="128">
        <v>7</v>
      </c>
      <c r="AE170" s="128">
        <v>132</v>
      </c>
      <c r="AF170" s="128">
        <f t="shared" si="7"/>
        <v>37351.153195049177</v>
      </c>
      <c r="AG170" s="128">
        <v>23012</v>
      </c>
      <c r="AH170" s="128">
        <f t="shared" si="8"/>
        <v>1623.1163390860931</v>
      </c>
      <c r="AI170" t="s">
        <v>467</v>
      </c>
      <c r="AM170" t="s">
        <v>380</v>
      </c>
      <c r="AN170" s="128">
        <v>1785.3852648951699</v>
      </c>
      <c r="AO170" t="s">
        <v>467</v>
      </c>
    </row>
    <row r="171" spans="1:41" x14ac:dyDescent="0.25">
      <c r="A171" t="s">
        <v>521</v>
      </c>
      <c r="B171" s="86" t="s">
        <v>188</v>
      </c>
      <c r="C171" s="128">
        <v>84750</v>
      </c>
      <c r="D171" s="128">
        <v>1385</v>
      </c>
      <c r="E171" s="128">
        <v>298</v>
      </c>
      <c r="F171" s="128">
        <v>3441</v>
      </c>
      <c r="G171" s="128">
        <v>20751</v>
      </c>
      <c r="H171" s="128">
        <v>6493</v>
      </c>
      <c r="I171" s="128">
        <v>2570</v>
      </c>
      <c r="J171" s="128">
        <v>4193</v>
      </c>
      <c r="K171" s="128">
        <v>1283</v>
      </c>
      <c r="L171" s="128">
        <v>1558</v>
      </c>
      <c r="M171" s="128">
        <v>6017</v>
      </c>
      <c r="N171" s="128">
        <v>8684</v>
      </c>
      <c r="O171" s="128">
        <v>17302</v>
      </c>
      <c r="P171" s="128">
        <v>10040</v>
      </c>
      <c r="Q171" s="128">
        <v>747</v>
      </c>
      <c r="R171" s="128"/>
      <c r="S171" t="s">
        <v>188</v>
      </c>
      <c r="T171" s="128">
        <f t="shared" si="6"/>
        <v>79626</v>
      </c>
      <c r="U171" s="128">
        <v>57227</v>
      </c>
      <c r="V171" s="128">
        <v>50042702.532662466</v>
      </c>
      <c r="W171" s="128">
        <v>5678</v>
      </c>
      <c r="X171" s="128">
        <v>3950</v>
      </c>
      <c r="Y171" s="128">
        <v>374</v>
      </c>
      <c r="Z171" s="128">
        <v>379</v>
      </c>
      <c r="AA171" s="128">
        <v>759</v>
      </c>
      <c r="AB171" s="128">
        <v>359</v>
      </c>
      <c r="AC171" s="128">
        <v>736</v>
      </c>
      <c r="AD171" s="128">
        <v>16</v>
      </c>
      <c r="AE171" s="128">
        <v>140</v>
      </c>
      <c r="AF171" s="128">
        <f t="shared" si="7"/>
        <v>60050.702532662457</v>
      </c>
      <c r="AG171" s="128">
        <v>34071</v>
      </c>
      <c r="AH171" s="128">
        <f t="shared" si="8"/>
        <v>1762.5165839764743</v>
      </c>
      <c r="AI171" t="s">
        <v>467</v>
      </c>
      <c r="AM171" t="s">
        <v>381</v>
      </c>
      <c r="AN171" s="128">
        <v>1696.9434140523826</v>
      </c>
      <c r="AO171" t="s">
        <v>467</v>
      </c>
    </row>
    <row r="172" spans="1:41" x14ac:dyDescent="0.25">
      <c r="A172" t="s">
        <v>523</v>
      </c>
      <c r="B172" t="s">
        <v>377</v>
      </c>
      <c r="C172" s="128">
        <v>59683</v>
      </c>
      <c r="D172" s="128">
        <v>557</v>
      </c>
      <c r="E172" s="128">
        <v>1011</v>
      </c>
      <c r="F172" s="128">
        <v>3017</v>
      </c>
      <c r="G172" s="128">
        <v>13853</v>
      </c>
      <c r="H172" s="128">
        <v>5532</v>
      </c>
      <c r="I172" s="128">
        <v>1616</v>
      </c>
      <c r="J172" s="128">
        <v>1730</v>
      </c>
      <c r="K172" s="128">
        <v>591</v>
      </c>
      <c r="L172" s="128">
        <v>1595</v>
      </c>
      <c r="M172" s="128">
        <v>4039</v>
      </c>
      <c r="N172" s="128">
        <v>8623</v>
      </c>
      <c r="O172" s="128">
        <v>12583</v>
      </c>
      <c r="P172" s="128">
        <v>4504</v>
      </c>
      <c r="Q172" s="128">
        <v>946</v>
      </c>
      <c r="R172" s="128"/>
      <c r="S172" t="s">
        <v>377</v>
      </c>
      <c r="T172" s="128">
        <f t="shared" si="6"/>
        <v>55098</v>
      </c>
      <c r="U172" s="128">
        <v>41268</v>
      </c>
      <c r="V172" s="128">
        <v>33960083.284105651</v>
      </c>
      <c r="W172" s="128">
        <v>2383</v>
      </c>
      <c r="X172" s="128">
        <v>2866</v>
      </c>
      <c r="Y172" s="128">
        <v>0</v>
      </c>
      <c r="Z172" s="128">
        <v>371</v>
      </c>
      <c r="AA172" s="128">
        <v>226</v>
      </c>
      <c r="AB172" s="128">
        <v>15</v>
      </c>
      <c r="AC172" s="128">
        <v>2578</v>
      </c>
      <c r="AD172" s="128">
        <v>0</v>
      </c>
      <c r="AE172" s="128">
        <v>42</v>
      </c>
      <c r="AF172" s="128">
        <f t="shared" si="7"/>
        <v>39309.083284105654</v>
      </c>
      <c r="AG172" s="128">
        <v>23771</v>
      </c>
      <c r="AH172" s="128">
        <f t="shared" si="8"/>
        <v>1653.6571151447415</v>
      </c>
      <c r="AI172" t="s">
        <v>467</v>
      </c>
      <c r="AM172" t="s">
        <v>195</v>
      </c>
      <c r="AN172" s="128">
        <v>2089.8626461417944</v>
      </c>
      <c r="AO172" t="s">
        <v>467</v>
      </c>
    </row>
    <row r="173" spans="1:41" x14ac:dyDescent="0.25">
      <c r="A173" t="s">
        <v>526</v>
      </c>
      <c r="B173" t="s">
        <v>224</v>
      </c>
      <c r="C173" s="128">
        <v>33619</v>
      </c>
      <c r="D173" s="128">
        <v>0</v>
      </c>
      <c r="E173" s="128">
        <v>0</v>
      </c>
      <c r="F173" s="128">
        <v>1396</v>
      </c>
      <c r="G173" s="128">
        <v>10229</v>
      </c>
      <c r="H173" s="128">
        <v>3954</v>
      </c>
      <c r="I173" s="128">
        <v>1023</v>
      </c>
      <c r="J173" s="128">
        <v>1468</v>
      </c>
      <c r="K173" s="128">
        <v>12</v>
      </c>
      <c r="L173" s="128">
        <v>915</v>
      </c>
      <c r="M173" s="128">
        <v>1164</v>
      </c>
      <c r="N173" s="128">
        <v>3472</v>
      </c>
      <c r="O173" s="128">
        <v>5931</v>
      </c>
      <c r="P173" s="128">
        <v>3083</v>
      </c>
      <c r="Q173" s="128">
        <v>972</v>
      </c>
      <c r="R173" s="128"/>
      <c r="S173" t="s">
        <v>224</v>
      </c>
      <c r="T173" s="128">
        <f t="shared" si="6"/>
        <v>32223</v>
      </c>
      <c r="U173" s="128">
        <v>22511</v>
      </c>
      <c r="V173" s="128">
        <v>19816155.550240163</v>
      </c>
      <c r="W173" s="128">
        <v>1814</v>
      </c>
      <c r="X173" s="128">
        <v>1788</v>
      </c>
      <c r="Y173" s="128">
        <v>85</v>
      </c>
      <c r="Z173" s="128">
        <v>204</v>
      </c>
      <c r="AA173" s="128">
        <v>457</v>
      </c>
      <c r="AB173" s="128">
        <v>8</v>
      </c>
      <c r="AC173" s="128">
        <v>51</v>
      </c>
      <c r="AD173" s="128">
        <v>0</v>
      </c>
      <c r="AE173" s="128">
        <v>32</v>
      </c>
      <c r="AF173" s="128">
        <f t="shared" si="7"/>
        <v>25089.155550240164</v>
      </c>
      <c r="AG173" s="128">
        <v>14512</v>
      </c>
      <c r="AH173" s="128">
        <f t="shared" si="8"/>
        <v>1728.8558124476408</v>
      </c>
      <c r="AI173" t="s">
        <v>467</v>
      </c>
      <c r="AM173" t="s">
        <v>154</v>
      </c>
      <c r="AN173" s="128">
        <v>1853.7566440596852</v>
      </c>
      <c r="AO173" t="s">
        <v>467</v>
      </c>
    </row>
    <row r="174" spans="1:41" x14ac:dyDescent="0.25">
      <c r="A174" t="s">
        <v>524</v>
      </c>
      <c r="B174" t="s">
        <v>152</v>
      </c>
      <c r="C174" s="128">
        <v>64998</v>
      </c>
      <c r="D174" s="128">
        <v>4108</v>
      </c>
      <c r="E174" s="128">
        <v>526</v>
      </c>
      <c r="F174" s="128">
        <v>3417</v>
      </c>
      <c r="G174" s="128">
        <v>15650</v>
      </c>
      <c r="H174" s="128">
        <v>8144</v>
      </c>
      <c r="I174" s="128">
        <v>1849</v>
      </c>
      <c r="J174" s="128">
        <v>2736</v>
      </c>
      <c r="K174" s="128">
        <v>364</v>
      </c>
      <c r="L174" s="128">
        <v>1162</v>
      </c>
      <c r="M174" s="128">
        <v>2315</v>
      </c>
      <c r="N174" s="128">
        <v>6311</v>
      </c>
      <c r="O174" s="128">
        <v>13493</v>
      </c>
      <c r="P174" s="128">
        <v>4089</v>
      </c>
      <c r="Q174" s="128">
        <v>959</v>
      </c>
      <c r="R174" s="128"/>
      <c r="S174" t="s">
        <v>152</v>
      </c>
      <c r="T174" s="128">
        <f t="shared" si="6"/>
        <v>56947</v>
      </c>
      <c r="U174" s="128">
        <v>45357</v>
      </c>
      <c r="V174" s="128">
        <v>35855635.00706818</v>
      </c>
      <c r="W174" s="128">
        <v>3226</v>
      </c>
      <c r="X174" s="128">
        <v>2162</v>
      </c>
      <c r="Y174" s="128">
        <v>1</v>
      </c>
      <c r="Z174" s="128">
        <v>256</v>
      </c>
      <c r="AA174" s="128">
        <v>410</v>
      </c>
      <c r="AB174" s="128">
        <v>45</v>
      </c>
      <c r="AC174" s="128">
        <v>425</v>
      </c>
      <c r="AD174" s="128">
        <v>0</v>
      </c>
      <c r="AE174" s="128">
        <v>18</v>
      </c>
      <c r="AF174" s="128">
        <f t="shared" si="7"/>
        <v>40902.63500706818</v>
      </c>
      <c r="AG174" s="128">
        <v>23075</v>
      </c>
      <c r="AH174" s="128">
        <f t="shared" si="8"/>
        <v>1772.5952332423913</v>
      </c>
      <c r="AI174" t="s">
        <v>118</v>
      </c>
      <c r="AM174" t="s">
        <v>155</v>
      </c>
      <c r="AN174" s="128">
        <v>1904.7839815350137</v>
      </c>
      <c r="AO174" t="s">
        <v>467</v>
      </c>
    </row>
    <row r="175" spans="1:41" x14ac:dyDescent="0.25">
      <c r="A175" t="s">
        <v>519</v>
      </c>
      <c r="B175" t="s">
        <v>189</v>
      </c>
      <c r="C175" s="128">
        <v>59523</v>
      </c>
      <c r="D175" s="128">
        <v>2186</v>
      </c>
      <c r="E175" s="128">
        <v>556</v>
      </c>
      <c r="F175" s="128">
        <v>2311</v>
      </c>
      <c r="G175" s="128">
        <v>11039</v>
      </c>
      <c r="H175" s="128">
        <v>7724</v>
      </c>
      <c r="I175" s="128">
        <v>1975</v>
      </c>
      <c r="J175" s="128">
        <v>1825</v>
      </c>
      <c r="K175" s="128">
        <v>457</v>
      </c>
      <c r="L175" s="128">
        <v>1843</v>
      </c>
      <c r="M175" s="128">
        <v>2922</v>
      </c>
      <c r="N175" s="128">
        <v>8249</v>
      </c>
      <c r="O175" s="128">
        <v>10304</v>
      </c>
      <c r="P175" s="128">
        <v>6165</v>
      </c>
      <c r="Q175" s="128">
        <v>2103</v>
      </c>
      <c r="R175" s="128"/>
      <c r="S175" t="s">
        <v>189</v>
      </c>
      <c r="T175" s="128">
        <f t="shared" si="6"/>
        <v>54470</v>
      </c>
      <c r="U175" s="128">
        <v>40405</v>
      </c>
      <c r="V175" s="128">
        <v>33804106.144886315</v>
      </c>
      <c r="W175" s="128">
        <v>2816</v>
      </c>
      <c r="X175" s="128">
        <v>0</v>
      </c>
      <c r="Y175" s="128">
        <v>63</v>
      </c>
      <c r="Z175" s="128">
        <v>227</v>
      </c>
      <c r="AA175" s="128">
        <v>938</v>
      </c>
      <c r="AB175" s="128">
        <v>155</v>
      </c>
      <c r="AC175" s="128">
        <v>233</v>
      </c>
      <c r="AD175" s="128">
        <v>0</v>
      </c>
      <c r="AE175" s="128">
        <v>215</v>
      </c>
      <c r="AF175" s="128">
        <f t="shared" si="7"/>
        <v>43222.106144886318</v>
      </c>
      <c r="AG175" s="128">
        <v>25511</v>
      </c>
      <c r="AH175" s="128">
        <f t="shared" si="8"/>
        <v>1694.2537001640985</v>
      </c>
      <c r="AI175" t="s">
        <v>467</v>
      </c>
      <c r="AM175" t="s">
        <v>267</v>
      </c>
      <c r="AN175" s="128">
        <v>1578.9476687586521</v>
      </c>
      <c r="AO175" t="s">
        <v>467</v>
      </c>
    </row>
    <row r="176" spans="1:41" x14ac:dyDescent="0.25">
      <c r="A176" t="s">
        <v>521</v>
      </c>
      <c r="B176" t="s">
        <v>412</v>
      </c>
      <c r="C176" s="128">
        <v>61051</v>
      </c>
      <c r="D176" s="128">
        <v>-11</v>
      </c>
      <c r="E176" s="128">
        <v>624</v>
      </c>
      <c r="F176" s="128">
        <v>4089</v>
      </c>
      <c r="G176" s="128">
        <v>10356</v>
      </c>
      <c r="H176" s="128">
        <v>6958</v>
      </c>
      <c r="I176" s="128">
        <v>1902</v>
      </c>
      <c r="J176" s="128">
        <v>2168</v>
      </c>
      <c r="K176" s="128">
        <v>379</v>
      </c>
      <c r="L176" s="128">
        <v>1052</v>
      </c>
      <c r="M176" s="128">
        <v>4323</v>
      </c>
      <c r="N176" s="128">
        <v>10034</v>
      </c>
      <c r="O176" s="128">
        <v>12445</v>
      </c>
      <c r="P176" s="128">
        <v>3839</v>
      </c>
      <c r="Q176" s="128">
        <v>2967</v>
      </c>
      <c r="R176" s="128"/>
      <c r="S176" t="s">
        <v>412</v>
      </c>
      <c r="T176" s="128">
        <f t="shared" si="6"/>
        <v>56349</v>
      </c>
      <c r="U176" s="128">
        <v>43787</v>
      </c>
      <c r="V176" s="128">
        <v>35718450.217574112</v>
      </c>
      <c r="W176" s="128">
        <v>2969</v>
      </c>
      <c r="X176" s="128">
        <v>2651</v>
      </c>
      <c r="Y176" s="128">
        <v>83</v>
      </c>
      <c r="Z176" s="128">
        <v>237</v>
      </c>
      <c r="AA176" s="128">
        <v>303</v>
      </c>
      <c r="AB176" s="128">
        <v>79</v>
      </c>
      <c r="AC176" s="128">
        <v>464</v>
      </c>
      <c r="AD176" s="128">
        <v>90</v>
      </c>
      <c r="AE176" s="128">
        <v>155</v>
      </c>
      <c r="AF176" s="128">
        <f t="shared" si="7"/>
        <v>41249.450217574115</v>
      </c>
      <c r="AG176" s="128">
        <v>24028</v>
      </c>
      <c r="AH176" s="128">
        <f t="shared" si="8"/>
        <v>1716.7242474435704</v>
      </c>
      <c r="AI176" t="s">
        <v>118</v>
      </c>
      <c r="AM176" t="s">
        <v>268</v>
      </c>
      <c r="AN176" s="128">
        <v>2434.3276147916968</v>
      </c>
      <c r="AO176" t="s">
        <v>467</v>
      </c>
    </row>
    <row r="177" spans="1:41" x14ac:dyDescent="0.25">
      <c r="A177" t="s">
        <v>519</v>
      </c>
      <c r="B177" s="207" t="s">
        <v>869</v>
      </c>
      <c r="C177" s="242">
        <v>154696</v>
      </c>
      <c r="D177" s="242">
        <v>110</v>
      </c>
      <c r="E177" s="242">
        <v>3095</v>
      </c>
      <c r="F177" s="242">
        <v>7556</v>
      </c>
      <c r="G177" s="242">
        <v>33917</v>
      </c>
      <c r="H177" s="128">
        <v>9715</v>
      </c>
      <c r="I177" s="128">
        <v>3667</v>
      </c>
      <c r="J177" s="128">
        <v>4064</v>
      </c>
      <c r="K177" s="128">
        <v>0</v>
      </c>
      <c r="L177" s="128">
        <v>3902</v>
      </c>
      <c r="M177" s="128">
        <v>12952</v>
      </c>
      <c r="N177" s="128">
        <v>27827</v>
      </c>
      <c r="O177" s="128">
        <v>33780</v>
      </c>
      <c r="P177" s="128">
        <v>13104</v>
      </c>
      <c r="Q177" s="128">
        <v>2715</v>
      </c>
      <c r="R177" s="128"/>
      <c r="S177" t="s">
        <v>869</v>
      </c>
      <c r="T177" s="128">
        <f t="shared" si="6"/>
        <v>143935</v>
      </c>
      <c r="U177" s="128">
        <v>114444</v>
      </c>
      <c r="V177" s="128">
        <v>90079472.31209144</v>
      </c>
      <c r="W177" s="128">
        <v>5565</v>
      </c>
      <c r="X177" s="128">
        <v>6096</v>
      </c>
      <c r="Y177" s="128">
        <v>165</v>
      </c>
      <c r="Z177" s="128">
        <v>756</v>
      </c>
      <c r="AA177" s="128">
        <v>1819</v>
      </c>
      <c r="AB177" s="128">
        <v>585</v>
      </c>
      <c r="AC177" s="128">
        <v>391</v>
      </c>
      <c r="AD177" s="128">
        <v>2395</v>
      </c>
      <c r="AE177" s="128">
        <v>0</v>
      </c>
      <c r="AF177" s="128">
        <f t="shared" si="7"/>
        <v>101798.47231209144</v>
      </c>
      <c r="AG177" s="128">
        <v>58383</v>
      </c>
      <c r="AH177" s="128">
        <f t="shared" si="8"/>
        <v>1743.6320900277724</v>
      </c>
      <c r="AI177" t="s">
        <v>118</v>
      </c>
      <c r="AM177" t="s">
        <v>269</v>
      </c>
      <c r="AN177" s="128">
        <v>1900.6536008947949</v>
      </c>
      <c r="AO177" t="s">
        <v>467</v>
      </c>
    </row>
    <row r="178" spans="1:41" x14ac:dyDescent="0.25">
      <c r="A178" t="s">
        <v>517</v>
      </c>
      <c r="B178" t="s">
        <v>307</v>
      </c>
      <c r="C178" s="128">
        <v>103700</v>
      </c>
      <c r="D178" s="128">
        <v>4091</v>
      </c>
      <c r="E178" s="128">
        <v>836</v>
      </c>
      <c r="F178" s="128">
        <v>5393</v>
      </c>
      <c r="G178" s="128">
        <v>20914</v>
      </c>
      <c r="H178" s="128">
        <v>4904</v>
      </c>
      <c r="I178" s="128">
        <v>2024</v>
      </c>
      <c r="J178" s="128">
        <v>2494</v>
      </c>
      <c r="K178" s="128">
        <v>1609</v>
      </c>
      <c r="L178" s="128">
        <v>3807</v>
      </c>
      <c r="M178" s="128">
        <v>4699</v>
      </c>
      <c r="N178" s="128">
        <v>22111</v>
      </c>
      <c r="O178" s="128">
        <v>24833</v>
      </c>
      <c r="P178" s="128">
        <v>5113</v>
      </c>
      <c r="Q178" s="128">
        <v>567</v>
      </c>
      <c r="R178" s="128"/>
      <c r="S178" t="s">
        <v>307</v>
      </c>
      <c r="T178" s="128">
        <f t="shared" si="6"/>
        <v>93380</v>
      </c>
      <c r="U178" s="128">
        <v>76476</v>
      </c>
      <c r="V178" s="128">
        <v>57087247.109958924</v>
      </c>
      <c r="W178" s="128">
        <v>3036</v>
      </c>
      <c r="X178" s="128">
        <v>6199</v>
      </c>
      <c r="Y178" s="128">
        <v>583</v>
      </c>
      <c r="Z178" s="128">
        <v>585</v>
      </c>
      <c r="AA178" s="128">
        <v>541</v>
      </c>
      <c r="AB178" s="128">
        <v>255</v>
      </c>
      <c r="AC178" s="128">
        <v>51</v>
      </c>
      <c r="AD178" s="128">
        <v>0</v>
      </c>
      <c r="AE178" s="128">
        <v>639</v>
      </c>
      <c r="AF178" s="128">
        <f t="shared" si="7"/>
        <v>62102.247109958931</v>
      </c>
      <c r="AG178" s="128">
        <v>34148</v>
      </c>
      <c r="AH178" s="128">
        <f t="shared" si="8"/>
        <v>1818.6203323755105</v>
      </c>
      <c r="AI178" t="s">
        <v>118</v>
      </c>
      <c r="AM178" t="s">
        <v>226</v>
      </c>
      <c r="AN178" s="128">
        <v>1813.4230402132232</v>
      </c>
      <c r="AO178" t="s">
        <v>467</v>
      </c>
    </row>
    <row r="179" spans="1:41" x14ac:dyDescent="0.25">
      <c r="A179" t="s">
        <v>519</v>
      </c>
      <c r="B179" t="s">
        <v>413</v>
      </c>
      <c r="C179" s="128">
        <v>534184</v>
      </c>
      <c r="D179" s="128">
        <v>9370</v>
      </c>
      <c r="E179" s="128">
        <v>0</v>
      </c>
      <c r="F179" s="128">
        <v>35629</v>
      </c>
      <c r="G179" s="128">
        <v>124542</v>
      </c>
      <c r="H179" s="128">
        <v>34824</v>
      </c>
      <c r="I179" s="128">
        <v>12593</v>
      </c>
      <c r="J179" s="128">
        <v>11677</v>
      </c>
      <c r="K179" s="128">
        <v>9482</v>
      </c>
      <c r="L179" s="128">
        <v>8002</v>
      </c>
      <c r="M179" s="128">
        <v>27640</v>
      </c>
      <c r="N179" s="128">
        <v>94475</v>
      </c>
      <c r="O179" s="128">
        <v>131909</v>
      </c>
      <c r="P179" s="128">
        <v>31675</v>
      </c>
      <c r="Q179" s="128">
        <v>2366</v>
      </c>
      <c r="R179" s="128"/>
      <c r="S179" t="s">
        <v>413</v>
      </c>
      <c r="T179" s="128">
        <f t="shared" si="6"/>
        <v>489185</v>
      </c>
      <c r="U179" s="128">
        <v>353928</v>
      </c>
      <c r="V179" s="128">
        <v>224429560.90923804</v>
      </c>
      <c r="W179" s="128">
        <v>14532</v>
      </c>
      <c r="X179" s="128">
        <v>19184</v>
      </c>
      <c r="Y179" s="128">
        <v>483</v>
      </c>
      <c r="Z179" s="128">
        <v>2015</v>
      </c>
      <c r="AA179" s="128">
        <v>5223</v>
      </c>
      <c r="AB179" s="128">
        <v>1403</v>
      </c>
      <c r="AC179" s="128">
        <v>5531</v>
      </c>
      <c r="AD179" s="128">
        <v>12559</v>
      </c>
      <c r="AE179" s="128">
        <v>1013</v>
      </c>
      <c r="AF179" s="128">
        <f t="shared" si="7"/>
        <v>297743.56090923806</v>
      </c>
      <c r="AG179" s="128">
        <v>121108</v>
      </c>
      <c r="AH179" s="128">
        <f t="shared" si="8"/>
        <v>2458.496225759141</v>
      </c>
      <c r="AI179" t="s">
        <v>441</v>
      </c>
      <c r="AM179" t="s">
        <v>198</v>
      </c>
      <c r="AN179" s="128">
        <v>1730.2044289869777</v>
      </c>
      <c r="AO179" t="s">
        <v>467</v>
      </c>
    </row>
    <row r="180" spans="1:41" x14ac:dyDescent="0.25">
      <c r="A180" t="s">
        <v>522</v>
      </c>
      <c r="B180" t="s">
        <v>266</v>
      </c>
      <c r="C180" s="128">
        <v>110371</v>
      </c>
      <c r="D180" s="128">
        <v>466</v>
      </c>
      <c r="E180" s="128">
        <v>289</v>
      </c>
      <c r="F180" s="128">
        <v>5572</v>
      </c>
      <c r="G180" s="128">
        <v>24429</v>
      </c>
      <c r="H180" s="128">
        <v>7858</v>
      </c>
      <c r="I180" s="128">
        <v>3146</v>
      </c>
      <c r="J180" s="128">
        <v>4901</v>
      </c>
      <c r="K180" s="128">
        <v>854</v>
      </c>
      <c r="L180" s="128">
        <v>2657</v>
      </c>
      <c r="M180" s="128">
        <v>5982</v>
      </c>
      <c r="N180" s="128">
        <v>15656</v>
      </c>
      <c r="O180" s="128">
        <v>27602</v>
      </c>
      <c r="P180" s="128">
        <v>10060</v>
      </c>
      <c r="Q180" s="128">
        <v>1102</v>
      </c>
      <c r="R180" s="128"/>
      <c r="S180" t="s">
        <v>266</v>
      </c>
      <c r="T180" s="128">
        <f t="shared" si="6"/>
        <v>104044</v>
      </c>
      <c r="U180" s="128">
        <v>80390</v>
      </c>
      <c r="V180" s="128">
        <v>67327088.092259318</v>
      </c>
      <c r="W180" s="128">
        <v>4492</v>
      </c>
      <c r="X180" s="128">
        <v>6519</v>
      </c>
      <c r="Y180" s="128">
        <v>217</v>
      </c>
      <c r="Z180" s="128">
        <v>540</v>
      </c>
      <c r="AA180" s="128">
        <v>1351</v>
      </c>
      <c r="AB180" s="128">
        <v>377</v>
      </c>
      <c r="AC180" s="128">
        <v>1174</v>
      </c>
      <c r="AD180" s="128">
        <v>0</v>
      </c>
      <c r="AE180" s="128">
        <v>220</v>
      </c>
      <c r="AF180" s="128">
        <f t="shared" si="7"/>
        <v>76091.088092259321</v>
      </c>
      <c r="AG180" s="128">
        <v>45450</v>
      </c>
      <c r="AH180" s="128">
        <f t="shared" si="8"/>
        <v>1674.1713551652215</v>
      </c>
      <c r="AI180" t="s">
        <v>118</v>
      </c>
      <c r="AM180" t="s">
        <v>312</v>
      </c>
      <c r="AN180" s="128">
        <v>1846.7454213697288</v>
      </c>
      <c r="AO180" t="s">
        <v>467</v>
      </c>
    </row>
    <row r="181" spans="1:41" x14ac:dyDescent="0.25">
      <c r="A181" t="s">
        <v>519</v>
      </c>
      <c r="B181" t="s">
        <v>414</v>
      </c>
      <c r="C181" s="128">
        <v>49824</v>
      </c>
      <c r="D181" s="128">
        <v>0</v>
      </c>
      <c r="E181" s="128">
        <v>2259</v>
      </c>
      <c r="F181" s="128">
        <v>2721</v>
      </c>
      <c r="G181" s="128">
        <v>9892</v>
      </c>
      <c r="H181" s="128">
        <v>4178</v>
      </c>
      <c r="I181" s="128">
        <v>1696</v>
      </c>
      <c r="J181" s="128">
        <v>2400</v>
      </c>
      <c r="K181" s="128">
        <v>181</v>
      </c>
      <c r="L181" s="128">
        <v>1600</v>
      </c>
      <c r="M181" s="128">
        <v>1582</v>
      </c>
      <c r="N181" s="128">
        <v>7538</v>
      </c>
      <c r="O181" s="128">
        <v>11446</v>
      </c>
      <c r="P181" s="128">
        <v>4164</v>
      </c>
      <c r="Q181" s="128">
        <v>167</v>
      </c>
      <c r="R181" s="128"/>
      <c r="S181" t="s">
        <v>414</v>
      </c>
      <c r="T181" s="128">
        <f t="shared" si="6"/>
        <v>44844</v>
      </c>
      <c r="U181" s="128">
        <v>33254</v>
      </c>
      <c r="V181" s="128">
        <v>27234079.223244227</v>
      </c>
      <c r="W181" s="128">
        <v>3009</v>
      </c>
      <c r="X181" s="128">
        <v>2285</v>
      </c>
      <c r="Y181" s="128">
        <v>148</v>
      </c>
      <c r="Z181" s="128">
        <v>120</v>
      </c>
      <c r="AA181" s="128">
        <v>378</v>
      </c>
      <c r="AB181" s="128">
        <v>17</v>
      </c>
      <c r="AC181" s="128">
        <v>115</v>
      </c>
      <c r="AD181" s="128">
        <v>291</v>
      </c>
      <c r="AE181" s="128">
        <v>61</v>
      </c>
      <c r="AF181" s="128">
        <f t="shared" si="7"/>
        <v>32400.079223244233</v>
      </c>
      <c r="AG181" s="128">
        <v>18582</v>
      </c>
      <c r="AH181" s="128">
        <f t="shared" si="8"/>
        <v>1743.62712427318</v>
      </c>
      <c r="AI181" t="s">
        <v>118</v>
      </c>
      <c r="AM181" t="s">
        <v>417</v>
      </c>
      <c r="AN181" s="128">
        <v>1460.376814802489</v>
      </c>
      <c r="AO181" t="s">
        <v>467</v>
      </c>
    </row>
    <row r="182" spans="1:41" x14ac:dyDescent="0.25">
      <c r="A182" t="s">
        <v>526</v>
      </c>
      <c r="B182" t="s">
        <v>587</v>
      </c>
      <c r="C182" s="128">
        <v>245944</v>
      </c>
      <c r="D182" s="128">
        <v>13996</v>
      </c>
      <c r="E182" s="128">
        <v>2127</v>
      </c>
      <c r="F182" s="128">
        <v>10610</v>
      </c>
      <c r="G182" s="128">
        <v>44128</v>
      </c>
      <c r="H182" s="128">
        <v>14703</v>
      </c>
      <c r="I182" s="128">
        <v>5613</v>
      </c>
      <c r="J182" s="128">
        <v>9550</v>
      </c>
      <c r="K182" s="128">
        <v>16750</v>
      </c>
      <c r="L182" s="128">
        <v>6980</v>
      </c>
      <c r="M182" s="128">
        <v>18511</v>
      </c>
      <c r="N182" s="128">
        <v>32366</v>
      </c>
      <c r="O182" s="128">
        <v>47357</v>
      </c>
      <c r="P182" s="128">
        <v>17273</v>
      </c>
      <c r="Q182" s="128">
        <v>1024</v>
      </c>
      <c r="R182" s="128"/>
      <c r="S182" t="s">
        <v>587</v>
      </c>
      <c r="T182" s="128">
        <f t="shared" si="6"/>
        <v>219211</v>
      </c>
      <c r="U182" s="128">
        <v>142353</v>
      </c>
      <c r="V182" s="128">
        <v>118093986.2067336</v>
      </c>
      <c r="W182" s="128">
        <v>7128</v>
      </c>
      <c r="X182" s="128">
        <v>7967</v>
      </c>
      <c r="Y182" s="128">
        <v>125</v>
      </c>
      <c r="Z182" s="128">
        <v>1058</v>
      </c>
      <c r="AA182" s="128">
        <v>3014</v>
      </c>
      <c r="AB182" s="128">
        <v>424</v>
      </c>
      <c r="AC182" s="128">
        <v>187</v>
      </c>
      <c r="AD182" s="128">
        <v>47</v>
      </c>
      <c r="AE182" s="128">
        <v>302</v>
      </c>
      <c r="AF182" s="128">
        <f t="shared" si="7"/>
        <v>174699.98620673359</v>
      </c>
      <c r="AG182" s="128">
        <v>82608</v>
      </c>
      <c r="AH182" s="128">
        <f t="shared" si="8"/>
        <v>2114.8071156151168</v>
      </c>
      <c r="AI182" t="s">
        <v>467</v>
      </c>
      <c r="AM182" t="s">
        <v>313</v>
      </c>
      <c r="AN182" s="128">
        <v>1557.5935695327514</v>
      </c>
      <c r="AO182" t="s">
        <v>467</v>
      </c>
    </row>
    <row r="183" spans="1:41" x14ac:dyDescent="0.25">
      <c r="A183" t="s">
        <v>521</v>
      </c>
      <c r="B183" t="s">
        <v>112</v>
      </c>
      <c r="C183" s="128">
        <v>114289</v>
      </c>
      <c r="D183" s="128">
        <v>5416</v>
      </c>
      <c r="E183" s="128">
        <v>2768</v>
      </c>
      <c r="F183" s="128">
        <v>6061</v>
      </c>
      <c r="G183" s="128">
        <v>25468</v>
      </c>
      <c r="H183" s="128">
        <v>6551</v>
      </c>
      <c r="I183" s="128">
        <v>1829</v>
      </c>
      <c r="J183" s="128">
        <v>4012</v>
      </c>
      <c r="K183" s="128">
        <v>2479</v>
      </c>
      <c r="L183" s="128">
        <v>4290</v>
      </c>
      <c r="M183" s="128">
        <v>6840</v>
      </c>
      <c r="N183" s="128">
        <v>20499</v>
      </c>
      <c r="O183" s="128">
        <v>22891</v>
      </c>
      <c r="P183" s="128">
        <v>5314</v>
      </c>
      <c r="Q183" s="128">
        <v>799</v>
      </c>
      <c r="R183" s="128"/>
      <c r="S183" t="s">
        <v>112</v>
      </c>
      <c r="T183" s="128">
        <f t="shared" si="6"/>
        <v>100044</v>
      </c>
      <c r="U183" s="128">
        <v>81705</v>
      </c>
      <c r="V183" s="128">
        <v>61499880.925418727</v>
      </c>
      <c r="W183" s="128">
        <v>2930</v>
      </c>
      <c r="X183" s="128">
        <v>3341</v>
      </c>
      <c r="Y183" s="128">
        <v>297</v>
      </c>
      <c r="Z183" s="128">
        <v>349</v>
      </c>
      <c r="AA183" s="128">
        <v>863</v>
      </c>
      <c r="AB183" s="128">
        <v>411</v>
      </c>
      <c r="AC183" s="128">
        <v>0</v>
      </c>
      <c r="AD183" s="128">
        <v>1790</v>
      </c>
      <c r="AE183" s="128">
        <v>98</v>
      </c>
      <c r="AF183" s="128">
        <f t="shared" si="7"/>
        <v>69759.880925418722</v>
      </c>
      <c r="AG183" s="128">
        <v>34764</v>
      </c>
      <c r="AH183" s="128">
        <f t="shared" si="8"/>
        <v>2006.6701451334345</v>
      </c>
      <c r="AI183" t="s">
        <v>441</v>
      </c>
      <c r="AM183" t="s">
        <v>199</v>
      </c>
      <c r="AN183" s="128">
        <v>1515.114537983261</v>
      </c>
      <c r="AO183" t="s">
        <v>467</v>
      </c>
    </row>
    <row r="184" spans="1:41" x14ac:dyDescent="0.25">
      <c r="A184" t="s">
        <v>526</v>
      </c>
      <c r="B184" t="s">
        <v>334</v>
      </c>
      <c r="C184" s="128">
        <v>177991</v>
      </c>
      <c r="D184" s="128">
        <v>5585</v>
      </c>
      <c r="E184" s="128">
        <v>2945</v>
      </c>
      <c r="F184" s="128">
        <v>8135</v>
      </c>
      <c r="G184" s="128">
        <v>30464</v>
      </c>
      <c r="H184" s="128">
        <v>10704</v>
      </c>
      <c r="I184" s="128">
        <v>4026</v>
      </c>
      <c r="J184" s="128">
        <v>7574</v>
      </c>
      <c r="K184" s="128">
        <v>2604</v>
      </c>
      <c r="L184" s="128">
        <v>4158</v>
      </c>
      <c r="M184" s="128">
        <v>10658</v>
      </c>
      <c r="N184" s="128">
        <v>39713</v>
      </c>
      <c r="O184" s="128">
        <v>41472</v>
      </c>
      <c r="P184" s="128">
        <v>10803</v>
      </c>
      <c r="Q184" s="128">
        <v>593</v>
      </c>
      <c r="R184" s="128"/>
      <c r="S184" t="s">
        <v>760</v>
      </c>
      <c r="T184" s="128">
        <f t="shared" si="6"/>
        <v>161326</v>
      </c>
      <c r="U184" s="128">
        <v>121807</v>
      </c>
      <c r="V184" s="128">
        <v>90161737.187988892</v>
      </c>
      <c r="W184" s="128">
        <v>5744</v>
      </c>
      <c r="X184" s="128">
        <v>6761</v>
      </c>
      <c r="Y184" s="128">
        <v>2004</v>
      </c>
      <c r="Z184" s="128">
        <v>514</v>
      </c>
      <c r="AA184" s="128">
        <v>977</v>
      </c>
      <c r="AB184" s="128">
        <v>525</v>
      </c>
      <c r="AC184" s="128">
        <v>1089</v>
      </c>
      <c r="AD184" s="128">
        <v>6169</v>
      </c>
      <c r="AE184" s="128">
        <v>439</v>
      </c>
      <c r="AF184" s="128">
        <f t="shared" si="7"/>
        <v>105458.7371879889</v>
      </c>
      <c r="AG184" s="128">
        <v>49177</v>
      </c>
      <c r="AH184" s="128">
        <f t="shared" si="8"/>
        <v>2144.4727654795715</v>
      </c>
      <c r="AI184" t="s">
        <v>441</v>
      </c>
      <c r="AM184" t="s">
        <v>156</v>
      </c>
      <c r="AN184" s="128">
        <v>1745.8185630036369</v>
      </c>
      <c r="AO184" t="s">
        <v>467</v>
      </c>
    </row>
    <row r="185" spans="1:41" x14ac:dyDescent="0.25">
      <c r="A185" t="s">
        <v>518</v>
      </c>
      <c r="B185" t="s">
        <v>308</v>
      </c>
      <c r="C185" s="128">
        <v>49795</v>
      </c>
      <c r="D185" s="128">
        <v>2089</v>
      </c>
      <c r="E185" s="128">
        <v>1737</v>
      </c>
      <c r="F185" s="128">
        <v>3193</v>
      </c>
      <c r="G185" s="128">
        <v>13726</v>
      </c>
      <c r="H185" s="128">
        <v>3760</v>
      </c>
      <c r="I185" s="128">
        <v>1253</v>
      </c>
      <c r="J185" s="128">
        <v>2117</v>
      </c>
      <c r="K185" s="128">
        <v>461</v>
      </c>
      <c r="L185" s="128">
        <v>1301</v>
      </c>
      <c r="M185" s="128">
        <v>2710</v>
      </c>
      <c r="N185" s="128">
        <v>3172</v>
      </c>
      <c r="O185" s="128">
        <v>8817</v>
      </c>
      <c r="P185" s="128">
        <v>4627</v>
      </c>
      <c r="Q185" s="128">
        <v>1217</v>
      </c>
      <c r="R185" s="128"/>
      <c r="S185" t="s">
        <v>308</v>
      </c>
      <c r="T185" s="128">
        <f t="shared" si="6"/>
        <v>42776</v>
      </c>
      <c r="U185" s="128">
        <v>25454</v>
      </c>
      <c r="V185" s="128">
        <v>22762877.597156104</v>
      </c>
      <c r="W185" s="128">
        <v>1722</v>
      </c>
      <c r="X185" s="128">
        <v>2692</v>
      </c>
      <c r="Y185" s="128">
        <v>63</v>
      </c>
      <c r="Z185" s="128">
        <v>222</v>
      </c>
      <c r="AA185" s="128">
        <v>1009</v>
      </c>
      <c r="AB185" s="128">
        <v>39</v>
      </c>
      <c r="AC185" s="128">
        <v>0</v>
      </c>
      <c r="AD185" s="128">
        <v>0</v>
      </c>
      <c r="AE185" s="128">
        <v>2640</v>
      </c>
      <c r="AF185" s="128">
        <f t="shared" si="7"/>
        <v>31697.877597156104</v>
      </c>
      <c r="AG185" s="128">
        <v>19480</v>
      </c>
      <c r="AH185" s="128">
        <f t="shared" si="8"/>
        <v>1627.2011086835782</v>
      </c>
      <c r="AI185" t="s">
        <v>467</v>
      </c>
      <c r="AM185" t="s">
        <v>336</v>
      </c>
      <c r="AN185" s="128">
        <v>1738.171459128318</v>
      </c>
      <c r="AO185" t="s">
        <v>467</v>
      </c>
    </row>
    <row r="186" spans="1:41" x14ac:dyDescent="0.25">
      <c r="A186" t="s">
        <v>526</v>
      </c>
      <c r="B186" s="207" t="s">
        <v>113</v>
      </c>
      <c r="C186" s="242">
        <v>81034</v>
      </c>
      <c r="D186" s="242">
        <v>2368</v>
      </c>
      <c r="E186" s="242">
        <v>1141</v>
      </c>
      <c r="F186" s="242">
        <v>4501</v>
      </c>
      <c r="G186" s="242">
        <v>17829</v>
      </c>
      <c r="H186" s="128">
        <v>4941</v>
      </c>
      <c r="I186" s="128">
        <v>2087</v>
      </c>
      <c r="J186" s="128">
        <v>2880</v>
      </c>
      <c r="K186" s="128">
        <v>549</v>
      </c>
      <c r="L186" s="128">
        <v>1858</v>
      </c>
      <c r="M186" s="128">
        <v>4552</v>
      </c>
      <c r="N186" s="128">
        <v>9868</v>
      </c>
      <c r="O186" s="128">
        <v>21358</v>
      </c>
      <c r="P186" s="128">
        <v>6659</v>
      </c>
      <c r="Q186" s="128">
        <v>605</v>
      </c>
      <c r="R186" s="128"/>
      <c r="S186" t="s">
        <v>113</v>
      </c>
      <c r="T186" s="128">
        <f t="shared" si="6"/>
        <v>73024</v>
      </c>
      <c r="U186" s="128">
        <v>64194</v>
      </c>
      <c r="V186" s="128">
        <v>53496276.828652501</v>
      </c>
      <c r="W186" s="128">
        <v>3961</v>
      </c>
      <c r="X186" s="128">
        <v>2927</v>
      </c>
      <c r="Y186" s="128">
        <v>400</v>
      </c>
      <c r="Z186" s="128">
        <v>377</v>
      </c>
      <c r="AA186" s="128">
        <v>713</v>
      </c>
      <c r="AB186" s="128">
        <v>83</v>
      </c>
      <c r="AC186" s="128">
        <v>1161</v>
      </c>
      <c r="AD186" s="128">
        <v>0</v>
      </c>
      <c r="AE186" s="128">
        <v>0</v>
      </c>
      <c r="AF186" s="128">
        <f t="shared" si="7"/>
        <v>52704.276828652502</v>
      </c>
      <c r="AG186" s="128">
        <v>33672</v>
      </c>
      <c r="AH186" s="128">
        <f t="shared" si="8"/>
        <v>1565.2256126352013</v>
      </c>
      <c r="AI186" t="s">
        <v>118</v>
      </c>
      <c r="AM186" t="s">
        <v>227</v>
      </c>
      <c r="AN186" s="128">
        <v>1902.2965546699945</v>
      </c>
      <c r="AO186" t="s">
        <v>467</v>
      </c>
    </row>
    <row r="187" spans="1:41" x14ac:dyDescent="0.25">
      <c r="A187" t="s">
        <v>517</v>
      </c>
      <c r="B187" t="s">
        <v>602</v>
      </c>
      <c r="C187" s="128">
        <v>245053</v>
      </c>
      <c r="D187" s="128">
        <v>5577</v>
      </c>
      <c r="E187" s="128">
        <v>2363</v>
      </c>
      <c r="F187" s="128">
        <v>11282</v>
      </c>
      <c r="G187" s="128">
        <v>56843</v>
      </c>
      <c r="H187" s="128">
        <v>11543</v>
      </c>
      <c r="I187" s="128">
        <v>22047</v>
      </c>
      <c r="J187" s="128">
        <v>4962</v>
      </c>
      <c r="K187" s="128">
        <v>1277</v>
      </c>
      <c r="L187" s="128">
        <v>9271</v>
      </c>
      <c r="M187" s="128">
        <v>9064</v>
      </c>
      <c r="N187" s="128">
        <v>39329</v>
      </c>
      <c r="O187" s="128">
        <v>57207</v>
      </c>
      <c r="P187" s="128">
        <v>11602</v>
      </c>
      <c r="Q187" s="128">
        <v>3041</v>
      </c>
      <c r="R187" s="128"/>
      <c r="S187" t="s">
        <v>602</v>
      </c>
      <c r="T187" s="128">
        <f t="shared" si="6"/>
        <v>225831</v>
      </c>
      <c r="U187" s="128">
        <v>186394</v>
      </c>
      <c r="V187" s="128">
        <v>118008481.12743303</v>
      </c>
      <c r="W187" s="128">
        <v>5605</v>
      </c>
      <c r="X187" s="128">
        <v>6397</v>
      </c>
      <c r="Y187" s="128">
        <v>210</v>
      </c>
      <c r="Z187" s="128">
        <v>691</v>
      </c>
      <c r="AA187" s="128">
        <v>1366</v>
      </c>
      <c r="AB187" s="128">
        <v>67</v>
      </c>
      <c r="AC187" s="128">
        <v>300</v>
      </c>
      <c r="AD187" s="128">
        <v>140</v>
      </c>
      <c r="AE187" s="128">
        <v>53</v>
      </c>
      <c r="AF187" s="128">
        <f t="shared" si="7"/>
        <v>142616.48112743301</v>
      </c>
      <c r="AG187" s="128">
        <v>60890</v>
      </c>
      <c r="AH187" s="128">
        <f t="shared" si="8"/>
        <v>2342.1987375173758</v>
      </c>
      <c r="AI187" t="s">
        <v>441</v>
      </c>
      <c r="AM187" t="s">
        <v>384</v>
      </c>
      <c r="AN187" s="128">
        <v>1796.8201888638869</v>
      </c>
      <c r="AO187" t="s">
        <v>467</v>
      </c>
    </row>
    <row r="188" spans="1:41" x14ac:dyDescent="0.25">
      <c r="A188" t="s">
        <v>516</v>
      </c>
      <c r="B188" t="s">
        <v>379</v>
      </c>
      <c r="C188" s="128">
        <v>106875</v>
      </c>
      <c r="D188" s="128">
        <v>3237</v>
      </c>
      <c r="E188" s="128">
        <v>255</v>
      </c>
      <c r="F188" s="128">
        <v>5922</v>
      </c>
      <c r="G188" s="128">
        <v>21506</v>
      </c>
      <c r="H188" s="128">
        <v>8665</v>
      </c>
      <c r="I188" s="128">
        <v>3394</v>
      </c>
      <c r="J188" s="128">
        <v>4604</v>
      </c>
      <c r="K188" s="128">
        <v>677</v>
      </c>
      <c r="L188" s="128">
        <v>2640</v>
      </c>
      <c r="M188" s="128">
        <v>7071</v>
      </c>
      <c r="N188" s="128">
        <v>15047</v>
      </c>
      <c r="O188" s="128">
        <v>22308</v>
      </c>
      <c r="P188" s="128">
        <v>11119</v>
      </c>
      <c r="Q188" s="128">
        <v>759</v>
      </c>
      <c r="R188" s="128"/>
      <c r="S188" t="s">
        <v>379</v>
      </c>
      <c r="T188" s="128">
        <f t="shared" si="6"/>
        <v>97461</v>
      </c>
      <c r="U188" s="128">
        <v>66728</v>
      </c>
      <c r="V188" s="128">
        <v>54542638.665697806</v>
      </c>
      <c r="W188" s="128">
        <v>5774</v>
      </c>
      <c r="X188" s="128">
        <v>5141</v>
      </c>
      <c r="Y188" s="128">
        <v>143</v>
      </c>
      <c r="Z188" s="128">
        <v>398</v>
      </c>
      <c r="AA188" s="128">
        <v>1600</v>
      </c>
      <c r="AB188" s="128">
        <v>218</v>
      </c>
      <c r="AC188" s="128">
        <v>192</v>
      </c>
      <c r="AD188" s="128">
        <v>6</v>
      </c>
      <c r="AE188" s="128">
        <v>10</v>
      </c>
      <c r="AF188" s="128">
        <f t="shared" si="7"/>
        <v>71793.638665697799</v>
      </c>
      <c r="AG188" s="128">
        <v>37314</v>
      </c>
      <c r="AH188" s="128">
        <f t="shared" si="8"/>
        <v>1924.0402708285844</v>
      </c>
      <c r="AI188" t="s">
        <v>467</v>
      </c>
      <c r="AM188" t="s">
        <v>228</v>
      </c>
      <c r="AN188" s="128">
        <v>1595.1784347925343</v>
      </c>
      <c r="AO188" t="s">
        <v>467</v>
      </c>
    </row>
    <row r="189" spans="1:41" x14ac:dyDescent="0.25">
      <c r="A189" t="s">
        <v>528</v>
      </c>
      <c r="B189" t="s">
        <v>603</v>
      </c>
      <c r="C189" s="128">
        <v>108714</v>
      </c>
      <c r="D189" s="128">
        <v>2943</v>
      </c>
      <c r="E189" s="128">
        <v>367</v>
      </c>
      <c r="F189" s="128">
        <v>5496</v>
      </c>
      <c r="G189" s="128">
        <v>22842</v>
      </c>
      <c r="H189" s="128">
        <v>8095</v>
      </c>
      <c r="I189" s="128">
        <v>4175</v>
      </c>
      <c r="J189" s="128">
        <v>4486</v>
      </c>
      <c r="K189" s="128">
        <v>2563</v>
      </c>
      <c r="L189" s="128">
        <v>3576</v>
      </c>
      <c r="M189" s="128">
        <v>6563</v>
      </c>
      <c r="N189" s="128">
        <v>10683</v>
      </c>
      <c r="O189" s="128">
        <v>21073</v>
      </c>
      <c r="P189" s="128">
        <v>12555</v>
      </c>
      <c r="Q189" s="128">
        <v>3349</v>
      </c>
      <c r="R189" s="128"/>
      <c r="S189" t="s">
        <v>603</v>
      </c>
      <c r="T189" s="128">
        <f t="shared" si="6"/>
        <v>99908</v>
      </c>
      <c r="U189" s="128">
        <v>70908</v>
      </c>
      <c r="V189" s="128">
        <v>59166564.914247759</v>
      </c>
      <c r="W189" s="128">
        <v>4049</v>
      </c>
      <c r="X189" s="128">
        <v>5436</v>
      </c>
      <c r="Y189" s="128">
        <v>332</v>
      </c>
      <c r="Z189" s="128">
        <v>444</v>
      </c>
      <c r="AA189" s="128">
        <v>2196</v>
      </c>
      <c r="AB189" s="128">
        <v>214</v>
      </c>
      <c r="AC189" s="128">
        <v>100</v>
      </c>
      <c r="AD189" s="128">
        <v>0</v>
      </c>
      <c r="AE189" s="128">
        <v>17</v>
      </c>
      <c r="AF189" s="128">
        <f t="shared" si="7"/>
        <v>75378.564914247749</v>
      </c>
      <c r="AG189" s="128">
        <v>44644</v>
      </c>
      <c r="AH189" s="128">
        <f t="shared" si="8"/>
        <v>1688.436630101419</v>
      </c>
      <c r="AI189" t="s">
        <v>467</v>
      </c>
      <c r="AM189" t="s">
        <v>157</v>
      </c>
      <c r="AN189" s="128">
        <v>1911.635094455469</v>
      </c>
      <c r="AO189" t="s">
        <v>467</v>
      </c>
    </row>
    <row r="190" spans="1:41" x14ac:dyDescent="0.25">
      <c r="A190" t="s">
        <v>521</v>
      </c>
      <c r="B190" t="s">
        <v>190</v>
      </c>
      <c r="C190" s="128">
        <v>89260</v>
      </c>
      <c r="D190" s="128">
        <v>324</v>
      </c>
      <c r="E190" s="128">
        <v>1450</v>
      </c>
      <c r="F190" s="128">
        <v>4538</v>
      </c>
      <c r="G190" s="128">
        <v>22569</v>
      </c>
      <c r="H190" s="128">
        <v>7132</v>
      </c>
      <c r="I190" s="128">
        <v>2362</v>
      </c>
      <c r="J190" s="128">
        <v>2454</v>
      </c>
      <c r="K190" s="128">
        <v>392</v>
      </c>
      <c r="L190" s="128">
        <v>2369</v>
      </c>
      <c r="M190" s="128">
        <v>4500</v>
      </c>
      <c r="N190" s="128">
        <v>12948</v>
      </c>
      <c r="O190" s="128">
        <v>21605</v>
      </c>
      <c r="P190" s="128">
        <v>6215</v>
      </c>
      <c r="Q190" s="128">
        <v>403</v>
      </c>
      <c r="R190" s="128"/>
      <c r="S190" t="s">
        <v>190</v>
      </c>
      <c r="T190" s="128">
        <f t="shared" si="6"/>
        <v>82948</v>
      </c>
      <c r="U190" s="128">
        <v>68671</v>
      </c>
      <c r="V190" s="128">
        <v>56021890.295603335</v>
      </c>
      <c r="W190" s="128">
        <v>4496</v>
      </c>
      <c r="X190" s="128">
        <v>3409</v>
      </c>
      <c r="Y190" s="128">
        <v>112</v>
      </c>
      <c r="Z190" s="128">
        <v>499</v>
      </c>
      <c r="AA190" s="128">
        <v>1182</v>
      </c>
      <c r="AB190" s="128">
        <v>73</v>
      </c>
      <c r="AC190" s="128">
        <v>410</v>
      </c>
      <c r="AD190" s="128">
        <v>0</v>
      </c>
      <c r="AE190" s="128">
        <v>59</v>
      </c>
      <c r="AF190" s="128">
        <f t="shared" si="7"/>
        <v>60058.890295603342</v>
      </c>
      <c r="AG190" s="128">
        <v>36349</v>
      </c>
      <c r="AH190" s="128">
        <f t="shared" si="8"/>
        <v>1652.2845276514715</v>
      </c>
      <c r="AI190" t="s">
        <v>118</v>
      </c>
      <c r="AM190" t="s">
        <v>202</v>
      </c>
      <c r="AN190" s="128">
        <v>1922.2982674250295</v>
      </c>
      <c r="AO190" t="s">
        <v>467</v>
      </c>
    </row>
    <row r="191" spans="1:41" x14ac:dyDescent="0.25">
      <c r="A191" t="s">
        <v>516</v>
      </c>
      <c r="B191" t="s">
        <v>438</v>
      </c>
      <c r="C191" s="128">
        <v>29210</v>
      </c>
      <c r="D191" s="128">
        <v>0</v>
      </c>
      <c r="E191" s="128">
        <v>231</v>
      </c>
      <c r="F191" s="128">
        <v>1370</v>
      </c>
      <c r="G191" s="128">
        <v>7050</v>
      </c>
      <c r="H191" s="128">
        <v>2818</v>
      </c>
      <c r="I191" s="128">
        <v>930</v>
      </c>
      <c r="J191" s="128">
        <v>1038</v>
      </c>
      <c r="K191" s="128">
        <v>280</v>
      </c>
      <c r="L191" s="128">
        <v>695</v>
      </c>
      <c r="M191" s="128">
        <v>1397</v>
      </c>
      <c r="N191" s="128">
        <v>3402</v>
      </c>
      <c r="O191" s="128">
        <v>6070</v>
      </c>
      <c r="P191" s="128">
        <v>2592</v>
      </c>
      <c r="Q191" s="128">
        <v>1367</v>
      </c>
      <c r="R191" s="128"/>
      <c r="S191" t="s">
        <v>438</v>
      </c>
      <c r="T191" s="128">
        <f t="shared" si="6"/>
        <v>27609</v>
      </c>
      <c r="U191" s="128">
        <v>20108</v>
      </c>
      <c r="V191" s="128">
        <v>17297058.607132815</v>
      </c>
      <c r="W191" s="128">
        <v>1576</v>
      </c>
      <c r="X191" s="128">
        <v>2016</v>
      </c>
      <c r="Y191" s="128">
        <v>87</v>
      </c>
      <c r="Z191" s="128">
        <v>249</v>
      </c>
      <c r="AA191" s="128">
        <v>388</v>
      </c>
      <c r="AB191" s="128">
        <v>27</v>
      </c>
      <c r="AC191" s="128">
        <v>0</v>
      </c>
      <c r="AD191" s="128">
        <v>0</v>
      </c>
      <c r="AE191" s="128">
        <v>8</v>
      </c>
      <c r="AF191" s="128">
        <f t="shared" si="7"/>
        <v>20447.058607132814</v>
      </c>
      <c r="AG191" s="128">
        <v>13814</v>
      </c>
      <c r="AH191" s="128">
        <f t="shared" si="8"/>
        <v>1480.1692925389325</v>
      </c>
      <c r="AI191" t="s">
        <v>467</v>
      </c>
      <c r="AM191" t="s">
        <v>203</v>
      </c>
      <c r="AN191" s="128">
        <v>1598.7678611368326</v>
      </c>
      <c r="AO191" t="s">
        <v>467</v>
      </c>
    </row>
    <row r="192" spans="1:41" x14ac:dyDescent="0.25">
      <c r="A192" t="s">
        <v>525</v>
      </c>
      <c r="B192" t="s">
        <v>415</v>
      </c>
      <c r="C192" s="128">
        <v>17648</v>
      </c>
      <c r="D192" s="128">
        <v>0</v>
      </c>
      <c r="E192" s="128">
        <v>32</v>
      </c>
      <c r="F192" s="128">
        <v>585</v>
      </c>
      <c r="G192" s="128">
        <v>5700</v>
      </c>
      <c r="H192" s="128">
        <v>2321</v>
      </c>
      <c r="I192" s="128">
        <v>658</v>
      </c>
      <c r="J192" s="128">
        <v>382</v>
      </c>
      <c r="K192" s="128">
        <v>62</v>
      </c>
      <c r="L192" s="128">
        <v>241</v>
      </c>
      <c r="M192" s="128">
        <v>557</v>
      </c>
      <c r="N192" s="128">
        <v>2544</v>
      </c>
      <c r="O192" s="128">
        <v>3542</v>
      </c>
      <c r="P192" s="128">
        <v>974</v>
      </c>
      <c r="Q192" s="128">
        <v>50</v>
      </c>
      <c r="R192" s="128"/>
      <c r="S192" t="s">
        <v>415</v>
      </c>
      <c r="T192" s="128">
        <f t="shared" si="6"/>
        <v>17031</v>
      </c>
      <c r="U192" s="128">
        <v>13012</v>
      </c>
      <c r="V192" s="128">
        <v>9785129.6541758068</v>
      </c>
      <c r="W192" s="128">
        <v>518</v>
      </c>
      <c r="X192" s="128">
        <v>806</v>
      </c>
      <c r="Y192" s="128">
        <v>0</v>
      </c>
      <c r="Z192" s="128">
        <v>90</v>
      </c>
      <c r="AA192" s="128">
        <v>102</v>
      </c>
      <c r="AB192" s="128">
        <v>29</v>
      </c>
      <c r="AC192" s="128">
        <v>79</v>
      </c>
      <c r="AD192" s="128">
        <v>0</v>
      </c>
      <c r="AE192" s="128">
        <v>25</v>
      </c>
      <c r="AF192" s="128">
        <f t="shared" si="7"/>
        <v>12155.129654175807</v>
      </c>
      <c r="AG192" s="128">
        <v>7985</v>
      </c>
      <c r="AH192" s="128">
        <f t="shared" si="8"/>
        <v>1522.2454169287173</v>
      </c>
      <c r="AI192" t="s">
        <v>467</v>
      </c>
      <c r="AM192" t="s">
        <v>387</v>
      </c>
      <c r="AN192" s="128">
        <v>1668.2595060358024</v>
      </c>
      <c r="AO192" t="s">
        <v>467</v>
      </c>
    </row>
    <row r="193" spans="1:41" x14ac:dyDescent="0.25">
      <c r="A193" t="s">
        <v>526</v>
      </c>
      <c r="B193" t="s">
        <v>191</v>
      </c>
      <c r="C193" s="128">
        <v>60764</v>
      </c>
      <c r="D193" s="128">
        <v>1354</v>
      </c>
      <c r="E193" s="128">
        <v>607</v>
      </c>
      <c r="F193" s="128">
        <v>2101</v>
      </c>
      <c r="G193" s="128">
        <v>12328</v>
      </c>
      <c r="H193" s="128">
        <v>-1459</v>
      </c>
      <c r="I193" s="128">
        <v>2588</v>
      </c>
      <c r="J193" s="128">
        <v>2900</v>
      </c>
      <c r="K193" s="128">
        <v>2232</v>
      </c>
      <c r="L193" s="128">
        <v>2618</v>
      </c>
      <c r="M193" s="128">
        <v>3938</v>
      </c>
      <c r="N193" s="128">
        <v>10135</v>
      </c>
      <c r="O193" s="128">
        <v>11511</v>
      </c>
      <c r="P193" s="128">
        <v>7462</v>
      </c>
      <c r="Q193" s="128">
        <v>2484</v>
      </c>
      <c r="R193" s="128"/>
      <c r="S193" t="s">
        <v>191</v>
      </c>
      <c r="T193" s="128">
        <f t="shared" si="6"/>
        <v>56702</v>
      </c>
      <c r="U193" s="128">
        <v>39998</v>
      </c>
      <c r="V193" s="128">
        <v>35559584.266720206</v>
      </c>
      <c r="W193" s="128">
        <v>2299</v>
      </c>
      <c r="X193" s="128">
        <v>0</v>
      </c>
      <c r="Y193" s="128">
        <v>278</v>
      </c>
      <c r="Z193" s="128">
        <v>336</v>
      </c>
      <c r="AA193" s="128">
        <v>1393</v>
      </c>
      <c r="AB193" s="128">
        <v>418</v>
      </c>
      <c r="AC193" s="128">
        <v>53</v>
      </c>
      <c r="AD193" s="128">
        <v>0</v>
      </c>
      <c r="AE193" s="128">
        <v>107</v>
      </c>
      <c r="AF193" s="128">
        <f t="shared" si="7"/>
        <v>47379.584266720209</v>
      </c>
      <c r="AG193" s="128">
        <v>25033</v>
      </c>
      <c r="AH193" s="128">
        <f t="shared" si="8"/>
        <v>1892.6850264339155</v>
      </c>
      <c r="AI193" t="s">
        <v>467</v>
      </c>
      <c r="AM193" t="s">
        <v>388</v>
      </c>
      <c r="AN193" s="128">
        <v>1700.258486769618</v>
      </c>
      <c r="AO193" t="s">
        <v>467</v>
      </c>
    </row>
    <row r="194" spans="1:41" x14ac:dyDescent="0.25">
      <c r="A194" t="s">
        <v>517</v>
      </c>
      <c r="B194" t="s">
        <v>416</v>
      </c>
      <c r="C194" s="128">
        <v>45374</v>
      </c>
      <c r="D194" s="128">
        <v>4675</v>
      </c>
      <c r="E194" s="128">
        <v>0</v>
      </c>
      <c r="F194" s="128">
        <v>1142</v>
      </c>
      <c r="G194" s="128">
        <v>9804</v>
      </c>
      <c r="H194" s="128">
        <v>3465</v>
      </c>
      <c r="I194" s="128">
        <v>1389</v>
      </c>
      <c r="J194" s="128">
        <v>1958</v>
      </c>
      <c r="K194" s="128">
        <v>324</v>
      </c>
      <c r="L194" s="128">
        <v>779</v>
      </c>
      <c r="M194" s="128">
        <v>2508</v>
      </c>
      <c r="N194" s="128">
        <v>5735</v>
      </c>
      <c r="O194" s="128">
        <v>8459</v>
      </c>
      <c r="P194" s="128">
        <v>4459</v>
      </c>
      <c r="Q194" s="128">
        <v>677</v>
      </c>
      <c r="R194" s="128"/>
      <c r="S194" t="s">
        <v>416</v>
      </c>
      <c r="T194" s="128">
        <f t="shared" si="6"/>
        <v>39557</v>
      </c>
      <c r="U194" s="128">
        <v>30760</v>
      </c>
      <c r="V194" s="128">
        <v>25021477.232517947</v>
      </c>
      <c r="W194" s="128">
        <v>2340</v>
      </c>
      <c r="X194" s="128">
        <v>1598</v>
      </c>
      <c r="Y194" s="128">
        <v>20</v>
      </c>
      <c r="Z194" s="128">
        <v>96</v>
      </c>
      <c r="AA194" s="128">
        <v>519</v>
      </c>
      <c r="AB194" s="128">
        <v>22</v>
      </c>
      <c r="AC194" s="128">
        <v>19</v>
      </c>
      <c r="AD194" s="128">
        <v>0</v>
      </c>
      <c r="AE194" s="128">
        <v>7</v>
      </c>
      <c r="AF194" s="128">
        <f t="shared" si="7"/>
        <v>29197.477232517951</v>
      </c>
      <c r="AG194" s="128">
        <v>17322</v>
      </c>
      <c r="AH194" s="128">
        <f t="shared" si="8"/>
        <v>1685.5719450708896</v>
      </c>
      <c r="AI194" t="s">
        <v>467</v>
      </c>
      <c r="AM194" t="s">
        <v>389</v>
      </c>
      <c r="AN194" s="128">
        <v>1627.0032343393473</v>
      </c>
      <c r="AO194" t="s">
        <v>467</v>
      </c>
    </row>
    <row r="195" spans="1:41" x14ac:dyDescent="0.25">
      <c r="A195" t="s">
        <v>521</v>
      </c>
      <c r="B195" t="s">
        <v>225</v>
      </c>
      <c r="C195" s="128">
        <v>232027</v>
      </c>
      <c r="D195" s="128">
        <v>27390</v>
      </c>
      <c r="E195" s="128">
        <v>2653</v>
      </c>
      <c r="F195" s="128">
        <v>10598</v>
      </c>
      <c r="G195" s="128">
        <v>44583</v>
      </c>
      <c r="H195" s="128">
        <v>11403</v>
      </c>
      <c r="I195" s="128">
        <v>4575</v>
      </c>
      <c r="J195" s="128">
        <v>7949</v>
      </c>
      <c r="K195" s="128">
        <v>16020</v>
      </c>
      <c r="L195" s="128">
        <v>5682</v>
      </c>
      <c r="M195" s="128">
        <v>13573</v>
      </c>
      <c r="N195" s="128">
        <v>31556</v>
      </c>
      <c r="O195" s="128">
        <v>36328</v>
      </c>
      <c r="P195" s="128">
        <v>14254</v>
      </c>
      <c r="Q195" s="128">
        <v>3059</v>
      </c>
      <c r="R195" s="128"/>
      <c r="S195" t="s">
        <v>225</v>
      </c>
      <c r="T195" s="128">
        <f t="shared" ref="T195:T258" si="9">SUM(C195,-D195,-E195,-F195)</f>
        <v>191386</v>
      </c>
      <c r="U195" s="128">
        <v>132649</v>
      </c>
      <c r="V195" s="128">
        <v>103636828.49671648</v>
      </c>
      <c r="W195" s="128">
        <v>5216</v>
      </c>
      <c r="X195" s="128">
        <v>8772</v>
      </c>
      <c r="Y195" s="128">
        <v>432</v>
      </c>
      <c r="Z195" s="128">
        <v>980</v>
      </c>
      <c r="AA195" s="128">
        <v>2287</v>
      </c>
      <c r="AB195" s="128">
        <v>214</v>
      </c>
      <c r="AC195" s="128">
        <v>56</v>
      </c>
      <c r="AD195" s="128">
        <v>5566</v>
      </c>
      <c r="AE195" s="128">
        <v>705</v>
      </c>
      <c r="AF195" s="128">
        <f t="shared" ref="AF195:AF258" si="10">SUM(T195,-U195,V195/1000,-W195,-X195,-Y195,-Z195,-AA195,-AB195,-AC195,-AD195,-AE195)</f>
        <v>138145.82849671648</v>
      </c>
      <c r="AG195" s="128">
        <v>64538</v>
      </c>
      <c r="AH195" s="128">
        <f t="shared" ref="AH195:AH258" si="11">AF195*1000/AG195</f>
        <v>2140.5347004356577</v>
      </c>
      <c r="AI195" t="s">
        <v>118</v>
      </c>
      <c r="AM195" t="s">
        <v>158</v>
      </c>
      <c r="AN195" s="128">
        <v>1921.2834040599407</v>
      </c>
      <c r="AO195" t="s">
        <v>467</v>
      </c>
    </row>
    <row r="196" spans="1:41" x14ac:dyDescent="0.25">
      <c r="A196" t="s">
        <v>519</v>
      </c>
      <c r="B196" t="s">
        <v>309</v>
      </c>
      <c r="C196" s="128">
        <v>75776</v>
      </c>
      <c r="D196" s="128">
        <v>7688</v>
      </c>
      <c r="E196" s="128">
        <v>472</v>
      </c>
      <c r="F196" s="128">
        <v>3500</v>
      </c>
      <c r="G196" s="128">
        <v>19229</v>
      </c>
      <c r="H196" s="128">
        <v>4768</v>
      </c>
      <c r="I196" s="128">
        <v>1766</v>
      </c>
      <c r="J196" s="128">
        <v>3647</v>
      </c>
      <c r="K196" s="128">
        <v>4651</v>
      </c>
      <c r="L196" s="128">
        <v>1977</v>
      </c>
      <c r="M196" s="128">
        <v>3664</v>
      </c>
      <c r="N196" s="128">
        <v>5880</v>
      </c>
      <c r="O196" s="128">
        <v>13061</v>
      </c>
      <c r="P196" s="128">
        <v>6521</v>
      </c>
      <c r="Q196" s="128">
        <v>941</v>
      </c>
      <c r="R196" s="128"/>
      <c r="S196" t="s">
        <v>309</v>
      </c>
      <c r="T196" s="128">
        <f t="shared" si="9"/>
        <v>64116</v>
      </c>
      <c r="U196" s="128">
        <v>40785</v>
      </c>
      <c r="V196" s="128">
        <v>38362229.663259514</v>
      </c>
      <c r="W196" s="128">
        <v>2766</v>
      </c>
      <c r="X196" s="128">
        <v>3901</v>
      </c>
      <c r="Y196" s="128">
        <v>171</v>
      </c>
      <c r="Z196" s="128">
        <v>230</v>
      </c>
      <c r="AA196" s="128">
        <v>1326</v>
      </c>
      <c r="AB196" s="128">
        <v>433</v>
      </c>
      <c r="AC196" s="128">
        <v>0</v>
      </c>
      <c r="AD196" s="128">
        <v>0</v>
      </c>
      <c r="AE196" s="128">
        <v>118</v>
      </c>
      <c r="AF196" s="128">
        <f t="shared" si="10"/>
        <v>52748.229663259517</v>
      </c>
      <c r="AG196" s="128">
        <v>29303</v>
      </c>
      <c r="AH196" s="128">
        <f t="shared" si="11"/>
        <v>1800.0965656505994</v>
      </c>
      <c r="AI196" t="s">
        <v>467</v>
      </c>
      <c r="AM196" t="s">
        <v>230</v>
      </c>
      <c r="AN196" s="128">
        <v>1528.4595949647439</v>
      </c>
      <c r="AO196" t="s">
        <v>467</v>
      </c>
    </row>
    <row r="197" spans="1:41" x14ac:dyDescent="0.25">
      <c r="A197" t="s">
        <v>524</v>
      </c>
      <c r="B197" t="s">
        <v>192</v>
      </c>
      <c r="C197" s="128">
        <v>103901</v>
      </c>
      <c r="D197" s="128">
        <v>6965</v>
      </c>
      <c r="E197" s="128">
        <v>558</v>
      </c>
      <c r="F197" s="128">
        <v>5485</v>
      </c>
      <c r="G197" s="128">
        <v>22994</v>
      </c>
      <c r="H197" s="128">
        <v>5311</v>
      </c>
      <c r="I197" s="128">
        <v>3236</v>
      </c>
      <c r="J197" s="128">
        <v>3917</v>
      </c>
      <c r="K197" s="128">
        <v>3449</v>
      </c>
      <c r="L197" s="128">
        <v>2707</v>
      </c>
      <c r="M197" s="128">
        <v>5873</v>
      </c>
      <c r="N197" s="128">
        <v>11113</v>
      </c>
      <c r="O197" s="128">
        <v>23508</v>
      </c>
      <c r="P197" s="128">
        <v>6186</v>
      </c>
      <c r="Q197" s="128">
        <v>3412</v>
      </c>
      <c r="R197" s="128"/>
      <c r="S197" t="s">
        <v>192</v>
      </c>
      <c r="T197" s="128">
        <f t="shared" si="9"/>
        <v>90893</v>
      </c>
      <c r="U197" s="128">
        <v>66802</v>
      </c>
      <c r="V197" s="128">
        <v>60151841.463970304</v>
      </c>
      <c r="W197" s="128">
        <v>2204</v>
      </c>
      <c r="X197" s="128">
        <v>3207</v>
      </c>
      <c r="Y197" s="128">
        <v>594</v>
      </c>
      <c r="Z197" s="128">
        <v>486</v>
      </c>
      <c r="AA197" s="128">
        <v>1447</v>
      </c>
      <c r="AB197" s="128">
        <v>335</v>
      </c>
      <c r="AC197" s="128">
        <v>267</v>
      </c>
      <c r="AD197" s="128">
        <v>455</v>
      </c>
      <c r="AE197" s="128">
        <v>5</v>
      </c>
      <c r="AF197" s="128">
        <f t="shared" si="10"/>
        <v>75242.841463970311</v>
      </c>
      <c r="AG197" s="128">
        <v>44317</v>
      </c>
      <c r="AH197" s="128">
        <f t="shared" si="11"/>
        <v>1697.8324675400031</v>
      </c>
      <c r="AI197" t="s">
        <v>467</v>
      </c>
      <c r="AM197" t="s">
        <v>137</v>
      </c>
      <c r="AN197" s="128">
        <v>2718.0065046107165</v>
      </c>
      <c r="AO197" t="s">
        <v>467</v>
      </c>
    </row>
    <row r="198" spans="1:41" x14ac:dyDescent="0.25">
      <c r="A198" t="s">
        <v>526</v>
      </c>
      <c r="B198" s="86" t="s">
        <v>193</v>
      </c>
      <c r="C198" s="128">
        <v>803072</v>
      </c>
      <c r="D198" s="128">
        <v>82519</v>
      </c>
      <c r="E198" s="128">
        <v>5800</v>
      </c>
      <c r="F198" s="128">
        <v>32797</v>
      </c>
      <c r="G198" s="128">
        <v>110357</v>
      </c>
      <c r="H198" s="128">
        <v>20569</v>
      </c>
      <c r="I198" s="128">
        <v>16103</v>
      </c>
      <c r="J198" s="128">
        <v>34608</v>
      </c>
      <c r="K198" s="128">
        <v>5218</v>
      </c>
      <c r="L198" s="128">
        <v>29068</v>
      </c>
      <c r="M198" s="128">
        <v>47735</v>
      </c>
      <c r="N198" s="128">
        <v>172883</v>
      </c>
      <c r="O198" s="128">
        <v>212850</v>
      </c>
      <c r="P198" s="128">
        <v>28177</v>
      </c>
      <c r="Q198" s="128">
        <v>11190</v>
      </c>
      <c r="R198" s="128"/>
      <c r="S198" t="s">
        <v>193</v>
      </c>
      <c r="T198" s="128">
        <f t="shared" si="9"/>
        <v>681956</v>
      </c>
      <c r="U198" s="128">
        <v>554876</v>
      </c>
      <c r="V198" s="128">
        <v>338010289.05606657</v>
      </c>
      <c r="W198" s="128">
        <v>16240</v>
      </c>
      <c r="X198" s="128">
        <v>3699</v>
      </c>
      <c r="Y198" s="128">
        <v>0</v>
      </c>
      <c r="Z198" s="128">
        <v>2121</v>
      </c>
      <c r="AA198" s="128">
        <v>6081</v>
      </c>
      <c r="AB198" s="128">
        <v>2145</v>
      </c>
      <c r="AC198" s="128">
        <v>824</v>
      </c>
      <c r="AD198" s="128">
        <v>18378</v>
      </c>
      <c r="AE198" s="128">
        <v>833</v>
      </c>
      <c r="AF198" s="128">
        <f t="shared" si="10"/>
        <v>414769.2890560666</v>
      </c>
      <c r="AG198" s="128">
        <v>179081</v>
      </c>
      <c r="AH198" s="128">
        <f t="shared" si="11"/>
        <v>2316.098799180631</v>
      </c>
      <c r="AI198" t="s">
        <v>441</v>
      </c>
      <c r="AM198" t="s">
        <v>319</v>
      </c>
      <c r="AN198" s="128">
        <v>1518.7097762054043</v>
      </c>
      <c r="AO198" t="s">
        <v>467</v>
      </c>
    </row>
    <row r="199" spans="1:41" x14ac:dyDescent="0.25">
      <c r="A199" t="s">
        <v>519</v>
      </c>
      <c r="B199" t="s">
        <v>479</v>
      </c>
      <c r="C199" s="128">
        <v>317577</v>
      </c>
      <c r="D199" s="128">
        <v>18777</v>
      </c>
      <c r="E199" s="128">
        <v>2922</v>
      </c>
      <c r="F199" s="128">
        <v>11937</v>
      </c>
      <c r="G199" s="128">
        <v>60612</v>
      </c>
      <c r="H199" s="128">
        <v>20166</v>
      </c>
      <c r="I199" s="128">
        <v>6459</v>
      </c>
      <c r="J199" s="128">
        <v>13818</v>
      </c>
      <c r="K199" s="128">
        <v>1625</v>
      </c>
      <c r="L199" s="128">
        <v>8577</v>
      </c>
      <c r="M199" s="128">
        <v>15918</v>
      </c>
      <c r="N199" s="128">
        <v>54152</v>
      </c>
      <c r="O199" s="128">
        <v>81649</v>
      </c>
      <c r="P199" s="128">
        <v>21982</v>
      </c>
      <c r="Q199" s="128">
        <v>433</v>
      </c>
      <c r="R199" s="128"/>
      <c r="S199" t="s">
        <v>479</v>
      </c>
      <c r="T199" s="128">
        <f t="shared" si="9"/>
        <v>283941</v>
      </c>
      <c r="U199" s="128">
        <v>226655</v>
      </c>
      <c r="V199" s="128">
        <v>151586855.67025942</v>
      </c>
      <c r="W199" s="128">
        <v>6181</v>
      </c>
      <c r="X199" s="128">
        <v>13431</v>
      </c>
      <c r="Y199" s="128">
        <v>456</v>
      </c>
      <c r="Z199" s="128">
        <v>890</v>
      </c>
      <c r="AA199" s="128">
        <v>527</v>
      </c>
      <c r="AB199" s="128">
        <v>172</v>
      </c>
      <c r="AC199" s="128">
        <v>150</v>
      </c>
      <c r="AD199" s="128">
        <v>3113</v>
      </c>
      <c r="AE199" s="128">
        <v>763</v>
      </c>
      <c r="AF199" s="128">
        <f t="shared" si="10"/>
        <v>183189.85567025942</v>
      </c>
      <c r="AG199" s="128">
        <v>86340</v>
      </c>
      <c r="AH199" s="128">
        <f t="shared" si="11"/>
        <v>2121.7263802439124</v>
      </c>
      <c r="AI199" t="s">
        <v>118</v>
      </c>
      <c r="AM199" t="s">
        <v>340</v>
      </c>
      <c r="AN199" s="128">
        <v>1896.8328304840368</v>
      </c>
      <c r="AO199" t="s">
        <v>467</v>
      </c>
    </row>
    <row r="200" spans="1:41" x14ac:dyDescent="0.25">
      <c r="A200" t="s">
        <v>526</v>
      </c>
      <c r="B200" t="s">
        <v>604</v>
      </c>
      <c r="C200" s="128">
        <v>161466</v>
      </c>
      <c r="D200" s="128">
        <v>35</v>
      </c>
      <c r="E200" s="128">
        <v>2333</v>
      </c>
      <c r="F200" s="128">
        <v>7455</v>
      </c>
      <c r="G200" s="128">
        <v>43677</v>
      </c>
      <c r="H200" s="128">
        <v>12055</v>
      </c>
      <c r="I200" s="128">
        <v>3326</v>
      </c>
      <c r="J200" s="128">
        <v>7286</v>
      </c>
      <c r="K200" s="128">
        <v>2787</v>
      </c>
      <c r="L200" s="128">
        <v>3703</v>
      </c>
      <c r="M200" s="128">
        <v>6905</v>
      </c>
      <c r="N200" s="128">
        <v>32486</v>
      </c>
      <c r="O200" s="128">
        <v>28787</v>
      </c>
      <c r="P200" s="128">
        <v>9447</v>
      </c>
      <c r="Q200" s="128">
        <v>1219</v>
      </c>
      <c r="R200" s="128"/>
      <c r="S200" t="s">
        <v>604</v>
      </c>
      <c r="T200" s="128">
        <f t="shared" si="9"/>
        <v>151643</v>
      </c>
      <c r="U200" s="128">
        <v>111427</v>
      </c>
      <c r="V200" s="128">
        <v>86807160.001891002</v>
      </c>
      <c r="W200" s="128">
        <v>5022</v>
      </c>
      <c r="X200" s="128">
        <v>5354</v>
      </c>
      <c r="Y200" s="128">
        <v>327</v>
      </c>
      <c r="Z200" s="128">
        <v>449</v>
      </c>
      <c r="AA200" s="128">
        <v>1366</v>
      </c>
      <c r="AB200" s="128">
        <v>245</v>
      </c>
      <c r="AC200" s="128">
        <v>560</v>
      </c>
      <c r="AD200" s="128">
        <v>388</v>
      </c>
      <c r="AE200" s="128">
        <v>108</v>
      </c>
      <c r="AF200" s="128">
        <f t="shared" si="10"/>
        <v>113204.160001891</v>
      </c>
      <c r="AG200" s="128">
        <v>45585</v>
      </c>
      <c r="AH200" s="128">
        <f t="shared" si="11"/>
        <v>2483.3642646021935</v>
      </c>
      <c r="AI200" t="s">
        <v>118</v>
      </c>
      <c r="AM200" t="s">
        <v>160</v>
      </c>
      <c r="AN200" s="128">
        <v>1603.5210895142941</v>
      </c>
      <c r="AO200" t="s">
        <v>467</v>
      </c>
    </row>
    <row r="201" spans="1:41" x14ac:dyDescent="0.25">
      <c r="A201" t="s">
        <v>524</v>
      </c>
      <c r="B201" t="s">
        <v>335</v>
      </c>
      <c r="C201" s="128">
        <v>28643</v>
      </c>
      <c r="D201" s="128">
        <v>1529</v>
      </c>
      <c r="E201" s="128">
        <v>153</v>
      </c>
      <c r="F201" s="128">
        <v>1753</v>
      </c>
      <c r="G201" s="128">
        <v>5687</v>
      </c>
      <c r="H201" s="128">
        <v>3391</v>
      </c>
      <c r="I201" s="128">
        <v>954</v>
      </c>
      <c r="J201" s="128">
        <v>2203</v>
      </c>
      <c r="K201" s="128">
        <v>595</v>
      </c>
      <c r="L201" s="128">
        <v>270</v>
      </c>
      <c r="M201" s="128">
        <v>990</v>
      </c>
      <c r="N201" s="128">
        <v>3166</v>
      </c>
      <c r="O201" s="128">
        <v>5307</v>
      </c>
      <c r="P201" s="128">
        <v>2194</v>
      </c>
      <c r="Q201" s="128">
        <v>477</v>
      </c>
      <c r="R201" s="128"/>
      <c r="S201" t="s">
        <v>335</v>
      </c>
      <c r="T201" s="128">
        <f t="shared" si="9"/>
        <v>25208</v>
      </c>
      <c r="U201" s="128">
        <v>15431</v>
      </c>
      <c r="V201" s="128">
        <v>12261874.619830683</v>
      </c>
      <c r="W201" s="128">
        <v>1070</v>
      </c>
      <c r="X201" s="128">
        <v>1286</v>
      </c>
      <c r="Y201" s="128">
        <v>68</v>
      </c>
      <c r="Z201" s="128">
        <v>120</v>
      </c>
      <c r="AA201" s="128">
        <v>200</v>
      </c>
      <c r="AB201" s="128">
        <v>247</v>
      </c>
      <c r="AC201" s="128">
        <v>1937</v>
      </c>
      <c r="AD201" s="128">
        <v>717</v>
      </c>
      <c r="AE201" s="128">
        <v>58</v>
      </c>
      <c r="AF201" s="128">
        <f t="shared" si="10"/>
        <v>16335.874619830684</v>
      </c>
      <c r="AG201" s="128">
        <v>7664</v>
      </c>
      <c r="AH201" s="128">
        <f t="shared" si="11"/>
        <v>2131.5076487252977</v>
      </c>
      <c r="AI201" t="s">
        <v>118</v>
      </c>
      <c r="AM201" t="s">
        <v>115</v>
      </c>
      <c r="AN201" s="128">
        <v>1582.8213318965643</v>
      </c>
      <c r="AO201" t="s">
        <v>467</v>
      </c>
    </row>
    <row r="202" spans="1:41" x14ac:dyDescent="0.25">
      <c r="A202" t="s">
        <v>524</v>
      </c>
      <c r="B202" t="s">
        <v>114</v>
      </c>
      <c r="C202" s="128">
        <v>101479</v>
      </c>
      <c r="D202" s="128">
        <v>3785</v>
      </c>
      <c r="E202" s="128">
        <v>1547</v>
      </c>
      <c r="F202" s="128">
        <v>6877</v>
      </c>
      <c r="G202" s="128">
        <v>35237</v>
      </c>
      <c r="H202" s="128">
        <v>3539</v>
      </c>
      <c r="I202" s="128">
        <v>1718</v>
      </c>
      <c r="J202" s="128">
        <v>2481</v>
      </c>
      <c r="K202" s="128">
        <v>1006</v>
      </c>
      <c r="L202" s="128">
        <v>3664</v>
      </c>
      <c r="M202" s="128">
        <v>4908</v>
      </c>
      <c r="N202" s="128">
        <v>14081</v>
      </c>
      <c r="O202" s="128">
        <v>17234</v>
      </c>
      <c r="P202" s="128">
        <v>5185</v>
      </c>
      <c r="Q202" s="128">
        <v>526</v>
      </c>
      <c r="R202" s="128"/>
      <c r="S202" t="s">
        <v>114</v>
      </c>
      <c r="T202" s="128">
        <f t="shared" si="9"/>
        <v>89270</v>
      </c>
      <c r="U202" s="128">
        <v>75069</v>
      </c>
      <c r="V202" s="128">
        <v>49464061.65034046</v>
      </c>
      <c r="W202" s="128">
        <v>4018</v>
      </c>
      <c r="X202" s="128">
        <v>2988</v>
      </c>
      <c r="Y202" s="128">
        <v>168</v>
      </c>
      <c r="Z202" s="128">
        <v>287</v>
      </c>
      <c r="AA202" s="128">
        <v>530</v>
      </c>
      <c r="AB202" s="128">
        <v>50</v>
      </c>
      <c r="AC202" s="128">
        <v>289</v>
      </c>
      <c r="AD202" s="128">
        <v>0</v>
      </c>
      <c r="AE202" s="128">
        <v>228</v>
      </c>
      <c r="AF202" s="128">
        <f t="shared" si="10"/>
        <v>55107.06165034046</v>
      </c>
      <c r="AG202" s="128">
        <v>31235</v>
      </c>
      <c r="AH202" s="128">
        <f t="shared" si="11"/>
        <v>1764.2728237663025</v>
      </c>
      <c r="AI202" t="s">
        <v>118</v>
      </c>
      <c r="AM202" t="s">
        <v>274</v>
      </c>
      <c r="AN202" s="128">
        <v>1405.3111315426861</v>
      </c>
      <c r="AO202" t="s">
        <v>467</v>
      </c>
    </row>
    <row r="203" spans="1:41" x14ac:dyDescent="0.25">
      <c r="A203" t="s">
        <v>519</v>
      </c>
      <c r="B203" t="s">
        <v>432</v>
      </c>
      <c r="C203" s="128">
        <v>141219</v>
      </c>
      <c r="D203" s="128">
        <v>5232</v>
      </c>
      <c r="E203" s="128">
        <v>157</v>
      </c>
      <c r="F203" s="128">
        <v>4683</v>
      </c>
      <c r="G203" s="128">
        <v>30880</v>
      </c>
      <c r="H203" s="128">
        <v>7952</v>
      </c>
      <c r="I203" s="128">
        <v>3304</v>
      </c>
      <c r="J203" s="128">
        <v>6823</v>
      </c>
      <c r="K203" s="128">
        <v>4088</v>
      </c>
      <c r="L203" s="128">
        <v>4214</v>
      </c>
      <c r="M203" s="128">
        <v>9796</v>
      </c>
      <c r="N203" s="128">
        <v>25467</v>
      </c>
      <c r="O203" s="128">
        <v>27323</v>
      </c>
      <c r="P203" s="128">
        <v>10372</v>
      </c>
      <c r="Q203" s="128">
        <v>1529</v>
      </c>
      <c r="R203" s="128"/>
      <c r="S203" t="s">
        <v>432</v>
      </c>
      <c r="T203" s="128">
        <f t="shared" si="9"/>
        <v>131147</v>
      </c>
      <c r="U203" s="128">
        <v>105412</v>
      </c>
      <c r="V203" s="128">
        <v>81051308.341624051</v>
      </c>
      <c r="W203" s="128">
        <v>3278</v>
      </c>
      <c r="X203" s="128">
        <v>5764</v>
      </c>
      <c r="Y203" s="128">
        <v>510</v>
      </c>
      <c r="Z203" s="128">
        <v>473</v>
      </c>
      <c r="AA203" s="128">
        <v>1056</v>
      </c>
      <c r="AB203" s="128">
        <v>221</v>
      </c>
      <c r="AC203" s="128">
        <v>406</v>
      </c>
      <c r="AD203" s="128">
        <v>0</v>
      </c>
      <c r="AE203" s="128">
        <v>265</v>
      </c>
      <c r="AF203" s="128">
        <f t="shared" si="10"/>
        <v>94813.308341624055</v>
      </c>
      <c r="AG203" s="128">
        <v>48047</v>
      </c>
      <c r="AH203" s="128">
        <f t="shared" si="11"/>
        <v>1973.3450234483746</v>
      </c>
      <c r="AI203" t="s">
        <v>118</v>
      </c>
      <c r="AM203" t="s">
        <v>275</v>
      </c>
      <c r="AN203" s="128">
        <v>1660.6294341741043</v>
      </c>
      <c r="AO203" t="s">
        <v>467</v>
      </c>
    </row>
    <row r="204" spans="1:41" x14ac:dyDescent="0.25">
      <c r="A204" t="s">
        <v>519</v>
      </c>
      <c r="B204" t="s">
        <v>310</v>
      </c>
      <c r="C204" s="128">
        <v>142499</v>
      </c>
      <c r="D204" s="128">
        <v>17848</v>
      </c>
      <c r="E204" s="128">
        <v>1803</v>
      </c>
      <c r="F204" s="128">
        <v>9742</v>
      </c>
      <c r="G204" s="128">
        <v>23555</v>
      </c>
      <c r="H204" s="128">
        <v>10419</v>
      </c>
      <c r="I204" s="128">
        <v>4742</v>
      </c>
      <c r="J204" s="128">
        <v>4853</v>
      </c>
      <c r="K204" s="128">
        <v>1548</v>
      </c>
      <c r="L204" s="128">
        <v>2611</v>
      </c>
      <c r="M204" s="128">
        <v>10764</v>
      </c>
      <c r="N204" s="128">
        <v>16675</v>
      </c>
      <c r="O204" s="128">
        <v>19199</v>
      </c>
      <c r="P204" s="128">
        <v>13608</v>
      </c>
      <c r="Q204" s="128">
        <v>5286</v>
      </c>
      <c r="R204" s="128"/>
      <c r="S204" t="s">
        <v>310</v>
      </c>
      <c r="T204" s="128">
        <f t="shared" si="9"/>
        <v>113106</v>
      </c>
      <c r="U204" s="128">
        <v>73347</v>
      </c>
      <c r="V204" s="128">
        <v>59074827.564783171</v>
      </c>
      <c r="W204" s="128">
        <v>4693</v>
      </c>
      <c r="X204" s="128">
        <v>6765</v>
      </c>
      <c r="Y204" s="128">
        <v>203</v>
      </c>
      <c r="Z204" s="128">
        <v>516</v>
      </c>
      <c r="AA204" s="128">
        <v>2584</v>
      </c>
      <c r="AB204" s="128">
        <v>392</v>
      </c>
      <c r="AC204" s="128">
        <v>3326</v>
      </c>
      <c r="AD204" s="128">
        <v>4434</v>
      </c>
      <c r="AE204" s="128">
        <v>262</v>
      </c>
      <c r="AF204" s="128">
        <f t="shared" si="10"/>
        <v>75658.827564783162</v>
      </c>
      <c r="AG204" s="128">
        <v>44362</v>
      </c>
      <c r="AH204" s="128">
        <f t="shared" si="11"/>
        <v>1705.4872991475397</v>
      </c>
      <c r="AI204" t="s">
        <v>118</v>
      </c>
      <c r="AM204" t="s">
        <v>433</v>
      </c>
      <c r="AN204" s="128">
        <v>1722.8816949641914</v>
      </c>
      <c r="AO204" t="s">
        <v>467</v>
      </c>
    </row>
    <row r="205" spans="1:41" x14ac:dyDescent="0.25">
      <c r="A205" t="s">
        <v>521</v>
      </c>
      <c r="B205" t="s">
        <v>435</v>
      </c>
      <c r="C205" s="128">
        <v>55758</v>
      </c>
      <c r="D205" s="128">
        <v>4213</v>
      </c>
      <c r="E205" s="128">
        <v>88</v>
      </c>
      <c r="F205" s="128">
        <v>1954</v>
      </c>
      <c r="G205" s="128">
        <v>8759</v>
      </c>
      <c r="H205" s="128">
        <v>8812</v>
      </c>
      <c r="I205" s="128">
        <v>1738</v>
      </c>
      <c r="J205" s="128">
        <v>2461</v>
      </c>
      <c r="K205" s="128">
        <v>142</v>
      </c>
      <c r="L205" s="128">
        <v>1416</v>
      </c>
      <c r="M205" s="128">
        <v>3663</v>
      </c>
      <c r="N205" s="128">
        <v>7715</v>
      </c>
      <c r="O205" s="128">
        <v>10541</v>
      </c>
      <c r="P205" s="128">
        <v>3731</v>
      </c>
      <c r="Q205" s="128">
        <v>907</v>
      </c>
      <c r="R205" s="128"/>
      <c r="S205" t="s">
        <v>435</v>
      </c>
      <c r="T205" s="128">
        <f t="shared" si="9"/>
        <v>49503</v>
      </c>
      <c r="U205" s="128">
        <v>35751</v>
      </c>
      <c r="V205" s="128">
        <v>30038927.751219548</v>
      </c>
      <c r="W205" s="128">
        <v>2000</v>
      </c>
      <c r="X205" s="128">
        <v>2584</v>
      </c>
      <c r="Y205" s="128">
        <v>93</v>
      </c>
      <c r="Z205" s="128">
        <v>340</v>
      </c>
      <c r="AA205" s="128">
        <v>784</v>
      </c>
      <c r="AB205" s="128">
        <v>46</v>
      </c>
      <c r="AC205" s="128">
        <v>24</v>
      </c>
      <c r="AD205" s="128">
        <v>0</v>
      </c>
      <c r="AE205" s="128">
        <v>101</v>
      </c>
      <c r="AF205" s="128">
        <f t="shared" si="10"/>
        <v>37818.927751219548</v>
      </c>
      <c r="AG205" s="128">
        <v>23827</v>
      </c>
      <c r="AH205" s="128">
        <f t="shared" si="11"/>
        <v>1587.2299387761593</v>
      </c>
      <c r="AI205" t="s">
        <v>467</v>
      </c>
      <c r="AM205" t="s">
        <v>232</v>
      </c>
      <c r="AN205" s="128">
        <v>1547.9849416941531</v>
      </c>
      <c r="AO205" t="s">
        <v>467</v>
      </c>
    </row>
    <row r="206" spans="1:41" x14ac:dyDescent="0.25">
      <c r="A206" t="s">
        <v>520</v>
      </c>
      <c r="B206" t="s">
        <v>194</v>
      </c>
      <c r="C206" s="128">
        <v>68202</v>
      </c>
      <c r="D206" s="128">
        <v>390</v>
      </c>
      <c r="E206" s="128">
        <v>360</v>
      </c>
      <c r="F206" s="128">
        <v>3893</v>
      </c>
      <c r="G206" s="128">
        <v>16239</v>
      </c>
      <c r="H206" s="128">
        <v>7228</v>
      </c>
      <c r="I206" s="128">
        <v>1726</v>
      </c>
      <c r="J206" s="128">
        <v>2392</v>
      </c>
      <c r="K206" s="128">
        <v>533</v>
      </c>
      <c r="L206" s="128">
        <v>2003</v>
      </c>
      <c r="M206" s="128">
        <v>3252</v>
      </c>
      <c r="N206" s="128">
        <v>9086</v>
      </c>
      <c r="O206" s="128">
        <v>15858</v>
      </c>
      <c r="P206" s="128">
        <v>5314</v>
      </c>
      <c r="Q206" s="128">
        <v>313</v>
      </c>
      <c r="R206" s="128"/>
      <c r="S206" t="s">
        <v>194</v>
      </c>
      <c r="T206" s="128">
        <f t="shared" si="9"/>
        <v>63559</v>
      </c>
      <c r="U206" s="128">
        <v>48356</v>
      </c>
      <c r="V206" s="128">
        <v>42245787.263162307</v>
      </c>
      <c r="W206" s="128">
        <v>1795</v>
      </c>
      <c r="X206" s="128">
        <v>2317</v>
      </c>
      <c r="Y206" s="128">
        <v>313</v>
      </c>
      <c r="Z206" s="128">
        <v>525</v>
      </c>
      <c r="AA206" s="128">
        <v>1005</v>
      </c>
      <c r="AB206" s="128">
        <v>106</v>
      </c>
      <c r="AC206" s="128">
        <v>817</v>
      </c>
      <c r="AD206" s="128">
        <v>0</v>
      </c>
      <c r="AE206" s="128">
        <v>159</v>
      </c>
      <c r="AF206" s="128">
        <f t="shared" si="10"/>
        <v>50411.78726316231</v>
      </c>
      <c r="AG206" s="128">
        <v>28220</v>
      </c>
      <c r="AH206" s="128">
        <f t="shared" si="11"/>
        <v>1786.3850908278635</v>
      </c>
      <c r="AI206" t="s">
        <v>467</v>
      </c>
      <c r="AM206" t="s">
        <v>341</v>
      </c>
      <c r="AN206" s="128">
        <v>1653.1997195570837</v>
      </c>
      <c r="AO206" t="s">
        <v>467</v>
      </c>
    </row>
    <row r="207" spans="1:41" x14ac:dyDescent="0.25">
      <c r="A207" t="s">
        <v>528</v>
      </c>
      <c r="B207" t="s">
        <v>311</v>
      </c>
      <c r="C207" s="128">
        <v>59727</v>
      </c>
      <c r="D207" s="128">
        <v>2264</v>
      </c>
      <c r="E207" s="128">
        <v>791</v>
      </c>
      <c r="F207" s="128">
        <v>3487</v>
      </c>
      <c r="G207" s="128">
        <v>11805</v>
      </c>
      <c r="H207" s="128">
        <v>7139</v>
      </c>
      <c r="I207" s="128">
        <v>1516</v>
      </c>
      <c r="J207" s="128">
        <v>1877</v>
      </c>
      <c r="K207" s="128">
        <v>301</v>
      </c>
      <c r="L207" s="128">
        <v>2191</v>
      </c>
      <c r="M207" s="128">
        <v>2614</v>
      </c>
      <c r="N207" s="128">
        <v>7434</v>
      </c>
      <c r="O207" s="128">
        <v>12366</v>
      </c>
      <c r="P207" s="128">
        <v>5589</v>
      </c>
      <c r="Q207" s="128">
        <v>387</v>
      </c>
      <c r="R207" s="128"/>
      <c r="S207" t="s">
        <v>311</v>
      </c>
      <c r="T207" s="128">
        <f t="shared" si="9"/>
        <v>53185</v>
      </c>
      <c r="U207" s="128">
        <v>37376</v>
      </c>
      <c r="V207" s="128">
        <v>30965676.095883857</v>
      </c>
      <c r="W207" s="128">
        <v>2504</v>
      </c>
      <c r="X207" s="128">
        <v>4133</v>
      </c>
      <c r="Y207" s="128">
        <v>0</v>
      </c>
      <c r="Z207" s="128">
        <v>182</v>
      </c>
      <c r="AA207" s="128">
        <v>1367</v>
      </c>
      <c r="AB207" s="128">
        <v>73</v>
      </c>
      <c r="AC207" s="128">
        <v>382</v>
      </c>
      <c r="AD207" s="128">
        <v>0</v>
      </c>
      <c r="AE207" s="128">
        <v>42</v>
      </c>
      <c r="AF207" s="128">
        <f t="shared" si="10"/>
        <v>38091.676095883857</v>
      </c>
      <c r="AG207" s="128">
        <v>25497</v>
      </c>
      <c r="AH207" s="128">
        <f t="shared" si="11"/>
        <v>1493.9669802676335</v>
      </c>
      <c r="AI207" t="s">
        <v>467</v>
      </c>
      <c r="AM207" t="s">
        <v>394</v>
      </c>
      <c r="AN207" s="128">
        <v>1843.3721133337299</v>
      </c>
      <c r="AO207" t="s">
        <v>467</v>
      </c>
    </row>
    <row r="208" spans="1:41" x14ac:dyDescent="0.25">
      <c r="A208" t="s">
        <v>516</v>
      </c>
      <c r="B208" s="86" t="s">
        <v>380</v>
      </c>
      <c r="C208" s="128">
        <v>47517</v>
      </c>
      <c r="D208" s="128">
        <v>341</v>
      </c>
      <c r="E208" s="128">
        <v>765</v>
      </c>
      <c r="F208" s="128">
        <v>2325</v>
      </c>
      <c r="G208" s="128">
        <v>9450</v>
      </c>
      <c r="H208" s="128">
        <v>4263</v>
      </c>
      <c r="I208" s="128">
        <v>1223</v>
      </c>
      <c r="J208" s="128">
        <v>1873</v>
      </c>
      <c r="K208" s="128">
        <v>512</v>
      </c>
      <c r="L208" s="128">
        <v>705</v>
      </c>
      <c r="M208" s="128">
        <v>4101</v>
      </c>
      <c r="N208" s="128">
        <v>5971</v>
      </c>
      <c r="O208" s="128">
        <v>9548</v>
      </c>
      <c r="P208" s="128">
        <v>3572</v>
      </c>
      <c r="Q208" s="128">
        <v>2896</v>
      </c>
      <c r="R208" s="128"/>
      <c r="S208" t="s">
        <v>380</v>
      </c>
      <c r="T208" s="128">
        <f t="shared" si="9"/>
        <v>44086</v>
      </c>
      <c r="U208" s="128">
        <v>29508</v>
      </c>
      <c r="V208" s="128">
        <v>24013228.534166828</v>
      </c>
      <c r="W208" s="128">
        <v>1662</v>
      </c>
      <c r="X208" s="128">
        <v>1620</v>
      </c>
      <c r="Y208" s="128">
        <v>0</v>
      </c>
      <c r="Z208" s="128">
        <v>178</v>
      </c>
      <c r="AA208" s="128">
        <v>480</v>
      </c>
      <c r="AB208" s="128">
        <v>84</v>
      </c>
      <c r="AC208" s="128">
        <v>363</v>
      </c>
      <c r="AD208" s="128">
        <v>0</v>
      </c>
      <c r="AE208" s="128">
        <v>173</v>
      </c>
      <c r="AF208" s="128">
        <f t="shared" si="10"/>
        <v>34031.228534166832</v>
      </c>
      <c r="AG208" s="128">
        <v>19061</v>
      </c>
      <c r="AH208" s="128">
        <f t="shared" si="11"/>
        <v>1785.3852648951699</v>
      </c>
      <c r="AI208" t="s">
        <v>467</v>
      </c>
      <c r="AM208" t="s">
        <v>427</v>
      </c>
      <c r="AN208" s="128">
        <v>1603.7059028672234</v>
      </c>
      <c r="AO208" t="s">
        <v>467</v>
      </c>
    </row>
    <row r="209" spans="1:41" x14ac:dyDescent="0.25">
      <c r="A209" t="s">
        <v>523</v>
      </c>
      <c r="B209" t="s">
        <v>381</v>
      </c>
      <c r="C209" s="128">
        <v>84630</v>
      </c>
      <c r="D209" s="128">
        <v>7594</v>
      </c>
      <c r="E209" s="128">
        <v>365</v>
      </c>
      <c r="F209" s="128">
        <v>2775</v>
      </c>
      <c r="G209" s="128">
        <v>17155</v>
      </c>
      <c r="H209" s="128">
        <v>8747</v>
      </c>
      <c r="I209" s="128">
        <v>2120</v>
      </c>
      <c r="J209" s="128">
        <v>2638</v>
      </c>
      <c r="K209" s="128">
        <v>2672</v>
      </c>
      <c r="L209" s="128">
        <v>1958</v>
      </c>
      <c r="M209" s="128">
        <v>5843</v>
      </c>
      <c r="N209" s="128">
        <v>10697</v>
      </c>
      <c r="O209" s="128">
        <v>15182</v>
      </c>
      <c r="P209" s="128">
        <v>6615</v>
      </c>
      <c r="Q209" s="128">
        <v>533</v>
      </c>
      <c r="R209" s="128"/>
      <c r="S209" t="s">
        <v>381</v>
      </c>
      <c r="T209" s="128">
        <f t="shared" si="9"/>
        <v>73896</v>
      </c>
      <c r="U209" s="128">
        <v>53567</v>
      </c>
      <c r="V209" s="128">
        <v>45106721.221085116</v>
      </c>
      <c r="W209" s="128">
        <v>3264</v>
      </c>
      <c r="X209" s="128">
        <v>2842</v>
      </c>
      <c r="Y209" s="128">
        <v>0</v>
      </c>
      <c r="Z209" s="128">
        <v>451</v>
      </c>
      <c r="AA209" s="128">
        <v>960</v>
      </c>
      <c r="AB209" s="128">
        <v>280</v>
      </c>
      <c r="AC209" s="128">
        <v>991</v>
      </c>
      <c r="AD209" s="128">
        <v>1175</v>
      </c>
      <c r="AE209" s="128">
        <v>300</v>
      </c>
      <c r="AF209" s="128">
        <f t="shared" si="10"/>
        <v>55172.721221085114</v>
      </c>
      <c r="AG209" s="128">
        <v>32513</v>
      </c>
      <c r="AH209" s="128">
        <f t="shared" si="11"/>
        <v>1696.9434140523826</v>
      </c>
      <c r="AI209" t="s">
        <v>467</v>
      </c>
      <c r="AM209" t="s">
        <v>321</v>
      </c>
      <c r="AN209" s="128">
        <v>1731.0592535100616</v>
      </c>
      <c r="AO209" t="s">
        <v>467</v>
      </c>
    </row>
    <row r="210" spans="1:41" x14ac:dyDescent="0.25">
      <c r="A210" t="s">
        <v>521</v>
      </c>
      <c r="B210" t="s">
        <v>123</v>
      </c>
      <c r="C210" s="128">
        <v>156944</v>
      </c>
      <c r="D210" s="128">
        <v>248</v>
      </c>
      <c r="E210" s="128">
        <v>2212</v>
      </c>
      <c r="F210" s="128">
        <v>6379</v>
      </c>
      <c r="G210" s="128">
        <v>27707</v>
      </c>
      <c r="H210" s="128">
        <v>8197</v>
      </c>
      <c r="I210" s="128">
        <v>3134</v>
      </c>
      <c r="J210" s="128">
        <v>2991</v>
      </c>
      <c r="K210" s="128">
        <v>572</v>
      </c>
      <c r="L210" s="128">
        <v>3903</v>
      </c>
      <c r="M210" s="128">
        <v>7533</v>
      </c>
      <c r="N210" s="128">
        <v>43353</v>
      </c>
      <c r="O210" s="128">
        <v>34580</v>
      </c>
      <c r="P210" s="128">
        <v>6366</v>
      </c>
      <c r="Q210" s="128">
        <v>9911</v>
      </c>
      <c r="R210" s="128"/>
      <c r="S210" t="s">
        <v>123</v>
      </c>
      <c r="T210" s="128">
        <f t="shared" si="9"/>
        <v>148105</v>
      </c>
      <c r="U210" s="128">
        <v>121232</v>
      </c>
      <c r="V210" s="128">
        <v>82620590.674552053</v>
      </c>
      <c r="W210" s="128">
        <v>4585</v>
      </c>
      <c r="X210" s="128">
        <v>4232</v>
      </c>
      <c r="Y210" s="128">
        <v>155</v>
      </c>
      <c r="Z210" s="128">
        <v>524</v>
      </c>
      <c r="AA210" s="128">
        <v>865</v>
      </c>
      <c r="AB210" s="128">
        <v>53</v>
      </c>
      <c r="AC210" s="128">
        <v>81</v>
      </c>
      <c r="AD210" s="128">
        <v>3</v>
      </c>
      <c r="AE210" s="128">
        <v>72</v>
      </c>
      <c r="AF210" s="128">
        <f t="shared" si="10"/>
        <v>98923.590674552048</v>
      </c>
      <c r="AG210" s="128">
        <v>38507</v>
      </c>
      <c r="AH210" s="128">
        <f t="shared" si="11"/>
        <v>2568.9768269289234</v>
      </c>
      <c r="AI210" t="s">
        <v>441</v>
      </c>
      <c r="AM210" t="s">
        <v>205</v>
      </c>
      <c r="AN210" s="128">
        <v>1777.2441813449211</v>
      </c>
      <c r="AO210" t="s">
        <v>467</v>
      </c>
    </row>
    <row r="211" spans="1:41" x14ac:dyDescent="0.25">
      <c r="A211" t="s">
        <v>517</v>
      </c>
      <c r="B211" t="s">
        <v>195</v>
      </c>
      <c r="C211" s="128">
        <v>71708</v>
      </c>
      <c r="D211" s="128">
        <v>847</v>
      </c>
      <c r="E211" s="128">
        <v>398</v>
      </c>
      <c r="F211" s="128">
        <v>5414</v>
      </c>
      <c r="G211" s="128">
        <v>16289</v>
      </c>
      <c r="H211" s="128">
        <v>-4249</v>
      </c>
      <c r="I211" s="128">
        <v>1690</v>
      </c>
      <c r="J211" s="128">
        <v>2719</v>
      </c>
      <c r="K211" s="128">
        <v>1547</v>
      </c>
      <c r="L211" s="128">
        <v>1664</v>
      </c>
      <c r="M211" s="128">
        <v>3308</v>
      </c>
      <c r="N211" s="128">
        <v>10923</v>
      </c>
      <c r="O211" s="128">
        <v>14842</v>
      </c>
      <c r="P211" s="128">
        <v>13343</v>
      </c>
      <c r="Q211" s="128">
        <v>2084</v>
      </c>
      <c r="R211" s="128"/>
      <c r="S211" t="s">
        <v>195</v>
      </c>
      <c r="T211" s="128">
        <f t="shared" si="9"/>
        <v>65049</v>
      </c>
      <c r="U211" s="128">
        <v>41794</v>
      </c>
      <c r="V211" s="128">
        <v>34078502.984819278</v>
      </c>
      <c r="W211" s="128">
        <v>1575</v>
      </c>
      <c r="X211" s="128">
        <v>2890</v>
      </c>
      <c r="Y211" s="128">
        <v>557</v>
      </c>
      <c r="Z211" s="128">
        <v>241</v>
      </c>
      <c r="AA211" s="128">
        <v>1083</v>
      </c>
      <c r="AB211" s="128">
        <v>117</v>
      </c>
      <c r="AC211" s="128">
        <v>696</v>
      </c>
      <c r="AD211" s="128">
        <v>0</v>
      </c>
      <c r="AE211" s="128">
        <v>162</v>
      </c>
      <c r="AF211" s="128">
        <f t="shared" si="10"/>
        <v>50012.502984819279</v>
      </c>
      <c r="AG211" s="128">
        <v>23931</v>
      </c>
      <c r="AH211" s="128">
        <f t="shared" si="11"/>
        <v>2089.8626461417944</v>
      </c>
      <c r="AI211" t="s">
        <v>467</v>
      </c>
      <c r="AM211" t="s">
        <v>396</v>
      </c>
      <c r="AN211" s="128">
        <v>1387.2906004858232</v>
      </c>
      <c r="AO211" t="s">
        <v>467</v>
      </c>
    </row>
    <row r="212" spans="1:41" x14ac:dyDescent="0.25">
      <c r="A212" t="s">
        <v>519</v>
      </c>
      <c r="B212" t="s">
        <v>153</v>
      </c>
      <c r="C212" s="128">
        <v>96494</v>
      </c>
      <c r="D212" s="128">
        <v>1425</v>
      </c>
      <c r="E212" s="128">
        <v>260</v>
      </c>
      <c r="F212" s="128">
        <v>4386</v>
      </c>
      <c r="G212" s="128">
        <v>20514</v>
      </c>
      <c r="H212" s="128">
        <v>5187</v>
      </c>
      <c r="I212" s="128">
        <v>2337</v>
      </c>
      <c r="J212" s="128">
        <v>2844</v>
      </c>
      <c r="K212" s="128">
        <v>566</v>
      </c>
      <c r="L212" s="128">
        <v>2504</v>
      </c>
      <c r="M212" s="128">
        <v>6209</v>
      </c>
      <c r="N212" s="128">
        <v>19164</v>
      </c>
      <c r="O212" s="128">
        <v>24392</v>
      </c>
      <c r="P212" s="128">
        <v>5636</v>
      </c>
      <c r="Q212" s="128">
        <v>1704</v>
      </c>
      <c r="R212" s="128"/>
      <c r="S212" t="s">
        <v>153</v>
      </c>
      <c r="T212" s="128">
        <f t="shared" si="9"/>
        <v>90423</v>
      </c>
      <c r="U212" s="128">
        <v>69747</v>
      </c>
      <c r="V212" s="128">
        <v>52782505.40050853</v>
      </c>
      <c r="W212" s="128">
        <v>3120</v>
      </c>
      <c r="X212" s="128">
        <v>4210</v>
      </c>
      <c r="Y212" s="128">
        <v>202</v>
      </c>
      <c r="Z212" s="128">
        <v>449</v>
      </c>
      <c r="AA212" s="128">
        <v>719</v>
      </c>
      <c r="AB212" s="128">
        <v>108</v>
      </c>
      <c r="AC212" s="128">
        <v>96</v>
      </c>
      <c r="AD212" s="128">
        <v>783</v>
      </c>
      <c r="AE212" s="128">
        <v>26</v>
      </c>
      <c r="AF212" s="128">
        <f t="shared" si="10"/>
        <v>63745.505400508526</v>
      </c>
      <c r="AG212" s="128">
        <v>31745</v>
      </c>
      <c r="AH212" s="128">
        <f t="shared" si="11"/>
        <v>2008.0486816981736</v>
      </c>
      <c r="AI212" t="s">
        <v>118</v>
      </c>
      <c r="AM212" t="s">
        <v>322</v>
      </c>
      <c r="AN212" s="128">
        <v>1616.8290070913752</v>
      </c>
      <c r="AO212" t="s">
        <v>467</v>
      </c>
    </row>
    <row r="213" spans="1:41" x14ac:dyDescent="0.25">
      <c r="A213" t="s">
        <v>521</v>
      </c>
      <c r="B213" t="s">
        <v>154</v>
      </c>
      <c r="C213" s="128">
        <v>47758</v>
      </c>
      <c r="D213" s="128">
        <v>2854</v>
      </c>
      <c r="E213" s="128">
        <v>743</v>
      </c>
      <c r="F213" s="128">
        <v>1613</v>
      </c>
      <c r="G213" s="128">
        <v>10031</v>
      </c>
      <c r="H213" s="128">
        <v>4720</v>
      </c>
      <c r="I213" s="128">
        <v>1706</v>
      </c>
      <c r="J213" s="128">
        <v>906</v>
      </c>
      <c r="K213" s="128">
        <v>435</v>
      </c>
      <c r="L213" s="128">
        <v>1246</v>
      </c>
      <c r="M213" s="128">
        <v>2641</v>
      </c>
      <c r="N213" s="128">
        <v>6524</v>
      </c>
      <c r="O213" s="128">
        <v>10415</v>
      </c>
      <c r="P213" s="128">
        <v>3674</v>
      </c>
      <c r="Q213" s="128">
        <v>275</v>
      </c>
      <c r="R213" s="128"/>
      <c r="S213" t="s">
        <v>154</v>
      </c>
      <c r="T213" s="128">
        <f t="shared" si="9"/>
        <v>42548</v>
      </c>
      <c r="U213" s="128">
        <v>31410</v>
      </c>
      <c r="V213" s="128">
        <v>27475790.401816055</v>
      </c>
      <c r="W213" s="128">
        <v>1789</v>
      </c>
      <c r="X213" s="128">
        <v>1765</v>
      </c>
      <c r="Y213" s="128">
        <v>58</v>
      </c>
      <c r="Z213" s="128">
        <v>176</v>
      </c>
      <c r="AA213" s="128">
        <v>285</v>
      </c>
      <c r="AB213" s="128">
        <v>60</v>
      </c>
      <c r="AC213" s="128">
        <v>141</v>
      </c>
      <c r="AD213" s="128">
        <v>0</v>
      </c>
      <c r="AE213" s="128">
        <v>49</v>
      </c>
      <c r="AF213" s="128">
        <f t="shared" si="10"/>
        <v>34290.790401816055</v>
      </c>
      <c r="AG213" s="128">
        <v>18498</v>
      </c>
      <c r="AH213" s="128">
        <f t="shared" si="11"/>
        <v>1853.7566440596852</v>
      </c>
      <c r="AI213" t="s">
        <v>467</v>
      </c>
      <c r="AM213" t="s">
        <v>323</v>
      </c>
      <c r="AN213" s="128">
        <v>1751.1243775400389</v>
      </c>
      <c r="AO213" t="s">
        <v>467</v>
      </c>
    </row>
    <row r="214" spans="1:41" x14ac:dyDescent="0.25">
      <c r="A214" t="s">
        <v>517</v>
      </c>
      <c r="B214" t="s">
        <v>155</v>
      </c>
      <c r="C214" s="128">
        <v>52903</v>
      </c>
      <c r="D214" s="128">
        <v>3349</v>
      </c>
      <c r="E214" s="128">
        <v>134</v>
      </c>
      <c r="F214" s="128">
        <v>2221</v>
      </c>
      <c r="G214" s="128">
        <v>10787</v>
      </c>
      <c r="H214" s="128">
        <v>6612</v>
      </c>
      <c r="I214" s="128">
        <v>1799</v>
      </c>
      <c r="J214" s="128">
        <v>2490</v>
      </c>
      <c r="K214" s="128">
        <v>980</v>
      </c>
      <c r="L214" s="128">
        <v>1628</v>
      </c>
      <c r="M214" s="128">
        <v>3377</v>
      </c>
      <c r="N214" s="128">
        <v>5858</v>
      </c>
      <c r="O214" s="128">
        <v>8521</v>
      </c>
      <c r="P214" s="128">
        <v>4334</v>
      </c>
      <c r="Q214" s="128">
        <v>843</v>
      </c>
      <c r="R214" s="128"/>
      <c r="S214" t="s">
        <v>155</v>
      </c>
      <c r="T214" s="128">
        <f t="shared" si="9"/>
        <v>47199</v>
      </c>
      <c r="U214" s="128">
        <v>36185</v>
      </c>
      <c r="V214" s="128">
        <v>29552550.570988633</v>
      </c>
      <c r="W214" s="128">
        <v>1934</v>
      </c>
      <c r="X214" s="128">
        <v>1587</v>
      </c>
      <c r="Y214" s="128">
        <v>259</v>
      </c>
      <c r="Z214" s="128">
        <v>194</v>
      </c>
      <c r="AA214" s="128">
        <v>557</v>
      </c>
      <c r="AB214" s="128">
        <v>51</v>
      </c>
      <c r="AC214" s="128">
        <v>770</v>
      </c>
      <c r="AD214" s="128">
        <v>0</v>
      </c>
      <c r="AE214" s="128">
        <v>37</v>
      </c>
      <c r="AF214" s="128">
        <f t="shared" si="10"/>
        <v>35177.550570988635</v>
      </c>
      <c r="AG214" s="128">
        <v>18468</v>
      </c>
      <c r="AH214" s="128">
        <f t="shared" si="11"/>
        <v>1904.7839815350137</v>
      </c>
      <c r="AI214" t="s">
        <v>467</v>
      </c>
      <c r="AM214" t="s">
        <v>277</v>
      </c>
      <c r="AN214" s="128">
        <v>1635.2132434018101</v>
      </c>
      <c r="AO214" t="s">
        <v>467</v>
      </c>
    </row>
    <row r="215" spans="1:41" x14ac:dyDescent="0.25">
      <c r="A215" t="s">
        <v>517</v>
      </c>
      <c r="B215" t="s">
        <v>196</v>
      </c>
      <c r="C215" s="128">
        <v>74655</v>
      </c>
      <c r="D215" s="128">
        <v>524</v>
      </c>
      <c r="E215" s="128">
        <v>398</v>
      </c>
      <c r="F215" s="128">
        <v>5705</v>
      </c>
      <c r="G215" s="128">
        <v>20891</v>
      </c>
      <c r="H215" s="128">
        <v>-1286</v>
      </c>
      <c r="I215" s="128">
        <v>2632</v>
      </c>
      <c r="J215" s="128">
        <v>2152</v>
      </c>
      <c r="K215" s="128">
        <v>900</v>
      </c>
      <c r="L215" s="128">
        <v>1709</v>
      </c>
      <c r="M215" s="128">
        <v>5029</v>
      </c>
      <c r="N215" s="128">
        <v>9059</v>
      </c>
      <c r="O215" s="128">
        <v>17759</v>
      </c>
      <c r="P215" s="128">
        <v>5139</v>
      </c>
      <c r="Q215" s="128">
        <v>1391</v>
      </c>
      <c r="R215" s="128"/>
      <c r="S215" t="s">
        <v>196</v>
      </c>
      <c r="T215" s="128">
        <f t="shared" si="9"/>
        <v>68028</v>
      </c>
      <c r="U215" s="128">
        <v>55231</v>
      </c>
      <c r="V215" s="128">
        <v>44458034.520189114</v>
      </c>
      <c r="W215" s="128">
        <v>2791</v>
      </c>
      <c r="X215" s="128">
        <v>2640</v>
      </c>
      <c r="Y215" s="128">
        <v>0</v>
      </c>
      <c r="Z215" s="128">
        <v>249</v>
      </c>
      <c r="AA215" s="128">
        <v>769</v>
      </c>
      <c r="AB215" s="128">
        <v>100</v>
      </c>
      <c r="AC215" s="128">
        <v>680</v>
      </c>
      <c r="AD215" s="128">
        <v>0</v>
      </c>
      <c r="AE215" s="128">
        <v>497</v>
      </c>
      <c r="AF215" s="128">
        <f t="shared" si="10"/>
        <v>49529.03452018911</v>
      </c>
      <c r="AG215" s="128">
        <v>29607</v>
      </c>
      <c r="AH215" s="128">
        <f t="shared" si="11"/>
        <v>1672.8825791261902</v>
      </c>
      <c r="AI215" t="s">
        <v>118</v>
      </c>
      <c r="AM215" t="s">
        <v>207</v>
      </c>
      <c r="AN215" s="128">
        <v>1778.2369628625283</v>
      </c>
      <c r="AO215" t="s">
        <v>467</v>
      </c>
    </row>
    <row r="216" spans="1:41" x14ac:dyDescent="0.25">
      <c r="A216" t="s">
        <v>525</v>
      </c>
      <c r="B216" t="s">
        <v>382</v>
      </c>
      <c r="C216" s="128">
        <v>162345</v>
      </c>
      <c r="D216" s="128">
        <v>6511</v>
      </c>
      <c r="E216" s="128">
        <v>664</v>
      </c>
      <c r="F216" s="128">
        <v>14904</v>
      </c>
      <c r="G216" s="128">
        <v>34730</v>
      </c>
      <c r="H216" s="128">
        <v>12508</v>
      </c>
      <c r="I216" s="128">
        <v>3951</v>
      </c>
      <c r="J216" s="128">
        <v>3046</v>
      </c>
      <c r="K216" s="128">
        <v>711</v>
      </c>
      <c r="L216" s="128">
        <v>3746</v>
      </c>
      <c r="M216" s="128">
        <v>10936</v>
      </c>
      <c r="N216" s="128">
        <v>41237</v>
      </c>
      <c r="O216" s="128">
        <v>21319</v>
      </c>
      <c r="P216" s="128">
        <v>8913</v>
      </c>
      <c r="Q216" s="128">
        <v>345</v>
      </c>
      <c r="R216" s="128"/>
      <c r="S216" t="s">
        <v>382</v>
      </c>
      <c r="T216" s="128">
        <f t="shared" si="9"/>
        <v>140266</v>
      </c>
      <c r="U216" s="128">
        <v>115765</v>
      </c>
      <c r="V216" s="128">
        <v>89269048.475758135</v>
      </c>
      <c r="W216" s="128">
        <v>5441</v>
      </c>
      <c r="X216" s="128">
        <v>6586</v>
      </c>
      <c r="Y216" s="128">
        <v>0</v>
      </c>
      <c r="Z216" s="128">
        <v>938</v>
      </c>
      <c r="AA216" s="128">
        <v>1813</v>
      </c>
      <c r="AB216" s="128">
        <v>254</v>
      </c>
      <c r="AC216" s="128">
        <v>400</v>
      </c>
      <c r="AD216" s="128">
        <v>1882</v>
      </c>
      <c r="AE216" s="128">
        <v>339</v>
      </c>
      <c r="AF216" s="128">
        <f t="shared" si="10"/>
        <v>96117.048475758129</v>
      </c>
      <c r="AG216" s="128">
        <v>56531</v>
      </c>
      <c r="AH216" s="128">
        <f t="shared" si="11"/>
        <v>1700.2538160612432</v>
      </c>
      <c r="AI216" t="s">
        <v>118</v>
      </c>
      <c r="AM216" t="s">
        <v>607</v>
      </c>
      <c r="AN216" s="128">
        <v>1622.0879986443827</v>
      </c>
      <c r="AO216" t="s">
        <v>467</v>
      </c>
    </row>
    <row r="217" spans="1:41" x14ac:dyDescent="0.25">
      <c r="A217" t="s">
        <v>519</v>
      </c>
      <c r="B217" t="s">
        <v>133</v>
      </c>
      <c r="C217" s="128">
        <v>80212</v>
      </c>
      <c r="D217" s="128">
        <v>45</v>
      </c>
      <c r="E217" s="128">
        <v>448</v>
      </c>
      <c r="F217" s="128">
        <v>2607</v>
      </c>
      <c r="G217" s="128">
        <v>18651</v>
      </c>
      <c r="H217" s="128">
        <v>7858</v>
      </c>
      <c r="I217" s="128">
        <v>2084</v>
      </c>
      <c r="J217" s="128">
        <v>3676</v>
      </c>
      <c r="K217" s="128">
        <v>1759</v>
      </c>
      <c r="L217" s="128">
        <v>1891</v>
      </c>
      <c r="M217" s="128">
        <v>3569</v>
      </c>
      <c r="N217" s="128">
        <v>13505</v>
      </c>
      <c r="O217" s="128">
        <v>15216</v>
      </c>
      <c r="P217" s="128">
        <v>5800</v>
      </c>
      <c r="Q217" s="128">
        <v>1261</v>
      </c>
      <c r="R217" s="128"/>
      <c r="S217" t="s">
        <v>133</v>
      </c>
      <c r="T217" s="128">
        <f t="shared" si="9"/>
        <v>77112</v>
      </c>
      <c r="U217" s="128">
        <v>59085</v>
      </c>
      <c r="V217" s="128">
        <v>46820342.106509224</v>
      </c>
      <c r="W217" s="128">
        <v>2826</v>
      </c>
      <c r="X217" s="128">
        <v>2630</v>
      </c>
      <c r="Y217" s="128">
        <v>0</v>
      </c>
      <c r="Z217" s="128">
        <v>280</v>
      </c>
      <c r="AA217" s="128">
        <v>530</v>
      </c>
      <c r="AB217" s="128">
        <v>32</v>
      </c>
      <c r="AC217" s="128">
        <v>319</v>
      </c>
      <c r="AD217" s="128">
        <v>0</v>
      </c>
      <c r="AE217" s="128">
        <v>1</v>
      </c>
      <c r="AF217" s="128">
        <f t="shared" si="10"/>
        <v>58229.342106509226</v>
      </c>
      <c r="AG217" s="128">
        <v>25681</v>
      </c>
      <c r="AH217" s="128">
        <f t="shared" si="11"/>
        <v>2267.4094508200315</v>
      </c>
      <c r="AI217" t="s">
        <v>118</v>
      </c>
      <c r="AM217" t="s">
        <v>324</v>
      </c>
      <c r="AN217" s="128">
        <v>1727.8401240845637</v>
      </c>
      <c r="AO217" t="s">
        <v>467</v>
      </c>
    </row>
    <row r="218" spans="1:41" x14ac:dyDescent="0.25">
      <c r="A218" t="s">
        <v>522</v>
      </c>
      <c r="B218" t="s">
        <v>267</v>
      </c>
      <c r="C218" s="128">
        <v>23504</v>
      </c>
      <c r="D218" s="128">
        <v>72</v>
      </c>
      <c r="E218" s="128">
        <v>697</v>
      </c>
      <c r="F218" s="128">
        <v>1445</v>
      </c>
      <c r="G218" s="128">
        <v>923</v>
      </c>
      <c r="H218" s="128">
        <v>4693</v>
      </c>
      <c r="I218" s="128">
        <v>1184</v>
      </c>
      <c r="J218" s="128">
        <v>922</v>
      </c>
      <c r="K218" s="128">
        <v>30</v>
      </c>
      <c r="L218" s="128">
        <v>547</v>
      </c>
      <c r="M218" s="128">
        <v>1402</v>
      </c>
      <c r="N218" s="128">
        <v>2156</v>
      </c>
      <c r="O218" s="128">
        <v>5298</v>
      </c>
      <c r="P218" s="128">
        <v>3341</v>
      </c>
      <c r="Q218" s="128">
        <v>794</v>
      </c>
      <c r="R218" s="128"/>
      <c r="S218" t="s">
        <v>267</v>
      </c>
      <c r="T218" s="128">
        <f t="shared" si="9"/>
        <v>21290</v>
      </c>
      <c r="U218" s="128">
        <v>15194</v>
      </c>
      <c r="V218" s="128">
        <v>13028371.31750844</v>
      </c>
      <c r="W218" s="128">
        <v>1469</v>
      </c>
      <c r="X218" s="128">
        <v>1294</v>
      </c>
      <c r="Y218" s="128">
        <v>125</v>
      </c>
      <c r="Z218" s="128">
        <v>143</v>
      </c>
      <c r="AA218" s="128">
        <v>430</v>
      </c>
      <c r="AB218" s="128">
        <v>43</v>
      </c>
      <c r="AC218" s="128">
        <v>292</v>
      </c>
      <c r="AD218" s="128">
        <v>0</v>
      </c>
      <c r="AE218" s="128">
        <v>101</v>
      </c>
      <c r="AF218" s="128">
        <f t="shared" si="10"/>
        <v>15227.371317508441</v>
      </c>
      <c r="AG218" s="128">
        <v>9644</v>
      </c>
      <c r="AH218" s="128">
        <f t="shared" si="11"/>
        <v>1578.9476687586521</v>
      </c>
      <c r="AI218" t="s">
        <v>467</v>
      </c>
      <c r="AM218" t="s">
        <v>325</v>
      </c>
      <c r="AN218" s="128">
        <v>1916.8593303243374</v>
      </c>
      <c r="AO218" t="s">
        <v>467</v>
      </c>
    </row>
    <row r="219" spans="1:41" x14ac:dyDescent="0.25">
      <c r="A219" t="s">
        <v>522</v>
      </c>
      <c r="B219" t="s">
        <v>268</v>
      </c>
      <c r="C219" s="128">
        <v>38104</v>
      </c>
      <c r="D219" s="128">
        <v>1066</v>
      </c>
      <c r="E219" s="128">
        <v>190</v>
      </c>
      <c r="F219" s="128">
        <v>1882</v>
      </c>
      <c r="G219" s="128">
        <v>7849</v>
      </c>
      <c r="H219" s="128">
        <v>3361</v>
      </c>
      <c r="I219" s="128">
        <v>872</v>
      </c>
      <c r="J219" s="128">
        <v>958</v>
      </c>
      <c r="K219" s="128">
        <v>4941</v>
      </c>
      <c r="L219" s="128">
        <v>558</v>
      </c>
      <c r="M219" s="128">
        <v>1760</v>
      </c>
      <c r="N219" s="128">
        <v>2647</v>
      </c>
      <c r="O219" s="128">
        <v>4662</v>
      </c>
      <c r="P219" s="128">
        <v>2948</v>
      </c>
      <c r="Q219" s="128">
        <v>4410</v>
      </c>
      <c r="R219" s="128"/>
      <c r="S219" t="s">
        <v>268</v>
      </c>
      <c r="T219" s="128">
        <f t="shared" si="9"/>
        <v>34966</v>
      </c>
      <c r="U219" s="128">
        <v>18406</v>
      </c>
      <c r="V219" s="128">
        <v>16096071.620994942</v>
      </c>
      <c r="W219" s="128">
        <v>1133</v>
      </c>
      <c r="X219" s="128">
        <v>1780</v>
      </c>
      <c r="Y219" s="128">
        <v>17</v>
      </c>
      <c r="Z219" s="128">
        <v>107</v>
      </c>
      <c r="AA219" s="128">
        <v>170</v>
      </c>
      <c r="AB219" s="128">
        <v>37</v>
      </c>
      <c r="AC219" s="128">
        <v>12</v>
      </c>
      <c r="AD219" s="128">
        <v>0</v>
      </c>
      <c r="AE219" s="128">
        <v>8</v>
      </c>
      <c r="AF219" s="128">
        <f t="shared" si="10"/>
        <v>29392.071620994942</v>
      </c>
      <c r="AG219" s="128">
        <v>12074</v>
      </c>
      <c r="AH219" s="128">
        <f t="shared" si="11"/>
        <v>2434.3276147916968</v>
      </c>
      <c r="AI219" t="s">
        <v>467</v>
      </c>
      <c r="AM219" t="s">
        <v>162</v>
      </c>
      <c r="AN219" s="128">
        <v>1652.0943395315676</v>
      </c>
      <c r="AO219" t="s">
        <v>467</v>
      </c>
    </row>
    <row r="220" spans="1:41" x14ac:dyDescent="0.25">
      <c r="A220" t="s">
        <v>522</v>
      </c>
      <c r="B220" t="s">
        <v>134</v>
      </c>
      <c r="C220" s="128">
        <v>81260</v>
      </c>
      <c r="D220" s="128">
        <v>1279</v>
      </c>
      <c r="E220" s="128">
        <v>241</v>
      </c>
      <c r="F220" s="128">
        <v>3500</v>
      </c>
      <c r="G220" s="128">
        <v>16028</v>
      </c>
      <c r="H220" s="128">
        <v>9662</v>
      </c>
      <c r="I220" s="128">
        <v>1933</v>
      </c>
      <c r="J220" s="128">
        <v>2369</v>
      </c>
      <c r="K220" s="128">
        <v>448</v>
      </c>
      <c r="L220" s="128">
        <v>1836</v>
      </c>
      <c r="M220" s="128">
        <v>3778</v>
      </c>
      <c r="N220" s="128">
        <v>14411</v>
      </c>
      <c r="O220" s="128">
        <v>18551</v>
      </c>
      <c r="P220" s="128">
        <v>6021</v>
      </c>
      <c r="Q220" s="128">
        <v>444</v>
      </c>
      <c r="R220" s="128"/>
      <c r="S220" t="s">
        <v>134</v>
      </c>
      <c r="T220" s="128">
        <f t="shared" si="9"/>
        <v>76240</v>
      </c>
      <c r="U220" s="128">
        <v>61889</v>
      </c>
      <c r="V220" s="128">
        <v>49156285.905010864</v>
      </c>
      <c r="W220" s="128">
        <v>2896</v>
      </c>
      <c r="X220" s="128">
        <v>3278</v>
      </c>
      <c r="Y220" s="128">
        <v>150</v>
      </c>
      <c r="Z220" s="128">
        <v>255</v>
      </c>
      <c r="AA220" s="128">
        <v>716</v>
      </c>
      <c r="AB220" s="128">
        <v>28</v>
      </c>
      <c r="AC220" s="128">
        <v>178</v>
      </c>
      <c r="AD220" s="128">
        <v>0</v>
      </c>
      <c r="AE220" s="128">
        <v>79</v>
      </c>
      <c r="AF220" s="128">
        <f t="shared" si="10"/>
        <v>55927.285905010867</v>
      </c>
      <c r="AG220" s="128">
        <v>29787</v>
      </c>
      <c r="AH220" s="128">
        <f t="shared" si="11"/>
        <v>1877.5736363182216</v>
      </c>
      <c r="AI220" t="s">
        <v>118</v>
      </c>
      <c r="AM220" t="s">
        <v>279</v>
      </c>
      <c r="AN220" s="128">
        <v>1532.9557055274988</v>
      </c>
      <c r="AO220" t="s">
        <v>467</v>
      </c>
    </row>
    <row r="221" spans="1:41" x14ac:dyDescent="0.25">
      <c r="A221" t="s">
        <v>519</v>
      </c>
      <c r="B221" s="86" t="s">
        <v>383</v>
      </c>
      <c r="C221" s="128">
        <v>344986</v>
      </c>
      <c r="D221" s="128">
        <v>6748</v>
      </c>
      <c r="E221" s="128">
        <v>1737</v>
      </c>
      <c r="F221" s="128">
        <v>9846</v>
      </c>
      <c r="G221" s="128">
        <v>61534</v>
      </c>
      <c r="H221" s="128">
        <v>11823</v>
      </c>
      <c r="I221" s="128">
        <v>9417</v>
      </c>
      <c r="J221" s="128">
        <v>12795</v>
      </c>
      <c r="K221" s="128">
        <v>3106</v>
      </c>
      <c r="L221" s="128">
        <v>8646</v>
      </c>
      <c r="M221" s="128">
        <v>22840</v>
      </c>
      <c r="N221" s="128">
        <v>60308</v>
      </c>
      <c r="O221" s="128">
        <v>93887</v>
      </c>
      <c r="P221" s="128">
        <v>32097</v>
      </c>
      <c r="Q221" s="128">
        <v>10649</v>
      </c>
      <c r="R221" s="128"/>
      <c r="S221" t="s">
        <v>383</v>
      </c>
      <c r="T221" s="128">
        <f t="shared" si="9"/>
        <v>326655</v>
      </c>
      <c r="U221" s="128">
        <v>232093</v>
      </c>
      <c r="V221" s="128">
        <v>156175083.78415391</v>
      </c>
      <c r="W221" s="128">
        <v>8465</v>
      </c>
      <c r="X221" s="128">
        <v>12072</v>
      </c>
      <c r="Y221" s="128">
        <v>240</v>
      </c>
      <c r="Z221" s="128">
        <v>1019</v>
      </c>
      <c r="AA221" s="128">
        <v>2863</v>
      </c>
      <c r="AB221" s="128">
        <v>577</v>
      </c>
      <c r="AC221" s="128">
        <v>233</v>
      </c>
      <c r="AD221" s="128">
        <v>2272</v>
      </c>
      <c r="AE221" s="128">
        <v>1077</v>
      </c>
      <c r="AF221" s="128">
        <f t="shared" si="10"/>
        <v>221919.08378415392</v>
      </c>
      <c r="AG221" s="128">
        <v>93311</v>
      </c>
      <c r="AH221" s="128">
        <f t="shared" si="11"/>
        <v>2378.2735560025494</v>
      </c>
      <c r="AI221" t="s">
        <v>441</v>
      </c>
      <c r="AM221" t="s">
        <v>234</v>
      </c>
      <c r="AN221" s="128">
        <v>1661.757330666115</v>
      </c>
      <c r="AO221" t="s">
        <v>467</v>
      </c>
    </row>
    <row r="222" spans="1:41" x14ac:dyDescent="0.25">
      <c r="A222" t="s">
        <v>517</v>
      </c>
      <c r="B222" t="s">
        <v>197</v>
      </c>
      <c r="C222" s="128">
        <v>106929</v>
      </c>
      <c r="D222" s="128">
        <v>241</v>
      </c>
      <c r="E222" s="128">
        <v>0</v>
      </c>
      <c r="F222" s="128">
        <v>6805</v>
      </c>
      <c r="G222" s="128">
        <v>22227</v>
      </c>
      <c r="H222" s="128">
        <v>5582</v>
      </c>
      <c r="I222" s="128">
        <v>2503</v>
      </c>
      <c r="J222" s="128">
        <v>2960</v>
      </c>
      <c r="K222" s="128">
        <v>679</v>
      </c>
      <c r="L222" s="128">
        <v>2901</v>
      </c>
      <c r="M222" s="128">
        <v>7461</v>
      </c>
      <c r="N222" s="128">
        <v>19668</v>
      </c>
      <c r="O222" s="128">
        <v>25076</v>
      </c>
      <c r="P222" s="128">
        <v>9702</v>
      </c>
      <c r="Q222" s="128">
        <v>1365</v>
      </c>
      <c r="R222" s="128"/>
      <c r="S222" t="s">
        <v>197</v>
      </c>
      <c r="T222" s="128">
        <f t="shared" si="9"/>
        <v>99883</v>
      </c>
      <c r="U222" s="128">
        <v>77172</v>
      </c>
      <c r="V222" s="128">
        <v>63767917.914112195</v>
      </c>
      <c r="W222" s="128">
        <v>4130</v>
      </c>
      <c r="X222" s="128">
        <v>3582</v>
      </c>
      <c r="Y222" s="128">
        <v>126</v>
      </c>
      <c r="Z222" s="128">
        <v>345</v>
      </c>
      <c r="AA222" s="128">
        <v>430</v>
      </c>
      <c r="AB222" s="128">
        <v>110</v>
      </c>
      <c r="AC222" s="128">
        <v>211</v>
      </c>
      <c r="AD222" s="128">
        <v>0</v>
      </c>
      <c r="AE222" s="128">
        <v>268</v>
      </c>
      <c r="AF222" s="128">
        <f t="shared" si="10"/>
        <v>77276.917914112186</v>
      </c>
      <c r="AG222" s="128">
        <v>39386</v>
      </c>
      <c r="AH222" s="128">
        <f t="shared" si="11"/>
        <v>1962.0402659349054</v>
      </c>
      <c r="AI222" t="s">
        <v>118</v>
      </c>
      <c r="AM222" t="s">
        <v>398</v>
      </c>
      <c r="AN222" s="128">
        <v>1618.346322968589</v>
      </c>
      <c r="AO222" t="s">
        <v>467</v>
      </c>
    </row>
    <row r="223" spans="1:41" x14ac:dyDescent="0.25">
      <c r="A223" t="s">
        <v>520</v>
      </c>
      <c r="B223" t="s">
        <v>269</v>
      </c>
      <c r="C223" s="128">
        <v>38118</v>
      </c>
      <c r="D223" s="128">
        <v>0</v>
      </c>
      <c r="E223" s="128">
        <v>25</v>
      </c>
      <c r="F223" s="128">
        <v>1390</v>
      </c>
      <c r="G223" s="128">
        <v>3888</v>
      </c>
      <c r="H223" s="128">
        <v>7097</v>
      </c>
      <c r="I223" s="128">
        <v>996</v>
      </c>
      <c r="J223" s="128">
        <v>1697</v>
      </c>
      <c r="K223" s="128">
        <v>220</v>
      </c>
      <c r="L223" s="128">
        <v>913</v>
      </c>
      <c r="M223" s="128">
        <v>1790</v>
      </c>
      <c r="N223" s="128">
        <v>4469</v>
      </c>
      <c r="O223" s="128">
        <v>7560</v>
      </c>
      <c r="P223" s="128">
        <v>4180</v>
      </c>
      <c r="Q223" s="128">
        <v>3725</v>
      </c>
      <c r="R223" s="128"/>
      <c r="S223" t="s">
        <v>269</v>
      </c>
      <c r="T223" s="128">
        <f t="shared" si="9"/>
        <v>36703</v>
      </c>
      <c r="U223" s="128">
        <v>21266</v>
      </c>
      <c r="V223" s="128">
        <v>18018784.40071056</v>
      </c>
      <c r="W223" s="128">
        <v>1798</v>
      </c>
      <c r="X223" s="128">
        <v>1976</v>
      </c>
      <c r="Y223" s="128">
        <v>204</v>
      </c>
      <c r="Z223" s="128">
        <v>210</v>
      </c>
      <c r="AA223" s="128">
        <v>1140</v>
      </c>
      <c r="AB223" s="128">
        <v>16</v>
      </c>
      <c r="AC223" s="128">
        <v>344</v>
      </c>
      <c r="AD223" s="128">
        <v>767</v>
      </c>
      <c r="AE223" s="128">
        <v>2</v>
      </c>
      <c r="AF223" s="128">
        <f t="shared" si="10"/>
        <v>26998.78440071056</v>
      </c>
      <c r="AG223" s="128">
        <v>14205</v>
      </c>
      <c r="AH223" s="128">
        <f t="shared" si="11"/>
        <v>1900.6536008947949</v>
      </c>
      <c r="AI223" t="s">
        <v>467</v>
      </c>
      <c r="AM223" t="s">
        <v>235</v>
      </c>
      <c r="AN223" s="128">
        <v>1869.1372420854873</v>
      </c>
      <c r="AO223" t="s">
        <v>467</v>
      </c>
    </row>
    <row r="224" spans="1:41" x14ac:dyDescent="0.25">
      <c r="A224" t="s">
        <v>518</v>
      </c>
      <c r="B224" t="s">
        <v>226</v>
      </c>
      <c r="C224" s="128">
        <v>25212</v>
      </c>
      <c r="D224" s="128">
        <v>0</v>
      </c>
      <c r="E224" s="128">
        <v>191</v>
      </c>
      <c r="F224" s="128">
        <v>890</v>
      </c>
      <c r="G224" s="128">
        <v>729</v>
      </c>
      <c r="H224" s="128">
        <v>5190</v>
      </c>
      <c r="I224" s="128">
        <v>653</v>
      </c>
      <c r="J224" s="128">
        <v>1826</v>
      </c>
      <c r="K224" s="128">
        <v>1446</v>
      </c>
      <c r="L224" s="128">
        <v>548</v>
      </c>
      <c r="M224" s="128">
        <v>1224</v>
      </c>
      <c r="N224" s="128">
        <v>2984</v>
      </c>
      <c r="O224" s="128">
        <v>5307</v>
      </c>
      <c r="P224" s="128">
        <v>3404</v>
      </c>
      <c r="Q224" s="128">
        <v>820</v>
      </c>
      <c r="R224" s="128"/>
      <c r="S224" t="s">
        <v>226</v>
      </c>
      <c r="T224" s="128">
        <f t="shared" si="9"/>
        <v>24131</v>
      </c>
      <c r="U224" s="128">
        <v>16503</v>
      </c>
      <c r="V224" s="128">
        <v>14425378.088566348</v>
      </c>
      <c r="W224" s="128">
        <v>1730</v>
      </c>
      <c r="X224" s="128">
        <v>1264</v>
      </c>
      <c r="Y224" s="128">
        <v>6</v>
      </c>
      <c r="Z224" s="128">
        <v>166</v>
      </c>
      <c r="AA224" s="128">
        <v>355</v>
      </c>
      <c r="AB224" s="128">
        <v>75</v>
      </c>
      <c r="AC224" s="128">
        <v>13</v>
      </c>
      <c r="AD224" s="128">
        <v>0</v>
      </c>
      <c r="AE224" s="128">
        <v>20</v>
      </c>
      <c r="AF224" s="128">
        <f t="shared" si="10"/>
        <v>18424.378088566347</v>
      </c>
      <c r="AG224" s="128">
        <v>10160</v>
      </c>
      <c r="AH224" s="128">
        <f t="shared" si="11"/>
        <v>1813.4230402132232</v>
      </c>
      <c r="AI224" t="s">
        <v>467</v>
      </c>
      <c r="AM224" t="s">
        <v>280</v>
      </c>
      <c r="AN224" s="128">
        <v>1722.5215189137384</v>
      </c>
      <c r="AO224" t="s">
        <v>467</v>
      </c>
    </row>
    <row r="225" spans="1:43" x14ac:dyDescent="0.25">
      <c r="A225" t="s">
        <v>518</v>
      </c>
      <c r="B225" t="s">
        <v>198</v>
      </c>
      <c r="C225" s="128">
        <v>114728</v>
      </c>
      <c r="D225" s="128">
        <v>538</v>
      </c>
      <c r="E225" s="128">
        <v>1</v>
      </c>
      <c r="F225" s="128">
        <v>6017</v>
      </c>
      <c r="G225" s="128">
        <v>25894</v>
      </c>
      <c r="H225" s="128">
        <v>11042</v>
      </c>
      <c r="I225" s="128">
        <v>3098</v>
      </c>
      <c r="J225" s="128">
        <v>3704</v>
      </c>
      <c r="K225" s="128">
        <v>320</v>
      </c>
      <c r="L225" s="128">
        <v>3439</v>
      </c>
      <c r="M225" s="128">
        <v>5810</v>
      </c>
      <c r="N225" s="128">
        <v>15547</v>
      </c>
      <c r="O225" s="128">
        <v>31602</v>
      </c>
      <c r="P225" s="128">
        <v>7849</v>
      </c>
      <c r="Q225" s="128">
        <v>394</v>
      </c>
      <c r="R225" s="128"/>
      <c r="S225" t="s">
        <v>198</v>
      </c>
      <c r="T225" s="128">
        <f t="shared" si="9"/>
        <v>108172</v>
      </c>
      <c r="U225" s="128">
        <v>82934</v>
      </c>
      <c r="V225" s="128">
        <v>68812316.765056476</v>
      </c>
      <c r="W225" s="128">
        <v>1938</v>
      </c>
      <c r="X225" s="128">
        <v>6118</v>
      </c>
      <c r="Y225" s="128">
        <v>80</v>
      </c>
      <c r="Z225" s="128">
        <v>497</v>
      </c>
      <c r="AA225" s="128">
        <v>1696</v>
      </c>
      <c r="AB225" s="128">
        <v>152</v>
      </c>
      <c r="AC225" s="128">
        <v>0</v>
      </c>
      <c r="AD225" s="128">
        <v>0</v>
      </c>
      <c r="AE225" s="128">
        <v>61</v>
      </c>
      <c r="AF225" s="128">
        <f t="shared" si="10"/>
        <v>83508.316765056472</v>
      </c>
      <c r="AG225" s="128">
        <v>48265</v>
      </c>
      <c r="AH225" s="128">
        <f t="shared" si="11"/>
        <v>1730.2044289869777</v>
      </c>
      <c r="AI225" t="s">
        <v>467</v>
      </c>
      <c r="AM225" t="s">
        <v>236</v>
      </c>
      <c r="AN225" s="128">
        <v>1504.7676807004216</v>
      </c>
      <c r="AO225" t="s">
        <v>467</v>
      </c>
    </row>
    <row r="226" spans="1:43" x14ac:dyDescent="0.25">
      <c r="A226" t="s">
        <v>520</v>
      </c>
      <c r="B226" t="s">
        <v>312</v>
      </c>
      <c r="C226" s="128">
        <v>88289</v>
      </c>
      <c r="D226" s="128">
        <v>3206</v>
      </c>
      <c r="E226" s="128">
        <v>1095</v>
      </c>
      <c r="F226" s="128">
        <v>3427</v>
      </c>
      <c r="G226" s="128">
        <v>13714</v>
      </c>
      <c r="H226" s="128">
        <v>10071</v>
      </c>
      <c r="I226" s="128">
        <v>2459</v>
      </c>
      <c r="J226" s="128">
        <v>3444</v>
      </c>
      <c r="K226" s="128">
        <v>623</v>
      </c>
      <c r="L226" s="128">
        <v>2031</v>
      </c>
      <c r="M226" s="128">
        <v>5437</v>
      </c>
      <c r="N226" s="128">
        <v>14546</v>
      </c>
      <c r="O226" s="128">
        <v>20197</v>
      </c>
      <c r="P226" s="128">
        <v>6914</v>
      </c>
      <c r="Q226" s="128">
        <v>989</v>
      </c>
      <c r="R226" s="128"/>
      <c r="S226" t="s">
        <v>312</v>
      </c>
      <c r="T226" s="128">
        <f t="shared" si="9"/>
        <v>80561</v>
      </c>
      <c r="U226" s="128">
        <v>61650</v>
      </c>
      <c r="V226" s="128">
        <v>51131589.549790755</v>
      </c>
      <c r="W226" s="128">
        <v>2411</v>
      </c>
      <c r="X226" s="128">
        <v>4922</v>
      </c>
      <c r="Y226" s="128">
        <v>408</v>
      </c>
      <c r="Z226" s="128">
        <v>342</v>
      </c>
      <c r="AA226" s="128">
        <v>467</v>
      </c>
      <c r="AB226" s="128">
        <v>30</v>
      </c>
      <c r="AC226" s="128">
        <v>56</v>
      </c>
      <c r="AD226" s="128">
        <v>579</v>
      </c>
      <c r="AE226" s="128">
        <v>1355</v>
      </c>
      <c r="AF226" s="128">
        <f t="shared" si="10"/>
        <v>59472.589549790748</v>
      </c>
      <c r="AG226" s="128">
        <v>32204</v>
      </c>
      <c r="AH226" s="128">
        <f t="shared" si="11"/>
        <v>1846.7454213697288</v>
      </c>
      <c r="AI226" t="s">
        <v>467</v>
      </c>
      <c r="AM226" t="s">
        <v>211</v>
      </c>
      <c r="AN226" s="128">
        <v>1879.2040583221321</v>
      </c>
      <c r="AO226" t="s">
        <v>467</v>
      </c>
    </row>
    <row r="227" spans="1:43" x14ac:dyDescent="0.25">
      <c r="A227" t="s">
        <v>517</v>
      </c>
      <c r="B227" s="86" t="s">
        <v>417</v>
      </c>
      <c r="C227" s="128">
        <v>101980</v>
      </c>
      <c r="D227" s="128">
        <v>1337</v>
      </c>
      <c r="E227" s="128">
        <v>1099</v>
      </c>
      <c r="F227" s="128">
        <v>7305</v>
      </c>
      <c r="G227" s="128">
        <v>25606</v>
      </c>
      <c r="H227" s="128">
        <v>6032</v>
      </c>
      <c r="I227" s="128">
        <v>3326</v>
      </c>
      <c r="J227" s="128">
        <v>3013</v>
      </c>
      <c r="K227" s="128">
        <v>934</v>
      </c>
      <c r="L227" s="128">
        <v>2761</v>
      </c>
      <c r="M227" s="128">
        <v>5915</v>
      </c>
      <c r="N227" s="128">
        <v>18797</v>
      </c>
      <c r="O227" s="128">
        <v>19164</v>
      </c>
      <c r="P227" s="128">
        <v>6189</v>
      </c>
      <c r="Q227" s="128">
        <v>1161</v>
      </c>
      <c r="R227" s="128"/>
      <c r="S227" t="s">
        <v>417</v>
      </c>
      <c r="T227" s="128">
        <f t="shared" si="9"/>
        <v>92239</v>
      </c>
      <c r="U227" s="128">
        <v>77070</v>
      </c>
      <c r="V227" s="128">
        <v>61814485.359454215</v>
      </c>
      <c r="W227" s="128">
        <v>5566</v>
      </c>
      <c r="X227" s="128">
        <v>3803</v>
      </c>
      <c r="Y227" s="128">
        <v>43</v>
      </c>
      <c r="Z227" s="128">
        <v>596</v>
      </c>
      <c r="AA227" s="128">
        <v>962</v>
      </c>
      <c r="AB227" s="128">
        <v>26</v>
      </c>
      <c r="AC227" s="128">
        <v>930</v>
      </c>
      <c r="AD227" s="128">
        <v>0</v>
      </c>
      <c r="AE227" s="128">
        <v>392</v>
      </c>
      <c r="AF227" s="128">
        <f t="shared" si="10"/>
        <v>64665.485359454207</v>
      </c>
      <c r="AG227" s="128">
        <v>44280</v>
      </c>
      <c r="AH227" s="128">
        <f t="shared" si="11"/>
        <v>1460.376814802489</v>
      </c>
      <c r="AI227" t="s">
        <v>467</v>
      </c>
      <c r="AM227" t="s">
        <v>434</v>
      </c>
      <c r="AN227" s="128">
        <v>1838.2682739160455</v>
      </c>
      <c r="AO227" t="s">
        <v>467</v>
      </c>
    </row>
    <row r="228" spans="1:43" x14ac:dyDescent="0.25">
      <c r="A228" t="s">
        <v>519</v>
      </c>
      <c r="B228" t="s">
        <v>124</v>
      </c>
      <c r="C228" s="128">
        <v>47399</v>
      </c>
      <c r="D228" s="128">
        <v>0</v>
      </c>
      <c r="E228" s="128">
        <v>285</v>
      </c>
      <c r="F228" s="128">
        <v>1211</v>
      </c>
      <c r="G228" s="128">
        <v>5671</v>
      </c>
      <c r="H228" s="128">
        <v>6338</v>
      </c>
      <c r="I228" s="128">
        <v>780</v>
      </c>
      <c r="J228" s="128">
        <v>818</v>
      </c>
      <c r="K228" s="128">
        <v>10</v>
      </c>
      <c r="L228" s="128">
        <v>1220</v>
      </c>
      <c r="M228" s="128">
        <v>1561</v>
      </c>
      <c r="N228" s="128">
        <v>15351</v>
      </c>
      <c r="O228" s="128">
        <v>11048</v>
      </c>
      <c r="P228" s="128">
        <v>2419</v>
      </c>
      <c r="Q228" s="128">
        <v>687</v>
      </c>
      <c r="R228" s="128"/>
      <c r="S228" t="s">
        <v>124</v>
      </c>
      <c r="T228" s="128">
        <f t="shared" si="9"/>
        <v>45903</v>
      </c>
      <c r="U228" s="128">
        <v>39895</v>
      </c>
      <c r="V228" s="128">
        <v>26352930.903101221</v>
      </c>
      <c r="W228" s="128">
        <v>1106</v>
      </c>
      <c r="X228" s="128">
        <v>1577</v>
      </c>
      <c r="Y228" s="128">
        <v>62</v>
      </c>
      <c r="Z228" s="128">
        <v>135</v>
      </c>
      <c r="AA228" s="128">
        <v>148</v>
      </c>
      <c r="AB228" s="128">
        <v>12</v>
      </c>
      <c r="AC228" s="128">
        <v>0</v>
      </c>
      <c r="AD228" s="128">
        <v>0</v>
      </c>
      <c r="AE228" s="128">
        <v>5</v>
      </c>
      <c r="AF228" s="128">
        <f t="shared" si="10"/>
        <v>29315.93090310122</v>
      </c>
      <c r="AG228" s="128">
        <v>12201</v>
      </c>
      <c r="AH228" s="128">
        <f t="shared" si="11"/>
        <v>2402.7482094173611</v>
      </c>
      <c r="AI228" t="s">
        <v>441</v>
      </c>
      <c r="AM228" t="s">
        <v>327</v>
      </c>
      <c r="AN228" s="128">
        <v>1924.1574656888426</v>
      </c>
      <c r="AO228" t="s">
        <v>467</v>
      </c>
    </row>
    <row r="229" spans="1:43" x14ac:dyDescent="0.25">
      <c r="A229" t="s">
        <v>518</v>
      </c>
      <c r="B229" t="s">
        <v>313</v>
      </c>
      <c r="C229" s="128">
        <v>162609</v>
      </c>
      <c r="D229" s="128">
        <v>36632</v>
      </c>
      <c r="E229" s="128">
        <v>2668</v>
      </c>
      <c r="F229" s="128">
        <v>9950</v>
      </c>
      <c r="G229" s="128">
        <v>33052</v>
      </c>
      <c r="H229" s="128">
        <v>11412</v>
      </c>
      <c r="I229" s="128">
        <v>3797</v>
      </c>
      <c r="J229" s="128">
        <v>3480</v>
      </c>
      <c r="K229" s="128">
        <v>7271</v>
      </c>
      <c r="L229" s="128">
        <v>3149</v>
      </c>
      <c r="M229" s="128">
        <v>6939</v>
      </c>
      <c r="N229" s="128">
        <v>12143</v>
      </c>
      <c r="O229" s="128">
        <v>19274</v>
      </c>
      <c r="P229" s="128">
        <v>13118</v>
      </c>
      <c r="Q229" s="128">
        <v>1494</v>
      </c>
      <c r="R229" s="128"/>
      <c r="S229" t="s">
        <v>313</v>
      </c>
      <c r="T229" s="128">
        <f t="shared" si="9"/>
        <v>113359</v>
      </c>
      <c r="U229" s="128">
        <v>80210</v>
      </c>
      <c r="V229" s="128">
        <v>71574473.950646624</v>
      </c>
      <c r="W229" s="128">
        <v>5322</v>
      </c>
      <c r="X229" s="128">
        <v>7660</v>
      </c>
      <c r="Y229" s="128">
        <v>0</v>
      </c>
      <c r="Z229" s="128">
        <v>756</v>
      </c>
      <c r="AA229" s="128">
        <v>2499</v>
      </c>
      <c r="AB229" s="128">
        <v>126</v>
      </c>
      <c r="AC229" s="128">
        <v>208</v>
      </c>
      <c r="AD229" s="128">
        <v>10</v>
      </c>
      <c r="AE229" s="128">
        <v>59</v>
      </c>
      <c r="AF229" s="128">
        <f t="shared" si="10"/>
        <v>88083.473950646629</v>
      </c>
      <c r="AG229" s="128">
        <v>56551</v>
      </c>
      <c r="AH229" s="128">
        <f t="shared" si="11"/>
        <v>1557.5935695327514</v>
      </c>
      <c r="AI229" t="s">
        <v>467</v>
      </c>
      <c r="AM229" t="s">
        <v>328</v>
      </c>
      <c r="AN229" s="128">
        <v>1602.5809076031751</v>
      </c>
      <c r="AO229" t="s">
        <v>467</v>
      </c>
    </row>
    <row r="230" spans="1:43" x14ac:dyDescent="0.25">
      <c r="A230" t="s">
        <v>524</v>
      </c>
      <c r="B230" t="s">
        <v>270</v>
      </c>
      <c r="C230" s="128">
        <v>293690</v>
      </c>
      <c r="D230" s="128">
        <v>1085</v>
      </c>
      <c r="E230" s="128">
        <v>3581</v>
      </c>
      <c r="F230" s="128">
        <v>17679</v>
      </c>
      <c r="G230" s="128">
        <v>58633</v>
      </c>
      <c r="H230" s="128">
        <v>14216</v>
      </c>
      <c r="I230" s="128">
        <v>7931</v>
      </c>
      <c r="J230" s="128">
        <v>5783</v>
      </c>
      <c r="K230" s="128">
        <v>21175</v>
      </c>
      <c r="L230" s="128">
        <v>7527</v>
      </c>
      <c r="M230" s="128">
        <v>18239</v>
      </c>
      <c r="N230" s="128">
        <v>40411</v>
      </c>
      <c r="O230" s="128">
        <v>69407</v>
      </c>
      <c r="P230" s="128">
        <v>17847</v>
      </c>
      <c r="Q230" s="128">
        <v>10176</v>
      </c>
      <c r="R230" s="128"/>
      <c r="S230" t="s">
        <v>270</v>
      </c>
      <c r="T230" s="128">
        <f t="shared" si="9"/>
        <v>271345</v>
      </c>
      <c r="U230" s="128">
        <v>195766</v>
      </c>
      <c r="V230" s="128">
        <v>155886130.80686763</v>
      </c>
      <c r="W230" s="128">
        <v>8713</v>
      </c>
      <c r="X230" s="128">
        <v>15722</v>
      </c>
      <c r="Y230" s="128">
        <v>438</v>
      </c>
      <c r="Z230" s="128">
        <v>870</v>
      </c>
      <c r="AA230" s="128">
        <v>3275</v>
      </c>
      <c r="AB230" s="128">
        <v>278</v>
      </c>
      <c r="AC230" s="128">
        <v>148</v>
      </c>
      <c r="AD230" s="128">
        <v>3240</v>
      </c>
      <c r="AE230" s="128">
        <v>818</v>
      </c>
      <c r="AF230" s="128">
        <f t="shared" si="10"/>
        <v>197963.13080686762</v>
      </c>
      <c r="AG230" s="128">
        <v>92261</v>
      </c>
      <c r="AH230" s="128">
        <f t="shared" si="11"/>
        <v>2145.6859432140086</v>
      </c>
      <c r="AI230" t="s">
        <v>118</v>
      </c>
      <c r="AM230" t="s">
        <v>399</v>
      </c>
      <c r="AN230" s="128">
        <v>1653.6799886807269</v>
      </c>
      <c r="AO230" t="s">
        <v>467</v>
      </c>
    </row>
    <row r="231" spans="1:43" x14ac:dyDescent="0.25">
      <c r="A231" t="s">
        <v>519</v>
      </c>
      <c r="B231" t="s">
        <v>199</v>
      </c>
      <c r="C231" s="128">
        <v>56456</v>
      </c>
      <c r="D231" s="128">
        <v>3122</v>
      </c>
      <c r="E231" s="128">
        <v>-13</v>
      </c>
      <c r="F231" s="128">
        <v>4916</v>
      </c>
      <c r="G231" s="128">
        <v>13811</v>
      </c>
      <c r="H231" s="128">
        <v>3819</v>
      </c>
      <c r="I231" s="128">
        <v>1503</v>
      </c>
      <c r="J231" s="128">
        <v>1506</v>
      </c>
      <c r="K231" s="128">
        <v>252</v>
      </c>
      <c r="L231" s="128">
        <v>2010</v>
      </c>
      <c r="M231" s="128">
        <v>2806</v>
      </c>
      <c r="N231" s="128">
        <v>5729</v>
      </c>
      <c r="O231" s="128">
        <v>11712</v>
      </c>
      <c r="P231" s="128">
        <v>5203</v>
      </c>
      <c r="Q231" s="128">
        <v>313</v>
      </c>
      <c r="R231" s="128"/>
      <c r="S231" t="s">
        <v>199</v>
      </c>
      <c r="T231" s="128">
        <f t="shared" si="9"/>
        <v>48431</v>
      </c>
      <c r="U231" s="128">
        <v>38585</v>
      </c>
      <c r="V231" s="128">
        <v>34366302.519850239</v>
      </c>
      <c r="W231" s="128">
        <v>2576</v>
      </c>
      <c r="X231" s="128">
        <v>1644</v>
      </c>
      <c r="Y231" s="128">
        <v>416</v>
      </c>
      <c r="Z231" s="128">
        <v>346</v>
      </c>
      <c r="AA231" s="128">
        <v>1038</v>
      </c>
      <c r="AB231" s="128">
        <v>120</v>
      </c>
      <c r="AC231" s="128">
        <v>735</v>
      </c>
      <c r="AD231" s="128">
        <v>10</v>
      </c>
      <c r="AE231" s="128">
        <v>57</v>
      </c>
      <c r="AF231" s="128">
        <f t="shared" si="10"/>
        <v>37270.302519850236</v>
      </c>
      <c r="AG231" s="128">
        <v>24599</v>
      </c>
      <c r="AH231" s="128">
        <f t="shared" si="11"/>
        <v>1515.114537983261</v>
      </c>
      <c r="AI231" t="s">
        <v>467</v>
      </c>
      <c r="AM231" t="s">
        <v>163</v>
      </c>
      <c r="AN231" s="128">
        <v>1648.3133720344933</v>
      </c>
      <c r="AO231" t="s">
        <v>467</v>
      </c>
      <c r="AP231">
        <f>_xlfn.QUARTILE.INC(AN73:AN231,3)</f>
        <v>1809.3105009705287</v>
      </c>
      <c r="AQ231">
        <f>SUM(AP231,0.05*AP231)</f>
        <v>1899.7760260190551</v>
      </c>
    </row>
    <row r="232" spans="1:43" x14ac:dyDescent="0.25">
      <c r="A232" t="s">
        <v>521</v>
      </c>
      <c r="B232" t="s">
        <v>156</v>
      </c>
      <c r="C232" s="128">
        <v>99200</v>
      </c>
      <c r="D232" s="128">
        <v>6245</v>
      </c>
      <c r="E232" s="128">
        <v>1817</v>
      </c>
      <c r="F232" s="128">
        <v>4358</v>
      </c>
      <c r="G232" s="128">
        <v>19120</v>
      </c>
      <c r="H232" s="128">
        <v>6793</v>
      </c>
      <c r="I232" s="128">
        <v>2847</v>
      </c>
      <c r="J232" s="128">
        <v>4122</v>
      </c>
      <c r="K232" s="128">
        <v>1675</v>
      </c>
      <c r="L232" s="128">
        <v>2207</v>
      </c>
      <c r="M232" s="128">
        <v>6261</v>
      </c>
      <c r="N232" s="128">
        <v>12512</v>
      </c>
      <c r="O232" s="128">
        <v>22704</v>
      </c>
      <c r="P232" s="128">
        <v>8185</v>
      </c>
      <c r="Q232" s="128">
        <v>1192</v>
      </c>
      <c r="R232" s="128"/>
      <c r="S232" t="s">
        <v>156</v>
      </c>
      <c r="T232" s="128">
        <f t="shared" si="9"/>
        <v>86780</v>
      </c>
      <c r="U232" s="128">
        <v>67709</v>
      </c>
      <c r="V232" s="128">
        <v>56335011.630084716</v>
      </c>
      <c r="W232" s="128">
        <v>3826</v>
      </c>
      <c r="X232" s="128">
        <v>3062</v>
      </c>
      <c r="Y232" s="128">
        <v>188</v>
      </c>
      <c r="Z232" s="128">
        <v>328</v>
      </c>
      <c r="AA232" s="128">
        <v>925</v>
      </c>
      <c r="AB232" s="128">
        <v>150</v>
      </c>
      <c r="AC232" s="128">
        <v>285</v>
      </c>
      <c r="AD232" s="128">
        <v>4</v>
      </c>
      <c r="AE232" s="128">
        <v>49</v>
      </c>
      <c r="AF232" s="128">
        <f t="shared" si="10"/>
        <v>66589.011630084715</v>
      </c>
      <c r="AG232" s="128">
        <v>38142</v>
      </c>
      <c r="AH232" s="128">
        <f t="shared" si="11"/>
        <v>1745.8185630036369</v>
      </c>
      <c r="AI232" t="s">
        <v>467</v>
      </c>
      <c r="AM232" t="s">
        <v>106</v>
      </c>
      <c r="AN232" s="128">
        <v>1855.0497723410526</v>
      </c>
      <c r="AO232" t="s">
        <v>118</v>
      </c>
    </row>
    <row r="233" spans="1:43" x14ac:dyDescent="0.25">
      <c r="A233" t="s">
        <v>526</v>
      </c>
      <c r="B233" t="s">
        <v>336</v>
      </c>
      <c r="C233" s="128">
        <v>54914</v>
      </c>
      <c r="D233" s="128">
        <v>589</v>
      </c>
      <c r="E233" s="128">
        <v>1019</v>
      </c>
      <c r="F233" s="128">
        <v>2539</v>
      </c>
      <c r="G233" s="128">
        <v>9705</v>
      </c>
      <c r="H233" s="128">
        <v>3557</v>
      </c>
      <c r="I233" s="128">
        <v>1622</v>
      </c>
      <c r="J233" s="128">
        <v>3106</v>
      </c>
      <c r="K233" s="128">
        <v>1009</v>
      </c>
      <c r="L233" s="128">
        <v>1858</v>
      </c>
      <c r="M233" s="128">
        <v>2396</v>
      </c>
      <c r="N233" s="128">
        <v>7003</v>
      </c>
      <c r="O233" s="128">
        <v>13538</v>
      </c>
      <c r="P233" s="128">
        <v>6547</v>
      </c>
      <c r="Q233" s="128">
        <v>602</v>
      </c>
      <c r="R233" s="128"/>
      <c r="S233" t="s">
        <v>336</v>
      </c>
      <c r="T233" s="128">
        <f t="shared" si="9"/>
        <v>50767</v>
      </c>
      <c r="U233" s="128">
        <v>38770</v>
      </c>
      <c r="V233" s="128">
        <v>35634104.357598431</v>
      </c>
      <c r="W233" s="128">
        <v>2440</v>
      </c>
      <c r="X233" s="128">
        <v>2818</v>
      </c>
      <c r="Y233" s="128">
        <v>274</v>
      </c>
      <c r="Z233" s="128">
        <v>244</v>
      </c>
      <c r="AA233" s="128">
        <v>720</v>
      </c>
      <c r="AB233" s="128">
        <v>983</v>
      </c>
      <c r="AC233" s="128">
        <v>30</v>
      </c>
      <c r="AD233" s="128">
        <v>0</v>
      </c>
      <c r="AE233" s="128">
        <v>278</v>
      </c>
      <c r="AF233" s="128">
        <f t="shared" si="10"/>
        <v>39844.104357598429</v>
      </c>
      <c r="AG233" s="128">
        <v>22923</v>
      </c>
      <c r="AH233" s="128">
        <f t="shared" si="11"/>
        <v>1738.171459128318</v>
      </c>
      <c r="AI233" t="s">
        <v>467</v>
      </c>
      <c r="AM233" t="s">
        <v>165</v>
      </c>
      <c r="AN233" s="128">
        <v>1790.2384868814543</v>
      </c>
      <c r="AO233" t="s">
        <v>118</v>
      </c>
    </row>
    <row r="234" spans="1:43" x14ac:dyDescent="0.25">
      <c r="A234" t="s">
        <v>525</v>
      </c>
      <c r="B234" t="s">
        <v>200</v>
      </c>
      <c r="C234" s="128">
        <v>85583</v>
      </c>
      <c r="D234" s="128">
        <v>347</v>
      </c>
      <c r="E234" s="128">
        <v>802</v>
      </c>
      <c r="F234" s="128">
        <v>2768</v>
      </c>
      <c r="G234" s="128">
        <v>18412</v>
      </c>
      <c r="H234" s="128">
        <v>9989</v>
      </c>
      <c r="I234" s="128">
        <v>2242</v>
      </c>
      <c r="J234" s="128">
        <v>3080</v>
      </c>
      <c r="K234" s="128">
        <v>219</v>
      </c>
      <c r="L234" s="128">
        <v>1643</v>
      </c>
      <c r="M234" s="128">
        <v>3536</v>
      </c>
      <c r="N234" s="128">
        <v>12269</v>
      </c>
      <c r="O234" s="128">
        <v>20767</v>
      </c>
      <c r="P234" s="128">
        <v>8230</v>
      </c>
      <c r="Q234" s="128">
        <v>1577</v>
      </c>
      <c r="R234" s="128"/>
      <c r="S234" t="s">
        <v>200</v>
      </c>
      <c r="T234" s="128">
        <f t="shared" si="9"/>
        <v>81666</v>
      </c>
      <c r="U234" s="128">
        <v>60984</v>
      </c>
      <c r="V234" s="128">
        <v>48122605.334063187</v>
      </c>
      <c r="W234" s="128">
        <v>4481</v>
      </c>
      <c r="X234" s="128">
        <v>4042</v>
      </c>
      <c r="Y234" s="128">
        <v>312</v>
      </c>
      <c r="Z234" s="128">
        <v>345</v>
      </c>
      <c r="AA234" s="128">
        <v>572</v>
      </c>
      <c r="AB234" s="128">
        <v>19</v>
      </c>
      <c r="AC234" s="128">
        <v>484</v>
      </c>
      <c r="AD234" s="128">
        <v>27</v>
      </c>
      <c r="AE234" s="128">
        <v>11</v>
      </c>
      <c r="AF234" s="128">
        <f t="shared" si="10"/>
        <v>58511.605334063177</v>
      </c>
      <c r="AG234" s="128">
        <v>31360</v>
      </c>
      <c r="AH234" s="128">
        <f t="shared" si="11"/>
        <v>1865.8037415198719</v>
      </c>
      <c r="AI234" t="s">
        <v>118</v>
      </c>
      <c r="AM234" t="s">
        <v>127</v>
      </c>
      <c r="AN234" s="128">
        <v>2132.4143955183154</v>
      </c>
      <c r="AO234" t="s">
        <v>118</v>
      </c>
    </row>
    <row r="235" spans="1:43" x14ac:dyDescent="0.25">
      <c r="A235" t="s">
        <v>521</v>
      </c>
      <c r="B235" s="86" t="s">
        <v>227</v>
      </c>
      <c r="C235" s="128">
        <v>14898</v>
      </c>
      <c r="D235" s="128">
        <v>0</v>
      </c>
      <c r="E235" s="128">
        <v>210</v>
      </c>
      <c r="F235" s="128">
        <v>1296</v>
      </c>
      <c r="G235" s="128">
        <v>3129</v>
      </c>
      <c r="H235" s="128">
        <v>1384</v>
      </c>
      <c r="I235" s="128">
        <v>420</v>
      </c>
      <c r="J235" s="128">
        <v>301</v>
      </c>
      <c r="K235" s="128">
        <v>62</v>
      </c>
      <c r="L235" s="128">
        <v>193</v>
      </c>
      <c r="M235" s="128">
        <v>463</v>
      </c>
      <c r="N235" s="128">
        <v>991</v>
      </c>
      <c r="O235" s="128">
        <v>2343</v>
      </c>
      <c r="P235" s="128">
        <v>1516</v>
      </c>
      <c r="Q235" s="128">
        <v>2590</v>
      </c>
      <c r="R235" s="128"/>
      <c r="S235" t="s">
        <v>227</v>
      </c>
      <c r="T235" s="128">
        <f t="shared" si="9"/>
        <v>13392</v>
      </c>
      <c r="U235" s="128">
        <v>7519</v>
      </c>
      <c r="V235" s="128">
        <v>6569682.4235494779</v>
      </c>
      <c r="W235" s="128">
        <v>612</v>
      </c>
      <c r="X235" s="128">
        <v>656</v>
      </c>
      <c r="Y235" s="128">
        <v>68</v>
      </c>
      <c r="Z235" s="128">
        <v>68</v>
      </c>
      <c r="AA235" s="128">
        <v>232</v>
      </c>
      <c r="AB235" s="128">
        <v>2</v>
      </c>
      <c r="AC235" s="128">
        <v>51</v>
      </c>
      <c r="AD235" s="128">
        <v>0</v>
      </c>
      <c r="AE235" s="128">
        <v>0</v>
      </c>
      <c r="AF235" s="128">
        <f t="shared" si="10"/>
        <v>10753.682423549479</v>
      </c>
      <c r="AG235" s="128">
        <v>5653</v>
      </c>
      <c r="AH235" s="128">
        <f t="shared" si="11"/>
        <v>1902.2965546699945</v>
      </c>
      <c r="AI235" t="s">
        <v>467</v>
      </c>
      <c r="AM235" t="s">
        <v>215</v>
      </c>
      <c r="AN235" s="128">
        <v>1784.2230553073639</v>
      </c>
      <c r="AO235" t="s">
        <v>118</v>
      </c>
    </row>
    <row r="236" spans="1:43" x14ac:dyDescent="0.25">
      <c r="A236" t="s">
        <v>518</v>
      </c>
      <c r="B236" t="s">
        <v>384</v>
      </c>
      <c r="C236" s="128">
        <v>35624</v>
      </c>
      <c r="D236" s="128">
        <v>2438</v>
      </c>
      <c r="E236" s="128">
        <v>88</v>
      </c>
      <c r="F236" s="128">
        <v>1527</v>
      </c>
      <c r="G236" s="128">
        <v>5966</v>
      </c>
      <c r="H236" s="128">
        <v>4081</v>
      </c>
      <c r="I236" s="128">
        <v>1074</v>
      </c>
      <c r="J236" s="128">
        <v>1229</v>
      </c>
      <c r="K236" s="128">
        <v>2482</v>
      </c>
      <c r="L236" s="128">
        <v>534</v>
      </c>
      <c r="M236" s="128">
        <v>1764</v>
      </c>
      <c r="N236" s="128">
        <v>5143</v>
      </c>
      <c r="O236" s="128">
        <v>6237</v>
      </c>
      <c r="P236" s="128">
        <v>2360</v>
      </c>
      <c r="Q236" s="128">
        <v>841</v>
      </c>
      <c r="R236" s="128"/>
      <c r="S236" t="s">
        <v>384</v>
      </c>
      <c r="T236" s="128">
        <f t="shared" si="9"/>
        <v>31571</v>
      </c>
      <c r="U236" s="128">
        <v>23414</v>
      </c>
      <c r="V236" s="128">
        <v>18921194.366790369</v>
      </c>
      <c r="W236" s="128">
        <v>1287</v>
      </c>
      <c r="X236" s="128">
        <v>785</v>
      </c>
      <c r="Y236" s="128">
        <v>0</v>
      </c>
      <c r="Z236" s="128">
        <v>92</v>
      </c>
      <c r="AA236" s="128">
        <v>572</v>
      </c>
      <c r="AB236" s="128">
        <v>158</v>
      </c>
      <c r="AC236" s="128">
        <v>184</v>
      </c>
      <c r="AD236" s="128">
        <v>0</v>
      </c>
      <c r="AE236" s="128">
        <v>151</v>
      </c>
      <c r="AF236" s="128">
        <f t="shared" si="10"/>
        <v>23849.194366790369</v>
      </c>
      <c r="AG236" s="128">
        <v>13273</v>
      </c>
      <c r="AH236" s="128">
        <f t="shared" si="11"/>
        <v>1796.8201888638869</v>
      </c>
      <c r="AI236" t="s">
        <v>467</v>
      </c>
      <c r="AM236" t="s">
        <v>400</v>
      </c>
      <c r="AN236" s="128">
        <v>1946.26230671228</v>
      </c>
      <c r="AO236" t="s">
        <v>118</v>
      </c>
    </row>
    <row r="237" spans="1:43" x14ac:dyDescent="0.25">
      <c r="A237" t="s">
        <v>519</v>
      </c>
      <c r="B237" t="s">
        <v>201</v>
      </c>
      <c r="C237" s="128">
        <v>124825</v>
      </c>
      <c r="D237" s="128">
        <v>30</v>
      </c>
      <c r="E237" s="128">
        <v>850</v>
      </c>
      <c r="F237" s="128">
        <v>4362</v>
      </c>
      <c r="G237" s="128">
        <v>28225</v>
      </c>
      <c r="H237" s="128">
        <v>12415</v>
      </c>
      <c r="I237" s="128">
        <v>3141</v>
      </c>
      <c r="J237" s="128">
        <v>2651</v>
      </c>
      <c r="K237" s="128">
        <v>415</v>
      </c>
      <c r="L237" s="128">
        <v>3158</v>
      </c>
      <c r="M237" s="128">
        <v>3573</v>
      </c>
      <c r="N237" s="128">
        <v>25514</v>
      </c>
      <c r="O237" s="128">
        <v>31068</v>
      </c>
      <c r="P237" s="128">
        <v>8175</v>
      </c>
      <c r="Q237" s="128">
        <v>1278</v>
      </c>
      <c r="R237" s="128"/>
      <c r="S237" t="s">
        <v>201</v>
      </c>
      <c r="T237" s="128">
        <f t="shared" si="9"/>
        <v>119583</v>
      </c>
      <c r="U237" s="128">
        <v>99968</v>
      </c>
      <c r="V237" s="128">
        <v>77303658.828427792</v>
      </c>
      <c r="W237" s="128">
        <v>4572</v>
      </c>
      <c r="X237" s="128">
        <v>4544</v>
      </c>
      <c r="Y237" s="128">
        <v>504</v>
      </c>
      <c r="Z237" s="128">
        <v>585</v>
      </c>
      <c r="AA237" s="128">
        <v>450</v>
      </c>
      <c r="AB237" s="128">
        <v>81</v>
      </c>
      <c r="AC237" s="128">
        <v>274</v>
      </c>
      <c r="AD237" s="128">
        <v>29</v>
      </c>
      <c r="AE237" s="128">
        <v>149</v>
      </c>
      <c r="AF237" s="128">
        <f t="shared" si="10"/>
        <v>85730.658828427797</v>
      </c>
      <c r="AG237" s="128">
        <v>43429</v>
      </c>
      <c r="AH237" s="128">
        <f t="shared" si="11"/>
        <v>1974.0417423479194</v>
      </c>
      <c r="AI237" t="s">
        <v>118</v>
      </c>
      <c r="AM237" t="s">
        <v>599</v>
      </c>
      <c r="AN237" s="128">
        <v>1686.0703591567963</v>
      </c>
      <c r="AO237" t="s">
        <v>118</v>
      </c>
    </row>
    <row r="238" spans="1:43" x14ac:dyDescent="0.25">
      <c r="A238" t="s">
        <v>522</v>
      </c>
      <c r="B238" t="s">
        <v>228</v>
      </c>
      <c r="C238" s="128">
        <v>47848</v>
      </c>
      <c r="D238" s="128">
        <v>401</v>
      </c>
      <c r="E238" s="128">
        <v>1039</v>
      </c>
      <c r="F238" s="128">
        <v>2135</v>
      </c>
      <c r="G238" s="128">
        <v>14118</v>
      </c>
      <c r="H238" s="128">
        <v>3463</v>
      </c>
      <c r="I238" s="128">
        <v>1408</v>
      </c>
      <c r="J238" s="128">
        <v>987</v>
      </c>
      <c r="K238" s="128">
        <v>160</v>
      </c>
      <c r="L238" s="128">
        <v>1481</v>
      </c>
      <c r="M238" s="128">
        <v>2490</v>
      </c>
      <c r="N238" s="128">
        <v>7303</v>
      </c>
      <c r="O238" s="128">
        <v>9603</v>
      </c>
      <c r="P238" s="128">
        <v>2660</v>
      </c>
      <c r="Q238" s="128">
        <v>704</v>
      </c>
      <c r="R238" s="128"/>
      <c r="S238" t="s">
        <v>228</v>
      </c>
      <c r="T238" s="128">
        <f t="shared" si="9"/>
        <v>44273</v>
      </c>
      <c r="U238" s="128">
        <v>34383</v>
      </c>
      <c r="V238" s="128">
        <v>28550505.44576633</v>
      </c>
      <c r="W238" s="128">
        <v>1565</v>
      </c>
      <c r="X238" s="128">
        <v>2595</v>
      </c>
      <c r="Y238" s="128">
        <v>496</v>
      </c>
      <c r="Z238" s="128">
        <v>223</v>
      </c>
      <c r="AA238" s="128">
        <v>698</v>
      </c>
      <c r="AB238" s="128">
        <v>66</v>
      </c>
      <c r="AC238" s="128">
        <v>172</v>
      </c>
      <c r="AD238" s="128">
        <v>21</v>
      </c>
      <c r="AE238" s="128">
        <v>283</v>
      </c>
      <c r="AF238" s="128">
        <f t="shared" si="10"/>
        <v>32321.505445766328</v>
      </c>
      <c r="AG238" s="128">
        <v>20262</v>
      </c>
      <c r="AH238" s="128">
        <f t="shared" si="11"/>
        <v>1595.1784347925343</v>
      </c>
      <c r="AI238" t="s">
        <v>467</v>
      </c>
      <c r="AM238" t="s">
        <v>401</v>
      </c>
      <c r="AN238" s="128">
        <v>1946.5744385520229</v>
      </c>
      <c r="AO238" t="s">
        <v>118</v>
      </c>
    </row>
    <row r="239" spans="1:43" x14ac:dyDescent="0.25">
      <c r="A239" t="s">
        <v>528</v>
      </c>
      <c r="B239" t="s">
        <v>314</v>
      </c>
      <c r="C239" s="128">
        <v>132582</v>
      </c>
      <c r="D239" s="128">
        <v>3528</v>
      </c>
      <c r="E239" s="128">
        <v>1183</v>
      </c>
      <c r="F239" s="128">
        <v>5019</v>
      </c>
      <c r="G239" s="128">
        <v>1751</v>
      </c>
      <c r="H239" s="128">
        <v>20381</v>
      </c>
      <c r="I239" s="128">
        <v>3763</v>
      </c>
      <c r="J239" s="128">
        <v>8109</v>
      </c>
      <c r="K239" s="128">
        <v>964</v>
      </c>
      <c r="L239" s="128">
        <v>2931</v>
      </c>
      <c r="M239" s="128">
        <v>11570</v>
      </c>
      <c r="N239" s="128">
        <v>19960</v>
      </c>
      <c r="O239" s="128">
        <v>35145</v>
      </c>
      <c r="P239" s="128">
        <v>15660</v>
      </c>
      <c r="Q239" s="128">
        <v>2773</v>
      </c>
      <c r="R239" s="128"/>
      <c r="S239" t="s">
        <v>314</v>
      </c>
      <c r="T239" s="128">
        <f t="shared" si="9"/>
        <v>122852</v>
      </c>
      <c r="U239" s="128">
        <v>91490</v>
      </c>
      <c r="V239" s="128">
        <v>75479751.239272758</v>
      </c>
      <c r="W239" s="128">
        <v>4409</v>
      </c>
      <c r="X239" s="128">
        <v>6775</v>
      </c>
      <c r="Y239" s="128">
        <v>225</v>
      </c>
      <c r="Z239" s="128">
        <v>527</v>
      </c>
      <c r="AA239" s="128">
        <v>987</v>
      </c>
      <c r="AB239" s="128">
        <v>209</v>
      </c>
      <c r="AC239" s="128">
        <v>0</v>
      </c>
      <c r="AD239" s="128">
        <v>407</v>
      </c>
      <c r="AE239" s="128">
        <v>880</v>
      </c>
      <c r="AF239" s="128">
        <f t="shared" si="10"/>
        <v>92422.751239272751</v>
      </c>
      <c r="AG239" s="128">
        <v>47105</v>
      </c>
      <c r="AH239" s="128">
        <f t="shared" si="11"/>
        <v>1962.0581942314566</v>
      </c>
      <c r="AI239" t="s">
        <v>118</v>
      </c>
      <c r="AM239" t="s">
        <v>527</v>
      </c>
      <c r="AN239" s="128">
        <v>1936.1942793751905</v>
      </c>
      <c r="AO239" t="s">
        <v>118</v>
      </c>
    </row>
    <row r="240" spans="1:43" x14ac:dyDescent="0.25">
      <c r="A240" t="s">
        <v>519</v>
      </c>
      <c r="B240" t="s">
        <v>157</v>
      </c>
      <c r="C240" s="128">
        <v>93207</v>
      </c>
      <c r="D240" s="128">
        <v>626</v>
      </c>
      <c r="E240" s="128">
        <v>1079</v>
      </c>
      <c r="F240" s="128">
        <v>4013</v>
      </c>
      <c r="G240" s="128">
        <v>22035</v>
      </c>
      <c r="H240" s="128">
        <v>13079</v>
      </c>
      <c r="I240" s="128">
        <v>2712</v>
      </c>
      <c r="J240" s="128">
        <v>2281</v>
      </c>
      <c r="K240" s="128">
        <v>82</v>
      </c>
      <c r="L240" s="128">
        <v>2524</v>
      </c>
      <c r="M240" s="128">
        <v>5885</v>
      </c>
      <c r="N240" s="128">
        <v>10589</v>
      </c>
      <c r="O240" s="128">
        <v>22415</v>
      </c>
      <c r="P240" s="128">
        <v>6100</v>
      </c>
      <c r="Q240" s="128">
        <v>196</v>
      </c>
      <c r="R240" s="128"/>
      <c r="S240" t="s">
        <v>157</v>
      </c>
      <c r="T240" s="128">
        <f t="shared" si="9"/>
        <v>87489</v>
      </c>
      <c r="U240" s="128">
        <v>65179</v>
      </c>
      <c r="V240" s="128">
        <v>59083367.836504869</v>
      </c>
      <c r="W240" s="128">
        <v>2801</v>
      </c>
      <c r="X240" s="128">
        <v>2979</v>
      </c>
      <c r="Y240" s="128">
        <v>559</v>
      </c>
      <c r="Z240" s="128">
        <v>500</v>
      </c>
      <c r="AA240" s="128">
        <v>887</v>
      </c>
      <c r="AB240" s="128">
        <v>76</v>
      </c>
      <c r="AC240" s="128">
        <v>380</v>
      </c>
      <c r="AD240" s="128">
        <v>1</v>
      </c>
      <c r="AE240" s="128">
        <v>119</v>
      </c>
      <c r="AF240" s="128">
        <f t="shared" si="10"/>
        <v>73091.367836504869</v>
      </c>
      <c r="AG240" s="128">
        <v>38235</v>
      </c>
      <c r="AH240" s="128">
        <f t="shared" si="11"/>
        <v>1911.635094455469</v>
      </c>
      <c r="AI240" t="s">
        <v>467</v>
      </c>
      <c r="AM240" t="s">
        <v>436</v>
      </c>
      <c r="AN240" s="128">
        <v>2163.3089754886573</v>
      </c>
      <c r="AO240" t="s">
        <v>118</v>
      </c>
    </row>
    <row r="241" spans="1:41" x14ac:dyDescent="0.25">
      <c r="A241" t="s">
        <v>524</v>
      </c>
      <c r="B241" t="s">
        <v>315</v>
      </c>
      <c r="C241" s="128">
        <v>205010</v>
      </c>
      <c r="D241" s="128">
        <v>31787</v>
      </c>
      <c r="E241" s="128">
        <v>3070</v>
      </c>
      <c r="F241" s="128">
        <v>12324</v>
      </c>
      <c r="G241" s="128">
        <v>39727</v>
      </c>
      <c r="H241" s="128">
        <v>8094</v>
      </c>
      <c r="I241" s="128">
        <v>5586</v>
      </c>
      <c r="J241" s="128">
        <v>4592</v>
      </c>
      <c r="K241" s="128">
        <v>794</v>
      </c>
      <c r="L241" s="128">
        <v>2950</v>
      </c>
      <c r="M241" s="128">
        <v>9598</v>
      </c>
      <c r="N241" s="128">
        <v>31821</v>
      </c>
      <c r="O241" s="128">
        <v>41308</v>
      </c>
      <c r="P241" s="128">
        <v>12559</v>
      </c>
      <c r="Q241" s="128">
        <v>1817</v>
      </c>
      <c r="R241" s="128"/>
      <c r="S241" t="s">
        <v>761</v>
      </c>
      <c r="T241" s="128">
        <f t="shared" si="9"/>
        <v>157829</v>
      </c>
      <c r="U241" s="128">
        <v>129055</v>
      </c>
      <c r="V241" s="128">
        <v>99054361.434351951</v>
      </c>
      <c r="W241" s="128">
        <v>5791</v>
      </c>
      <c r="X241" s="128">
        <v>10762</v>
      </c>
      <c r="Y241" s="128">
        <v>0</v>
      </c>
      <c r="Z241" s="128">
        <v>636</v>
      </c>
      <c r="AA241" s="128">
        <v>2650</v>
      </c>
      <c r="AB241" s="128">
        <v>108</v>
      </c>
      <c r="AC241" s="128">
        <v>330</v>
      </c>
      <c r="AD241" s="128">
        <v>2643</v>
      </c>
      <c r="AE241" s="128">
        <v>821</v>
      </c>
      <c r="AF241" s="128">
        <f t="shared" si="10"/>
        <v>104087.36143435194</v>
      </c>
      <c r="AG241" s="128">
        <v>56954</v>
      </c>
      <c r="AH241" s="128">
        <f t="shared" si="11"/>
        <v>1827.5689404493442</v>
      </c>
      <c r="AI241" t="s">
        <v>118</v>
      </c>
      <c r="AM241" t="s">
        <v>169</v>
      </c>
      <c r="AN241" s="128">
        <v>2103.7867410823483</v>
      </c>
      <c r="AO241" t="s">
        <v>118</v>
      </c>
    </row>
    <row r="242" spans="1:41" x14ac:dyDescent="0.25">
      <c r="A242" t="s">
        <v>517</v>
      </c>
      <c r="B242" t="s">
        <v>418</v>
      </c>
      <c r="C242" s="128">
        <v>59729</v>
      </c>
      <c r="D242" s="128">
        <v>1551</v>
      </c>
      <c r="E242" s="128">
        <v>69</v>
      </c>
      <c r="F242" s="128">
        <v>7661</v>
      </c>
      <c r="G242" s="128">
        <v>8116</v>
      </c>
      <c r="H242" s="128">
        <v>6415</v>
      </c>
      <c r="I242" s="128">
        <v>2110</v>
      </c>
      <c r="J242" s="128">
        <v>2041</v>
      </c>
      <c r="K242" s="128">
        <v>392</v>
      </c>
      <c r="L242" s="128">
        <v>1022</v>
      </c>
      <c r="M242" s="128">
        <v>3251</v>
      </c>
      <c r="N242" s="128">
        <v>9950</v>
      </c>
      <c r="O242" s="128">
        <v>11160</v>
      </c>
      <c r="P242" s="128">
        <v>4300</v>
      </c>
      <c r="Q242" s="128">
        <v>1711</v>
      </c>
      <c r="R242" s="128"/>
      <c r="S242" t="s">
        <v>418</v>
      </c>
      <c r="T242" s="128">
        <f t="shared" si="9"/>
        <v>50448</v>
      </c>
      <c r="U242" s="128">
        <v>39429</v>
      </c>
      <c r="V242" s="128">
        <v>31230221.269919027</v>
      </c>
      <c r="W242" s="128">
        <v>2191</v>
      </c>
      <c r="X242" s="128">
        <v>2687</v>
      </c>
      <c r="Y242" s="128">
        <v>40</v>
      </c>
      <c r="Z242" s="128">
        <v>393</v>
      </c>
      <c r="AA242" s="128">
        <v>434</v>
      </c>
      <c r="AB242" s="128">
        <v>3</v>
      </c>
      <c r="AC242" s="128">
        <v>471</v>
      </c>
      <c r="AD242" s="128">
        <v>0</v>
      </c>
      <c r="AE242" s="128">
        <v>334</v>
      </c>
      <c r="AF242" s="128">
        <f t="shared" si="10"/>
        <v>35696.221269919028</v>
      </c>
      <c r="AG242" s="128">
        <v>20562</v>
      </c>
      <c r="AH242" s="128">
        <f t="shared" si="11"/>
        <v>1736.0286582005169</v>
      </c>
      <c r="AI242" t="s">
        <v>118</v>
      </c>
      <c r="AM242" t="s">
        <v>243</v>
      </c>
      <c r="AN242" s="128">
        <v>1800.251018249769</v>
      </c>
      <c r="AO242" t="s">
        <v>118</v>
      </c>
    </row>
    <row r="243" spans="1:41" x14ac:dyDescent="0.25">
      <c r="A243" t="s">
        <v>519</v>
      </c>
      <c r="B243" t="s">
        <v>419</v>
      </c>
      <c r="C243" s="243">
        <v>210973</v>
      </c>
      <c r="D243" s="128">
        <v>75</v>
      </c>
      <c r="E243" s="128">
        <v>1812</v>
      </c>
      <c r="F243" s="128">
        <v>8321</v>
      </c>
      <c r="G243" s="128">
        <v>47847</v>
      </c>
      <c r="H243" s="128">
        <v>13916</v>
      </c>
      <c r="I243" s="128">
        <v>5500</v>
      </c>
      <c r="J243" s="128">
        <v>7819</v>
      </c>
      <c r="K243" s="128">
        <v>2667</v>
      </c>
      <c r="L243" s="128">
        <v>4822</v>
      </c>
      <c r="M243" s="128">
        <v>14303</v>
      </c>
      <c r="N243" s="128">
        <v>46349</v>
      </c>
      <c r="O243" s="128">
        <v>42986</v>
      </c>
      <c r="P243" s="128">
        <v>12695</v>
      </c>
      <c r="Q243" s="128">
        <v>1890</v>
      </c>
      <c r="R243" s="128"/>
      <c r="S243" t="s">
        <v>419</v>
      </c>
      <c r="T243" s="128">
        <f t="shared" si="9"/>
        <v>200765</v>
      </c>
      <c r="U243" s="243">
        <v>150615</v>
      </c>
      <c r="V243" s="128">
        <v>111637331.17374778</v>
      </c>
      <c r="W243" s="128">
        <v>5798</v>
      </c>
      <c r="X243" s="128">
        <v>8740</v>
      </c>
      <c r="Y243" s="128">
        <v>266</v>
      </c>
      <c r="Z243" s="128">
        <v>586</v>
      </c>
      <c r="AA243" s="128">
        <v>1521</v>
      </c>
      <c r="AB243" s="297">
        <v>736</v>
      </c>
      <c r="AC243" s="128">
        <v>791</v>
      </c>
      <c r="AD243" s="128">
        <v>3698</v>
      </c>
      <c r="AE243" s="128">
        <v>1035</v>
      </c>
      <c r="AF243" s="128">
        <f t="shared" si="10"/>
        <v>138616.33117374778</v>
      </c>
      <c r="AG243" s="128">
        <v>59139</v>
      </c>
      <c r="AH243" s="128">
        <f t="shared" si="11"/>
        <v>2343.9072553433061</v>
      </c>
      <c r="AI243" t="s">
        <v>441</v>
      </c>
      <c r="AM243" t="s">
        <v>108</v>
      </c>
      <c r="AN243" s="128">
        <v>1861.4038459662249</v>
      </c>
      <c r="AO243" t="s">
        <v>118</v>
      </c>
    </row>
    <row r="244" spans="1:41" x14ac:dyDescent="0.25">
      <c r="A244" t="s">
        <v>524</v>
      </c>
      <c r="B244" t="s">
        <v>385</v>
      </c>
      <c r="C244" s="128">
        <v>253483</v>
      </c>
      <c r="D244" s="128">
        <v>0</v>
      </c>
      <c r="E244" s="128">
        <v>2390</v>
      </c>
      <c r="F244" s="128">
        <v>8604</v>
      </c>
      <c r="G244" s="128">
        <v>36481</v>
      </c>
      <c r="H244" s="128">
        <v>9438</v>
      </c>
      <c r="I244" s="128">
        <v>6801</v>
      </c>
      <c r="J244" s="128">
        <v>9540</v>
      </c>
      <c r="K244" s="128">
        <v>12544</v>
      </c>
      <c r="L244" s="128">
        <v>8585</v>
      </c>
      <c r="M244" s="128">
        <v>13621</v>
      </c>
      <c r="N244" s="128">
        <v>64219</v>
      </c>
      <c r="O244" s="128">
        <v>58421</v>
      </c>
      <c r="P244" s="128">
        <v>21364</v>
      </c>
      <c r="Q244" s="128">
        <v>1475</v>
      </c>
      <c r="R244" s="128"/>
      <c r="S244" t="s">
        <v>385</v>
      </c>
      <c r="T244" s="128">
        <f t="shared" si="9"/>
        <v>242489</v>
      </c>
      <c r="U244" s="128">
        <v>192934</v>
      </c>
      <c r="V244" s="128">
        <v>134986503.18836066</v>
      </c>
      <c r="W244" s="128">
        <v>13042</v>
      </c>
      <c r="X244" s="128">
        <v>10054</v>
      </c>
      <c r="Y244" s="128">
        <v>0</v>
      </c>
      <c r="Z244" s="128">
        <v>907</v>
      </c>
      <c r="AA244" s="128">
        <v>1401</v>
      </c>
      <c r="AB244" s="128">
        <v>450</v>
      </c>
      <c r="AC244" s="128">
        <v>188</v>
      </c>
      <c r="AD244" s="128">
        <v>1955</v>
      </c>
      <c r="AE244" s="128">
        <v>273</v>
      </c>
      <c r="AF244" s="128">
        <f t="shared" si="10"/>
        <v>156271.50318836066</v>
      </c>
      <c r="AG244" s="128">
        <v>77245</v>
      </c>
      <c r="AH244" s="128">
        <f t="shared" si="11"/>
        <v>2023.0630226986946</v>
      </c>
      <c r="AI244" t="s">
        <v>441</v>
      </c>
      <c r="AM244" t="s">
        <v>142</v>
      </c>
      <c r="AN244" s="128">
        <v>1844.6381666331934</v>
      </c>
      <c r="AO244" t="s">
        <v>118</v>
      </c>
    </row>
    <row r="245" spans="1:41" x14ac:dyDescent="0.25">
      <c r="A245" t="s">
        <v>521</v>
      </c>
      <c r="B245" t="s">
        <v>316</v>
      </c>
      <c r="C245" s="128">
        <v>3623954</v>
      </c>
      <c r="D245" s="128">
        <v>52741</v>
      </c>
      <c r="E245" s="128">
        <v>25503</v>
      </c>
      <c r="F245" s="128">
        <v>158669</v>
      </c>
      <c r="G245" s="128">
        <v>1005892</v>
      </c>
      <c r="H245" s="128">
        <v>157606</v>
      </c>
      <c r="I245" s="128">
        <v>92835</v>
      </c>
      <c r="J245" s="128">
        <v>111630</v>
      </c>
      <c r="K245" s="128">
        <v>27046</v>
      </c>
      <c r="L245" s="128">
        <v>196240</v>
      </c>
      <c r="M245" s="128">
        <v>269544</v>
      </c>
      <c r="N245" s="128">
        <v>688401</v>
      </c>
      <c r="O245" s="128">
        <v>629676</v>
      </c>
      <c r="P245" s="128">
        <v>210463</v>
      </c>
      <c r="Q245" s="128">
        <v>2049</v>
      </c>
      <c r="R245" s="128"/>
      <c r="S245" t="s">
        <v>316</v>
      </c>
      <c r="T245" s="128">
        <f t="shared" si="9"/>
        <v>3387041</v>
      </c>
      <c r="U245" s="128">
        <v>2480288</v>
      </c>
      <c r="V245" s="128">
        <v>1644369507.1431859</v>
      </c>
      <c r="W245" s="128">
        <v>85584</v>
      </c>
      <c r="X245" s="128">
        <v>105904</v>
      </c>
      <c r="Y245" s="128">
        <v>4736</v>
      </c>
      <c r="Z245" s="128">
        <v>8627</v>
      </c>
      <c r="AA245" s="128">
        <v>30227</v>
      </c>
      <c r="AB245" s="128">
        <v>12473</v>
      </c>
      <c r="AC245" s="128">
        <v>10731</v>
      </c>
      <c r="AD245" s="128">
        <v>157670</v>
      </c>
      <c r="AE245" s="128">
        <v>25561</v>
      </c>
      <c r="AF245" s="128">
        <f t="shared" si="10"/>
        <v>2109609.5071431859</v>
      </c>
      <c r="AG245" s="128">
        <v>655473</v>
      </c>
      <c r="AH245" s="128">
        <f t="shared" si="11"/>
        <v>3218.4537076938118</v>
      </c>
      <c r="AI245" t="s">
        <v>441</v>
      </c>
      <c r="AM245" t="s">
        <v>353</v>
      </c>
      <c r="AN245" s="128">
        <v>1877.750263437651</v>
      </c>
      <c r="AO245" t="s">
        <v>118</v>
      </c>
    </row>
    <row r="246" spans="1:41" x14ac:dyDescent="0.25">
      <c r="A246" t="s">
        <v>519</v>
      </c>
      <c r="B246" t="s">
        <v>202</v>
      </c>
      <c r="C246" s="128">
        <v>4548</v>
      </c>
      <c r="D246" s="128">
        <v>0</v>
      </c>
      <c r="E246" s="128">
        <v>0</v>
      </c>
      <c r="F246" s="128">
        <v>210</v>
      </c>
      <c r="G246" s="128">
        <v>1326</v>
      </c>
      <c r="H246" s="128">
        <v>789</v>
      </c>
      <c r="I246" s="128">
        <v>108</v>
      </c>
      <c r="J246" s="128">
        <v>95</v>
      </c>
      <c r="K246" s="128">
        <v>4</v>
      </c>
      <c r="L246" s="128">
        <v>581</v>
      </c>
      <c r="M246" s="128">
        <v>161</v>
      </c>
      <c r="N246" s="128">
        <v>139</v>
      </c>
      <c r="O246" s="128">
        <v>489</v>
      </c>
      <c r="P246" s="128">
        <v>561</v>
      </c>
      <c r="Q246" s="128">
        <v>85</v>
      </c>
      <c r="R246" s="128"/>
      <c r="S246" t="s">
        <v>202</v>
      </c>
      <c r="T246" s="128">
        <f t="shared" si="9"/>
        <v>4338</v>
      </c>
      <c r="U246" s="128">
        <v>3146</v>
      </c>
      <c r="V246" s="128">
        <v>2700555.7575983517</v>
      </c>
      <c r="W246" s="128">
        <v>160</v>
      </c>
      <c r="X246" s="128">
        <v>189</v>
      </c>
      <c r="Y246" s="128">
        <v>80</v>
      </c>
      <c r="Z246" s="128">
        <v>26</v>
      </c>
      <c r="AA246" s="128">
        <v>50</v>
      </c>
      <c r="AB246" s="128">
        <v>1</v>
      </c>
      <c r="AC246" s="128">
        <v>0</v>
      </c>
      <c r="AD246" s="128">
        <v>0</v>
      </c>
      <c r="AE246" s="128">
        <v>11</v>
      </c>
      <c r="AF246" s="128">
        <f t="shared" si="10"/>
        <v>3375.5557575983516</v>
      </c>
      <c r="AG246" s="128">
        <v>1756</v>
      </c>
      <c r="AH246" s="128">
        <f t="shared" si="11"/>
        <v>1922.2982674250295</v>
      </c>
      <c r="AI246" t="s">
        <v>467</v>
      </c>
      <c r="AM246" t="s">
        <v>172</v>
      </c>
      <c r="AN246" s="128">
        <v>1833.2498199942238</v>
      </c>
      <c r="AO246" t="s">
        <v>118</v>
      </c>
    </row>
    <row r="247" spans="1:41" x14ac:dyDescent="0.25">
      <c r="A247" t="s">
        <v>522</v>
      </c>
      <c r="B247" t="s">
        <v>386</v>
      </c>
      <c r="C247" s="128">
        <v>71257</v>
      </c>
      <c r="D247" s="128">
        <v>9453</v>
      </c>
      <c r="E247" s="128">
        <v>401</v>
      </c>
      <c r="F247" s="128">
        <v>4609</v>
      </c>
      <c r="G247" s="128">
        <v>12150</v>
      </c>
      <c r="H247" s="128">
        <v>4023</v>
      </c>
      <c r="I247" s="128">
        <v>1363</v>
      </c>
      <c r="J247" s="128">
        <v>1836</v>
      </c>
      <c r="K247" s="128">
        <v>309</v>
      </c>
      <c r="L247" s="128">
        <v>1326</v>
      </c>
      <c r="M247" s="128">
        <v>2751</v>
      </c>
      <c r="N247" s="128">
        <v>15017</v>
      </c>
      <c r="O247" s="128">
        <v>13433</v>
      </c>
      <c r="P247" s="128">
        <v>4552</v>
      </c>
      <c r="Q247" s="128">
        <v>153</v>
      </c>
      <c r="R247" s="128"/>
      <c r="S247" t="s">
        <v>386</v>
      </c>
      <c r="T247" s="128">
        <f t="shared" si="9"/>
        <v>56794</v>
      </c>
      <c r="U247" s="128">
        <v>47831</v>
      </c>
      <c r="V247" s="128">
        <v>34797808.410756759</v>
      </c>
      <c r="W247" s="128">
        <v>2345</v>
      </c>
      <c r="X247" s="128">
        <v>2811</v>
      </c>
      <c r="Y247" s="128">
        <v>26</v>
      </c>
      <c r="Z247" s="128">
        <v>264</v>
      </c>
      <c r="AA247" s="128">
        <v>606</v>
      </c>
      <c r="AB247" s="128">
        <v>22</v>
      </c>
      <c r="AC247" s="128">
        <v>116</v>
      </c>
      <c r="AD247" s="128">
        <v>17</v>
      </c>
      <c r="AE247" s="128">
        <v>58</v>
      </c>
      <c r="AF247" s="128">
        <f t="shared" si="10"/>
        <v>37495.808410756763</v>
      </c>
      <c r="AG247" s="128">
        <v>23351</v>
      </c>
      <c r="AH247" s="128">
        <f t="shared" si="11"/>
        <v>1605.7474374012572</v>
      </c>
      <c r="AI247" t="s">
        <v>118</v>
      </c>
      <c r="AM247" t="s">
        <v>289</v>
      </c>
      <c r="AN247" s="128">
        <v>2184.9101489857262</v>
      </c>
      <c r="AO247" t="s">
        <v>118</v>
      </c>
    </row>
    <row r="248" spans="1:41" x14ac:dyDescent="0.25">
      <c r="A248" t="s">
        <v>526</v>
      </c>
      <c r="B248" s="86" t="s">
        <v>271</v>
      </c>
      <c r="C248" s="128">
        <v>128298</v>
      </c>
      <c r="D248" s="128">
        <v>1018</v>
      </c>
      <c r="E248" s="128">
        <v>1578</v>
      </c>
      <c r="F248" s="128">
        <v>6890</v>
      </c>
      <c r="G248" s="128">
        <v>32070</v>
      </c>
      <c r="H248" s="128">
        <v>11170</v>
      </c>
      <c r="I248" s="128">
        <v>4260</v>
      </c>
      <c r="J248" s="128">
        <v>4847</v>
      </c>
      <c r="K248" s="128">
        <v>533</v>
      </c>
      <c r="L248" s="128">
        <v>2008</v>
      </c>
      <c r="M248" s="128">
        <v>11934</v>
      </c>
      <c r="N248" s="128">
        <v>15396</v>
      </c>
      <c r="O248" s="128">
        <v>24329</v>
      </c>
      <c r="P248" s="128">
        <v>11231</v>
      </c>
      <c r="Q248" s="128">
        <v>1351</v>
      </c>
      <c r="R248" s="128"/>
      <c r="S248" t="s">
        <v>271</v>
      </c>
      <c r="T248" s="128">
        <f t="shared" si="9"/>
        <v>118812</v>
      </c>
      <c r="U248" s="128">
        <v>87504</v>
      </c>
      <c r="V248" s="128">
        <v>71575539.467549711</v>
      </c>
      <c r="W248" s="128">
        <v>4978</v>
      </c>
      <c r="X248" s="128">
        <v>7142</v>
      </c>
      <c r="Y248" s="128">
        <v>288</v>
      </c>
      <c r="Z248" s="128">
        <v>491</v>
      </c>
      <c r="AA248" s="128">
        <v>1200</v>
      </c>
      <c r="AB248" s="128">
        <v>164</v>
      </c>
      <c r="AC248" s="128">
        <v>1465</v>
      </c>
      <c r="AD248" s="128">
        <v>6</v>
      </c>
      <c r="AE248" s="128">
        <v>377</v>
      </c>
      <c r="AF248" s="128">
        <f t="shared" si="10"/>
        <v>86772.539467549708</v>
      </c>
      <c r="AG248" s="128">
        <v>46831</v>
      </c>
      <c r="AH248" s="128">
        <f t="shared" si="11"/>
        <v>1852.8867516719633</v>
      </c>
      <c r="AI248" t="s">
        <v>118</v>
      </c>
      <c r="AM248" t="s">
        <v>109</v>
      </c>
      <c r="AN248" s="128">
        <v>1854.4149821610029</v>
      </c>
      <c r="AO248" t="s">
        <v>118</v>
      </c>
    </row>
    <row r="249" spans="1:41" x14ac:dyDescent="0.25">
      <c r="A249" t="s">
        <v>526</v>
      </c>
      <c r="B249" t="s">
        <v>203</v>
      </c>
      <c r="C249" s="128">
        <v>23739</v>
      </c>
      <c r="D249" s="128">
        <v>1957</v>
      </c>
      <c r="E249" s="128">
        <v>-4</v>
      </c>
      <c r="F249" s="128">
        <v>898</v>
      </c>
      <c r="G249" s="128">
        <v>7121</v>
      </c>
      <c r="H249" s="128">
        <v>2054</v>
      </c>
      <c r="I249" s="128">
        <v>580</v>
      </c>
      <c r="J249" s="128">
        <v>388</v>
      </c>
      <c r="K249" s="128">
        <v>62</v>
      </c>
      <c r="L249" s="128">
        <v>514</v>
      </c>
      <c r="M249" s="128">
        <v>1392</v>
      </c>
      <c r="N249" s="128">
        <v>1555</v>
      </c>
      <c r="O249" s="128">
        <v>4542</v>
      </c>
      <c r="P249" s="128">
        <v>1730</v>
      </c>
      <c r="Q249" s="128">
        <v>1300</v>
      </c>
      <c r="R249" s="128"/>
      <c r="S249" t="s">
        <v>203</v>
      </c>
      <c r="T249" s="128">
        <f t="shared" si="9"/>
        <v>20888</v>
      </c>
      <c r="U249" s="128">
        <v>15073</v>
      </c>
      <c r="V249" s="128">
        <v>13870481.862654384</v>
      </c>
      <c r="W249" s="128">
        <v>1244</v>
      </c>
      <c r="X249" s="128">
        <v>955</v>
      </c>
      <c r="Y249" s="128">
        <v>150</v>
      </c>
      <c r="Z249" s="128">
        <v>159</v>
      </c>
      <c r="AA249" s="128">
        <v>419</v>
      </c>
      <c r="AB249" s="128">
        <v>71</v>
      </c>
      <c r="AC249" s="128">
        <v>157</v>
      </c>
      <c r="AD249" s="128">
        <v>0</v>
      </c>
      <c r="AE249" s="128">
        <v>28</v>
      </c>
      <c r="AF249" s="128">
        <f t="shared" si="10"/>
        <v>16502.481862654386</v>
      </c>
      <c r="AG249" s="128">
        <v>10322</v>
      </c>
      <c r="AH249" s="128">
        <f t="shared" si="11"/>
        <v>1598.7678611368326</v>
      </c>
      <c r="AI249" t="s">
        <v>467</v>
      </c>
      <c r="AM249" t="s">
        <v>174</v>
      </c>
      <c r="AN249" s="128">
        <v>1974.7184067705844</v>
      </c>
      <c r="AO249" t="s">
        <v>118</v>
      </c>
    </row>
    <row r="250" spans="1:41" x14ac:dyDescent="0.25">
      <c r="A250" t="s">
        <v>517</v>
      </c>
      <c r="B250" t="s">
        <v>317</v>
      </c>
      <c r="C250" s="128">
        <v>327705</v>
      </c>
      <c r="D250" s="128">
        <v>14658</v>
      </c>
      <c r="E250" s="128">
        <v>7747</v>
      </c>
      <c r="F250" s="128">
        <v>12951</v>
      </c>
      <c r="G250" s="128">
        <v>42807</v>
      </c>
      <c r="H250" s="128">
        <v>19037</v>
      </c>
      <c r="I250" s="128">
        <v>7590</v>
      </c>
      <c r="J250" s="128">
        <v>10948</v>
      </c>
      <c r="K250" s="128">
        <v>12596</v>
      </c>
      <c r="L250" s="128">
        <v>11746</v>
      </c>
      <c r="M250" s="128">
        <v>22431</v>
      </c>
      <c r="N250" s="128">
        <v>71924</v>
      </c>
      <c r="O250" s="128">
        <v>66426</v>
      </c>
      <c r="P250" s="128">
        <v>23539</v>
      </c>
      <c r="Q250" s="128">
        <v>3305</v>
      </c>
      <c r="R250" s="128"/>
      <c r="S250" t="s">
        <v>317</v>
      </c>
      <c r="T250" s="128">
        <f t="shared" si="9"/>
        <v>292349</v>
      </c>
      <c r="U250" s="128">
        <v>220437</v>
      </c>
      <c r="V250" s="128">
        <v>155341953.20828277</v>
      </c>
      <c r="W250" s="128">
        <v>10416</v>
      </c>
      <c r="X250" s="128">
        <v>13217</v>
      </c>
      <c r="Y250" s="128">
        <v>0</v>
      </c>
      <c r="Z250" s="128">
        <v>1006</v>
      </c>
      <c r="AA250" s="128">
        <v>2198</v>
      </c>
      <c r="AB250" s="128">
        <v>1566</v>
      </c>
      <c r="AC250" s="128">
        <v>300</v>
      </c>
      <c r="AD250" s="128">
        <v>3533</v>
      </c>
      <c r="AE250" s="128">
        <v>7529</v>
      </c>
      <c r="AF250" s="128">
        <f t="shared" si="10"/>
        <v>187488.95320828276</v>
      </c>
      <c r="AG250" s="128">
        <v>79777</v>
      </c>
      <c r="AH250" s="128">
        <f t="shared" si="11"/>
        <v>2350.1629944505657</v>
      </c>
      <c r="AI250" s="177" t="s">
        <v>118</v>
      </c>
      <c r="AM250" t="s">
        <v>129</v>
      </c>
      <c r="AN250" s="128">
        <v>2045.1892597216493</v>
      </c>
      <c r="AO250" t="s">
        <v>118</v>
      </c>
    </row>
    <row r="251" spans="1:41" x14ac:dyDescent="0.25">
      <c r="A251" t="s">
        <v>521</v>
      </c>
      <c r="B251" t="s">
        <v>135</v>
      </c>
      <c r="C251" s="128">
        <v>7981</v>
      </c>
      <c r="D251" s="128">
        <v>0</v>
      </c>
      <c r="E251" s="128">
        <v>79</v>
      </c>
      <c r="F251" s="128">
        <v>448</v>
      </c>
      <c r="G251" s="128">
        <v>2397</v>
      </c>
      <c r="H251" s="128">
        <v>1191</v>
      </c>
      <c r="I251" s="128">
        <v>343</v>
      </c>
      <c r="J251" s="128">
        <v>381</v>
      </c>
      <c r="K251" s="128">
        <v>113</v>
      </c>
      <c r="L251" s="128">
        <v>295</v>
      </c>
      <c r="M251" s="128">
        <v>727</v>
      </c>
      <c r="N251" s="128">
        <v>225</v>
      </c>
      <c r="O251" s="128">
        <v>632</v>
      </c>
      <c r="P251" s="128">
        <v>481</v>
      </c>
      <c r="Q251" s="128">
        <v>669</v>
      </c>
      <c r="R251" s="128"/>
      <c r="S251" t="s">
        <v>135</v>
      </c>
      <c r="T251" s="128">
        <f t="shared" si="9"/>
        <v>7454</v>
      </c>
      <c r="U251" s="128">
        <v>3765</v>
      </c>
      <c r="V251" s="128">
        <v>3324155.5009202748</v>
      </c>
      <c r="W251" s="128">
        <v>188</v>
      </c>
      <c r="X251" s="128">
        <v>373</v>
      </c>
      <c r="Y251" s="128">
        <v>29</v>
      </c>
      <c r="Z251" s="128">
        <v>18</v>
      </c>
      <c r="AA251" s="128">
        <v>101</v>
      </c>
      <c r="AB251" s="128">
        <v>69</v>
      </c>
      <c r="AC251" s="128">
        <v>1299</v>
      </c>
      <c r="AD251" s="128">
        <v>0</v>
      </c>
      <c r="AE251" s="128">
        <v>100</v>
      </c>
      <c r="AF251" s="128">
        <f t="shared" si="10"/>
        <v>4836.1555009202748</v>
      </c>
      <c r="AG251" s="128">
        <v>944</v>
      </c>
      <c r="AH251" s="128">
        <f t="shared" si="11"/>
        <v>5123.0460814833423</v>
      </c>
      <c r="AI251" t="s">
        <v>118</v>
      </c>
      <c r="AM251" t="s">
        <v>529</v>
      </c>
      <c r="AN251" s="128">
        <v>1881.6389031365527</v>
      </c>
      <c r="AO251" t="s">
        <v>118</v>
      </c>
    </row>
    <row r="252" spans="1:41" x14ac:dyDescent="0.25">
      <c r="A252" t="s">
        <v>519</v>
      </c>
      <c r="B252" t="s">
        <v>337</v>
      </c>
      <c r="C252" s="128">
        <v>122438</v>
      </c>
      <c r="D252" s="128">
        <v>586</v>
      </c>
      <c r="E252" s="128">
        <v>1701</v>
      </c>
      <c r="F252" s="128">
        <v>8591</v>
      </c>
      <c r="G252" s="128">
        <v>32263</v>
      </c>
      <c r="H252" s="128">
        <v>6653</v>
      </c>
      <c r="I252" s="128">
        <v>3903</v>
      </c>
      <c r="J252" s="128">
        <v>7554</v>
      </c>
      <c r="K252" s="128">
        <v>2239</v>
      </c>
      <c r="L252" s="128">
        <v>2679</v>
      </c>
      <c r="M252" s="128">
        <v>10147</v>
      </c>
      <c r="N252" s="128">
        <v>12195</v>
      </c>
      <c r="O252" s="128">
        <v>21060</v>
      </c>
      <c r="P252" s="128">
        <v>10824</v>
      </c>
      <c r="Q252" s="128">
        <v>2271</v>
      </c>
      <c r="R252" s="128"/>
      <c r="S252" t="s">
        <v>337</v>
      </c>
      <c r="T252" s="128">
        <f t="shared" si="9"/>
        <v>111560</v>
      </c>
      <c r="U252" s="128">
        <v>65191</v>
      </c>
      <c r="V252" s="128">
        <v>54615715.275759131</v>
      </c>
      <c r="W252" s="128">
        <v>7025</v>
      </c>
      <c r="X252" s="128">
        <v>4860</v>
      </c>
      <c r="Y252" s="128">
        <v>516</v>
      </c>
      <c r="Z252" s="128">
        <v>416</v>
      </c>
      <c r="AA252" s="128">
        <v>1877</v>
      </c>
      <c r="AB252" s="128">
        <v>1194</v>
      </c>
      <c r="AC252" s="128">
        <v>9383</v>
      </c>
      <c r="AD252" s="128">
        <v>1908</v>
      </c>
      <c r="AE252" s="128">
        <v>1440</v>
      </c>
      <c r="AF252" s="128">
        <f t="shared" si="10"/>
        <v>72365.715275759139</v>
      </c>
      <c r="AG252" s="128">
        <v>34157</v>
      </c>
      <c r="AH252" s="128">
        <f t="shared" si="11"/>
        <v>2118.6203494381575</v>
      </c>
      <c r="AI252" t="s">
        <v>118</v>
      </c>
      <c r="AM252" t="s">
        <v>290</v>
      </c>
      <c r="AN252" s="128">
        <v>2360.1768162360281</v>
      </c>
      <c r="AO252" t="s">
        <v>118</v>
      </c>
    </row>
    <row r="253" spans="1:41" x14ac:dyDescent="0.25">
      <c r="A253" t="s">
        <v>526</v>
      </c>
      <c r="B253" t="s">
        <v>443</v>
      </c>
      <c r="C253" s="128">
        <v>2736623</v>
      </c>
      <c r="D253" s="128">
        <v>62714</v>
      </c>
      <c r="E253" s="128">
        <v>27110</v>
      </c>
      <c r="F253" s="128">
        <v>106351</v>
      </c>
      <c r="G253" s="128">
        <v>674342</v>
      </c>
      <c r="H253" s="128">
        <v>77163</v>
      </c>
      <c r="I253" s="128">
        <v>66855</v>
      </c>
      <c r="J253" s="128">
        <v>114495</v>
      </c>
      <c r="K253" s="128">
        <v>34333</v>
      </c>
      <c r="L253" s="128">
        <v>116724</v>
      </c>
      <c r="M253" s="128">
        <v>167393</v>
      </c>
      <c r="N253" s="128">
        <v>540729</v>
      </c>
      <c r="O253" s="128">
        <v>529724</v>
      </c>
      <c r="P253" s="128">
        <v>180636</v>
      </c>
      <c r="Q253" s="128">
        <v>45679</v>
      </c>
      <c r="R253" s="128"/>
      <c r="S253" t="s">
        <v>755</v>
      </c>
      <c r="T253" s="128">
        <f t="shared" si="9"/>
        <v>2540448</v>
      </c>
      <c r="U253" s="128">
        <v>1866954</v>
      </c>
      <c r="V253" s="128">
        <v>1322316213.7930815</v>
      </c>
      <c r="W253" s="128">
        <v>44403</v>
      </c>
      <c r="X253" s="128">
        <v>87151</v>
      </c>
      <c r="Y253" s="128">
        <v>2156</v>
      </c>
      <c r="Z253" s="128">
        <v>8120</v>
      </c>
      <c r="AA253" s="128">
        <v>25444</v>
      </c>
      <c r="AB253" s="128">
        <v>5143</v>
      </c>
      <c r="AC253" s="128">
        <v>14241</v>
      </c>
      <c r="AD253" s="128">
        <v>79456</v>
      </c>
      <c r="AE253" s="128">
        <v>19522</v>
      </c>
      <c r="AF253" s="128">
        <f t="shared" si="10"/>
        <v>1710174.2137930815</v>
      </c>
      <c r="AG253" s="128">
        <v>553039</v>
      </c>
      <c r="AH253" s="128">
        <f t="shared" si="11"/>
        <v>3092.3211813146659</v>
      </c>
      <c r="AI253" t="s">
        <v>441</v>
      </c>
      <c r="AM253" t="s">
        <v>357</v>
      </c>
      <c r="AN253" s="128">
        <v>1816.5711521751939</v>
      </c>
      <c r="AO253" t="s">
        <v>118</v>
      </c>
    </row>
    <row r="254" spans="1:41" x14ac:dyDescent="0.25">
      <c r="A254" t="s">
        <v>518</v>
      </c>
      <c r="B254" t="s">
        <v>480</v>
      </c>
      <c r="C254" s="128">
        <v>708831</v>
      </c>
      <c r="D254" s="128">
        <v>47251</v>
      </c>
      <c r="E254" s="128">
        <v>4736</v>
      </c>
      <c r="F254" s="128">
        <v>42692</v>
      </c>
      <c r="G254" s="128">
        <v>177845</v>
      </c>
      <c r="H254" s="128">
        <v>23011</v>
      </c>
      <c r="I254" s="128">
        <v>12430</v>
      </c>
      <c r="J254" s="128">
        <v>22109</v>
      </c>
      <c r="K254" s="128">
        <v>4019</v>
      </c>
      <c r="L254" s="128">
        <v>25728</v>
      </c>
      <c r="M254" s="128">
        <v>39724</v>
      </c>
      <c r="N254" s="128">
        <v>89744</v>
      </c>
      <c r="O254" s="128">
        <v>167948</v>
      </c>
      <c r="P254" s="128">
        <v>51521</v>
      </c>
      <c r="Q254" s="128">
        <v>2866</v>
      </c>
      <c r="R254" s="128"/>
      <c r="S254" t="s">
        <v>758</v>
      </c>
      <c r="T254" s="128">
        <f t="shared" si="9"/>
        <v>614152</v>
      </c>
      <c r="U254" s="128">
        <v>403349</v>
      </c>
      <c r="V254" s="128">
        <v>258736680.03939995</v>
      </c>
      <c r="W254" s="128">
        <v>11627</v>
      </c>
      <c r="X254" s="128">
        <v>16500</v>
      </c>
      <c r="Y254" s="128">
        <v>134</v>
      </c>
      <c r="Z254" s="128">
        <v>2076</v>
      </c>
      <c r="AA254" s="128">
        <v>4296</v>
      </c>
      <c r="AB254" s="128">
        <v>2301</v>
      </c>
      <c r="AC254" s="128">
        <v>1366</v>
      </c>
      <c r="AD254" s="128">
        <v>21118</v>
      </c>
      <c r="AE254" s="128">
        <v>4058</v>
      </c>
      <c r="AF254" s="128">
        <f t="shared" si="10"/>
        <v>406063.68003939994</v>
      </c>
      <c r="AG254" s="128">
        <v>156521</v>
      </c>
      <c r="AH254" s="128">
        <f t="shared" si="11"/>
        <v>2594.3079844838708</v>
      </c>
      <c r="AI254" t="s">
        <v>441</v>
      </c>
      <c r="AM254" t="s">
        <v>248</v>
      </c>
      <c r="AN254" s="128">
        <v>1739.04741320826</v>
      </c>
      <c r="AO254" t="s">
        <v>118</v>
      </c>
    </row>
    <row r="255" spans="1:41" x14ac:dyDescent="0.25">
      <c r="A255" t="s">
        <v>519</v>
      </c>
      <c r="B255" t="s">
        <v>420</v>
      </c>
      <c r="C255" s="128">
        <v>26580</v>
      </c>
      <c r="D255" s="128">
        <v>61</v>
      </c>
      <c r="E255" s="128">
        <v>155</v>
      </c>
      <c r="F255" s="128">
        <v>955</v>
      </c>
      <c r="G255" s="128">
        <v>6167</v>
      </c>
      <c r="H255" s="128">
        <v>2212</v>
      </c>
      <c r="I255" s="128">
        <v>999</v>
      </c>
      <c r="J255" s="128">
        <v>900</v>
      </c>
      <c r="K255" s="128">
        <v>153</v>
      </c>
      <c r="L255" s="128">
        <v>505</v>
      </c>
      <c r="M255" s="128">
        <v>1473</v>
      </c>
      <c r="N255" s="128">
        <v>5680</v>
      </c>
      <c r="O255" s="128">
        <v>5337</v>
      </c>
      <c r="P255" s="128">
        <v>1884</v>
      </c>
      <c r="Q255" s="128">
        <v>131</v>
      </c>
      <c r="R255" s="128"/>
      <c r="S255" t="s">
        <v>420</v>
      </c>
      <c r="T255" s="128">
        <f t="shared" si="9"/>
        <v>25409</v>
      </c>
      <c r="U255" s="128">
        <v>21060</v>
      </c>
      <c r="V255" s="128">
        <v>16727318.184148468</v>
      </c>
      <c r="W255" s="128">
        <v>1214</v>
      </c>
      <c r="X255" s="128">
        <v>1254</v>
      </c>
      <c r="Y255" s="128">
        <v>30</v>
      </c>
      <c r="Z255" s="128">
        <v>95</v>
      </c>
      <c r="AA255" s="128">
        <v>70</v>
      </c>
      <c r="AB255" s="128">
        <v>9</v>
      </c>
      <c r="AC255" s="128">
        <v>59</v>
      </c>
      <c r="AD255" s="128">
        <v>2</v>
      </c>
      <c r="AE255" s="128">
        <v>35</v>
      </c>
      <c r="AF255" s="128">
        <f t="shared" si="10"/>
        <v>18308.318184148469</v>
      </c>
      <c r="AG255" s="128">
        <v>10425</v>
      </c>
      <c r="AH255" s="128">
        <f t="shared" si="11"/>
        <v>1756.1935908056084</v>
      </c>
      <c r="AI255" t="s">
        <v>118</v>
      </c>
      <c r="AM255" t="s">
        <v>867</v>
      </c>
      <c r="AN255" s="128">
        <v>1872.4463223648579</v>
      </c>
      <c r="AO255" t="s">
        <v>118</v>
      </c>
    </row>
    <row r="256" spans="1:41" x14ac:dyDescent="0.25">
      <c r="A256" t="s">
        <v>521</v>
      </c>
      <c r="B256" t="s">
        <v>387</v>
      </c>
      <c r="C256" s="128">
        <v>66855</v>
      </c>
      <c r="D256" s="128">
        <v>1891</v>
      </c>
      <c r="E256" s="128">
        <v>235</v>
      </c>
      <c r="F256" s="128">
        <v>3272</v>
      </c>
      <c r="G256" s="128">
        <v>1200</v>
      </c>
      <c r="H256" s="128">
        <v>7289</v>
      </c>
      <c r="I256" s="128">
        <v>2813</v>
      </c>
      <c r="J256" s="128">
        <v>2978</v>
      </c>
      <c r="K256" s="128">
        <v>625</v>
      </c>
      <c r="L256" s="128">
        <v>3117</v>
      </c>
      <c r="M256" s="128">
        <v>5043</v>
      </c>
      <c r="N256" s="128">
        <v>10320</v>
      </c>
      <c r="O256" s="128">
        <v>18198</v>
      </c>
      <c r="P256" s="128">
        <v>7288</v>
      </c>
      <c r="Q256" s="128">
        <v>2580</v>
      </c>
      <c r="R256" s="128"/>
      <c r="S256" t="s">
        <v>387</v>
      </c>
      <c r="T256" s="128">
        <f t="shared" si="9"/>
        <v>61457</v>
      </c>
      <c r="U256" s="128">
        <v>44184</v>
      </c>
      <c r="V256" s="128">
        <v>38746009.03839612</v>
      </c>
      <c r="W256" s="128">
        <v>1842</v>
      </c>
      <c r="X256" s="128">
        <v>3377</v>
      </c>
      <c r="Y256" s="128">
        <v>3</v>
      </c>
      <c r="Z256" s="128">
        <v>426</v>
      </c>
      <c r="AA256" s="128">
        <v>537</v>
      </c>
      <c r="AB256" s="128">
        <v>75</v>
      </c>
      <c r="AC256" s="128">
        <v>144</v>
      </c>
      <c r="AD256" s="128">
        <v>0</v>
      </c>
      <c r="AE256" s="128">
        <v>31</v>
      </c>
      <c r="AF256" s="128">
        <f t="shared" si="10"/>
        <v>49584.009038396121</v>
      </c>
      <c r="AG256" s="128">
        <v>29722</v>
      </c>
      <c r="AH256" s="128">
        <f t="shared" si="11"/>
        <v>1668.2595060358024</v>
      </c>
      <c r="AI256" t="s">
        <v>467</v>
      </c>
      <c r="AM256" t="s">
        <v>177</v>
      </c>
      <c r="AN256" s="128">
        <v>1874.4487851286619</v>
      </c>
      <c r="AO256" t="s">
        <v>118</v>
      </c>
    </row>
    <row r="257" spans="1:49" x14ac:dyDescent="0.25">
      <c r="A257" t="s">
        <v>520</v>
      </c>
      <c r="B257" t="s">
        <v>421</v>
      </c>
      <c r="C257" s="128">
        <v>364208</v>
      </c>
      <c r="D257" s="128">
        <v>894</v>
      </c>
      <c r="E257" s="128">
        <v>8139</v>
      </c>
      <c r="F257" s="128">
        <v>17251</v>
      </c>
      <c r="G257" s="128">
        <v>67920</v>
      </c>
      <c r="H257" s="128">
        <v>26476</v>
      </c>
      <c r="I257" s="128">
        <v>9335</v>
      </c>
      <c r="J257" s="128">
        <v>13765</v>
      </c>
      <c r="K257" s="128">
        <v>6251</v>
      </c>
      <c r="L257" s="128">
        <v>6281</v>
      </c>
      <c r="M257" s="128">
        <v>29739</v>
      </c>
      <c r="N257" s="128">
        <v>69010</v>
      </c>
      <c r="O257" s="128">
        <v>88391</v>
      </c>
      <c r="P257" s="128">
        <v>18671</v>
      </c>
      <c r="Q257" s="128">
        <v>2359</v>
      </c>
      <c r="R257" s="128"/>
      <c r="S257" t="s">
        <v>421</v>
      </c>
      <c r="T257" s="128">
        <f t="shared" si="9"/>
        <v>337924</v>
      </c>
      <c r="U257" s="128">
        <v>238829</v>
      </c>
      <c r="V257" s="128">
        <v>174201970.26875734</v>
      </c>
      <c r="W257" s="128">
        <v>10222</v>
      </c>
      <c r="X257" s="128">
        <v>12962</v>
      </c>
      <c r="Y257" s="128">
        <v>471</v>
      </c>
      <c r="Z257" s="128">
        <v>959</v>
      </c>
      <c r="AA257" s="128">
        <v>2152</v>
      </c>
      <c r="AB257" s="128">
        <v>600</v>
      </c>
      <c r="AC257" s="128">
        <v>278</v>
      </c>
      <c r="AD257" s="128">
        <v>5834</v>
      </c>
      <c r="AE257" s="128">
        <v>1176</v>
      </c>
      <c r="AF257" s="128">
        <f t="shared" si="10"/>
        <v>238642.97026875732</v>
      </c>
      <c r="AG257" s="128">
        <v>91728</v>
      </c>
      <c r="AH257" s="128">
        <f t="shared" si="11"/>
        <v>2601.6371257277747</v>
      </c>
      <c r="AI257" t="s">
        <v>441</v>
      </c>
      <c r="AM257" t="s">
        <v>403</v>
      </c>
      <c r="AN257" s="128">
        <v>1976.5808411885887</v>
      </c>
      <c r="AO257" t="s">
        <v>118</v>
      </c>
    </row>
    <row r="258" spans="1:49" x14ac:dyDescent="0.25">
      <c r="A258" t="s">
        <v>528</v>
      </c>
      <c r="B258" t="s">
        <v>318</v>
      </c>
      <c r="C258" s="128">
        <v>75998</v>
      </c>
      <c r="D258" s="128">
        <v>0</v>
      </c>
      <c r="E258" s="128">
        <v>20</v>
      </c>
      <c r="F258" s="128">
        <v>2693</v>
      </c>
      <c r="G258" s="128">
        <v>10306</v>
      </c>
      <c r="H258" s="128">
        <v>9092</v>
      </c>
      <c r="I258" s="128">
        <v>2405</v>
      </c>
      <c r="J258" s="128">
        <v>1408</v>
      </c>
      <c r="K258" s="128">
        <v>4137</v>
      </c>
      <c r="L258" s="128">
        <v>1708</v>
      </c>
      <c r="M258" s="128">
        <v>4049</v>
      </c>
      <c r="N258" s="128">
        <v>13721</v>
      </c>
      <c r="O258" s="128">
        <v>20436</v>
      </c>
      <c r="P258" s="128">
        <v>5475</v>
      </c>
      <c r="Q258" s="128">
        <v>1783</v>
      </c>
      <c r="R258" s="128"/>
      <c r="S258" t="s">
        <v>318</v>
      </c>
      <c r="T258" s="128">
        <f t="shared" si="9"/>
        <v>73285</v>
      </c>
      <c r="U258" s="128">
        <v>52803</v>
      </c>
      <c r="V258" s="128">
        <v>45414921.129836291</v>
      </c>
      <c r="W258" s="128">
        <v>3372</v>
      </c>
      <c r="X258" s="128">
        <v>3474</v>
      </c>
      <c r="Y258" s="128">
        <v>482</v>
      </c>
      <c r="Z258" s="128">
        <v>208</v>
      </c>
      <c r="AA258" s="128">
        <v>483</v>
      </c>
      <c r="AB258" s="128">
        <v>202</v>
      </c>
      <c r="AC258" s="128">
        <v>0</v>
      </c>
      <c r="AD258" s="128">
        <v>0</v>
      </c>
      <c r="AE258" s="128">
        <v>171</v>
      </c>
      <c r="AF258" s="128">
        <f t="shared" si="10"/>
        <v>57504.921129836293</v>
      </c>
      <c r="AG258" s="128">
        <v>25890</v>
      </c>
      <c r="AH258" s="128">
        <f t="shared" si="11"/>
        <v>2221.1248022339241</v>
      </c>
      <c r="AI258" t="s">
        <v>118</v>
      </c>
      <c r="AM258" t="s">
        <v>251</v>
      </c>
      <c r="AN258" s="128">
        <v>2112.2323095754996</v>
      </c>
      <c r="AO258" t="s">
        <v>118</v>
      </c>
      <c r="AV258" s="86"/>
      <c r="AW258" s="86"/>
    </row>
    <row r="259" spans="1:49" x14ac:dyDescent="0.25">
      <c r="A259" t="s">
        <v>521</v>
      </c>
      <c r="B259" t="s">
        <v>338</v>
      </c>
      <c r="C259" s="128">
        <v>74739</v>
      </c>
      <c r="D259" s="128">
        <v>690</v>
      </c>
      <c r="E259" s="128">
        <v>1091</v>
      </c>
      <c r="F259" s="128">
        <v>5406</v>
      </c>
      <c r="G259" s="128">
        <v>16440</v>
      </c>
      <c r="H259" s="128">
        <v>3922</v>
      </c>
      <c r="I259" s="128">
        <v>2796</v>
      </c>
      <c r="J259" s="128">
        <v>6136</v>
      </c>
      <c r="K259" s="128">
        <v>1157</v>
      </c>
      <c r="L259" s="128">
        <v>2790</v>
      </c>
      <c r="M259" s="128">
        <v>6827</v>
      </c>
      <c r="N259" s="128">
        <v>11013</v>
      </c>
      <c r="O259" s="128">
        <v>10367</v>
      </c>
      <c r="P259" s="128">
        <v>6012</v>
      </c>
      <c r="Q259" s="128">
        <v>437</v>
      </c>
      <c r="R259" s="128"/>
      <c r="S259" t="s">
        <v>338</v>
      </c>
      <c r="T259" s="128">
        <f t="shared" ref="T259:T322" si="12">SUM(C259,-D259,-E259,-F259)</f>
        <v>67552</v>
      </c>
      <c r="U259" s="128">
        <v>45197</v>
      </c>
      <c r="V259" s="128">
        <v>38825294.602358207</v>
      </c>
      <c r="W259" s="128">
        <v>4798</v>
      </c>
      <c r="X259" s="128">
        <v>3569</v>
      </c>
      <c r="Y259" s="128">
        <v>396</v>
      </c>
      <c r="Z259" s="128">
        <v>526</v>
      </c>
      <c r="AA259" s="128">
        <v>1651</v>
      </c>
      <c r="AB259" s="128">
        <v>102</v>
      </c>
      <c r="AC259" s="128">
        <v>4705</v>
      </c>
      <c r="AD259" s="128">
        <v>2225</v>
      </c>
      <c r="AE259" s="128">
        <v>640</v>
      </c>
      <c r="AF259" s="128">
        <f t="shared" ref="AF259:AF322" si="13">SUM(T259,-U259,V259/1000,-W259,-X259,-Y259,-Z259,-AA259,-AB259,-AC259,-AD259,-AE259)</f>
        <v>42568.294602358204</v>
      </c>
      <c r="AG259" s="128">
        <v>23136</v>
      </c>
      <c r="AH259" s="128">
        <f t="shared" ref="AH259:AH322" si="14">AF259*1000/AG259</f>
        <v>1839.915914693906</v>
      </c>
      <c r="AI259" t="s">
        <v>118</v>
      </c>
      <c r="AM259" t="s">
        <v>181</v>
      </c>
      <c r="AN259" s="128">
        <v>1753.6969294085382</v>
      </c>
      <c r="AO259" t="s">
        <v>118</v>
      </c>
    </row>
    <row r="260" spans="1:49" x14ac:dyDescent="0.25">
      <c r="A260" s="86" t="s">
        <v>526</v>
      </c>
      <c r="B260" t="s">
        <v>136</v>
      </c>
      <c r="C260" s="128">
        <v>199506</v>
      </c>
      <c r="D260" s="128">
        <v>1033</v>
      </c>
      <c r="E260" s="128">
        <v>1114</v>
      </c>
      <c r="F260" s="128">
        <v>7285</v>
      </c>
      <c r="G260" s="128">
        <v>36030</v>
      </c>
      <c r="H260" s="128">
        <v>14358</v>
      </c>
      <c r="I260" s="128">
        <v>3692</v>
      </c>
      <c r="J260" s="128">
        <v>4930</v>
      </c>
      <c r="K260" s="128">
        <v>1508</v>
      </c>
      <c r="L260" s="128">
        <v>6158</v>
      </c>
      <c r="M260" s="128">
        <v>13795</v>
      </c>
      <c r="N260" s="128">
        <v>43911</v>
      </c>
      <c r="O260" s="128">
        <v>53317</v>
      </c>
      <c r="P260" s="128">
        <v>10832</v>
      </c>
      <c r="Q260" s="128">
        <v>1757</v>
      </c>
      <c r="R260" s="128"/>
      <c r="S260" t="s">
        <v>136</v>
      </c>
      <c r="T260" s="128">
        <f t="shared" si="12"/>
        <v>190074</v>
      </c>
      <c r="U260" s="128">
        <v>153940</v>
      </c>
      <c r="V260" s="128">
        <v>110050956.45596959</v>
      </c>
      <c r="W260" s="128">
        <v>7793</v>
      </c>
      <c r="X260" s="128">
        <v>6556</v>
      </c>
      <c r="Y260" s="128">
        <v>441</v>
      </c>
      <c r="Z260" s="128">
        <v>646</v>
      </c>
      <c r="AA260" s="128">
        <v>1175</v>
      </c>
      <c r="AB260" s="128">
        <v>283</v>
      </c>
      <c r="AC260" s="128">
        <v>0</v>
      </c>
      <c r="AD260" s="128">
        <v>3057</v>
      </c>
      <c r="AE260" s="128">
        <v>219</v>
      </c>
      <c r="AF260" s="128">
        <f t="shared" si="13"/>
        <v>126014.9564559696</v>
      </c>
      <c r="AG260" s="128">
        <v>55902</v>
      </c>
      <c r="AH260" s="128">
        <f t="shared" si="14"/>
        <v>2254.2119504842331</v>
      </c>
      <c r="AI260" t="s">
        <v>441</v>
      </c>
      <c r="AM260" t="s">
        <v>182</v>
      </c>
      <c r="AN260" s="128">
        <v>2287.3372066606389</v>
      </c>
      <c r="AO260" t="s">
        <v>118</v>
      </c>
    </row>
    <row r="261" spans="1:49" x14ac:dyDescent="0.25">
      <c r="A261" t="s">
        <v>517</v>
      </c>
      <c r="B261" t="s">
        <v>229</v>
      </c>
      <c r="C261" s="128">
        <v>141821</v>
      </c>
      <c r="D261" s="128">
        <v>16231</v>
      </c>
      <c r="E261" s="128">
        <v>437</v>
      </c>
      <c r="F261" s="128">
        <v>9827</v>
      </c>
      <c r="G261" s="128">
        <v>21221</v>
      </c>
      <c r="H261" s="128">
        <v>9229</v>
      </c>
      <c r="I261" s="128">
        <v>3233</v>
      </c>
      <c r="J261" s="128">
        <v>9582</v>
      </c>
      <c r="K261" s="128">
        <v>250</v>
      </c>
      <c r="L261" s="128">
        <v>3330</v>
      </c>
      <c r="M261" s="128">
        <v>8085</v>
      </c>
      <c r="N261" s="128">
        <v>20281</v>
      </c>
      <c r="O261" s="128">
        <v>29212</v>
      </c>
      <c r="P261" s="128">
        <v>11196</v>
      </c>
      <c r="Q261" s="128">
        <v>781</v>
      </c>
      <c r="R261" s="128"/>
      <c r="S261" t="s">
        <v>229</v>
      </c>
      <c r="T261" s="128">
        <f t="shared" si="12"/>
        <v>115326</v>
      </c>
      <c r="U261" s="128">
        <v>80748</v>
      </c>
      <c r="V261" s="128">
        <v>66775058.722023994</v>
      </c>
      <c r="W261" s="128">
        <v>4580</v>
      </c>
      <c r="X261" s="128">
        <v>5443</v>
      </c>
      <c r="Y261" s="128">
        <v>646</v>
      </c>
      <c r="Z261" s="128">
        <v>465</v>
      </c>
      <c r="AA261" s="128">
        <v>1327</v>
      </c>
      <c r="AB261" s="128">
        <v>124</v>
      </c>
      <c r="AC261" s="128">
        <v>0</v>
      </c>
      <c r="AD261" s="128">
        <v>11</v>
      </c>
      <c r="AE261" s="128">
        <v>139</v>
      </c>
      <c r="AF261" s="128">
        <f t="shared" si="13"/>
        <v>88618.058722023998</v>
      </c>
      <c r="AG261" s="128">
        <v>47111</v>
      </c>
      <c r="AH261" s="128">
        <f t="shared" si="14"/>
        <v>1881.0481357225276</v>
      </c>
      <c r="AI261" t="s">
        <v>118</v>
      </c>
      <c r="AM261" t="s">
        <v>362</v>
      </c>
      <c r="AN261" s="128">
        <v>1796.3255751806264</v>
      </c>
      <c r="AO261" t="s">
        <v>118</v>
      </c>
    </row>
    <row r="262" spans="1:49" x14ac:dyDescent="0.25">
      <c r="A262" t="s">
        <v>517</v>
      </c>
      <c r="B262" t="s">
        <v>388</v>
      </c>
      <c r="C262" s="128">
        <v>50735</v>
      </c>
      <c r="D262" s="128">
        <v>4580</v>
      </c>
      <c r="E262" s="128">
        <v>0</v>
      </c>
      <c r="F262" s="128">
        <v>2118</v>
      </c>
      <c r="G262" s="128">
        <v>9210</v>
      </c>
      <c r="H262" s="128">
        <v>4077</v>
      </c>
      <c r="I262" s="128">
        <v>1700</v>
      </c>
      <c r="J262" s="128">
        <v>2303</v>
      </c>
      <c r="K262" s="128">
        <v>508</v>
      </c>
      <c r="L262" s="128">
        <v>840</v>
      </c>
      <c r="M262" s="128">
        <v>3043</v>
      </c>
      <c r="N262" s="128">
        <v>6908</v>
      </c>
      <c r="O262" s="128">
        <v>10779</v>
      </c>
      <c r="P262" s="128">
        <v>4481</v>
      </c>
      <c r="Q262" s="128">
        <v>526</v>
      </c>
      <c r="R262" s="128"/>
      <c r="S262" t="s">
        <v>388</v>
      </c>
      <c r="T262" s="128">
        <f t="shared" si="12"/>
        <v>44037</v>
      </c>
      <c r="U262" s="128">
        <v>31783</v>
      </c>
      <c r="V262" s="128">
        <v>26758792.447848246</v>
      </c>
      <c r="W262" s="128">
        <v>1687</v>
      </c>
      <c r="X262" s="128">
        <v>2164</v>
      </c>
      <c r="Y262" s="128">
        <v>0</v>
      </c>
      <c r="Z262" s="128">
        <v>250</v>
      </c>
      <c r="AA262" s="128">
        <v>1023</v>
      </c>
      <c r="AB262" s="128">
        <v>78</v>
      </c>
      <c r="AC262" s="128">
        <v>245</v>
      </c>
      <c r="AD262" s="128">
        <v>0</v>
      </c>
      <c r="AE262" s="128">
        <v>69</v>
      </c>
      <c r="AF262" s="128">
        <f t="shared" si="13"/>
        <v>33496.792447848246</v>
      </c>
      <c r="AG262" s="128">
        <v>19701</v>
      </c>
      <c r="AH262" s="128">
        <f t="shared" si="14"/>
        <v>1700.258486769618</v>
      </c>
      <c r="AI262" t="s">
        <v>467</v>
      </c>
      <c r="AM262" t="s">
        <v>363</v>
      </c>
      <c r="AN262" s="128">
        <v>1748.0004258757936</v>
      </c>
      <c r="AO262" t="s">
        <v>118</v>
      </c>
    </row>
    <row r="263" spans="1:49" x14ac:dyDescent="0.25">
      <c r="A263" t="s">
        <v>526</v>
      </c>
      <c r="B263" t="s">
        <v>389</v>
      </c>
      <c r="C263" s="128">
        <v>43038</v>
      </c>
      <c r="D263" s="128">
        <v>3548</v>
      </c>
      <c r="E263" s="128">
        <v>44</v>
      </c>
      <c r="F263" s="128">
        <v>1871</v>
      </c>
      <c r="G263" s="128">
        <v>7431</v>
      </c>
      <c r="H263" s="128">
        <v>6953</v>
      </c>
      <c r="I263" s="128">
        <v>1269</v>
      </c>
      <c r="J263" s="128">
        <v>1165</v>
      </c>
      <c r="K263" s="128">
        <v>128</v>
      </c>
      <c r="L263" s="128">
        <v>754</v>
      </c>
      <c r="M263" s="128">
        <v>2165</v>
      </c>
      <c r="N263" s="128">
        <v>5181</v>
      </c>
      <c r="O263" s="128">
        <v>8931</v>
      </c>
      <c r="P263" s="128">
        <v>3534</v>
      </c>
      <c r="Q263" s="128">
        <v>181</v>
      </c>
      <c r="R263" s="128"/>
      <c r="S263" t="s">
        <v>389</v>
      </c>
      <c r="T263" s="128">
        <f t="shared" si="12"/>
        <v>37575</v>
      </c>
      <c r="U263" s="128">
        <v>25828</v>
      </c>
      <c r="V263" s="128">
        <v>22241982.490381896</v>
      </c>
      <c r="W263" s="128">
        <v>1410</v>
      </c>
      <c r="X263" s="128">
        <v>2477</v>
      </c>
      <c r="Y263" s="128">
        <v>0</v>
      </c>
      <c r="Z263" s="128">
        <v>220</v>
      </c>
      <c r="AA263" s="128">
        <v>741</v>
      </c>
      <c r="AB263" s="128">
        <v>59</v>
      </c>
      <c r="AC263" s="128">
        <v>0</v>
      </c>
      <c r="AD263" s="128">
        <v>0</v>
      </c>
      <c r="AE263" s="128">
        <v>162</v>
      </c>
      <c r="AF263" s="128">
        <f t="shared" si="13"/>
        <v>28919.982490381895</v>
      </c>
      <c r="AG263" s="128">
        <v>17775</v>
      </c>
      <c r="AH263" s="128">
        <f t="shared" si="14"/>
        <v>1627.0032343393473</v>
      </c>
      <c r="AI263" t="s">
        <v>467</v>
      </c>
      <c r="AM263" t="s">
        <v>364</v>
      </c>
      <c r="AN263" s="128">
        <v>1646.2513914098545</v>
      </c>
      <c r="AO263" t="s">
        <v>118</v>
      </c>
    </row>
    <row r="264" spans="1:49" x14ac:dyDescent="0.25">
      <c r="A264" t="s">
        <v>521</v>
      </c>
      <c r="B264" t="s">
        <v>125</v>
      </c>
      <c r="C264" s="128">
        <v>123626</v>
      </c>
      <c r="D264" s="128">
        <v>568</v>
      </c>
      <c r="E264" s="128">
        <v>953</v>
      </c>
      <c r="F264" s="128">
        <v>3559</v>
      </c>
      <c r="G264" s="128">
        <v>19201</v>
      </c>
      <c r="H264" s="128">
        <v>3979</v>
      </c>
      <c r="I264" s="128">
        <v>2256</v>
      </c>
      <c r="J264" s="128">
        <v>6631</v>
      </c>
      <c r="K264" s="128">
        <v>143</v>
      </c>
      <c r="L264" s="128">
        <v>2313</v>
      </c>
      <c r="M264" s="128">
        <v>4207</v>
      </c>
      <c r="N264" s="128">
        <v>38890</v>
      </c>
      <c r="O264" s="128">
        <v>33775</v>
      </c>
      <c r="P264" s="128">
        <v>6104</v>
      </c>
      <c r="Q264" s="128">
        <v>1086</v>
      </c>
      <c r="R264" s="128"/>
      <c r="S264" t="s">
        <v>125</v>
      </c>
      <c r="T264" s="128">
        <f t="shared" si="12"/>
        <v>118546</v>
      </c>
      <c r="U264" s="128">
        <v>100636</v>
      </c>
      <c r="V264" s="128">
        <v>67164289.973121673</v>
      </c>
      <c r="W264" s="128">
        <v>2687</v>
      </c>
      <c r="X264" s="128">
        <v>3237</v>
      </c>
      <c r="Y264" s="128">
        <v>55</v>
      </c>
      <c r="Z264" s="128">
        <v>301</v>
      </c>
      <c r="AA264" s="128">
        <v>450</v>
      </c>
      <c r="AB264" s="128">
        <v>101</v>
      </c>
      <c r="AC264" s="128">
        <v>173</v>
      </c>
      <c r="AD264" s="128">
        <v>0</v>
      </c>
      <c r="AE264" s="128">
        <v>50</v>
      </c>
      <c r="AF264" s="128">
        <f t="shared" si="13"/>
        <v>78020.289973121675</v>
      </c>
      <c r="AG264" s="128">
        <v>31843</v>
      </c>
      <c r="AH264" s="128">
        <f t="shared" si="14"/>
        <v>2450.1551352925817</v>
      </c>
      <c r="AI264" t="s">
        <v>441</v>
      </c>
      <c r="AM264" t="s">
        <v>365</v>
      </c>
      <c r="AN264" s="128">
        <v>1712.8994197762499</v>
      </c>
      <c r="AO264" t="s">
        <v>118</v>
      </c>
    </row>
    <row r="265" spans="1:49" x14ac:dyDescent="0.25">
      <c r="A265" t="s">
        <v>528</v>
      </c>
      <c r="B265" t="s">
        <v>158</v>
      </c>
      <c r="C265" s="128">
        <v>43957</v>
      </c>
      <c r="D265" s="128">
        <v>929</v>
      </c>
      <c r="E265" s="128">
        <v>3</v>
      </c>
      <c r="F265" s="128">
        <v>1797</v>
      </c>
      <c r="G265" s="128">
        <v>12808</v>
      </c>
      <c r="H265" s="128">
        <v>3755</v>
      </c>
      <c r="I265" s="128">
        <v>1147</v>
      </c>
      <c r="J265" s="128">
        <v>2078</v>
      </c>
      <c r="K265" s="128">
        <v>2938</v>
      </c>
      <c r="L265" s="128">
        <v>1237</v>
      </c>
      <c r="M265" s="128">
        <v>2436</v>
      </c>
      <c r="N265" s="128">
        <v>3719</v>
      </c>
      <c r="O265" s="128">
        <v>6931</v>
      </c>
      <c r="P265" s="128">
        <v>4024</v>
      </c>
      <c r="Q265" s="128">
        <v>308</v>
      </c>
      <c r="R265" s="128"/>
      <c r="S265" t="s">
        <v>158</v>
      </c>
      <c r="T265" s="128">
        <f t="shared" si="12"/>
        <v>41228</v>
      </c>
      <c r="U265" s="128">
        <v>26736</v>
      </c>
      <c r="V265" s="128">
        <v>23136698.505559832</v>
      </c>
      <c r="W265" s="128">
        <v>1571</v>
      </c>
      <c r="X265" s="128">
        <v>1383</v>
      </c>
      <c r="Y265" s="128">
        <v>350</v>
      </c>
      <c r="Z265" s="128">
        <v>199</v>
      </c>
      <c r="AA265" s="128">
        <v>733</v>
      </c>
      <c r="AB265" s="128">
        <v>67</v>
      </c>
      <c r="AC265" s="128">
        <v>95</v>
      </c>
      <c r="AD265" s="128">
        <v>0</v>
      </c>
      <c r="AE265" s="128">
        <v>29</v>
      </c>
      <c r="AF265" s="128">
        <f t="shared" si="13"/>
        <v>33201.698505559834</v>
      </c>
      <c r="AG265" s="128">
        <v>17281</v>
      </c>
      <c r="AH265" s="128">
        <f t="shared" si="14"/>
        <v>1921.2834040599407</v>
      </c>
      <c r="AI265" t="s">
        <v>467</v>
      </c>
      <c r="AM265" t="s">
        <v>405</v>
      </c>
      <c r="AN265" s="128">
        <v>1999.9015113709106</v>
      </c>
      <c r="AO265" t="s">
        <v>118</v>
      </c>
    </row>
    <row r="266" spans="1:49" x14ac:dyDescent="0.25">
      <c r="A266" t="s">
        <v>520</v>
      </c>
      <c r="B266" t="s">
        <v>272</v>
      </c>
      <c r="C266" s="128">
        <v>55586</v>
      </c>
      <c r="D266" s="128">
        <v>75</v>
      </c>
      <c r="E266" s="128">
        <v>1780</v>
      </c>
      <c r="F266" s="128">
        <v>2453</v>
      </c>
      <c r="G266" s="128">
        <v>1621</v>
      </c>
      <c r="H266" s="128">
        <v>8142</v>
      </c>
      <c r="I266" s="128">
        <v>1677</v>
      </c>
      <c r="J266" s="128">
        <v>2274</v>
      </c>
      <c r="K266" s="128">
        <v>360</v>
      </c>
      <c r="L266" s="128">
        <v>1339</v>
      </c>
      <c r="M266" s="128">
        <v>5208</v>
      </c>
      <c r="N266" s="128">
        <v>8129</v>
      </c>
      <c r="O266" s="128">
        <v>16233</v>
      </c>
      <c r="P266" s="128">
        <v>4866</v>
      </c>
      <c r="Q266" s="128">
        <v>1429</v>
      </c>
      <c r="R266" s="128"/>
      <c r="S266" t="s">
        <v>272</v>
      </c>
      <c r="T266" s="128">
        <f t="shared" si="12"/>
        <v>51278</v>
      </c>
      <c r="U266" s="128">
        <v>40834</v>
      </c>
      <c r="V266" s="128">
        <v>33756155.585253112</v>
      </c>
      <c r="W266" s="128">
        <v>1658</v>
      </c>
      <c r="X266" s="128">
        <v>3308</v>
      </c>
      <c r="Y266" s="128">
        <v>9</v>
      </c>
      <c r="Z266" s="128">
        <v>205</v>
      </c>
      <c r="AA266" s="128">
        <v>279</v>
      </c>
      <c r="AB266" s="128">
        <v>43</v>
      </c>
      <c r="AC266" s="128">
        <v>30</v>
      </c>
      <c r="AD266" s="128">
        <v>0</v>
      </c>
      <c r="AE266" s="128">
        <v>32</v>
      </c>
      <c r="AF266" s="128">
        <f t="shared" si="13"/>
        <v>38636.155585253109</v>
      </c>
      <c r="AG266" s="128">
        <v>21952</v>
      </c>
      <c r="AH266" s="128">
        <f t="shared" si="14"/>
        <v>1760.0289534098538</v>
      </c>
      <c r="AI266" t="s">
        <v>118</v>
      </c>
      <c r="AM266" t="s">
        <v>366</v>
      </c>
      <c r="AN266" s="128">
        <v>1863.0179152624924</v>
      </c>
      <c r="AO266" t="s">
        <v>118</v>
      </c>
    </row>
    <row r="267" spans="1:49" x14ac:dyDescent="0.25">
      <c r="A267" t="s">
        <v>524</v>
      </c>
      <c r="B267" t="s">
        <v>390</v>
      </c>
      <c r="C267" s="128">
        <v>69420</v>
      </c>
      <c r="D267" s="128">
        <v>2818</v>
      </c>
      <c r="E267" s="128">
        <v>9</v>
      </c>
      <c r="F267" s="128">
        <v>3505</v>
      </c>
      <c r="G267" s="128">
        <v>14918</v>
      </c>
      <c r="H267" s="128">
        <v>6047</v>
      </c>
      <c r="I267" s="128">
        <v>1906</v>
      </c>
      <c r="J267" s="128">
        <v>3494</v>
      </c>
      <c r="K267" s="128">
        <v>783</v>
      </c>
      <c r="L267" s="128">
        <v>1478</v>
      </c>
      <c r="M267" s="128">
        <v>3164</v>
      </c>
      <c r="N267" s="128">
        <v>10625</v>
      </c>
      <c r="O267" s="128">
        <v>14258</v>
      </c>
      <c r="P267" s="128">
        <v>5186</v>
      </c>
      <c r="Q267" s="128">
        <v>1249</v>
      </c>
      <c r="R267" s="128"/>
      <c r="S267" t="s">
        <v>390</v>
      </c>
      <c r="T267" s="128">
        <f t="shared" si="12"/>
        <v>63088</v>
      </c>
      <c r="U267" s="128">
        <v>48820</v>
      </c>
      <c r="V267" s="128">
        <v>37284438.568521485</v>
      </c>
      <c r="W267" s="128">
        <v>2002</v>
      </c>
      <c r="X267" s="128">
        <v>3816</v>
      </c>
      <c r="Y267" s="128">
        <v>33</v>
      </c>
      <c r="Z267" s="128">
        <v>441</v>
      </c>
      <c r="AA267" s="128">
        <v>657</v>
      </c>
      <c r="AB267" s="128">
        <v>64</v>
      </c>
      <c r="AC267" s="128">
        <v>105</v>
      </c>
      <c r="AD267" s="128">
        <v>0</v>
      </c>
      <c r="AE267" s="128">
        <v>93</v>
      </c>
      <c r="AF267" s="128">
        <f t="shared" si="13"/>
        <v>44341.438568521487</v>
      </c>
      <c r="AG267" s="128">
        <v>24343</v>
      </c>
      <c r="AH267" s="128">
        <f t="shared" si="14"/>
        <v>1821.5272796500631</v>
      </c>
      <c r="AI267" t="s">
        <v>118</v>
      </c>
      <c r="AM267" t="s">
        <v>406</v>
      </c>
      <c r="AN267" s="128">
        <v>1789.463771764292</v>
      </c>
      <c r="AO267" t="s">
        <v>118</v>
      </c>
    </row>
    <row r="268" spans="1:49" x14ac:dyDescent="0.25">
      <c r="A268" t="s">
        <v>517</v>
      </c>
      <c r="B268" t="s">
        <v>159</v>
      </c>
      <c r="C268" s="128">
        <v>137176</v>
      </c>
      <c r="D268" s="128">
        <v>2409</v>
      </c>
      <c r="E268" s="128">
        <v>1454</v>
      </c>
      <c r="F268" s="128">
        <v>5694</v>
      </c>
      <c r="G268" s="128">
        <v>30072</v>
      </c>
      <c r="H268" s="128">
        <v>9513</v>
      </c>
      <c r="I268" s="128">
        <v>3343</v>
      </c>
      <c r="J268" s="128">
        <v>6858</v>
      </c>
      <c r="K268" s="128">
        <v>2058</v>
      </c>
      <c r="L268" s="128">
        <v>3533</v>
      </c>
      <c r="M268" s="128">
        <v>6898</v>
      </c>
      <c r="N268" s="128">
        <v>23271</v>
      </c>
      <c r="O268" s="128">
        <v>30401</v>
      </c>
      <c r="P268" s="128">
        <v>9183</v>
      </c>
      <c r="Q268" s="128">
        <v>369</v>
      </c>
      <c r="R268" s="128"/>
      <c r="S268" t="s">
        <v>159</v>
      </c>
      <c r="T268" s="128">
        <f t="shared" si="12"/>
        <v>127619</v>
      </c>
      <c r="U268" s="128">
        <v>99340</v>
      </c>
      <c r="V268" s="128">
        <v>75875712.924117103</v>
      </c>
      <c r="W268" s="128">
        <v>4661</v>
      </c>
      <c r="X268" s="128">
        <v>4199</v>
      </c>
      <c r="Y268" s="128">
        <v>593</v>
      </c>
      <c r="Z268" s="128">
        <v>452</v>
      </c>
      <c r="AA268" s="128">
        <v>2015</v>
      </c>
      <c r="AB268" s="128">
        <v>596</v>
      </c>
      <c r="AC268" s="128">
        <v>782</v>
      </c>
      <c r="AD268" s="128">
        <v>11</v>
      </c>
      <c r="AE268" s="128">
        <v>63</v>
      </c>
      <c r="AF268" s="128">
        <f t="shared" si="13"/>
        <v>90782.712924117106</v>
      </c>
      <c r="AG268" s="128">
        <v>44742</v>
      </c>
      <c r="AH268" s="128">
        <f t="shared" si="14"/>
        <v>2029.0267069893412</v>
      </c>
      <c r="AI268" t="s">
        <v>118</v>
      </c>
      <c r="AM268" t="s">
        <v>147</v>
      </c>
      <c r="AN268" s="128">
        <v>1731.2819881065716</v>
      </c>
      <c r="AO268" t="s">
        <v>118</v>
      </c>
    </row>
    <row r="269" spans="1:49" x14ac:dyDescent="0.25">
      <c r="A269" t="s">
        <v>517</v>
      </c>
      <c r="B269" t="s">
        <v>422</v>
      </c>
      <c r="C269" s="128">
        <v>65805</v>
      </c>
      <c r="D269" s="128">
        <v>753</v>
      </c>
      <c r="E269" s="128">
        <v>1257</v>
      </c>
      <c r="F269" s="128">
        <v>4061</v>
      </c>
      <c r="G269" s="128">
        <v>11568</v>
      </c>
      <c r="H269" s="128">
        <v>4760</v>
      </c>
      <c r="I269" s="128">
        <v>1877</v>
      </c>
      <c r="J269" s="128">
        <v>2526</v>
      </c>
      <c r="K269" s="128">
        <v>771</v>
      </c>
      <c r="L269" s="128">
        <v>2028</v>
      </c>
      <c r="M269" s="128">
        <v>3173</v>
      </c>
      <c r="N269" s="128">
        <v>9992</v>
      </c>
      <c r="O269" s="128">
        <v>16619</v>
      </c>
      <c r="P269" s="128">
        <v>5245</v>
      </c>
      <c r="Q269" s="128">
        <v>1192</v>
      </c>
      <c r="R269" s="128"/>
      <c r="S269" t="s">
        <v>762</v>
      </c>
      <c r="T269" s="128">
        <f t="shared" si="12"/>
        <v>59734</v>
      </c>
      <c r="U269" s="128">
        <v>46434</v>
      </c>
      <c r="V269" s="128">
        <v>38507531.020522952</v>
      </c>
      <c r="W269" s="128">
        <v>2826</v>
      </c>
      <c r="X269" s="128">
        <v>3279</v>
      </c>
      <c r="Y269" s="128">
        <v>64</v>
      </c>
      <c r="Z269" s="128">
        <v>317</v>
      </c>
      <c r="AA269" s="128">
        <v>237</v>
      </c>
      <c r="AB269" s="128">
        <v>29</v>
      </c>
      <c r="AC269" s="128">
        <v>169</v>
      </c>
      <c r="AD269" s="128">
        <v>12</v>
      </c>
      <c r="AE269" s="128">
        <v>87</v>
      </c>
      <c r="AF269" s="128">
        <f t="shared" si="13"/>
        <v>44787.531020522954</v>
      </c>
      <c r="AG269" s="128">
        <v>24809</v>
      </c>
      <c r="AH269" s="128">
        <f t="shared" si="14"/>
        <v>1805.2936845710408</v>
      </c>
      <c r="AI269" t="s">
        <v>118</v>
      </c>
      <c r="AM269" t="s">
        <v>370</v>
      </c>
      <c r="AN269" s="128">
        <v>1636.9872476956557</v>
      </c>
      <c r="AO269" t="s">
        <v>118</v>
      </c>
    </row>
    <row r="270" spans="1:49" x14ac:dyDescent="0.25">
      <c r="A270" t="s">
        <v>524</v>
      </c>
      <c r="B270" t="s">
        <v>230</v>
      </c>
      <c r="C270" s="128">
        <v>145885</v>
      </c>
      <c r="D270" s="128">
        <v>2177</v>
      </c>
      <c r="E270" s="128">
        <v>880</v>
      </c>
      <c r="F270" s="128">
        <v>8854</v>
      </c>
      <c r="G270" s="128">
        <v>36469</v>
      </c>
      <c r="H270" s="128">
        <v>9967</v>
      </c>
      <c r="I270" s="128">
        <v>5013</v>
      </c>
      <c r="J270" s="128">
        <v>7700</v>
      </c>
      <c r="K270" s="128">
        <v>440</v>
      </c>
      <c r="L270" s="128">
        <v>3256</v>
      </c>
      <c r="M270" s="128">
        <v>11049</v>
      </c>
      <c r="N270" s="128">
        <v>17049</v>
      </c>
      <c r="O270" s="128">
        <v>26291</v>
      </c>
      <c r="P270" s="128">
        <v>14581</v>
      </c>
      <c r="Q270" s="128">
        <v>2379</v>
      </c>
      <c r="R270" s="128"/>
      <c r="S270" t="s">
        <v>230</v>
      </c>
      <c r="T270" s="128">
        <f t="shared" si="12"/>
        <v>133974</v>
      </c>
      <c r="U270" s="128">
        <v>102945</v>
      </c>
      <c r="V270" s="128">
        <v>87595118.596715003</v>
      </c>
      <c r="W270" s="128">
        <v>7133</v>
      </c>
      <c r="X270" s="128">
        <v>7891</v>
      </c>
      <c r="Y270" s="128">
        <v>451</v>
      </c>
      <c r="Z270" s="128">
        <v>835</v>
      </c>
      <c r="AA270" s="128">
        <v>1909</v>
      </c>
      <c r="AB270" s="128">
        <v>239</v>
      </c>
      <c r="AC270" s="128">
        <v>298</v>
      </c>
      <c r="AD270" s="128">
        <v>57</v>
      </c>
      <c r="AE270" s="128">
        <v>99</v>
      </c>
      <c r="AF270" s="128">
        <f t="shared" si="13"/>
        <v>99712.118596715009</v>
      </c>
      <c r="AG270" s="128">
        <v>65237</v>
      </c>
      <c r="AH270" s="128">
        <f t="shared" si="14"/>
        <v>1528.4595949647439</v>
      </c>
      <c r="AI270" t="s">
        <v>467</v>
      </c>
      <c r="AM270" t="s">
        <v>148</v>
      </c>
      <c r="AN270" s="128">
        <v>1907.2511676014608</v>
      </c>
      <c r="AO270" t="s">
        <v>118</v>
      </c>
    </row>
    <row r="271" spans="1:49" x14ac:dyDescent="0.25">
      <c r="A271" t="s">
        <v>520</v>
      </c>
      <c r="B271" t="s">
        <v>440</v>
      </c>
      <c r="C271" s="128">
        <v>284209</v>
      </c>
      <c r="D271" s="128">
        <v>121</v>
      </c>
      <c r="E271" s="128">
        <v>4156</v>
      </c>
      <c r="F271" s="128">
        <v>13273</v>
      </c>
      <c r="G271" s="128">
        <v>69337</v>
      </c>
      <c r="H271" s="128">
        <v>11965</v>
      </c>
      <c r="I271" s="128">
        <v>6613</v>
      </c>
      <c r="J271" s="128">
        <v>16320</v>
      </c>
      <c r="K271" s="128">
        <v>3263</v>
      </c>
      <c r="L271" s="128">
        <v>5409</v>
      </c>
      <c r="M271" s="128">
        <v>15915</v>
      </c>
      <c r="N271" s="128">
        <v>60075</v>
      </c>
      <c r="O271" s="128">
        <v>58811</v>
      </c>
      <c r="P271" s="128">
        <v>17727</v>
      </c>
      <c r="Q271" s="128">
        <v>1473</v>
      </c>
      <c r="R271" s="128"/>
      <c r="S271" t="s">
        <v>440</v>
      </c>
      <c r="T271" s="128">
        <f t="shared" si="12"/>
        <v>266659</v>
      </c>
      <c r="U271" s="128">
        <v>219825</v>
      </c>
      <c r="V271" s="128">
        <v>162249945.38739067</v>
      </c>
      <c r="W271" s="128">
        <v>8477</v>
      </c>
      <c r="X271" s="128">
        <v>10783</v>
      </c>
      <c r="Y271" s="128">
        <v>625</v>
      </c>
      <c r="Z271" s="128">
        <v>1318</v>
      </c>
      <c r="AA271" s="128">
        <v>2182</v>
      </c>
      <c r="AB271" s="128">
        <v>1312</v>
      </c>
      <c r="AC271" s="128">
        <v>2272</v>
      </c>
      <c r="AD271" s="128">
        <v>2077</v>
      </c>
      <c r="AE271" s="128">
        <v>395</v>
      </c>
      <c r="AF271" s="128">
        <f t="shared" si="13"/>
        <v>179642.94538739068</v>
      </c>
      <c r="AG271" s="128">
        <v>90303</v>
      </c>
      <c r="AH271" s="128">
        <f t="shared" si="14"/>
        <v>1989.3352976910032</v>
      </c>
      <c r="AI271" t="s">
        <v>118</v>
      </c>
      <c r="AM271" t="s">
        <v>254</v>
      </c>
      <c r="AN271" s="128">
        <v>1760.6557921244375</v>
      </c>
      <c r="AO271" t="s">
        <v>118</v>
      </c>
    </row>
    <row r="272" spans="1:49" x14ac:dyDescent="0.25">
      <c r="A272" t="s">
        <v>528</v>
      </c>
      <c r="B272" t="s">
        <v>339</v>
      </c>
      <c r="C272" s="128">
        <v>170601</v>
      </c>
      <c r="D272" s="128">
        <v>42</v>
      </c>
      <c r="E272" s="128">
        <v>4670</v>
      </c>
      <c r="F272" s="128">
        <v>10502</v>
      </c>
      <c r="G272" s="128">
        <v>32187</v>
      </c>
      <c r="H272" s="128">
        <v>7933</v>
      </c>
      <c r="I272" s="128">
        <v>4690</v>
      </c>
      <c r="J272" s="128">
        <v>5854</v>
      </c>
      <c r="K272" s="128">
        <v>3694</v>
      </c>
      <c r="L272" s="128">
        <v>5703</v>
      </c>
      <c r="M272" s="128">
        <v>11509</v>
      </c>
      <c r="N272" s="128">
        <v>31440</v>
      </c>
      <c r="O272" s="128">
        <v>41181</v>
      </c>
      <c r="P272" s="128">
        <v>10184</v>
      </c>
      <c r="Q272" s="128">
        <v>995</v>
      </c>
      <c r="R272" s="128"/>
      <c r="S272" t="s">
        <v>339</v>
      </c>
      <c r="T272" s="128">
        <f t="shared" si="12"/>
        <v>155387</v>
      </c>
      <c r="U272" s="128">
        <v>124742</v>
      </c>
      <c r="V272" s="128">
        <v>94030188.455196306</v>
      </c>
      <c r="W272" s="128">
        <v>5546</v>
      </c>
      <c r="X272" s="128">
        <v>8579</v>
      </c>
      <c r="Y272" s="128">
        <v>778</v>
      </c>
      <c r="Z272" s="128">
        <v>601</v>
      </c>
      <c r="AA272" s="128">
        <v>1178</v>
      </c>
      <c r="AB272" s="128">
        <v>183</v>
      </c>
      <c r="AC272" s="128">
        <v>441</v>
      </c>
      <c r="AD272" s="128">
        <v>1143</v>
      </c>
      <c r="AE272" s="128">
        <v>53</v>
      </c>
      <c r="AF272" s="128">
        <f t="shared" si="13"/>
        <v>106173.1884551963</v>
      </c>
      <c r="AG272" s="128">
        <v>54498</v>
      </c>
      <c r="AH272" s="128">
        <f t="shared" si="14"/>
        <v>1948.20339196294</v>
      </c>
      <c r="AI272" t="s">
        <v>118</v>
      </c>
      <c r="AM272" t="s">
        <v>149</v>
      </c>
      <c r="AN272" s="128">
        <v>1879.990181042946</v>
      </c>
      <c r="AO272" t="s">
        <v>118</v>
      </c>
    </row>
    <row r="273" spans="1:41" x14ac:dyDescent="0.25">
      <c r="A273" t="s">
        <v>520</v>
      </c>
      <c r="B273" t="s">
        <v>137</v>
      </c>
      <c r="C273" s="128">
        <v>24640</v>
      </c>
      <c r="D273" s="128">
        <v>8</v>
      </c>
      <c r="E273" s="128">
        <v>0</v>
      </c>
      <c r="F273" s="128">
        <v>913</v>
      </c>
      <c r="G273" s="128">
        <v>9223</v>
      </c>
      <c r="H273" s="128">
        <v>2402</v>
      </c>
      <c r="I273" s="128">
        <v>983</v>
      </c>
      <c r="J273" s="128">
        <v>2114</v>
      </c>
      <c r="K273" s="128">
        <v>224</v>
      </c>
      <c r="L273" s="128">
        <v>1015</v>
      </c>
      <c r="M273" s="128">
        <v>1390</v>
      </c>
      <c r="N273" s="128">
        <v>769</v>
      </c>
      <c r="O273" s="128">
        <v>2362</v>
      </c>
      <c r="P273" s="128">
        <v>2209</v>
      </c>
      <c r="Q273" s="128">
        <v>1036</v>
      </c>
      <c r="R273" s="128"/>
      <c r="S273" t="s">
        <v>137</v>
      </c>
      <c r="T273" s="128">
        <f t="shared" si="12"/>
        <v>23719</v>
      </c>
      <c r="U273" s="128">
        <v>13478</v>
      </c>
      <c r="V273" s="128">
        <v>9240184.2888875995</v>
      </c>
      <c r="W273" s="128">
        <v>860</v>
      </c>
      <c r="X273" s="128">
        <v>847</v>
      </c>
      <c r="Y273" s="128">
        <v>7</v>
      </c>
      <c r="Z273" s="128">
        <v>150</v>
      </c>
      <c r="AA273" s="128">
        <v>457</v>
      </c>
      <c r="AB273" s="128">
        <v>277</v>
      </c>
      <c r="AC273" s="128">
        <v>3276</v>
      </c>
      <c r="AD273" s="128">
        <v>0</v>
      </c>
      <c r="AE273" s="128">
        <v>115</v>
      </c>
      <c r="AF273" s="128">
        <f t="shared" si="13"/>
        <v>13492.184288887598</v>
      </c>
      <c r="AG273" s="128">
        <v>4964</v>
      </c>
      <c r="AH273" s="128">
        <f t="shared" si="14"/>
        <v>2718.0065046107165</v>
      </c>
      <c r="AI273" t="s">
        <v>467</v>
      </c>
      <c r="AM273" t="s">
        <v>296</v>
      </c>
      <c r="AN273" s="128">
        <v>1739.2426536060636</v>
      </c>
      <c r="AO273" t="s">
        <v>118</v>
      </c>
    </row>
    <row r="274" spans="1:41" x14ac:dyDescent="0.25">
      <c r="A274" t="s">
        <v>518</v>
      </c>
      <c r="B274" t="s">
        <v>273</v>
      </c>
      <c r="C274" s="128">
        <v>58790</v>
      </c>
      <c r="D274" s="128">
        <v>0</v>
      </c>
      <c r="E274" s="128">
        <v>1470</v>
      </c>
      <c r="F274" s="128">
        <v>3630</v>
      </c>
      <c r="G274" s="128">
        <v>18168</v>
      </c>
      <c r="H274" s="128">
        <v>4939</v>
      </c>
      <c r="I274" s="128">
        <v>2249</v>
      </c>
      <c r="J274" s="128">
        <v>3645</v>
      </c>
      <c r="K274" s="128">
        <v>1074</v>
      </c>
      <c r="L274" s="128">
        <v>739</v>
      </c>
      <c r="M274" s="128">
        <v>4274</v>
      </c>
      <c r="N274" s="128">
        <v>3021</v>
      </c>
      <c r="O274" s="128">
        <v>7267</v>
      </c>
      <c r="P274" s="128">
        <v>7806</v>
      </c>
      <c r="Q274" s="128">
        <v>508</v>
      </c>
      <c r="R274" s="128"/>
      <c r="S274" t="s">
        <v>273</v>
      </c>
      <c r="T274" s="128">
        <f t="shared" si="12"/>
        <v>53690</v>
      </c>
      <c r="U274" s="128">
        <v>29845</v>
      </c>
      <c r="V274" s="128">
        <v>25599211.047508951</v>
      </c>
      <c r="W274" s="128">
        <v>3560</v>
      </c>
      <c r="X274" s="128">
        <v>2116</v>
      </c>
      <c r="Y274" s="128">
        <v>65</v>
      </c>
      <c r="Z274" s="128">
        <v>216</v>
      </c>
      <c r="AA274" s="128">
        <v>1088</v>
      </c>
      <c r="AB274" s="128">
        <v>233</v>
      </c>
      <c r="AC274" s="128">
        <v>7956</v>
      </c>
      <c r="AD274" s="128">
        <v>4468</v>
      </c>
      <c r="AE274" s="128">
        <v>276</v>
      </c>
      <c r="AF274" s="128">
        <f t="shared" si="13"/>
        <v>29466.21104750895</v>
      </c>
      <c r="AG274" s="128">
        <v>13690</v>
      </c>
      <c r="AH274" s="128">
        <f t="shared" si="14"/>
        <v>2152.389411797586</v>
      </c>
      <c r="AI274" t="s">
        <v>118</v>
      </c>
      <c r="AM274" t="s">
        <v>600</v>
      </c>
      <c r="AN274" s="128">
        <v>2202.0567969154076</v>
      </c>
      <c r="AO274" t="s">
        <v>118</v>
      </c>
    </row>
    <row r="275" spans="1:41" x14ac:dyDescent="0.25">
      <c r="A275" t="s">
        <v>519</v>
      </c>
      <c r="B275" t="s">
        <v>319</v>
      </c>
      <c r="C275" s="128">
        <v>85732</v>
      </c>
      <c r="D275" s="128">
        <v>5845</v>
      </c>
      <c r="E275" s="128">
        <v>561</v>
      </c>
      <c r="F275" s="128">
        <v>4016</v>
      </c>
      <c r="G275" s="128">
        <v>1427</v>
      </c>
      <c r="H275" s="128">
        <v>14314</v>
      </c>
      <c r="I275" s="128">
        <v>3588</v>
      </c>
      <c r="J275" s="128">
        <v>3703</v>
      </c>
      <c r="K275" s="128">
        <v>1538</v>
      </c>
      <c r="L275" s="128">
        <v>2688</v>
      </c>
      <c r="M275" s="128">
        <v>5862</v>
      </c>
      <c r="N275" s="128">
        <v>10479</v>
      </c>
      <c r="O275" s="128">
        <v>21027</v>
      </c>
      <c r="P275" s="128">
        <v>8514</v>
      </c>
      <c r="Q275" s="128">
        <v>2171</v>
      </c>
      <c r="R275" s="128"/>
      <c r="S275" t="s">
        <v>319</v>
      </c>
      <c r="T275" s="128">
        <f t="shared" si="12"/>
        <v>75310</v>
      </c>
      <c r="U275" s="128">
        <v>56303</v>
      </c>
      <c r="V275" s="128">
        <v>47394848.909233041</v>
      </c>
      <c r="W275" s="128">
        <v>3162</v>
      </c>
      <c r="X275" s="128">
        <v>3862</v>
      </c>
      <c r="Y275" s="128">
        <v>0</v>
      </c>
      <c r="Z275" s="128">
        <v>640</v>
      </c>
      <c r="AA275" s="128">
        <v>698</v>
      </c>
      <c r="AB275" s="128">
        <v>218</v>
      </c>
      <c r="AC275" s="128">
        <v>0</v>
      </c>
      <c r="AD275" s="128">
        <v>23</v>
      </c>
      <c r="AE275" s="128">
        <v>179</v>
      </c>
      <c r="AF275" s="128">
        <f t="shared" si="13"/>
        <v>57619.848909233042</v>
      </c>
      <c r="AG275" s="128">
        <v>37940</v>
      </c>
      <c r="AH275" s="128">
        <f t="shared" si="14"/>
        <v>1518.7097762054043</v>
      </c>
      <c r="AI275" t="s">
        <v>467</v>
      </c>
      <c r="AM275" t="s">
        <v>298</v>
      </c>
      <c r="AN275" s="128">
        <v>1654.9545869926694</v>
      </c>
      <c r="AO275" t="s">
        <v>118</v>
      </c>
    </row>
    <row r="276" spans="1:41" x14ac:dyDescent="0.25">
      <c r="A276" t="s">
        <v>528</v>
      </c>
      <c r="B276" t="s">
        <v>340</v>
      </c>
      <c r="C276" s="128">
        <v>72271</v>
      </c>
      <c r="D276" s="128">
        <v>3465</v>
      </c>
      <c r="E276" s="128">
        <v>1131</v>
      </c>
      <c r="F276" s="128">
        <v>2298</v>
      </c>
      <c r="G276" s="128">
        <v>15034</v>
      </c>
      <c r="H276" s="128">
        <v>4747</v>
      </c>
      <c r="I276" s="128">
        <v>2104</v>
      </c>
      <c r="J276" s="128">
        <v>3058</v>
      </c>
      <c r="K276" s="128">
        <v>4248</v>
      </c>
      <c r="L276" s="128">
        <v>2330</v>
      </c>
      <c r="M276" s="128">
        <v>2654</v>
      </c>
      <c r="N276" s="128">
        <v>8739</v>
      </c>
      <c r="O276" s="128">
        <v>16016</v>
      </c>
      <c r="P276" s="128">
        <v>6146</v>
      </c>
      <c r="Q276" s="128">
        <v>304</v>
      </c>
      <c r="R276" s="128"/>
      <c r="S276" t="s">
        <v>340</v>
      </c>
      <c r="T276" s="128">
        <f t="shared" si="12"/>
        <v>65377</v>
      </c>
      <c r="U276" s="128">
        <v>49977</v>
      </c>
      <c r="V276" s="128">
        <v>42768315.229304217</v>
      </c>
      <c r="W276" s="128">
        <v>2266</v>
      </c>
      <c r="X276" s="128">
        <v>2744</v>
      </c>
      <c r="Y276" s="128">
        <v>553</v>
      </c>
      <c r="Z276" s="128">
        <v>202</v>
      </c>
      <c r="AA276" s="128">
        <v>583</v>
      </c>
      <c r="AB276" s="128">
        <v>190</v>
      </c>
      <c r="AC276" s="128">
        <v>282</v>
      </c>
      <c r="AD276" s="128">
        <v>10</v>
      </c>
      <c r="AE276" s="128">
        <v>1279</v>
      </c>
      <c r="AF276" s="128">
        <f t="shared" si="13"/>
        <v>50059.315229304215</v>
      </c>
      <c r="AG276" s="128">
        <v>26391</v>
      </c>
      <c r="AH276" s="128">
        <f t="shared" si="14"/>
        <v>1896.8328304840368</v>
      </c>
      <c r="AI276" t="s">
        <v>467</v>
      </c>
      <c r="AM276" t="s">
        <v>261</v>
      </c>
      <c r="AN276" s="128">
        <v>1845.2418728803927</v>
      </c>
      <c r="AO276" t="s">
        <v>118</v>
      </c>
    </row>
    <row r="277" spans="1:41" x14ac:dyDescent="0.25">
      <c r="A277" t="s">
        <v>519</v>
      </c>
      <c r="B277" t="s">
        <v>204</v>
      </c>
      <c r="C277" s="128">
        <v>146994</v>
      </c>
      <c r="D277" s="128">
        <v>1863</v>
      </c>
      <c r="E277" s="128">
        <v>1522</v>
      </c>
      <c r="F277" s="128">
        <v>5656</v>
      </c>
      <c r="G277" s="128">
        <v>19943</v>
      </c>
      <c r="H277" s="128">
        <v>12412</v>
      </c>
      <c r="I277" s="128">
        <v>3948</v>
      </c>
      <c r="J277" s="128">
        <v>6123</v>
      </c>
      <c r="K277" s="128">
        <v>864</v>
      </c>
      <c r="L277" s="128">
        <v>6807</v>
      </c>
      <c r="M277" s="128">
        <v>9751</v>
      </c>
      <c r="N277" s="128">
        <v>37182</v>
      </c>
      <c r="O277" s="128">
        <v>31174</v>
      </c>
      <c r="P277" s="128">
        <v>9382</v>
      </c>
      <c r="Q277" s="128">
        <v>379</v>
      </c>
      <c r="R277" s="128"/>
      <c r="S277" t="s">
        <v>204</v>
      </c>
      <c r="T277" s="128">
        <f t="shared" si="12"/>
        <v>137953</v>
      </c>
      <c r="U277" s="128">
        <v>111766</v>
      </c>
      <c r="V277" s="128">
        <v>75047248.859582454</v>
      </c>
      <c r="W277" s="128">
        <v>4271</v>
      </c>
      <c r="X277" s="128">
        <v>0</v>
      </c>
      <c r="Y277" s="128">
        <v>300</v>
      </c>
      <c r="Z277" s="128">
        <v>391</v>
      </c>
      <c r="AA277" s="128">
        <v>1122</v>
      </c>
      <c r="AB277" s="128">
        <v>422</v>
      </c>
      <c r="AC277" s="128">
        <v>228</v>
      </c>
      <c r="AD277" s="128">
        <v>2512</v>
      </c>
      <c r="AE277" s="128">
        <v>173</v>
      </c>
      <c r="AF277" s="128">
        <f t="shared" si="13"/>
        <v>91815.248859582454</v>
      </c>
      <c r="AG277" s="128">
        <v>42271</v>
      </c>
      <c r="AH277" s="128">
        <f t="shared" si="14"/>
        <v>2172.0623798723109</v>
      </c>
      <c r="AI277" t="s">
        <v>441</v>
      </c>
      <c r="AM277" t="s">
        <v>332</v>
      </c>
      <c r="AN277" s="128">
        <v>1735.192504697455</v>
      </c>
      <c r="AO277" t="s">
        <v>118</v>
      </c>
    </row>
    <row r="278" spans="1:41" x14ac:dyDescent="0.25">
      <c r="A278" t="s">
        <v>517</v>
      </c>
      <c r="B278" t="s">
        <v>391</v>
      </c>
      <c r="C278" s="128">
        <v>913208</v>
      </c>
      <c r="D278" s="128">
        <v>14897</v>
      </c>
      <c r="E278" s="128">
        <v>1513</v>
      </c>
      <c r="F278" s="128">
        <v>54358</v>
      </c>
      <c r="G278" s="128">
        <v>176005</v>
      </c>
      <c r="H278" s="128">
        <v>22081</v>
      </c>
      <c r="I278" s="128">
        <v>22554</v>
      </c>
      <c r="J278" s="128">
        <v>27916</v>
      </c>
      <c r="K278" s="128">
        <v>31855</v>
      </c>
      <c r="L278" s="128">
        <v>30351</v>
      </c>
      <c r="M278" s="128">
        <v>55335</v>
      </c>
      <c r="N278" s="128">
        <v>165005</v>
      </c>
      <c r="O278" s="128">
        <v>265443</v>
      </c>
      <c r="P278" s="128">
        <v>32260</v>
      </c>
      <c r="Q278" s="128">
        <v>17004</v>
      </c>
      <c r="R278" s="128"/>
      <c r="S278" t="s">
        <v>391</v>
      </c>
      <c r="T278" s="128">
        <f t="shared" si="12"/>
        <v>842440</v>
      </c>
      <c r="U278" s="128">
        <v>633205</v>
      </c>
      <c r="V278" s="128">
        <v>412939817.64427078</v>
      </c>
      <c r="W278" s="128">
        <v>13638</v>
      </c>
      <c r="X278" s="128">
        <v>27750</v>
      </c>
      <c r="Y278" s="128">
        <v>232</v>
      </c>
      <c r="Z278" s="128">
        <v>1887</v>
      </c>
      <c r="AA278" s="128">
        <v>8196</v>
      </c>
      <c r="AB278" s="128">
        <v>1812</v>
      </c>
      <c r="AC278" s="128">
        <v>442</v>
      </c>
      <c r="AD278" s="128">
        <v>19289</v>
      </c>
      <c r="AE278" s="128">
        <v>3007</v>
      </c>
      <c r="AF278" s="128">
        <f t="shared" si="13"/>
        <v>545921.81764427084</v>
      </c>
      <c r="AG278" s="128">
        <v>224455</v>
      </c>
      <c r="AH278" s="128">
        <f t="shared" si="14"/>
        <v>2432.2105439587926</v>
      </c>
      <c r="AI278" t="s">
        <v>441</v>
      </c>
      <c r="AM278" t="s">
        <v>868</v>
      </c>
      <c r="AN278" s="128">
        <v>1683.6929192238385</v>
      </c>
      <c r="AO278" t="s">
        <v>118</v>
      </c>
    </row>
    <row r="279" spans="1:41" x14ac:dyDescent="0.25">
      <c r="A279" t="s">
        <v>522</v>
      </c>
      <c r="B279" t="s">
        <v>160</v>
      </c>
      <c r="C279" s="128">
        <v>44361</v>
      </c>
      <c r="D279" s="128">
        <v>520</v>
      </c>
      <c r="E279" s="128">
        <v>28</v>
      </c>
      <c r="F279" s="128">
        <v>1836</v>
      </c>
      <c r="G279" s="128">
        <v>901</v>
      </c>
      <c r="H279" s="128">
        <v>6480</v>
      </c>
      <c r="I279" s="128">
        <v>3045</v>
      </c>
      <c r="J279" s="128">
        <v>2657</v>
      </c>
      <c r="K279" s="128">
        <v>350</v>
      </c>
      <c r="L279" s="128">
        <v>1590</v>
      </c>
      <c r="M279" s="128">
        <v>3832</v>
      </c>
      <c r="N279" s="128">
        <v>5925</v>
      </c>
      <c r="O279" s="128">
        <v>12105</v>
      </c>
      <c r="P279" s="128">
        <v>3387</v>
      </c>
      <c r="Q279" s="128">
        <v>1706</v>
      </c>
      <c r="R279" s="128"/>
      <c r="S279" t="s">
        <v>160</v>
      </c>
      <c r="T279" s="128">
        <f t="shared" si="12"/>
        <v>41977</v>
      </c>
      <c r="U279" s="128">
        <v>32304</v>
      </c>
      <c r="V279" s="128">
        <v>28802021.035293862</v>
      </c>
      <c r="W279" s="128">
        <v>2000</v>
      </c>
      <c r="X279" s="128">
        <v>1231</v>
      </c>
      <c r="Y279" s="128">
        <v>0</v>
      </c>
      <c r="Z279" s="128">
        <v>266</v>
      </c>
      <c r="AA279" s="128">
        <v>496</v>
      </c>
      <c r="AB279" s="128">
        <v>23</v>
      </c>
      <c r="AC279" s="128">
        <v>201</v>
      </c>
      <c r="AD279" s="128">
        <v>2</v>
      </c>
      <c r="AE279" s="128">
        <v>0</v>
      </c>
      <c r="AF279" s="128">
        <f t="shared" si="13"/>
        <v>34256.021035293859</v>
      </c>
      <c r="AG279" s="128">
        <v>21363</v>
      </c>
      <c r="AH279" s="128">
        <f t="shared" si="14"/>
        <v>1603.5210895142941</v>
      </c>
      <c r="AI279" t="s">
        <v>467</v>
      </c>
      <c r="AM279" t="s">
        <v>305</v>
      </c>
      <c r="AN279" s="128">
        <v>1984.2140839817803</v>
      </c>
      <c r="AO279" t="s">
        <v>118</v>
      </c>
    </row>
    <row r="280" spans="1:41" x14ac:dyDescent="0.25">
      <c r="A280" t="s">
        <v>522</v>
      </c>
      <c r="B280" t="s">
        <v>161</v>
      </c>
      <c r="C280" s="128">
        <v>98515</v>
      </c>
      <c r="D280" s="128">
        <v>1848</v>
      </c>
      <c r="E280" s="128">
        <v>488</v>
      </c>
      <c r="F280" s="128">
        <v>5949</v>
      </c>
      <c r="G280" s="128">
        <v>6486</v>
      </c>
      <c r="H280" s="128">
        <v>-164</v>
      </c>
      <c r="I280" s="128">
        <v>2693</v>
      </c>
      <c r="J280" s="128">
        <v>4603</v>
      </c>
      <c r="K280" s="128">
        <v>3630</v>
      </c>
      <c r="L280" s="128">
        <v>4660</v>
      </c>
      <c r="M280" s="128">
        <v>6202</v>
      </c>
      <c r="N280" s="128">
        <v>20809</v>
      </c>
      <c r="O280" s="128">
        <v>28873</v>
      </c>
      <c r="P280" s="128">
        <v>10826</v>
      </c>
      <c r="Q280" s="128">
        <v>1687</v>
      </c>
      <c r="R280" s="128"/>
      <c r="S280" t="s">
        <v>161</v>
      </c>
      <c r="T280" s="128">
        <f t="shared" si="12"/>
        <v>90230</v>
      </c>
      <c r="U280" s="128">
        <v>69424</v>
      </c>
      <c r="V280" s="128">
        <v>54728319.063070193</v>
      </c>
      <c r="W280" s="128">
        <v>3641</v>
      </c>
      <c r="X280" s="128">
        <v>2495</v>
      </c>
      <c r="Y280" s="128">
        <v>580</v>
      </c>
      <c r="Z280" s="128">
        <v>422</v>
      </c>
      <c r="AA280" s="128">
        <v>813</v>
      </c>
      <c r="AB280" s="128">
        <v>26</v>
      </c>
      <c r="AC280" s="128">
        <v>45</v>
      </c>
      <c r="AD280" s="128">
        <v>0</v>
      </c>
      <c r="AE280" s="128">
        <v>101</v>
      </c>
      <c r="AF280" s="128">
        <f t="shared" si="13"/>
        <v>67411.319063070201</v>
      </c>
      <c r="AG280" s="128">
        <v>33717</v>
      </c>
      <c r="AH280" s="128">
        <f t="shared" si="14"/>
        <v>1999.327314502186</v>
      </c>
      <c r="AI280" t="s">
        <v>118</v>
      </c>
      <c r="AM280" t="s">
        <v>152</v>
      </c>
      <c r="AN280" s="128">
        <v>1772.5952332423913</v>
      </c>
      <c r="AO280" t="s">
        <v>118</v>
      </c>
    </row>
    <row r="281" spans="1:41" x14ac:dyDescent="0.25">
      <c r="A281" t="s">
        <v>516</v>
      </c>
      <c r="B281" t="s">
        <v>115</v>
      </c>
      <c r="C281" s="128">
        <v>85295</v>
      </c>
      <c r="D281" s="128">
        <v>5264</v>
      </c>
      <c r="E281" s="128">
        <v>1999</v>
      </c>
      <c r="F281" s="128">
        <v>4604</v>
      </c>
      <c r="G281" s="128">
        <v>20883</v>
      </c>
      <c r="H281" s="128">
        <v>5077</v>
      </c>
      <c r="I281" s="128">
        <v>1942</v>
      </c>
      <c r="J281" s="128">
        <v>2879</v>
      </c>
      <c r="K281" s="128">
        <v>2979</v>
      </c>
      <c r="L281" s="128">
        <v>1341</v>
      </c>
      <c r="M281" s="128">
        <v>4773</v>
      </c>
      <c r="N281" s="128">
        <v>11616</v>
      </c>
      <c r="O281" s="128">
        <v>18366</v>
      </c>
      <c r="P281" s="128">
        <v>3721</v>
      </c>
      <c r="Q281" s="128">
        <v>276</v>
      </c>
      <c r="R281" s="128"/>
      <c r="S281" t="s">
        <v>115</v>
      </c>
      <c r="T281" s="128">
        <f t="shared" si="12"/>
        <v>73428</v>
      </c>
      <c r="U281" s="128">
        <v>59674</v>
      </c>
      <c r="V281" s="128">
        <v>48509575.444203019</v>
      </c>
      <c r="W281" s="128">
        <v>2784</v>
      </c>
      <c r="X281" s="128">
        <v>2826</v>
      </c>
      <c r="Y281" s="128">
        <v>445</v>
      </c>
      <c r="Z281" s="128">
        <v>399</v>
      </c>
      <c r="AA281" s="128">
        <v>836</v>
      </c>
      <c r="AB281" s="128">
        <v>315</v>
      </c>
      <c r="AC281" s="128">
        <v>417</v>
      </c>
      <c r="AD281" s="128">
        <v>0</v>
      </c>
      <c r="AE281" s="128">
        <v>117</v>
      </c>
      <c r="AF281" s="128">
        <f t="shared" si="13"/>
        <v>54124.575444203016</v>
      </c>
      <c r="AG281" s="128">
        <v>34195</v>
      </c>
      <c r="AH281" s="128">
        <f t="shared" si="14"/>
        <v>1582.8213318965643</v>
      </c>
      <c r="AI281" t="s">
        <v>467</v>
      </c>
      <c r="AM281" t="s">
        <v>412</v>
      </c>
      <c r="AN281" s="128">
        <v>1716.7242474435704</v>
      </c>
      <c r="AO281" t="s">
        <v>118</v>
      </c>
    </row>
    <row r="282" spans="1:41" x14ac:dyDescent="0.25">
      <c r="A282" t="s">
        <v>520</v>
      </c>
      <c r="B282" t="s">
        <v>138</v>
      </c>
      <c r="C282" s="128">
        <v>89110</v>
      </c>
      <c r="D282" s="128">
        <v>239</v>
      </c>
      <c r="E282" s="128">
        <v>927</v>
      </c>
      <c r="F282" s="128">
        <v>3738</v>
      </c>
      <c r="G282" s="128">
        <v>7165</v>
      </c>
      <c r="H282" s="128">
        <v>11791</v>
      </c>
      <c r="I282" s="128">
        <v>2550</v>
      </c>
      <c r="J282" s="128">
        <v>2953</v>
      </c>
      <c r="K282" s="128">
        <v>775</v>
      </c>
      <c r="L282" s="128">
        <v>3602</v>
      </c>
      <c r="M282" s="128">
        <v>4418</v>
      </c>
      <c r="N282" s="128">
        <v>16643</v>
      </c>
      <c r="O282" s="128">
        <v>24975</v>
      </c>
      <c r="P282" s="128">
        <v>6739</v>
      </c>
      <c r="Q282" s="128">
        <v>2595</v>
      </c>
      <c r="R282" s="128"/>
      <c r="S282" t="s">
        <v>138</v>
      </c>
      <c r="T282" s="128">
        <f t="shared" si="12"/>
        <v>84206</v>
      </c>
      <c r="U282" s="128">
        <v>68191</v>
      </c>
      <c r="V282" s="128">
        <v>52656212.697594315</v>
      </c>
      <c r="W282" s="128">
        <v>2185</v>
      </c>
      <c r="X282" s="128">
        <v>3516</v>
      </c>
      <c r="Y282" s="128">
        <v>17</v>
      </c>
      <c r="Z282" s="128">
        <v>317</v>
      </c>
      <c r="AA282" s="128">
        <v>461</v>
      </c>
      <c r="AB282" s="128">
        <v>81</v>
      </c>
      <c r="AC282" s="128">
        <v>432</v>
      </c>
      <c r="AD282" s="128">
        <v>0</v>
      </c>
      <c r="AE282" s="128">
        <v>205</v>
      </c>
      <c r="AF282" s="128">
        <f t="shared" si="13"/>
        <v>61457.21269759431</v>
      </c>
      <c r="AG282" s="128">
        <v>32288</v>
      </c>
      <c r="AH282" s="128">
        <f t="shared" si="14"/>
        <v>1903.4072317143925</v>
      </c>
      <c r="AI282" t="s">
        <v>118</v>
      </c>
      <c r="AM282" t="s">
        <v>869</v>
      </c>
      <c r="AN282" s="128">
        <v>1743.6320900277724</v>
      </c>
      <c r="AO282" t="s">
        <v>118</v>
      </c>
    </row>
    <row r="283" spans="1:41" x14ac:dyDescent="0.25">
      <c r="A283" t="s">
        <v>518</v>
      </c>
      <c r="B283" t="s">
        <v>274</v>
      </c>
      <c r="C283" s="128">
        <v>27246</v>
      </c>
      <c r="D283" s="128">
        <v>-16</v>
      </c>
      <c r="E283" s="128">
        <v>102</v>
      </c>
      <c r="F283" s="128">
        <v>1034</v>
      </c>
      <c r="G283" s="128">
        <v>1016</v>
      </c>
      <c r="H283" s="128">
        <v>5436</v>
      </c>
      <c r="I283" s="128">
        <v>1227</v>
      </c>
      <c r="J283" s="128">
        <v>1680</v>
      </c>
      <c r="K283" s="128">
        <v>133</v>
      </c>
      <c r="L283" s="128">
        <v>395</v>
      </c>
      <c r="M283" s="128">
        <v>2009</v>
      </c>
      <c r="N283" s="128">
        <v>4173</v>
      </c>
      <c r="O283" s="128">
        <v>5725</v>
      </c>
      <c r="P283" s="128">
        <v>3043</v>
      </c>
      <c r="Q283" s="128">
        <v>1289</v>
      </c>
      <c r="R283" s="128"/>
      <c r="S283" t="s">
        <v>274</v>
      </c>
      <c r="T283" s="128">
        <f t="shared" si="12"/>
        <v>26126</v>
      </c>
      <c r="U283" s="128">
        <v>20783</v>
      </c>
      <c r="V283" s="128">
        <v>17039829.56598191</v>
      </c>
      <c r="W283" s="128">
        <v>975</v>
      </c>
      <c r="X283" s="128">
        <v>1751</v>
      </c>
      <c r="Y283" s="128">
        <v>15</v>
      </c>
      <c r="Z283" s="128">
        <v>136</v>
      </c>
      <c r="AA283" s="128">
        <v>297</v>
      </c>
      <c r="AB283" s="128">
        <v>17</v>
      </c>
      <c r="AC283" s="128">
        <v>106</v>
      </c>
      <c r="AD283" s="128">
        <v>0</v>
      </c>
      <c r="AE283" s="128">
        <v>27</v>
      </c>
      <c r="AF283" s="128">
        <f t="shared" si="13"/>
        <v>19058.829565981909</v>
      </c>
      <c r="AG283" s="128">
        <v>13562</v>
      </c>
      <c r="AH283" s="128">
        <f t="shared" si="14"/>
        <v>1405.3111315426861</v>
      </c>
      <c r="AI283" t="s">
        <v>467</v>
      </c>
      <c r="AM283" t="s">
        <v>307</v>
      </c>
      <c r="AN283" s="128">
        <v>1818.6203323755105</v>
      </c>
      <c r="AO283" t="s">
        <v>118</v>
      </c>
    </row>
    <row r="284" spans="1:41" x14ac:dyDescent="0.25">
      <c r="A284" t="s">
        <v>518</v>
      </c>
      <c r="B284" t="s">
        <v>275</v>
      </c>
      <c r="C284" s="128">
        <v>79453</v>
      </c>
      <c r="D284" s="128">
        <v>2787</v>
      </c>
      <c r="E284" s="128">
        <v>1723</v>
      </c>
      <c r="F284" s="128">
        <v>4163</v>
      </c>
      <c r="G284" s="128">
        <v>6358</v>
      </c>
      <c r="H284" s="128">
        <v>11732</v>
      </c>
      <c r="I284" s="128">
        <v>2767</v>
      </c>
      <c r="J284" s="128">
        <v>4472</v>
      </c>
      <c r="K284" s="128">
        <v>380</v>
      </c>
      <c r="L284" s="128">
        <v>2684</v>
      </c>
      <c r="M284" s="128">
        <v>4240</v>
      </c>
      <c r="N284" s="128">
        <v>9782</v>
      </c>
      <c r="O284" s="128">
        <v>20093</v>
      </c>
      <c r="P284" s="128">
        <v>6807</v>
      </c>
      <c r="Q284" s="128">
        <v>1528</v>
      </c>
      <c r="R284" s="128"/>
      <c r="S284" t="s">
        <v>275</v>
      </c>
      <c r="T284" s="128">
        <f t="shared" si="12"/>
        <v>70780</v>
      </c>
      <c r="U284" s="128">
        <v>53654</v>
      </c>
      <c r="V284" s="128">
        <v>44196725.048080713</v>
      </c>
      <c r="W284" s="128">
        <v>3616</v>
      </c>
      <c r="X284" s="128">
        <v>4167</v>
      </c>
      <c r="Y284" s="128">
        <v>313</v>
      </c>
      <c r="Z284" s="128">
        <v>382</v>
      </c>
      <c r="AA284" s="128">
        <v>1064</v>
      </c>
      <c r="AB284" s="128">
        <v>118</v>
      </c>
      <c r="AC284" s="128">
        <v>116</v>
      </c>
      <c r="AD284" s="128">
        <v>2</v>
      </c>
      <c r="AE284" s="128">
        <v>32</v>
      </c>
      <c r="AF284" s="128">
        <f t="shared" si="13"/>
        <v>51512.725048080712</v>
      </c>
      <c r="AG284" s="128">
        <v>31020</v>
      </c>
      <c r="AH284" s="128">
        <f t="shared" si="14"/>
        <v>1660.6294341741043</v>
      </c>
      <c r="AI284" t="s">
        <v>467</v>
      </c>
      <c r="AM284" t="s">
        <v>266</v>
      </c>
      <c r="AN284" s="128">
        <v>1674.1713551652215</v>
      </c>
      <c r="AO284" t="s">
        <v>118</v>
      </c>
    </row>
    <row r="285" spans="1:41" x14ac:dyDescent="0.25">
      <c r="A285" t="s">
        <v>523</v>
      </c>
      <c r="B285" t="s">
        <v>433</v>
      </c>
      <c r="C285" s="128">
        <v>65616</v>
      </c>
      <c r="D285" s="128">
        <v>13594</v>
      </c>
      <c r="E285" s="128">
        <v>1378</v>
      </c>
      <c r="F285" s="128">
        <v>2127</v>
      </c>
      <c r="G285" s="128">
        <v>14980</v>
      </c>
      <c r="H285" s="128">
        <v>3216</v>
      </c>
      <c r="I285" s="128">
        <v>1062</v>
      </c>
      <c r="J285" s="128">
        <v>1508</v>
      </c>
      <c r="K285" s="128">
        <v>4855</v>
      </c>
      <c r="L285" s="128">
        <v>3656</v>
      </c>
      <c r="M285" s="128">
        <v>2276</v>
      </c>
      <c r="N285" s="128">
        <v>6425</v>
      </c>
      <c r="O285" s="128">
        <v>7147</v>
      </c>
      <c r="P285" s="128">
        <v>4292</v>
      </c>
      <c r="Q285" s="128">
        <v>325</v>
      </c>
      <c r="R285" s="128"/>
      <c r="S285" t="s">
        <v>433</v>
      </c>
      <c r="T285" s="128">
        <f t="shared" si="12"/>
        <v>48517</v>
      </c>
      <c r="U285" s="128">
        <v>33998</v>
      </c>
      <c r="V285" s="128">
        <v>27986486.937321473</v>
      </c>
      <c r="W285" s="128">
        <v>2064</v>
      </c>
      <c r="X285" s="128">
        <v>1829</v>
      </c>
      <c r="Y285" s="128">
        <v>315</v>
      </c>
      <c r="Z285" s="128">
        <v>205</v>
      </c>
      <c r="AA285" s="128">
        <v>428</v>
      </c>
      <c r="AB285" s="128">
        <v>609</v>
      </c>
      <c r="AC285" s="128">
        <v>43</v>
      </c>
      <c r="AD285" s="128">
        <v>0</v>
      </c>
      <c r="AE285" s="128">
        <v>36</v>
      </c>
      <c r="AF285" s="128">
        <f t="shared" si="13"/>
        <v>36976.486937321475</v>
      </c>
      <c r="AG285" s="128">
        <v>21462</v>
      </c>
      <c r="AH285" s="128">
        <f t="shared" si="14"/>
        <v>1722.8816949641914</v>
      </c>
      <c r="AI285" t="s">
        <v>467</v>
      </c>
      <c r="AM285" t="s">
        <v>414</v>
      </c>
      <c r="AN285" s="128">
        <v>1743.62712427318</v>
      </c>
      <c r="AO285" t="s">
        <v>118</v>
      </c>
    </row>
    <row r="286" spans="1:41" x14ac:dyDescent="0.25">
      <c r="A286" t="s">
        <v>524</v>
      </c>
      <c r="B286" t="s">
        <v>231</v>
      </c>
      <c r="C286" s="128">
        <v>1507648</v>
      </c>
      <c r="D286" s="128">
        <v>55889</v>
      </c>
      <c r="E286" s="128">
        <v>29776</v>
      </c>
      <c r="F286" s="128">
        <v>69042</v>
      </c>
      <c r="G286" s="128">
        <v>355462</v>
      </c>
      <c r="H286" s="128">
        <v>12690</v>
      </c>
      <c r="I286" s="128">
        <v>45420</v>
      </c>
      <c r="J286" s="128">
        <v>109849</v>
      </c>
      <c r="K286" s="128">
        <v>23581</v>
      </c>
      <c r="L286" s="128">
        <v>65014</v>
      </c>
      <c r="M286" s="128">
        <v>118739</v>
      </c>
      <c r="N286" s="128">
        <v>208906</v>
      </c>
      <c r="O286" s="128">
        <v>328432</v>
      </c>
      <c r="P286" s="128">
        <v>91383</v>
      </c>
      <c r="Q286" s="128">
        <v>4779</v>
      </c>
      <c r="R286" s="128"/>
      <c r="S286" t="s">
        <v>763</v>
      </c>
      <c r="T286" s="128">
        <f t="shared" si="12"/>
        <v>1352941</v>
      </c>
      <c r="U286" s="128">
        <v>1003253</v>
      </c>
      <c r="V286" s="128">
        <v>663607857.13076901</v>
      </c>
      <c r="W286" s="128">
        <v>43791</v>
      </c>
      <c r="X286" s="128">
        <v>53201</v>
      </c>
      <c r="Y286" s="128">
        <v>1148</v>
      </c>
      <c r="Z286" s="128">
        <v>4740</v>
      </c>
      <c r="AA286" s="128">
        <v>16916</v>
      </c>
      <c r="AB286" s="128">
        <v>3443</v>
      </c>
      <c r="AC286" s="128">
        <v>3914</v>
      </c>
      <c r="AD286" s="128">
        <v>51187</v>
      </c>
      <c r="AE286" s="128">
        <v>20525</v>
      </c>
      <c r="AF286" s="128">
        <f t="shared" si="13"/>
        <v>814430.85713076906</v>
      </c>
      <c r="AG286" s="128">
        <v>361686</v>
      </c>
      <c r="AH286" s="128">
        <f t="shared" si="14"/>
        <v>2251.7621835812529</v>
      </c>
      <c r="AI286" t="s">
        <v>441</v>
      </c>
      <c r="AM286" t="s">
        <v>113</v>
      </c>
      <c r="AN286" s="128">
        <v>1565.2256126352013</v>
      </c>
      <c r="AO286" t="s">
        <v>118</v>
      </c>
    </row>
    <row r="287" spans="1:41" x14ac:dyDescent="0.25">
      <c r="A287" t="s">
        <v>524</v>
      </c>
      <c r="B287" s="86" t="s">
        <v>232</v>
      </c>
      <c r="C287" s="128">
        <v>128742</v>
      </c>
      <c r="D287" s="128">
        <v>7822</v>
      </c>
      <c r="E287" s="128">
        <v>2481</v>
      </c>
      <c r="F287" s="128">
        <v>7035</v>
      </c>
      <c r="G287" s="128">
        <v>24567</v>
      </c>
      <c r="H287" s="128">
        <v>8844</v>
      </c>
      <c r="I287" s="128">
        <v>3740</v>
      </c>
      <c r="J287" s="128">
        <v>3230</v>
      </c>
      <c r="K287" s="128">
        <v>254</v>
      </c>
      <c r="L287" s="128">
        <v>2614</v>
      </c>
      <c r="M287" s="128">
        <v>5740</v>
      </c>
      <c r="N287" s="128">
        <v>19368</v>
      </c>
      <c r="O287" s="128">
        <v>28974</v>
      </c>
      <c r="P287" s="128">
        <v>10728</v>
      </c>
      <c r="Q287" s="128">
        <v>1902</v>
      </c>
      <c r="R287" s="128"/>
      <c r="S287" t="s">
        <v>232</v>
      </c>
      <c r="T287" s="128">
        <f t="shared" si="12"/>
        <v>111404</v>
      </c>
      <c r="U287" s="128">
        <v>85377</v>
      </c>
      <c r="V287" s="128">
        <v>69242671.265407324</v>
      </c>
      <c r="W287" s="128">
        <v>6726</v>
      </c>
      <c r="X287" s="128">
        <v>6484</v>
      </c>
      <c r="Y287" s="128">
        <v>958</v>
      </c>
      <c r="Z287" s="128">
        <v>619</v>
      </c>
      <c r="AA287" s="128">
        <v>1636</v>
      </c>
      <c r="AB287" s="128">
        <v>167</v>
      </c>
      <c r="AC287" s="128">
        <v>1046</v>
      </c>
      <c r="AD287" s="128">
        <v>18</v>
      </c>
      <c r="AE287" s="128">
        <v>235</v>
      </c>
      <c r="AF287" s="128">
        <f t="shared" si="13"/>
        <v>77380.67126540732</v>
      </c>
      <c r="AG287" s="128">
        <v>49988</v>
      </c>
      <c r="AH287" s="128">
        <f t="shared" si="14"/>
        <v>1547.9849416941531</v>
      </c>
      <c r="AI287" t="s">
        <v>467</v>
      </c>
      <c r="AM287" t="s">
        <v>190</v>
      </c>
      <c r="AN287" s="128">
        <v>1652.2845276514715</v>
      </c>
      <c r="AO287" t="s">
        <v>118</v>
      </c>
    </row>
    <row r="288" spans="1:41" x14ac:dyDescent="0.25">
      <c r="A288" t="s">
        <v>526</v>
      </c>
      <c r="B288" t="s">
        <v>423</v>
      </c>
      <c r="C288" s="128">
        <v>33911</v>
      </c>
      <c r="D288" s="128">
        <v>0</v>
      </c>
      <c r="E288" s="128">
        <v>529</v>
      </c>
      <c r="F288" s="128">
        <v>1655</v>
      </c>
      <c r="G288" s="128">
        <v>7380</v>
      </c>
      <c r="H288" s="128">
        <v>2772</v>
      </c>
      <c r="I288" s="128">
        <v>944</v>
      </c>
      <c r="J288" s="128">
        <v>1152</v>
      </c>
      <c r="K288" s="128">
        <v>214</v>
      </c>
      <c r="L288" s="128">
        <v>640</v>
      </c>
      <c r="M288" s="128">
        <v>2003</v>
      </c>
      <c r="N288" s="128">
        <v>8348</v>
      </c>
      <c r="O288" s="128">
        <v>5296</v>
      </c>
      <c r="P288" s="128">
        <v>2589</v>
      </c>
      <c r="Q288" s="128">
        <v>389</v>
      </c>
      <c r="R288" s="128"/>
      <c r="S288" t="s">
        <v>423</v>
      </c>
      <c r="T288" s="128">
        <f t="shared" si="12"/>
        <v>31727</v>
      </c>
      <c r="U288" s="128">
        <v>24771</v>
      </c>
      <c r="V288" s="128">
        <v>17913067.618133374</v>
      </c>
      <c r="W288" s="128">
        <v>1048</v>
      </c>
      <c r="X288" s="128">
        <v>1984</v>
      </c>
      <c r="Y288" s="128">
        <v>0</v>
      </c>
      <c r="Z288" s="128">
        <v>109</v>
      </c>
      <c r="AA288" s="128">
        <v>280</v>
      </c>
      <c r="AB288" s="128">
        <v>48</v>
      </c>
      <c r="AC288" s="128">
        <v>1481</v>
      </c>
      <c r="AD288" s="128">
        <v>685</v>
      </c>
      <c r="AE288" s="128">
        <v>21</v>
      </c>
      <c r="AF288" s="128">
        <f t="shared" si="13"/>
        <v>19213.067618133373</v>
      </c>
      <c r="AG288" s="128">
        <v>10124</v>
      </c>
      <c r="AH288" s="128">
        <f t="shared" si="14"/>
        <v>1897.7743597524075</v>
      </c>
      <c r="AI288" t="s">
        <v>441</v>
      </c>
      <c r="AM288" t="s">
        <v>225</v>
      </c>
      <c r="AN288" s="128">
        <v>2140.5347004356577</v>
      </c>
      <c r="AO288" t="s">
        <v>118</v>
      </c>
    </row>
    <row r="289" spans="1:41" x14ac:dyDescent="0.25">
      <c r="A289" t="s">
        <v>526</v>
      </c>
      <c r="B289" t="s">
        <v>424</v>
      </c>
      <c r="C289" s="128">
        <v>54545</v>
      </c>
      <c r="D289" s="128">
        <v>166</v>
      </c>
      <c r="E289" s="128">
        <v>261</v>
      </c>
      <c r="F289" s="128">
        <v>4597</v>
      </c>
      <c r="G289" s="128">
        <v>10139</v>
      </c>
      <c r="H289" s="128">
        <v>1948</v>
      </c>
      <c r="I289" s="128">
        <v>1821</v>
      </c>
      <c r="J289" s="128">
        <v>2906</v>
      </c>
      <c r="K289" s="128">
        <v>2408</v>
      </c>
      <c r="L289" s="128">
        <v>1015</v>
      </c>
      <c r="M289" s="128">
        <v>3144</v>
      </c>
      <c r="N289" s="128">
        <v>7899</v>
      </c>
      <c r="O289" s="128">
        <v>13313</v>
      </c>
      <c r="P289" s="128">
        <v>3869</v>
      </c>
      <c r="Q289" s="128">
        <v>1225</v>
      </c>
      <c r="R289" s="128"/>
      <c r="S289" t="s">
        <v>424</v>
      </c>
      <c r="T289" s="128">
        <f t="shared" si="12"/>
        <v>49521</v>
      </c>
      <c r="U289" s="128">
        <v>32611</v>
      </c>
      <c r="V289" s="128">
        <v>26488962.347060118</v>
      </c>
      <c r="W289" s="128">
        <v>2848</v>
      </c>
      <c r="X289" s="128">
        <v>1070</v>
      </c>
      <c r="Y289" s="128">
        <v>152</v>
      </c>
      <c r="Z289" s="128">
        <v>175</v>
      </c>
      <c r="AA289" s="128">
        <v>294</v>
      </c>
      <c r="AB289" s="128">
        <v>344</v>
      </c>
      <c r="AC289" s="128">
        <v>2200</v>
      </c>
      <c r="AD289" s="128">
        <v>2932</v>
      </c>
      <c r="AE289" s="128">
        <v>122</v>
      </c>
      <c r="AF289" s="128">
        <f t="shared" si="13"/>
        <v>33261.962347060122</v>
      </c>
      <c r="AG289" s="128">
        <v>16172</v>
      </c>
      <c r="AH289" s="128">
        <f t="shared" si="14"/>
        <v>2056.7624503499951</v>
      </c>
      <c r="AI289" t="s">
        <v>118</v>
      </c>
      <c r="AM289" t="s">
        <v>479</v>
      </c>
      <c r="AN289" s="128">
        <v>2121.7263802439124</v>
      </c>
      <c r="AO289" t="s">
        <v>118</v>
      </c>
    </row>
    <row r="290" spans="1:41" x14ac:dyDescent="0.25">
      <c r="A290" t="s">
        <v>517</v>
      </c>
      <c r="B290" t="s">
        <v>393</v>
      </c>
      <c r="C290" s="128">
        <v>85844</v>
      </c>
      <c r="D290" s="128">
        <v>2030</v>
      </c>
      <c r="E290" s="128">
        <v>737</v>
      </c>
      <c r="F290" s="128">
        <v>4387</v>
      </c>
      <c r="G290" s="128">
        <v>14361</v>
      </c>
      <c r="H290" s="128">
        <v>11698</v>
      </c>
      <c r="I290" s="128">
        <v>1797</v>
      </c>
      <c r="J290" s="128">
        <v>1794</v>
      </c>
      <c r="K290" s="128">
        <v>869</v>
      </c>
      <c r="L290" s="128">
        <v>2629</v>
      </c>
      <c r="M290" s="128">
        <v>6628</v>
      </c>
      <c r="N290" s="128">
        <v>14622</v>
      </c>
      <c r="O290" s="128">
        <v>18011</v>
      </c>
      <c r="P290" s="128">
        <v>5771</v>
      </c>
      <c r="Q290" s="128">
        <v>588</v>
      </c>
      <c r="R290" s="128"/>
      <c r="S290" t="s">
        <v>393</v>
      </c>
      <c r="T290" s="128">
        <f t="shared" si="12"/>
        <v>78690</v>
      </c>
      <c r="U290" s="128">
        <v>62122</v>
      </c>
      <c r="V290" s="128">
        <v>49074299.878246099</v>
      </c>
      <c r="W290" s="128">
        <v>3247</v>
      </c>
      <c r="X290" s="128">
        <v>4410</v>
      </c>
      <c r="Y290" s="128">
        <v>188</v>
      </c>
      <c r="Z290" s="128">
        <v>274</v>
      </c>
      <c r="AA290" s="128">
        <v>620</v>
      </c>
      <c r="AB290" s="128">
        <v>187</v>
      </c>
      <c r="AC290" s="128">
        <v>0</v>
      </c>
      <c r="AD290" s="128">
        <v>746</v>
      </c>
      <c r="AE290" s="128">
        <v>293</v>
      </c>
      <c r="AF290" s="128">
        <f t="shared" si="13"/>
        <v>55677.299878246093</v>
      </c>
      <c r="AG290" s="128">
        <v>31231</v>
      </c>
      <c r="AH290" s="128">
        <f t="shared" si="14"/>
        <v>1782.7575126715792</v>
      </c>
      <c r="AI290" t="s">
        <v>118</v>
      </c>
      <c r="AM290" t="s">
        <v>604</v>
      </c>
      <c r="AN290" s="128">
        <v>2483.3642646021935</v>
      </c>
      <c r="AO290" t="s">
        <v>118</v>
      </c>
    </row>
    <row r="291" spans="1:41" x14ac:dyDescent="0.25">
      <c r="A291" t="s">
        <v>525</v>
      </c>
      <c r="B291" t="s">
        <v>126</v>
      </c>
      <c r="C291" s="128">
        <v>109548</v>
      </c>
      <c r="D291" s="128">
        <v>1986</v>
      </c>
      <c r="E291" s="128">
        <v>580</v>
      </c>
      <c r="F291" s="128">
        <v>3196</v>
      </c>
      <c r="G291" s="128">
        <v>19388</v>
      </c>
      <c r="H291" s="128">
        <v>10549</v>
      </c>
      <c r="I291" s="128">
        <v>1810</v>
      </c>
      <c r="J291" s="128">
        <v>2632</v>
      </c>
      <c r="K291" s="128">
        <v>2446</v>
      </c>
      <c r="L291" s="128">
        <v>2671</v>
      </c>
      <c r="M291" s="128">
        <v>4933</v>
      </c>
      <c r="N291" s="128">
        <v>27975</v>
      </c>
      <c r="O291" s="128">
        <v>25678</v>
      </c>
      <c r="P291" s="128">
        <v>4954</v>
      </c>
      <c r="Q291" s="128">
        <v>880</v>
      </c>
      <c r="R291" s="128"/>
      <c r="S291" t="s">
        <v>126</v>
      </c>
      <c r="T291" s="128">
        <f t="shared" si="12"/>
        <v>103786</v>
      </c>
      <c r="U291" s="128">
        <v>84225</v>
      </c>
      <c r="V291" s="128">
        <v>57171675.252328083</v>
      </c>
      <c r="W291" s="128">
        <v>2029</v>
      </c>
      <c r="X291" s="128">
        <v>3682</v>
      </c>
      <c r="Y291" s="128">
        <v>83</v>
      </c>
      <c r="Z291" s="128">
        <v>315</v>
      </c>
      <c r="AA291" s="128">
        <v>402</v>
      </c>
      <c r="AB291" s="128">
        <v>45</v>
      </c>
      <c r="AC291" s="128">
        <v>0</v>
      </c>
      <c r="AD291" s="128">
        <v>0</v>
      </c>
      <c r="AE291" s="128">
        <v>196</v>
      </c>
      <c r="AF291" s="128">
        <f t="shared" si="13"/>
        <v>69980.675252328074</v>
      </c>
      <c r="AG291" s="128">
        <v>27472</v>
      </c>
      <c r="AH291" s="128">
        <f t="shared" si="14"/>
        <v>2547.3454882181154</v>
      </c>
      <c r="AI291" t="s">
        <v>441</v>
      </c>
      <c r="AM291" t="s">
        <v>335</v>
      </c>
      <c r="AN291" s="128">
        <v>2131.5076487252977</v>
      </c>
      <c r="AO291" t="s">
        <v>118</v>
      </c>
    </row>
    <row r="292" spans="1:41" x14ac:dyDescent="0.25">
      <c r="A292" t="s">
        <v>524</v>
      </c>
      <c r="B292" t="s">
        <v>233</v>
      </c>
      <c r="C292" s="128">
        <v>199138</v>
      </c>
      <c r="D292" s="128">
        <v>8784</v>
      </c>
      <c r="E292" s="128">
        <v>1585</v>
      </c>
      <c r="F292" s="128">
        <v>9678</v>
      </c>
      <c r="G292" s="128">
        <v>40306</v>
      </c>
      <c r="H292" s="128">
        <v>12039</v>
      </c>
      <c r="I292" s="128">
        <v>4137</v>
      </c>
      <c r="J292" s="128">
        <v>6817</v>
      </c>
      <c r="K292" s="128">
        <v>1797</v>
      </c>
      <c r="L292" s="128">
        <v>5545</v>
      </c>
      <c r="M292" s="128">
        <v>16391</v>
      </c>
      <c r="N292" s="128">
        <v>30659</v>
      </c>
      <c r="O292" s="128">
        <v>45687</v>
      </c>
      <c r="P292" s="128">
        <v>14069</v>
      </c>
      <c r="Q292" s="128">
        <v>1956</v>
      </c>
      <c r="R292" s="128"/>
      <c r="S292" t="s">
        <v>233</v>
      </c>
      <c r="T292" s="128">
        <f t="shared" si="12"/>
        <v>179091</v>
      </c>
      <c r="U292" s="128">
        <v>143121</v>
      </c>
      <c r="V292" s="128">
        <v>112154615.668337</v>
      </c>
      <c r="W292" s="128">
        <v>3437</v>
      </c>
      <c r="X292" s="128">
        <v>8251</v>
      </c>
      <c r="Y292" s="128">
        <v>790</v>
      </c>
      <c r="Z292" s="128">
        <v>983</v>
      </c>
      <c r="AA292" s="128">
        <v>1687</v>
      </c>
      <c r="AB292" s="128">
        <v>74</v>
      </c>
      <c r="AC292" s="128">
        <v>110</v>
      </c>
      <c r="AD292" s="128">
        <v>2244</v>
      </c>
      <c r="AE292" s="128">
        <v>125</v>
      </c>
      <c r="AF292" s="128">
        <f t="shared" si="13"/>
        <v>130423.61566833701</v>
      </c>
      <c r="AG292" s="128">
        <v>67666</v>
      </c>
      <c r="AH292" s="128">
        <f t="shared" si="14"/>
        <v>1927.4615858531167</v>
      </c>
      <c r="AI292" t="s">
        <v>441</v>
      </c>
      <c r="AM292" t="s">
        <v>114</v>
      </c>
      <c r="AN292" s="128">
        <v>1764.2728237663025</v>
      </c>
      <c r="AO292" t="s">
        <v>118</v>
      </c>
    </row>
    <row r="293" spans="1:41" x14ac:dyDescent="0.25">
      <c r="A293" t="s">
        <v>528</v>
      </c>
      <c r="B293" t="s">
        <v>341</v>
      </c>
      <c r="C293" s="128">
        <v>74027</v>
      </c>
      <c r="D293" s="128">
        <v>5403</v>
      </c>
      <c r="E293" s="128">
        <v>633</v>
      </c>
      <c r="F293" s="128">
        <v>3164</v>
      </c>
      <c r="G293" s="128">
        <v>16259</v>
      </c>
      <c r="H293" s="128">
        <v>6729</v>
      </c>
      <c r="I293" s="128">
        <v>2405</v>
      </c>
      <c r="J293" s="128">
        <v>5794</v>
      </c>
      <c r="K293" s="128">
        <v>1297</v>
      </c>
      <c r="L293" s="128">
        <v>1829</v>
      </c>
      <c r="M293" s="128">
        <v>6567</v>
      </c>
      <c r="N293" s="128">
        <v>5290</v>
      </c>
      <c r="O293" s="128">
        <v>12256</v>
      </c>
      <c r="P293" s="128">
        <v>5837</v>
      </c>
      <c r="Q293" s="128">
        <v>629</v>
      </c>
      <c r="R293" s="128"/>
      <c r="S293" t="s">
        <v>341</v>
      </c>
      <c r="T293" s="128">
        <f t="shared" si="12"/>
        <v>64827</v>
      </c>
      <c r="U293" s="128">
        <v>33938</v>
      </c>
      <c r="V293" s="128">
        <v>29381413.87232228</v>
      </c>
      <c r="W293" s="128">
        <v>2580</v>
      </c>
      <c r="X293" s="128">
        <v>3753</v>
      </c>
      <c r="Y293" s="128">
        <v>510</v>
      </c>
      <c r="Z293" s="128">
        <v>261</v>
      </c>
      <c r="AA293" s="128">
        <v>891</v>
      </c>
      <c r="AB293" s="128">
        <v>258</v>
      </c>
      <c r="AC293" s="128">
        <v>8902</v>
      </c>
      <c r="AD293" s="128">
        <v>6530</v>
      </c>
      <c r="AE293" s="128">
        <v>463</v>
      </c>
      <c r="AF293" s="128">
        <f t="shared" si="13"/>
        <v>36122.413872322279</v>
      </c>
      <c r="AG293" s="128">
        <v>21850</v>
      </c>
      <c r="AH293" s="128">
        <f t="shared" si="14"/>
        <v>1653.1997195570837</v>
      </c>
      <c r="AI293" t="s">
        <v>467</v>
      </c>
      <c r="AM293" t="s">
        <v>432</v>
      </c>
      <c r="AN293" s="128">
        <v>1973.3450234483746</v>
      </c>
      <c r="AO293" t="s">
        <v>118</v>
      </c>
    </row>
    <row r="294" spans="1:41" x14ac:dyDescent="0.25">
      <c r="A294" t="s">
        <v>524</v>
      </c>
      <c r="B294" t="s">
        <v>394</v>
      </c>
      <c r="C294" s="128">
        <v>136603</v>
      </c>
      <c r="D294" s="128">
        <v>17607</v>
      </c>
      <c r="E294" s="128">
        <v>2435</v>
      </c>
      <c r="F294" s="128">
        <v>5478</v>
      </c>
      <c r="G294" s="128">
        <v>27205</v>
      </c>
      <c r="H294" s="128">
        <v>6028</v>
      </c>
      <c r="I294" s="128">
        <v>2731</v>
      </c>
      <c r="J294" s="128">
        <v>4195</v>
      </c>
      <c r="K294" s="128">
        <v>9119</v>
      </c>
      <c r="L294" s="128">
        <v>2561</v>
      </c>
      <c r="M294" s="128">
        <v>8641</v>
      </c>
      <c r="N294" s="128">
        <v>14785</v>
      </c>
      <c r="O294" s="128">
        <v>26753</v>
      </c>
      <c r="P294" s="128">
        <v>9437</v>
      </c>
      <c r="Q294" s="128">
        <v>1079</v>
      </c>
      <c r="R294" s="128"/>
      <c r="S294" t="s">
        <v>394</v>
      </c>
      <c r="T294" s="128">
        <f t="shared" si="12"/>
        <v>111083</v>
      </c>
      <c r="U294" s="128">
        <v>78257</v>
      </c>
      <c r="V294" s="128">
        <v>63496406.62815816</v>
      </c>
      <c r="W294" s="128">
        <v>3632</v>
      </c>
      <c r="X294" s="128">
        <v>4918</v>
      </c>
      <c r="Y294" s="128">
        <v>132</v>
      </c>
      <c r="Z294" s="128">
        <v>516</v>
      </c>
      <c r="AA294" s="128">
        <v>1315</v>
      </c>
      <c r="AB294" s="128">
        <v>78</v>
      </c>
      <c r="AC294" s="128">
        <v>335</v>
      </c>
      <c r="AD294" s="128">
        <v>819</v>
      </c>
      <c r="AE294" s="128">
        <v>127</v>
      </c>
      <c r="AF294" s="128">
        <f t="shared" si="13"/>
        <v>84450.406628158162</v>
      </c>
      <c r="AG294" s="128">
        <v>45813</v>
      </c>
      <c r="AH294" s="128">
        <f t="shared" si="14"/>
        <v>1843.3721133337299</v>
      </c>
      <c r="AI294" t="s">
        <v>467</v>
      </c>
      <c r="AM294" t="s">
        <v>310</v>
      </c>
      <c r="AN294" s="128">
        <v>1705.4872991475397</v>
      </c>
      <c r="AO294" t="s">
        <v>118</v>
      </c>
    </row>
    <row r="295" spans="1:41" x14ac:dyDescent="0.25">
      <c r="A295" t="s">
        <v>518</v>
      </c>
      <c r="B295" t="s">
        <v>276</v>
      </c>
      <c r="C295" s="128">
        <v>196342</v>
      </c>
      <c r="D295" s="128">
        <v>2289</v>
      </c>
      <c r="E295" s="128">
        <v>2132</v>
      </c>
      <c r="F295" s="128">
        <v>11704</v>
      </c>
      <c r="G295" s="128">
        <v>41268</v>
      </c>
      <c r="H295" s="128">
        <v>13888</v>
      </c>
      <c r="I295" s="128">
        <v>7688</v>
      </c>
      <c r="J295" s="128">
        <v>5127</v>
      </c>
      <c r="K295" s="128">
        <v>2073</v>
      </c>
      <c r="L295" s="128">
        <v>4398</v>
      </c>
      <c r="M295" s="128">
        <v>12784</v>
      </c>
      <c r="N295" s="128">
        <v>32310</v>
      </c>
      <c r="O295" s="128">
        <v>43570</v>
      </c>
      <c r="P295" s="128">
        <v>16249</v>
      </c>
      <c r="Q295" s="128">
        <v>1011</v>
      </c>
      <c r="R295" s="128"/>
      <c r="S295" t="s">
        <v>276</v>
      </c>
      <c r="T295" s="128">
        <f t="shared" si="12"/>
        <v>180217</v>
      </c>
      <c r="U295" s="128">
        <v>136595</v>
      </c>
      <c r="V295" s="128">
        <v>108269910.98567009</v>
      </c>
      <c r="W295" s="128">
        <v>5725</v>
      </c>
      <c r="X295" s="128">
        <v>12129</v>
      </c>
      <c r="Y295" s="128">
        <v>342</v>
      </c>
      <c r="Z295" s="128">
        <v>693</v>
      </c>
      <c r="AA295" s="128">
        <v>1786</v>
      </c>
      <c r="AB295" s="128">
        <v>109</v>
      </c>
      <c r="AC295" s="128">
        <v>1045</v>
      </c>
      <c r="AD295" s="128">
        <v>382</v>
      </c>
      <c r="AE295" s="128">
        <v>788</v>
      </c>
      <c r="AF295" s="128">
        <f t="shared" si="13"/>
        <v>128892.91098567011</v>
      </c>
      <c r="AG295" s="128">
        <v>68473</v>
      </c>
      <c r="AH295" s="128">
        <f t="shared" si="14"/>
        <v>1882.3902996169309</v>
      </c>
      <c r="AI295" t="s">
        <v>118</v>
      </c>
      <c r="AM295" t="s">
        <v>153</v>
      </c>
      <c r="AN295" s="128">
        <v>2008.0486816981736</v>
      </c>
      <c r="AO295" t="s">
        <v>118</v>
      </c>
    </row>
    <row r="296" spans="1:41" x14ac:dyDescent="0.25">
      <c r="A296" t="s">
        <v>526</v>
      </c>
      <c r="B296" t="s">
        <v>425</v>
      </c>
      <c r="C296" s="128">
        <v>450845</v>
      </c>
      <c r="D296" s="128">
        <v>35496</v>
      </c>
      <c r="E296" s="128">
        <v>9021</v>
      </c>
      <c r="F296" s="128">
        <v>13380</v>
      </c>
      <c r="G296" s="128">
        <v>83454</v>
      </c>
      <c r="H296" s="128">
        <v>42571</v>
      </c>
      <c r="I296" s="128">
        <v>9607</v>
      </c>
      <c r="J296" s="128">
        <v>11257</v>
      </c>
      <c r="K296" s="128">
        <v>7860</v>
      </c>
      <c r="L296" s="128">
        <v>11863</v>
      </c>
      <c r="M296" s="128">
        <v>20243</v>
      </c>
      <c r="N296" s="128">
        <v>71493</v>
      </c>
      <c r="O296" s="128">
        <v>111026</v>
      </c>
      <c r="P296" s="128">
        <v>21184</v>
      </c>
      <c r="Q296" s="128">
        <v>4465</v>
      </c>
      <c r="R296" s="128"/>
      <c r="S296" t="s">
        <v>425</v>
      </c>
      <c r="T296" s="128">
        <f t="shared" si="12"/>
        <v>392948</v>
      </c>
      <c r="U296" s="128">
        <v>313079</v>
      </c>
      <c r="V296" s="128">
        <v>187138160.84012946</v>
      </c>
      <c r="W296" s="128">
        <v>8018</v>
      </c>
      <c r="X296" s="128">
        <v>10639</v>
      </c>
      <c r="Y296" s="128">
        <v>394</v>
      </c>
      <c r="Z296" s="128">
        <v>1277</v>
      </c>
      <c r="AA296" s="128">
        <v>3644</v>
      </c>
      <c r="AB296" s="128">
        <v>1018</v>
      </c>
      <c r="AC296" s="128">
        <v>2127</v>
      </c>
      <c r="AD296" s="128">
        <v>2926</v>
      </c>
      <c r="AE296" s="128">
        <v>1223</v>
      </c>
      <c r="AF296" s="128">
        <f t="shared" si="13"/>
        <v>235741.16084012948</v>
      </c>
      <c r="AG296" s="128">
        <v>102128</v>
      </c>
      <c r="AH296" s="128">
        <f t="shared" si="14"/>
        <v>2308.2911722556937</v>
      </c>
      <c r="AI296" t="s">
        <v>441</v>
      </c>
      <c r="AM296" t="s">
        <v>196</v>
      </c>
      <c r="AN296" s="128">
        <v>1672.8825791261902</v>
      </c>
      <c r="AO296" t="s">
        <v>118</v>
      </c>
    </row>
    <row r="297" spans="1:41" x14ac:dyDescent="0.25">
      <c r="A297" t="s">
        <v>526</v>
      </c>
      <c r="B297" t="s">
        <v>426</v>
      </c>
      <c r="C297" s="128">
        <v>130590</v>
      </c>
      <c r="D297" s="128">
        <v>-4842</v>
      </c>
      <c r="E297" s="128">
        <v>3069</v>
      </c>
      <c r="F297" s="128">
        <v>7257</v>
      </c>
      <c r="G297" s="128">
        <v>32702</v>
      </c>
      <c r="H297" s="128">
        <v>7287</v>
      </c>
      <c r="I297" s="128">
        <v>3597</v>
      </c>
      <c r="J297" s="128">
        <v>4535</v>
      </c>
      <c r="K297" s="128">
        <v>1076</v>
      </c>
      <c r="L297" s="128">
        <v>3893</v>
      </c>
      <c r="M297" s="128">
        <v>7496</v>
      </c>
      <c r="N297" s="128">
        <v>27072</v>
      </c>
      <c r="O297" s="128">
        <v>27636</v>
      </c>
      <c r="P297" s="128">
        <v>9379</v>
      </c>
      <c r="Q297" s="128">
        <v>563</v>
      </c>
      <c r="R297" s="128"/>
      <c r="S297" t="s">
        <v>426</v>
      </c>
      <c r="T297" s="128">
        <f t="shared" si="12"/>
        <v>125106</v>
      </c>
      <c r="U297" s="128">
        <v>97911</v>
      </c>
      <c r="V297" s="128">
        <v>72311759.101721093</v>
      </c>
      <c r="W297" s="128">
        <v>4446</v>
      </c>
      <c r="X297" s="128">
        <v>4877</v>
      </c>
      <c r="Y297" s="128">
        <v>19</v>
      </c>
      <c r="Z297" s="128">
        <v>370</v>
      </c>
      <c r="AA297" s="128">
        <v>953</v>
      </c>
      <c r="AB297" s="128">
        <v>556</v>
      </c>
      <c r="AC297" s="128">
        <v>555</v>
      </c>
      <c r="AD297" s="128">
        <v>492</v>
      </c>
      <c r="AE297" s="128">
        <v>440</v>
      </c>
      <c r="AF297" s="128">
        <f t="shared" si="13"/>
        <v>86798.759101721094</v>
      </c>
      <c r="AG297" s="128">
        <v>43972</v>
      </c>
      <c r="AH297" s="128">
        <f t="shared" si="14"/>
        <v>1973.955223817909</v>
      </c>
      <c r="AI297" t="s">
        <v>441</v>
      </c>
      <c r="AM297" t="s">
        <v>382</v>
      </c>
      <c r="AN297" s="128">
        <v>1700.2538160612432</v>
      </c>
      <c r="AO297" t="s">
        <v>118</v>
      </c>
    </row>
    <row r="298" spans="1:41" x14ac:dyDescent="0.25">
      <c r="A298" t="s">
        <v>524</v>
      </c>
      <c r="B298" t="s">
        <v>605</v>
      </c>
      <c r="C298" s="128">
        <v>167632</v>
      </c>
      <c r="D298" s="128">
        <v>18143</v>
      </c>
      <c r="E298" s="128">
        <v>1362</v>
      </c>
      <c r="F298" s="128">
        <v>7878</v>
      </c>
      <c r="G298" s="128">
        <v>31156</v>
      </c>
      <c r="H298" s="128">
        <v>11154</v>
      </c>
      <c r="I298" s="128">
        <v>4483</v>
      </c>
      <c r="J298" s="128">
        <v>5431</v>
      </c>
      <c r="K298" s="128">
        <v>3415</v>
      </c>
      <c r="L298" s="128">
        <v>6164</v>
      </c>
      <c r="M298" s="128">
        <v>7616</v>
      </c>
      <c r="N298" s="128">
        <v>22405</v>
      </c>
      <c r="O298" s="128">
        <v>33370</v>
      </c>
      <c r="P298" s="128">
        <v>13372</v>
      </c>
      <c r="Q298" s="128">
        <v>1957</v>
      </c>
      <c r="R298" s="128"/>
      <c r="S298" t="s">
        <v>605</v>
      </c>
      <c r="T298" s="128">
        <f t="shared" si="12"/>
        <v>140249</v>
      </c>
      <c r="U298" s="128">
        <v>111017</v>
      </c>
      <c r="V298" s="128">
        <v>88033407.730552718</v>
      </c>
      <c r="W298" s="128">
        <v>5253</v>
      </c>
      <c r="X298" s="128">
        <v>9271</v>
      </c>
      <c r="Y298" s="128">
        <v>893</v>
      </c>
      <c r="Z298" s="128">
        <v>672</v>
      </c>
      <c r="AA298" s="128">
        <v>2432</v>
      </c>
      <c r="AB298" s="128">
        <v>354</v>
      </c>
      <c r="AC298" s="128">
        <v>229</v>
      </c>
      <c r="AD298" s="128">
        <v>531</v>
      </c>
      <c r="AE298" s="128">
        <v>103</v>
      </c>
      <c r="AF298" s="128">
        <f t="shared" si="13"/>
        <v>97527.407730552717</v>
      </c>
      <c r="AG298" s="128">
        <v>58791</v>
      </c>
      <c r="AH298" s="128">
        <f t="shared" si="14"/>
        <v>1658.8832938809123</v>
      </c>
      <c r="AI298" t="s">
        <v>118</v>
      </c>
      <c r="AM298" t="s">
        <v>133</v>
      </c>
      <c r="AN298" s="128">
        <v>2267.4094508200315</v>
      </c>
      <c r="AO298" t="s">
        <v>118</v>
      </c>
    </row>
    <row r="299" spans="1:41" x14ac:dyDescent="0.25">
      <c r="A299" t="s">
        <v>521</v>
      </c>
      <c r="B299" s="86" t="s">
        <v>320</v>
      </c>
      <c r="C299" s="128">
        <v>277765</v>
      </c>
      <c r="D299" s="128">
        <v>3293</v>
      </c>
      <c r="E299" s="128">
        <v>3528</v>
      </c>
      <c r="F299" s="128">
        <v>11942</v>
      </c>
      <c r="G299" s="128">
        <v>41534</v>
      </c>
      <c r="H299" s="128">
        <v>0</v>
      </c>
      <c r="I299" s="128">
        <v>10508</v>
      </c>
      <c r="J299" s="128">
        <v>9408</v>
      </c>
      <c r="K299" s="128">
        <v>1983</v>
      </c>
      <c r="L299" s="128">
        <v>8942</v>
      </c>
      <c r="M299" s="128">
        <v>19047</v>
      </c>
      <c r="N299" s="128">
        <v>66791</v>
      </c>
      <c r="O299" s="128">
        <v>86039</v>
      </c>
      <c r="P299" s="128">
        <v>18091</v>
      </c>
      <c r="Q299" s="128">
        <v>8573</v>
      </c>
      <c r="R299" s="128"/>
      <c r="S299" t="s">
        <v>320</v>
      </c>
      <c r="T299" s="128">
        <f t="shared" si="12"/>
        <v>259002</v>
      </c>
      <c r="U299" s="128">
        <v>208896</v>
      </c>
      <c r="V299" s="128">
        <v>143869914.63317156</v>
      </c>
      <c r="W299" s="128">
        <v>6461</v>
      </c>
      <c r="X299" s="128">
        <v>11663</v>
      </c>
      <c r="Y299" s="128">
        <v>782</v>
      </c>
      <c r="Z299" s="128">
        <v>750</v>
      </c>
      <c r="AA299" s="128">
        <v>1342</v>
      </c>
      <c r="AB299" s="128">
        <v>1411</v>
      </c>
      <c r="AC299" s="128">
        <v>334</v>
      </c>
      <c r="AD299" s="128">
        <v>2598</v>
      </c>
      <c r="AE299" s="128">
        <v>5944</v>
      </c>
      <c r="AF299" s="128">
        <f t="shared" si="13"/>
        <v>162690.91463317155</v>
      </c>
      <c r="AG299" s="128">
        <v>74159</v>
      </c>
      <c r="AH299" s="128">
        <f t="shared" si="14"/>
        <v>2193.8121419270965</v>
      </c>
      <c r="AI299" t="s">
        <v>118</v>
      </c>
      <c r="AM299" t="s">
        <v>134</v>
      </c>
      <c r="AN299" s="128">
        <v>1877.5736363182216</v>
      </c>
      <c r="AO299" t="s">
        <v>118</v>
      </c>
    </row>
    <row r="300" spans="1:41" x14ac:dyDescent="0.25">
      <c r="A300" t="s">
        <v>520</v>
      </c>
      <c r="B300" t="s">
        <v>139</v>
      </c>
      <c r="C300" s="128">
        <v>9236</v>
      </c>
      <c r="D300" s="128">
        <v>0</v>
      </c>
      <c r="E300" s="128">
        <v>386</v>
      </c>
      <c r="F300" s="128">
        <v>812</v>
      </c>
      <c r="G300" s="128">
        <v>2746</v>
      </c>
      <c r="H300" s="128">
        <v>1572</v>
      </c>
      <c r="I300" s="128">
        <v>314</v>
      </c>
      <c r="J300" s="128">
        <v>351</v>
      </c>
      <c r="K300" s="128">
        <v>210</v>
      </c>
      <c r="L300" s="128">
        <v>134</v>
      </c>
      <c r="M300" s="128">
        <v>1004</v>
      </c>
      <c r="N300" s="128">
        <v>170</v>
      </c>
      <c r="O300" s="128">
        <v>662</v>
      </c>
      <c r="P300" s="128">
        <v>557</v>
      </c>
      <c r="Q300" s="128">
        <v>318</v>
      </c>
      <c r="R300" s="128"/>
      <c r="S300" t="s">
        <v>139</v>
      </c>
      <c r="T300" s="128">
        <f t="shared" si="12"/>
        <v>8038</v>
      </c>
      <c r="U300" s="128">
        <v>3631</v>
      </c>
      <c r="V300" s="128">
        <v>3501953.5614128532</v>
      </c>
      <c r="W300" s="128">
        <v>214</v>
      </c>
      <c r="X300" s="128">
        <v>525</v>
      </c>
      <c r="Y300" s="128">
        <v>15</v>
      </c>
      <c r="Z300" s="128">
        <v>108</v>
      </c>
      <c r="AA300" s="128">
        <v>52</v>
      </c>
      <c r="AB300" s="128">
        <v>0</v>
      </c>
      <c r="AC300" s="128">
        <v>1737</v>
      </c>
      <c r="AD300" s="128">
        <v>0</v>
      </c>
      <c r="AE300" s="128">
        <v>43</v>
      </c>
      <c r="AF300" s="128">
        <f t="shared" si="13"/>
        <v>5214.9535614128527</v>
      </c>
      <c r="AG300" s="128">
        <v>1196</v>
      </c>
      <c r="AH300" s="128">
        <f t="shared" si="14"/>
        <v>4360.3290647264648</v>
      </c>
      <c r="AI300" t="s">
        <v>118</v>
      </c>
      <c r="AM300" t="s">
        <v>197</v>
      </c>
      <c r="AN300" s="128">
        <v>1962.0402659349054</v>
      </c>
      <c r="AO300" t="s">
        <v>118</v>
      </c>
    </row>
    <row r="301" spans="1:41" x14ac:dyDescent="0.25">
      <c r="A301" t="s">
        <v>528</v>
      </c>
      <c r="B301" t="s">
        <v>342</v>
      </c>
      <c r="C301" s="128">
        <v>258787</v>
      </c>
      <c r="D301" s="128">
        <v>22232</v>
      </c>
      <c r="E301" s="128">
        <v>4675</v>
      </c>
      <c r="F301" s="128">
        <v>8011</v>
      </c>
      <c r="G301" s="128">
        <v>33411</v>
      </c>
      <c r="H301" s="128">
        <v>11356</v>
      </c>
      <c r="I301" s="128">
        <v>4003</v>
      </c>
      <c r="J301" s="128">
        <v>6051</v>
      </c>
      <c r="K301" s="128">
        <v>2112</v>
      </c>
      <c r="L301" s="128">
        <v>5724</v>
      </c>
      <c r="M301" s="128">
        <v>6216</v>
      </c>
      <c r="N301" s="128">
        <v>48757</v>
      </c>
      <c r="O301" s="128">
        <v>98104</v>
      </c>
      <c r="P301" s="128">
        <v>10259</v>
      </c>
      <c r="Q301" s="128">
        <v>2207</v>
      </c>
      <c r="R301" s="128"/>
      <c r="S301" t="s">
        <v>342</v>
      </c>
      <c r="T301" s="128">
        <f t="shared" si="12"/>
        <v>223869</v>
      </c>
      <c r="U301" s="128">
        <v>184148</v>
      </c>
      <c r="V301" s="128">
        <v>87331216.058600917</v>
      </c>
      <c r="W301" s="128">
        <v>6641</v>
      </c>
      <c r="X301" s="128">
        <v>7562</v>
      </c>
      <c r="Y301" s="128">
        <v>553</v>
      </c>
      <c r="Z301" s="128">
        <v>793</v>
      </c>
      <c r="AA301" s="128">
        <v>1543</v>
      </c>
      <c r="AB301" s="128">
        <v>764</v>
      </c>
      <c r="AC301" s="128">
        <v>567</v>
      </c>
      <c r="AD301" s="128">
        <v>3116</v>
      </c>
      <c r="AE301" s="128">
        <v>276</v>
      </c>
      <c r="AF301" s="128">
        <f t="shared" si="13"/>
        <v>105237.21605860091</v>
      </c>
      <c r="AG301" s="128">
        <v>44565</v>
      </c>
      <c r="AH301" s="128">
        <f t="shared" si="14"/>
        <v>2361.4319770806892</v>
      </c>
      <c r="AI301" t="s">
        <v>441</v>
      </c>
      <c r="AM301" t="s">
        <v>270</v>
      </c>
      <c r="AN301" s="128">
        <v>2145.6859432140086</v>
      </c>
      <c r="AO301" t="s">
        <v>118</v>
      </c>
    </row>
    <row r="302" spans="1:41" x14ac:dyDescent="0.25">
      <c r="A302" t="s">
        <v>526</v>
      </c>
      <c r="B302" t="s">
        <v>427</v>
      </c>
      <c r="C302" s="128">
        <v>28329</v>
      </c>
      <c r="D302" s="128">
        <v>0</v>
      </c>
      <c r="E302" s="128">
        <v>416</v>
      </c>
      <c r="F302" s="128">
        <v>1405</v>
      </c>
      <c r="G302" s="128">
        <v>6375</v>
      </c>
      <c r="H302" s="128">
        <v>2536</v>
      </c>
      <c r="I302" s="128">
        <v>983</v>
      </c>
      <c r="J302" s="128">
        <v>1358</v>
      </c>
      <c r="K302" s="128">
        <v>130</v>
      </c>
      <c r="L302" s="128">
        <v>680</v>
      </c>
      <c r="M302" s="128">
        <v>1982</v>
      </c>
      <c r="N302" s="128">
        <v>4035</v>
      </c>
      <c r="O302" s="128">
        <v>5677</v>
      </c>
      <c r="P302" s="128">
        <v>2215</v>
      </c>
      <c r="Q302" s="128">
        <v>537</v>
      </c>
      <c r="R302" s="128"/>
      <c r="S302" t="s">
        <v>427</v>
      </c>
      <c r="T302" s="128">
        <f t="shared" si="12"/>
        <v>26508</v>
      </c>
      <c r="U302" s="128">
        <v>20746</v>
      </c>
      <c r="V302" s="128">
        <v>17739045.84312525</v>
      </c>
      <c r="W302" s="128">
        <v>1711</v>
      </c>
      <c r="X302" s="128">
        <v>1486</v>
      </c>
      <c r="Y302" s="128">
        <v>17</v>
      </c>
      <c r="Z302" s="128">
        <v>121</v>
      </c>
      <c r="AA302" s="128">
        <v>82</v>
      </c>
      <c r="AB302" s="128">
        <v>40</v>
      </c>
      <c r="AC302" s="128">
        <v>61</v>
      </c>
      <c r="AD302" s="128">
        <v>4</v>
      </c>
      <c r="AE302" s="128">
        <v>53</v>
      </c>
      <c r="AF302" s="128">
        <f t="shared" si="13"/>
        <v>19926.045843125252</v>
      </c>
      <c r="AG302" s="128">
        <v>12425</v>
      </c>
      <c r="AH302" s="128">
        <f t="shared" si="14"/>
        <v>1603.7059028672234</v>
      </c>
      <c r="AI302" t="s">
        <v>467</v>
      </c>
      <c r="AM302" t="s">
        <v>200</v>
      </c>
      <c r="AN302" s="128">
        <v>1865.8037415198719</v>
      </c>
      <c r="AO302" t="s">
        <v>118</v>
      </c>
    </row>
    <row r="303" spans="1:41" x14ac:dyDescent="0.25">
      <c r="A303" t="s">
        <v>521</v>
      </c>
      <c r="B303" t="s">
        <v>321</v>
      </c>
      <c r="C303" s="128">
        <v>63241</v>
      </c>
      <c r="D303" s="128">
        <v>2641</v>
      </c>
      <c r="E303" s="128">
        <v>427</v>
      </c>
      <c r="F303" s="128">
        <v>2588</v>
      </c>
      <c r="G303" s="128">
        <v>15914</v>
      </c>
      <c r="H303" s="128">
        <v>8071</v>
      </c>
      <c r="I303" s="128">
        <v>1521</v>
      </c>
      <c r="J303" s="128">
        <v>2100</v>
      </c>
      <c r="K303" s="128">
        <v>262</v>
      </c>
      <c r="L303" s="128">
        <v>975</v>
      </c>
      <c r="M303" s="128">
        <v>3002</v>
      </c>
      <c r="N303" s="128">
        <v>7884</v>
      </c>
      <c r="O303" s="128">
        <v>12467</v>
      </c>
      <c r="P303" s="128">
        <v>5019</v>
      </c>
      <c r="Q303" s="128">
        <v>469</v>
      </c>
      <c r="R303" s="128"/>
      <c r="S303" t="s">
        <v>321</v>
      </c>
      <c r="T303" s="128">
        <f t="shared" si="12"/>
        <v>57585</v>
      </c>
      <c r="U303" s="128">
        <v>38842</v>
      </c>
      <c r="V303" s="128">
        <v>33906124.430448838</v>
      </c>
      <c r="W303" s="128">
        <v>2731</v>
      </c>
      <c r="X303" s="128">
        <v>4064</v>
      </c>
      <c r="Y303" s="128">
        <v>318</v>
      </c>
      <c r="Z303" s="128">
        <v>282</v>
      </c>
      <c r="AA303" s="128">
        <v>602</v>
      </c>
      <c r="AB303" s="128">
        <v>71</v>
      </c>
      <c r="AC303" s="128">
        <v>164</v>
      </c>
      <c r="AD303" s="128">
        <v>13</v>
      </c>
      <c r="AE303" s="128">
        <v>44</v>
      </c>
      <c r="AF303" s="128">
        <f t="shared" si="13"/>
        <v>44360.124430448835</v>
      </c>
      <c r="AG303" s="128">
        <v>25626</v>
      </c>
      <c r="AH303" s="128">
        <f t="shared" si="14"/>
        <v>1731.0592535100616</v>
      </c>
      <c r="AI303" t="s">
        <v>467</v>
      </c>
      <c r="AM303" t="s">
        <v>201</v>
      </c>
      <c r="AN303" s="128">
        <v>1974.0417423479194</v>
      </c>
      <c r="AO303" t="s">
        <v>118</v>
      </c>
    </row>
    <row r="304" spans="1:41" x14ac:dyDescent="0.25">
      <c r="A304" t="s">
        <v>526</v>
      </c>
      <c r="B304" t="s">
        <v>205</v>
      </c>
      <c r="C304" s="128">
        <v>63703</v>
      </c>
      <c r="D304" s="128">
        <v>3323</v>
      </c>
      <c r="E304" s="128">
        <v>495</v>
      </c>
      <c r="F304" s="128">
        <v>3088</v>
      </c>
      <c r="G304" s="128">
        <v>17754</v>
      </c>
      <c r="H304" s="128">
        <v>4393</v>
      </c>
      <c r="I304" s="128">
        <v>1620</v>
      </c>
      <c r="J304" s="128">
        <v>1769</v>
      </c>
      <c r="K304" s="128">
        <v>293</v>
      </c>
      <c r="L304" s="128">
        <v>1240</v>
      </c>
      <c r="M304" s="128">
        <v>4298</v>
      </c>
      <c r="N304" s="128">
        <v>5780</v>
      </c>
      <c r="O304" s="128">
        <v>13282</v>
      </c>
      <c r="P304" s="128">
        <v>5226</v>
      </c>
      <c r="Q304" s="128">
        <v>519</v>
      </c>
      <c r="R304" s="128"/>
      <c r="S304" t="s">
        <v>205</v>
      </c>
      <c r="T304" s="128">
        <f t="shared" si="12"/>
        <v>56797</v>
      </c>
      <c r="U304" s="128">
        <v>40911</v>
      </c>
      <c r="V304" s="128">
        <v>36056995.556897648</v>
      </c>
      <c r="W304" s="128">
        <v>2439</v>
      </c>
      <c r="X304" s="128">
        <v>1957</v>
      </c>
      <c r="Y304" s="128">
        <v>163</v>
      </c>
      <c r="Z304" s="128">
        <v>336</v>
      </c>
      <c r="AA304" s="128">
        <v>1014</v>
      </c>
      <c r="AB304" s="128">
        <v>114</v>
      </c>
      <c r="AC304" s="128">
        <v>191</v>
      </c>
      <c r="AD304" s="128">
        <v>0</v>
      </c>
      <c r="AE304" s="128">
        <v>1305</v>
      </c>
      <c r="AF304" s="128">
        <f t="shared" si="13"/>
        <v>44423.995556897651</v>
      </c>
      <c r="AG304" s="128">
        <v>24996</v>
      </c>
      <c r="AH304" s="128">
        <f t="shared" si="14"/>
        <v>1777.2441813449211</v>
      </c>
      <c r="AI304" t="s">
        <v>467</v>
      </c>
      <c r="AM304" t="s">
        <v>314</v>
      </c>
      <c r="AN304" s="128">
        <v>1962.0581942314566</v>
      </c>
      <c r="AO304" t="s">
        <v>118</v>
      </c>
    </row>
    <row r="305" spans="1:41" x14ac:dyDescent="0.25">
      <c r="A305" t="s">
        <v>517</v>
      </c>
      <c r="B305" t="s">
        <v>395</v>
      </c>
      <c r="C305" s="128">
        <v>84133</v>
      </c>
      <c r="D305" s="128">
        <v>174</v>
      </c>
      <c r="E305" s="128">
        <v>1276</v>
      </c>
      <c r="F305" s="128">
        <v>5272</v>
      </c>
      <c r="G305" s="128">
        <v>18883</v>
      </c>
      <c r="H305" s="128">
        <v>6917</v>
      </c>
      <c r="I305" s="128">
        <v>2163</v>
      </c>
      <c r="J305" s="128">
        <v>8920</v>
      </c>
      <c r="K305" s="128">
        <v>289</v>
      </c>
      <c r="L305" s="128">
        <v>2088</v>
      </c>
      <c r="M305" s="128">
        <v>4500</v>
      </c>
      <c r="N305" s="128">
        <v>11065</v>
      </c>
      <c r="O305" s="128">
        <v>15820</v>
      </c>
      <c r="P305" s="128">
        <v>6052</v>
      </c>
      <c r="Q305" s="128">
        <v>799</v>
      </c>
      <c r="R305" s="128"/>
      <c r="S305" t="s">
        <v>395</v>
      </c>
      <c r="T305" s="128">
        <f t="shared" si="12"/>
        <v>77411</v>
      </c>
      <c r="U305" s="128">
        <v>54261</v>
      </c>
      <c r="V305" s="128">
        <v>43502718.706414156</v>
      </c>
      <c r="W305" s="128">
        <v>4421</v>
      </c>
      <c r="X305" s="128">
        <v>3396</v>
      </c>
      <c r="Y305" s="128">
        <v>19</v>
      </c>
      <c r="Z305" s="128">
        <v>476</v>
      </c>
      <c r="AA305" s="128">
        <v>1384</v>
      </c>
      <c r="AB305" s="128">
        <v>79</v>
      </c>
      <c r="AC305" s="128">
        <v>449</v>
      </c>
      <c r="AD305" s="128">
        <v>0</v>
      </c>
      <c r="AE305" s="128">
        <v>221</v>
      </c>
      <c r="AF305" s="128">
        <f t="shared" si="13"/>
        <v>56207.718706414162</v>
      </c>
      <c r="AG305" s="128">
        <v>31766</v>
      </c>
      <c r="AH305" s="128">
        <f t="shared" si="14"/>
        <v>1769.4301676765776</v>
      </c>
      <c r="AI305" t="s">
        <v>118</v>
      </c>
      <c r="AM305" t="s">
        <v>315</v>
      </c>
      <c r="AN305" s="128">
        <v>1827.5689404493442</v>
      </c>
      <c r="AO305" t="s">
        <v>118</v>
      </c>
    </row>
    <row r="306" spans="1:41" x14ac:dyDescent="0.25">
      <c r="A306" t="s">
        <v>520</v>
      </c>
      <c r="B306" s="86" t="s">
        <v>606</v>
      </c>
      <c r="C306" s="128">
        <v>132098</v>
      </c>
      <c r="D306" s="128">
        <v>508</v>
      </c>
      <c r="E306" s="128">
        <v>1006</v>
      </c>
      <c r="F306" s="128">
        <v>3737</v>
      </c>
      <c r="G306" s="128">
        <v>23672</v>
      </c>
      <c r="H306" s="128">
        <v>8451</v>
      </c>
      <c r="I306" s="128">
        <v>3276</v>
      </c>
      <c r="J306" s="128">
        <v>7046</v>
      </c>
      <c r="K306" s="128">
        <v>1523</v>
      </c>
      <c r="L306" s="128">
        <v>3656</v>
      </c>
      <c r="M306" s="128">
        <v>7320</v>
      </c>
      <c r="N306" s="128">
        <v>32210</v>
      </c>
      <c r="O306" s="128">
        <v>26403</v>
      </c>
      <c r="P306" s="128">
        <v>11625</v>
      </c>
      <c r="Q306" s="128">
        <v>1775</v>
      </c>
      <c r="R306" s="128"/>
      <c r="S306" t="s">
        <v>606</v>
      </c>
      <c r="T306" s="128">
        <f t="shared" si="12"/>
        <v>126847</v>
      </c>
      <c r="U306" s="128">
        <v>104680</v>
      </c>
      <c r="V306" s="128">
        <v>81589063.04793638</v>
      </c>
      <c r="W306" s="128">
        <v>5803</v>
      </c>
      <c r="X306" s="128">
        <v>5694</v>
      </c>
      <c r="Y306" s="128">
        <v>234</v>
      </c>
      <c r="Z306" s="128">
        <v>557</v>
      </c>
      <c r="AA306" s="128">
        <v>759</v>
      </c>
      <c r="AB306" s="128">
        <v>72</v>
      </c>
      <c r="AC306" s="128">
        <v>0</v>
      </c>
      <c r="AD306" s="128">
        <v>563</v>
      </c>
      <c r="AE306" s="128">
        <v>437</v>
      </c>
      <c r="AF306" s="128">
        <f t="shared" si="13"/>
        <v>89637.063047936375</v>
      </c>
      <c r="AG306" s="128">
        <v>46321</v>
      </c>
      <c r="AH306" s="128">
        <f t="shared" si="14"/>
        <v>1935.1279775466069</v>
      </c>
      <c r="AI306" t="s">
        <v>118</v>
      </c>
      <c r="AM306" t="s">
        <v>418</v>
      </c>
      <c r="AN306" s="128">
        <v>1736.0286582005169</v>
      </c>
      <c r="AO306" t="s">
        <v>118</v>
      </c>
    </row>
    <row r="307" spans="1:41" x14ac:dyDescent="0.25">
      <c r="A307" t="s">
        <v>517</v>
      </c>
      <c r="B307" t="s">
        <v>396</v>
      </c>
      <c r="C307" s="128">
        <v>36596</v>
      </c>
      <c r="D307" s="128">
        <v>531</v>
      </c>
      <c r="E307" s="128">
        <v>108</v>
      </c>
      <c r="F307" s="128">
        <v>1659</v>
      </c>
      <c r="G307" s="128">
        <v>9483</v>
      </c>
      <c r="H307" s="128">
        <v>3419</v>
      </c>
      <c r="I307" s="128">
        <v>905</v>
      </c>
      <c r="J307" s="128">
        <v>1260</v>
      </c>
      <c r="K307" s="128">
        <v>78</v>
      </c>
      <c r="L307" s="128">
        <v>914</v>
      </c>
      <c r="M307" s="128">
        <v>2269</v>
      </c>
      <c r="N307" s="128">
        <v>5559</v>
      </c>
      <c r="O307" s="128">
        <v>7294</v>
      </c>
      <c r="P307" s="128">
        <v>3028</v>
      </c>
      <c r="Q307" s="128">
        <v>204</v>
      </c>
      <c r="R307" s="128"/>
      <c r="S307" t="s">
        <v>396</v>
      </c>
      <c r="T307" s="128">
        <f t="shared" si="12"/>
        <v>34298</v>
      </c>
      <c r="U307" s="128">
        <v>27015</v>
      </c>
      <c r="V307" s="128">
        <v>21462320.577165548</v>
      </c>
      <c r="W307" s="128">
        <v>1632</v>
      </c>
      <c r="X307" s="128">
        <v>1521</v>
      </c>
      <c r="Y307" s="128">
        <v>55</v>
      </c>
      <c r="Z307" s="128">
        <v>183</v>
      </c>
      <c r="AA307" s="128">
        <v>700</v>
      </c>
      <c r="AB307" s="128">
        <v>7</v>
      </c>
      <c r="AC307" s="128">
        <v>175</v>
      </c>
      <c r="AD307" s="128">
        <v>0</v>
      </c>
      <c r="AE307" s="128">
        <v>13</v>
      </c>
      <c r="AF307" s="128">
        <f t="shared" si="13"/>
        <v>24459.320577165548</v>
      </c>
      <c r="AG307" s="128">
        <v>17631</v>
      </c>
      <c r="AH307" s="128">
        <f t="shared" si="14"/>
        <v>1387.2906004858232</v>
      </c>
      <c r="AI307" t="s">
        <v>467</v>
      </c>
      <c r="AM307" t="s">
        <v>386</v>
      </c>
      <c r="AN307" s="128">
        <v>1605.7474374012572</v>
      </c>
      <c r="AO307" t="s">
        <v>118</v>
      </c>
    </row>
    <row r="308" spans="1:41" x14ac:dyDescent="0.25">
      <c r="A308" t="s">
        <v>517</v>
      </c>
      <c r="B308" t="s">
        <v>397</v>
      </c>
      <c r="C308" s="128">
        <v>166320</v>
      </c>
      <c r="D308" s="128">
        <v>7780</v>
      </c>
      <c r="E308" s="128">
        <v>2825</v>
      </c>
      <c r="F308" s="128">
        <v>8375</v>
      </c>
      <c r="G308" s="128">
        <v>28108</v>
      </c>
      <c r="H308" s="128">
        <v>6639</v>
      </c>
      <c r="I308" s="128">
        <v>3831</v>
      </c>
      <c r="J308" s="128">
        <v>2890</v>
      </c>
      <c r="K308" s="128">
        <v>28386</v>
      </c>
      <c r="L308" s="128">
        <v>5548</v>
      </c>
      <c r="M308" s="128">
        <v>12577</v>
      </c>
      <c r="N308" s="128">
        <v>23465</v>
      </c>
      <c r="O308" s="128">
        <v>29456</v>
      </c>
      <c r="P308" s="128">
        <v>6309</v>
      </c>
      <c r="Q308" s="128">
        <v>1267</v>
      </c>
      <c r="R308" s="128"/>
      <c r="S308" t="s">
        <v>397</v>
      </c>
      <c r="T308" s="128">
        <f t="shared" si="12"/>
        <v>147340</v>
      </c>
      <c r="U308" s="128">
        <v>93486</v>
      </c>
      <c r="V308" s="128">
        <v>76763830.568238512</v>
      </c>
      <c r="W308" s="128">
        <v>3859</v>
      </c>
      <c r="X308" s="128">
        <v>4432</v>
      </c>
      <c r="Y308" s="128">
        <v>322</v>
      </c>
      <c r="Z308" s="128">
        <v>721</v>
      </c>
      <c r="AA308" s="128">
        <v>1404</v>
      </c>
      <c r="AB308" s="128">
        <v>175</v>
      </c>
      <c r="AC308" s="128">
        <v>651</v>
      </c>
      <c r="AD308" s="128">
        <v>919</v>
      </c>
      <c r="AE308" s="128">
        <v>762</v>
      </c>
      <c r="AF308" s="128">
        <f t="shared" si="13"/>
        <v>117372.83056823851</v>
      </c>
      <c r="AG308" s="128">
        <v>49351</v>
      </c>
      <c r="AH308" s="128">
        <f t="shared" si="14"/>
        <v>2378.3272997150721</v>
      </c>
      <c r="AI308" t="s">
        <v>118</v>
      </c>
      <c r="AM308" t="s">
        <v>271</v>
      </c>
      <c r="AN308" s="128">
        <v>1852.8867516719633</v>
      </c>
      <c r="AO308" t="s">
        <v>118</v>
      </c>
    </row>
    <row r="309" spans="1:41" x14ac:dyDescent="0.25">
      <c r="A309" t="s">
        <v>521</v>
      </c>
      <c r="B309" t="s">
        <v>322</v>
      </c>
      <c r="C309" s="128">
        <v>96536</v>
      </c>
      <c r="D309" s="128">
        <v>22200</v>
      </c>
      <c r="E309" s="128">
        <v>1873</v>
      </c>
      <c r="F309" s="128">
        <v>4439</v>
      </c>
      <c r="G309" s="128">
        <v>15493</v>
      </c>
      <c r="H309" s="128">
        <v>6099</v>
      </c>
      <c r="I309" s="128">
        <v>1926</v>
      </c>
      <c r="J309" s="128">
        <v>2731</v>
      </c>
      <c r="K309" s="128">
        <v>811</v>
      </c>
      <c r="L309" s="128">
        <v>1702</v>
      </c>
      <c r="M309" s="128">
        <v>6374</v>
      </c>
      <c r="N309" s="128">
        <v>8089</v>
      </c>
      <c r="O309" s="128">
        <v>16077</v>
      </c>
      <c r="P309" s="128">
        <v>6952</v>
      </c>
      <c r="Q309" s="128">
        <v>1844</v>
      </c>
      <c r="R309" s="128"/>
      <c r="S309" t="s">
        <v>322</v>
      </c>
      <c r="T309" s="128">
        <f t="shared" si="12"/>
        <v>68024</v>
      </c>
      <c r="U309" s="128">
        <v>52840</v>
      </c>
      <c r="V309" s="128">
        <v>44208187.424229518</v>
      </c>
      <c r="W309" s="128">
        <v>2722</v>
      </c>
      <c r="X309" s="128">
        <v>4447</v>
      </c>
      <c r="Y309" s="128">
        <v>300</v>
      </c>
      <c r="Z309" s="128">
        <v>294</v>
      </c>
      <c r="AA309" s="128">
        <v>829</v>
      </c>
      <c r="AB309" s="128">
        <v>62</v>
      </c>
      <c r="AC309" s="128">
        <v>33</v>
      </c>
      <c r="AD309" s="128">
        <v>0</v>
      </c>
      <c r="AE309" s="128">
        <v>37</v>
      </c>
      <c r="AF309" s="128">
        <f t="shared" si="13"/>
        <v>50668.187424229516</v>
      </c>
      <c r="AG309" s="128">
        <v>31338</v>
      </c>
      <c r="AH309" s="128">
        <f t="shared" si="14"/>
        <v>1616.8290070913752</v>
      </c>
      <c r="AI309" t="s">
        <v>467</v>
      </c>
      <c r="AM309" t="s">
        <v>317</v>
      </c>
      <c r="AN309" s="128">
        <v>2350.1629944505657</v>
      </c>
      <c r="AO309" t="s">
        <v>118</v>
      </c>
    </row>
    <row r="310" spans="1:41" x14ac:dyDescent="0.25">
      <c r="A310" t="s">
        <v>519</v>
      </c>
      <c r="B310" t="s">
        <v>206</v>
      </c>
      <c r="C310" s="128">
        <v>112244</v>
      </c>
      <c r="D310" s="128">
        <v>280</v>
      </c>
      <c r="E310" s="128">
        <v>1590</v>
      </c>
      <c r="F310" s="128">
        <v>4905</v>
      </c>
      <c r="G310" s="128">
        <v>29119</v>
      </c>
      <c r="H310" s="128">
        <v>7301</v>
      </c>
      <c r="I310" s="128">
        <v>2240</v>
      </c>
      <c r="J310" s="128">
        <v>3456</v>
      </c>
      <c r="K310" s="128">
        <v>400</v>
      </c>
      <c r="L310" s="128">
        <v>2370</v>
      </c>
      <c r="M310" s="128">
        <v>7031</v>
      </c>
      <c r="N310" s="128">
        <v>17556</v>
      </c>
      <c r="O310" s="128">
        <v>23857</v>
      </c>
      <c r="P310" s="128">
        <v>7225</v>
      </c>
      <c r="Q310" s="128">
        <v>1779</v>
      </c>
      <c r="R310" s="128"/>
      <c r="S310" t="s">
        <v>206</v>
      </c>
      <c r="T310" s="128">
        <f t="shared" si="12"/>
        <v>105469</v>
      </c>
      <c r="U310" s="128">
        <v>75488</v>
      </c>
      <c r="V310" s="128">
        <v>57358390.911416441</v>
      </c>
      <c r="W310" s="128">
        <v>2224</v>
      </c>
      <c r="X310" s="128">
        <v>5348</v>
      </c>
      <c r="Y310" s="128">
        <v>500</v>
      </c>
      <c r="Z310" s="128">
        <v>419</v>
      </c>
      <c r="AA310" s="128">
        <v>1258</v>
      </c>
      <c r="AB310" s="128">
        <v>1423</v>
      </c>
      <c r="AC310" s="128">
        <v>235</v>
      </c>
      <c r="AD310" s="128">
        <v>1192</v>
      </c>
      <c r="AE310" s="128">
        <v>201</v>
      </c>
      <c r="AF310" s="128">
        <f t="shared" si="13"/>
        <v>74539.390911416442</v>
      </c>
      <c r="AG310" s="128">
        <v>39924</v>
      </c>
      <c r="AH310" s="128">
        <f t="shared" si="14"/>
        <v>1867.0321338397064</v>
      </c>
      <c r="AI310" t="s">
        <v>118</v>
      </c>
      <c r="AM310" t="s">
        <v>135</v>
      </c>
      <c r="AN310" s="128">
        <v>5123.0460814833423</v>
      </c>
      <c r="AO310" t="s">
        <v>118</v>
      </c>
    </row>
    <row r="311" spans="1:41" x14ac:dyDescent="0.25">
      <c r="A311" t="s">
        <v>521</v>
      </c>
      <c r="B311" t="s">
        <v>323</v>
      </c>
      <c r="C311" s="128">
        <v>68233</v>
      </c>
      <c r="D311" s="128">
        <v>8</v>
      </c>
      <c r="E311" s="128">
        <v>13</v>
      </c>
      <c r="F311" s="128">
        <v>2383</v>
      </c>
      <c r="G311" s="128">
        <v>15707</v>
      </c>
      <c r="H311" s="128">
        <v>5897</v>
      </c>
      <c r="I311" s="128">
        <v>2585</v>
      </c>
      <c r="J311" s="128">
        <v>2822</v>
      </c>
      <c r="K311" s="128">
        <v>423</v>
      </c>
      <c r="L311" s="128">
        <v>1941</v>
      </c>
      <c r="M311" s="128">
        <v>4507</v>
      </c>
      <c r="N311" s="128">
        <v>11064</v>
      </c>
      <c r="O311" s="128">
        <v>12939</v>
      </c>
      <c r="P311" s="128">
        <v>7703</v>
      </c>
      <c r="Q311" s="128">
        <v>249</v>
      </c>
      <c r="R311" s="128"/>
      <c r="S311" t="s">
        <v>323</v>
      </c>
      <c r="T311" s="128">
        <f t="shared" si="12"/>
        <v>65829</v>
      </c>
      <c r="U311" s="128">
        <v>39894</v>
      </c>
      <c r="V311" s="128">
        <v>32599226.253222752</v>
      </c>
      <c r="W311" s="128">
        <v>2692</v>
      </c>
      <c r="X311" s="128">
        <v>5163</v>
      </c>
      <c r="Y311" s="128">
        <v>51</v>
      </c>
      <c r="Z311" s="128">
        <v>379</v>
      </c>
      <c r="AA311" s="128">
        <v>1278</v>
      </c>
      <c r="AB311" s="128">
        <v>79</v>
      </c>
      <c r="AC311" s="128">
        <v>1193</v>
      </c>
      <c r="AD311" s="128">
        <v>17</v>
      </c>
      <c r="AE311" s="128">
        <v>218</v>
      </c>
      <c r="AF311" s="128">
        <f t="shared" si="13"/>
        <v>47464.226253222754</v>
      </c>
      <c r="AG311" s="128">
        <v>27105</v>
      </c>
      <c r="AH311" s="128">
        <f t="shared" si="14"/>
        <v>1751.1243775400389</v>
      </c>
      <c r="AI311" t="s">
        <v>467</v>
      </c>
      <c r="AM311" t="s">
        <v>337</v>
      </c>
      <c r="AN311" s="128">
        <v>2118.6203494381575</v>
      </c>
      <c r="AO311" t="s">
        <v>118</v>
      </c>
    </row>
    <row r="312" spans="1:41" x14ac:dyDescent="0.25">
      <c r="A312" t="s">
        <v>518</v>
      </c>
      <c r="B312" t="s">
        <v>277</v>
      </c>
      <c r="C312" s="128">
        <v>39556</v>
      </c>
      <c r="D312" s="128">
        <v>0</v>
      </c>
      <c r="E312" s="128">
        <v>24</v>
      </c>
      <c r="F312" s="128">
        <v>2329</v>
      </c>
      <c r="G312" s="128">
        <v>12452</v>
      </c>
      <c r="H312" s="128">
        <v>3410</v>
      </c>
      <c r="I312" s="128">
        <v>1824</v>
      </c>
      <c r="J312" s="128">
        <v>2148</v>
      </c>
      <c r="K312" s="128">
        <v>178</v>
      </c>
      <c r="L312" s="128">
        <v>793</v>
      </c>
      <c r="M312" s="128">
        <v>1875</v>
      </c>
      <c r="N312" s="128">
        <v>3491</v>
      </c>
      <c r="O312" s="128">
        <v>7741</v>
      </c>
      <c r="P312" s="128">
        <v>3079</v>
      </c>
      <c r="Q312" s="128">
        <v>212</v>
      </c>
      <c r="R312" s="128"/>
      <c r="S312" t="s">
        <v>277</v>
      </c>
      <c r="T312" s="128">
        <f t="shared" si="12"/>
        <v>37203</v>
      </c>
      <c r="U312" s="128">
        <v>26714</v>
      </c>
      <c r="V312" s="128">
        <v>23593692.000857182</v>
      </c>
      <c r="W312" s="128">
        <v>1244</v>
      </c>
      <c r="X312" s="128">
        <v>1880</v>
      </c>
      <c r="Y312" s="128">
        <v>208</v>
      </c>
      <c r="Z312" s="128">
        <v>216</v>
      </c>
      <c r="AA312" s="128">
        <v>593</v>
      </c>
      <c r="AB312" s="128">
        <v>158</v>
      </c>
      <c r="AC312" s="128">
        <v>722</v>
      </c>
      <c r="AD312" s="128">
        <v>433</v>
      </c>
      <c r="AE312" s="128">
        <v>279</v>
      </c>
      <c r="AF312" s="128">
        <f t="shared" si="13"/>
        <v>28349.692000857183</v>
      </c>
      <c r="AG312" s="128">
        <v>17337</v>
      </c>
      <c r="AH312" s="128">
        <f t="shared" si="14"/>
        <v>1635.2132434018101</v>
      </c>
      <c r="AI312" t="s">
        <v>467</v>
      </c>
      <c r="AM312" t="s">
        <v>420</v>
      </c>
      <c r="AN312" s="128">
        <v>1756.1935908056084</v>
      </c>
      <c r="AO312" t="s">
        <v>118</v>
      </c>
    </row>
    <row r="313" spans="1:41" x14ac:dyDescent="0.25">
      <c r="A313" t="s">
        <v>526</v>
      </c>
      <c r="B313" t="s">
        <v>428</v>
      </c>
      <c r="C313" s="128">
        <v>162077</v>
      </c>
      <c r="D313" s="128">
        <v>3725</v>
      </c>
      <c r="E313" s="128">
        <v>1956</v>
      </c>
      <c r="F313" s="128">
        <v>6955</v>
      </c>
      <c r="G313" s="128">
        <v>32749</v>
      </c>
      <c r="H313" s="128">
        <v>10285</v>
      </c>
      <c r="I313" s="128">
        <v>4171</v>
      </c>
      <c r="J313" s="128">
        <v>7139</v>
      </c>
      <c r="K313" s="128">
        <v>5338</v>
      </c>
      <c r="L313" s="128">
        <v>3693</v>
      </c>
      <c r="M313" s="128">
        <v>14249</v>
      </c>
      <c r="N313" s="128">
        <v>29203</v>
      </c>
      <c r="O313" s="128">
        <v>30669</v>
      </c>
      <c r="P313" s="128">
        <v>11338</v>
      </c>
      <c r="Q313" s="128">
        <v>1009</v>
      </c>
      <c r="R313" s="128"/>
      <c r="S313" t="s">
        <v>428</v>
      </c>
      <c r="T313" s="128">
        <f t="shared" si="12"/>
        <v>149441</v>
      </c>
      <c r="U313" s="128">
        <v>110997</v>
      </c>
      <c r="V313" s="128">
        <v>82991692.542596862</v>
      </c>
      <c r="W313" s="128">
        <v>5242</v>
      </c>
      <c r="X313" s="128">
        <v>6765</v>
      </c>
      <c r="Y313" s="128">
        <v>8</v>
      </c>
      <c r="Z313" s="128">
        <v>552</v>
      </c>
      <c r="AA313" s="128">
        <v>1609</v>
      </c>
      <c r="AB313" s="128">
        <v>667</v>
      </c>
      <c r="AC313" s="128">
        <v>1391</v>
      </c>
      <c r="AD313" s="128">
        <v>3147</v>
      </c>
      <c r="AE313" s="128">
        <v>313</v>
      </c>
      <c r="AF313" s="128">
        <f t="shared" si="13"/>
        <v>101741.69254259687</v>
      </c>
      <c r="AG313" s="128">
        <v>50344</v>
      </c>
      <c r="AH313" s="128">
        <f t="shared" si="14"/>
        <v>2020.9298534601314</v>
      </c>
      <c r="AI313" t="s">
        <v>441</v>
      </c>
      <c r="AM313" t="s">
        <v>318</v>
      </c>
      <c r="AN313" s="128">
        <v>2221.1248022339241</v>
      </c>
      <c r="AO313" t="s">
        <v>118</v>
      </c>
    </row>
    <row r="314" spans="1:41" x14ac:dyDescent="0.25">
      <c r="A314" t="s">
        <v>518</v>
      </c>
      <c r="B314" t="s">
        <v>278</v>
      </c>
      <c r="C314" s="128">
        <v>55502</v>
      </c>
      <c r="D314" s="128">
        <v>0</v>
      </c>
      <c r="E314" s="128">
        <v>476</v>
      </c>
      <c r="F314" s="128">
        <v>2557</v>
      </c>
      <c r="G314" s="128">
        <v>13367</v>
      </c>
      <c r="H314" s="128">
        <v>3765</v>
      </c>
      <c r="I314" s="128">
        <v>2031</v>
      </c>
      <c r="J314" s="128">
        <v>1576</v>
      </c>
      <c r="K314" s="128">
        <v>142</v>
      </c>
      <c r="L314" s="128">
        <v>1324</v>
      </c>
      <c r="M314" s="128">
        <v>4912</v>
      </c>
      <c r="N314" s="128">
        <v>8987</v>
      </c>
      <c r="O314" s="128">
        <v>9395</v>
      </c>
      <c r="P314" s="128">
        <v>5476</v>
      </c>
      <c r="Q314" s="128">
        <v>1494</v>
      </c>
      <c r="R314" s="128"/>
      <c r="S314" t="s">
        <v>278</v>
      </c>
      <c r="T314" s="128">
        <f t="shared" si="12"/>
        <v>52469</v>
      </c>
      <c r="U314" s="128">
        <v>38086</v>
      </c>
      <c r="V314" s="128">
        <v>31599913.460706819</v>
      </c>
      <c r="W314" s="128">
        <v>2160</v>
      </c>
      <c r="X314" s="128">
        <v>2638</v>
      </c>
      <c r="Y314" s="128">
        <v>178</v>
      </c>
      <c r="Z314" s="128">
        <v>283</v>
      </c>
      <c r="AA314" s="128">
        <v>2812</v>
      </c>
      <c r="AB314" s="128">
        <v>72</v>
      </c>
      <c r="AC314" s="128">
        <v>0</v>
      </c>
      <c r="AD314" s="128">
        <v>1152</v>
      </c>
      <c r="AE314" s="128">
        <v>167</v>
      </c>
      <c r="AF314" s="128">
        <f t="shared" si="13"/>
        <v>36520.913460706819</v>
      </c>
      <c r="AG314" s="128">
        <v>20765</v>
      </c>
      <c r="AH314" s="128">
        <f t="shared" si="14"/>
        <v>1758.7726203085394</v>
      </c>
      <c r="AI314" t="s">
        <v>118</v>
      </c>
      <c r="AM314" t="s">
        <v>338</v>
      </c>
      <c r="AN314" s="128">
        <v>1839.915914693906</v>
      </c>
      <c r="AO314" t="s">
        <v>118</v>
      </c>
    </row>
    <row r="315" spans="1:41" x14ac:dyDescent="0.25">
      <c r="A315" t="s">
        <v>517</v>
      </c>
      <c r="B315" t="s">
        <v>607</v>
      </c>
      <c r="C315" s="128">
        <v>133515</v>
      </c>
      <c r="D315" s="128">
        <v>13805</v>
      </c>
      <c r="E315" s="128">
        <v>1105</v>
      </c>
      <c r="F315" s="128">
        <v>3559</v>
      </c>
      <c r="G315" s="128">
        <v>22572</v>
      </c>
      <c r="H315" s="128">
        <v>14693</v>
      </c>
      <c r="I315" s="128">
        <v>4759</v>
      </c>
      <c r="J315" s="128">
        <v>6337</v>
      </c>
      <c r="K315" s="128">
        <v>866</v>
      </c>
      <c r="L315" s="128">
        <v>4112</v>
      </c>
      <c r="M315" s="128">
        <v>6120</v>
      </c>
      <c r="N315" s="128">
        <v>15801</v>
      </c>
      <c r="O315" s="128">
        <v>23000</v>
      </c>
      <c r="P315" s="128">
        <v>14992</v>
      </c>
      <c r="Q315" s="128">
        <v>2613</v>
      </c>
      <c r="R315" s="128"/>
      <c r="S315" t="s">
        <v>607</v>
      </c>
      <c r="T315" s="128">
        <f t="shared" si="12"/>
        <v>115046</v>
      </c>
      <c r="U315" s="128">
        <v>80498</v>
      </c>
      <c r="V315" s="128">
        <v>69675418.486039877</v>
      </c>
      <c r="W315" s="128">
        <v>8276</v>
      </c>
      <c r="X315" s="128">
        <v>0</v>
      </c>
      <c r="Y315" s="128">
        <v>729</v>
      </c>
      <c r="Z315" s="128">
        <v>595</v>
      </c>
      <c r="AA315" s="128">
        <v>1428</v>
      </c>
      <c r="AB315" s="128">
        <v>249</v>
      </c>
      <c r="AC315" s="128">
        <v>167</v>
      </c>
      <c r="AD315" s="128">
        <v>243</v>
      </c>
      <c r="AE315" s="128">
        <v>125</v>
      </c>
      <c r="AF315" s="128">
        <f t="shared" si="13"/>
        <v>92411.418486039882</v>
      </c>
      <c r="AG315" s="128">
        <v>51968</v>
      </c>
      <c r="AH315" s="128">
        <f t="shared" si="14"/>
        <v>1778.2369628625283</v>
      </c>
      <c r="AI315" t="s">
        <v>467</v>
      </c>
      <c r="AM315" t="s">
        <v>229</v>
      </c>
      <c r="AN315" s="128">
        <v>1881.0481357225276</v>
      </c>
      <c r="AO315" t="s">
        <v>118</v>
      </c>
    </row>
    <row r="316" spans="1:41" x14ac:dyDescent="0.25">
      <c r="A316" t="s">
        <v>521</v>
      </c>
      <c r="B316" t="s">
        <v>207</v>
      </c>
      <c r="C316" s="128">
        <v>45640</v>
      </c>
      <c r="D316" s="128">
        <v>2064</v>
      </c>
      <c r="E316" s="128">
        <v>364</v>
      </c>
      <c r="F316" s="128">
        <v>1991</v>
      </c>
      <c r="G316" s="128">
        <v>7710</v>
      </c>
      <c r="H316" s="128">
        <v>4087</v>
      </c>
      <c r="I316" s="128">
        <v>1687</v>
      </c>
      <c r="J316" s="128">
        <v>1548</v>
      </c>
      <c r="K316" s="128">
        <v>88</v>
      </c>
      <c r="L316" s="128">
        <v>1197</v>
      </c>
      <c r="M316" s="128">
        <v>1628</v>
      </c>
      <c r="N316" s="128">
        <v>6612</v>
      </c>
      <c r="O316" s="128">
        <v>10813</v>
      </c>
      <c r="P316" s="128">
        <v>3480</v>
      </c>
      <c r="Q316" s="128">
        <v>2495</v>
      </c>
      <c r="R316" s="128"/>
      <c r="S316" t="s">
        <v>207</v>
      </c>
      <c r="T316" s="128">
        <f t="shared" si="12"/>
        <v>41221</v>
      </c>
      <c r="U316" s="128">
        <v>32495</v>
      </c>
      <c r="V316" s="128">
        <v>27423802.253314674</v>
      </c>
      <c r="W316" s="128">
        <v>2578</v>
      </c>
      <c r="X316" s="128">
        <v>0</v>
      </c>
      <c r="Y316" s="128">
        <v>14</v>
      </c>
      <c r="Z316" s="128">
        <v>203</v>
      </c>
      <c r="AA316" s="128">
        <v>1131</v>
      </c>
      <c r="AB316" s="128">
        <v>51</v>
      </c>
      <c r="AC316" s="128">
        <v>162</v>
      </c>
      <c r="AD316" s="128">
        <v>0</v>
      </c>
      <c r="AE316" s="128">
        <v>80</v>
      </c>
      <c r="AF316" s="128">
        <f t="shared" si="13"/>
        <v>31930.802253314672</v>
      </c>
      <c r="AG316" s="128">
        <v>19685</v>
      </c>
      <c r="AH316" s="128">
        <f t="shared" si="14"/>
        <v>1622.0879986443827</v>
      </c>
      <c r="AI316" t="s">
        <v>467</v>
      </c>
      <c r="AM316" t="s">
        <v>272</v>
      </c>
      <c r="AN316" s="128">
        <v>1760.0289534098538</v>
      </c>
      <c r="AO316" t="s">
        <v>118</v>
      </c>
    </row>
    <row r="317" spans="1:41" x14ac:dyDescent="0.25">
      <c r="A317" t="s">
        <v>525</v>
      </c>
      <c r="B317" t="s">
        <v>608</v>
      </c>
      <c r="C317" s="128">
        <v>174356</v>
      </c>
      <c r="D317" s="128">
        <v>351</v>
      </c>
      <c r="E317" s="128">
        <v>3522</v>
      </c>
      <c r="F317" s="128">
        <v>10124</v>
      </c>
      <c r="G317" s="128">
        <v>49717</v>
      </c>
      <c r="H317" s="128">
        <v>11564</v>
      </c>
      <c r="I317" s="128">
        <v>4751</v>
      </c>
      <c r="J317" s="128">
        <v>5323</v>
      </c>
      <c r="K317" s="128">
        <v>-24</v>
      </c>
      <c r="L317" s="128">
        <v>3566</v>
      </c>
      <c r="M317" s="128">
        <v>9202</v>
      </c>
      <c r="N317" s="128">
        <v>19809</v>
      </c>
      <c r="O317" s="128">
        <v>42502</v>
      </c>
      <c r="P317" s="128">
        <v>13542</v>
      </c>
      <c r="Q317" s="128">
        <v>1463</v>
      </c>
      <c r="R317" s="128"/>
      <c r="S317" t="s">
        <v>608</v>
      </c>
      <c r="T317" s="128">
        <f t="shared" si="12"/>
        <v>160359</v>
      </c>
      <c r="U317" s="128">
        <v>130025</v>
      </c>
      <c r="V317" s="128">
        <v>102386958.6713516</v>
      </c>
      <c r="W317" s="128">
        <v>6292</v>
      </c>
      <c r="X317" s="128">
        <v>8925</v>
      </c>
      <c r="Y317" s="128">
        <v>542</v>
      </c>
      <c r="Z317" s="128">
        <v>970</v>
      </c>
      <c r="AA317" s="128">
        <v>1280</v>
      </c>
      <c r="AB317" s="128">
        <v>64</v>
      </c>
      <c r="AC317" s="128">
        <v>0</v>
      </c>
      <c r="AD317" s="128">
        <v>7</v>
      </c>
      <c r="AE317" s="128">
        <v>165</v>
      </c>
      <c r="AF317" s="128">
        <f t="shared" si="13"/>
        <v>114475.9586713516</v>
      </c>
      <c r="AG317" s="128">
        <v>64305</v>
      </c>
      <c r="AH317" s="128">
        <f t="shared" si="14"/>
        <v>1780.2030739655017</v>
      </c>
      <c r="AI317" t="s">
        <v>118</v>
      </c>
      <c r="AM317" t="s">
        <v>390</v>
      </c>
      <c r="AN317" s="128">
        <v>1821.5272796500631</v>
      </c>
      <c r="AO317" t="s">
        <v>118</v>
      </c>
    </row>
    <row r="318" spans="1:41" x14ac:dyDescent="0.25">
      <c r="A318" t="s">
        <v>516</v>
      </c>
      <c r="B318" s="86" t="s">
        <v>116</v>
      </c>
      <c r="C318" s="128">
        <v>57043</v>
      </c>
      <c r="D318" s="128">
        <v>2289</v>
      </c>
      <c r="E318" s="128">
        <v>180</v>
      </c>
      <c r="F318" s="128">
        <v>2165</v>
      </c>
      <c r="G318" s="128">
        <v>14169</v>
      </c>
      <c r="H318" s="128">
        <v>4899</v>
      </c>
      <c r="I318" s="128">
        <v>1294</v>
      </c>
      <c r="J318" s="128">
        <v>2367</v>
      </c>
      <c r="K318" s="128">
        <v>1344</v>
      </c>
      <c r="L318" s="128">
        <v>787</v>
      </c>
      <c r="M318" s="128">
        <v>3874</v>
      </c>
      <c r="N318" s="128">
        <v>8006</v>
      </c>
      <c r="O318" s="128">
        <v>10545</v>
      </c>
      <c r="P318" s="128">
        <v>4115</v>
      </c>
      <c r="Q318" s="128">
        <v>1023</v>
      </c>
      <c r="R318" s="128"/>
      <c r="S318" t="s">
        <v>116</v>
      </c>
      <c r="T318" s="128">
        <f t="shared" si="12"/>
        <v>52409</v>
      </c>
      <c r="U318" s="128">
        <v>38811</v>
      </c>
      <c r="V318" s="128">
        <v>32138323.366347671</v>
      </c>
      <c r="W318" s="128">
        <v>2146</v>
      </c>
      <c r="X318" s="128">
        <v>1949</v>
      </c>
      <c r="Y318" s="128">
        <v>236</v>
      </c>
      <c r="Z318" s="128">
        <v>283</v>
      </c>
      <c r="AA318" s="128">
        <v>510</v>
      </c>
      <c r="AB318" s="128">
        <v>68</v>
      </c>
      <c r="AC318" s="128">
        <v>1107</v>
      </c>
      <c r="AD318" s="128">
        <v>0</v>
      </c>
      <c r="AE318" s="128">
        <v>45</v>
      </c>
      <c r="AF318" s="128">
        <f t="shared" si="13"/>
        <v>39392.323366347671</v>
      </c>
      <c r="AG318" s="128">
        <v>19851</v>
      </c>
      <c r="AH318" s="128">
        <f t="shared" si="14"/>
        <v>1984.399947929458</v>
      </c>
      <c r="AI318" t="s">
        <v>118</v>
      </c>
      <c r="AM318" t="s">
        <v>159</v>
      </c>
      <c r="AN318" s="128">
        <v>2029.0267069893412</v>
      </c>
      <c r="AO318" t="s">
        <v>118</v>
      </c>
    </row>
    <row r="319" spans="1:41" x14ac:dyDescent="0.25">
      <c r="A319" t="s">
        <v>518</v>
      </c>
      <c r="B319" t="s">
        <v>208</v>
      </c>
      <c r="C319" s="128">
        <v>40859</v>
      </c>
      <c r="D319" s="128">
        <v>11</v>
      </c>
      <c r="E319" s="128">
        <v>469</v>
      </c>
      <c r="F319" s="128">
        <v>1240</v>
      </c>
      <c r="G319" s="128">
        <v>879</v>
      </c>
      <c r="H319" s="128">
        <v>6635</v>
      </c>
      <c r="I319" s="128">
        <v>1157</v>
      </c>
      <c r="J319" s="128">
        <v>1307</v>
      </c>
      <c r="K319" s="128">
        <v>232</v>
      </c>
      <c r="L319" s="128">
        <v>1117</v>
      </c>
      <c r="M319" s="128">
        <v>1764</v>
      </c>
      <c r="N319" s="128">
        <v>10291</v>
      </c>
      <c r="O319" s="128">
        <v>11709</v>
      </c>
      <c r="P319" s="128">
        <v>3064</v>
      </c>
      <c r="Q319" s="128">
        <v>995</v>
      </c>
      <c r="R319" s="128"/>
      <c r="S319" t="s">
        <v>208</v>
      </c>
      <c r="T319" s="128">
        <f t="shared" si="12"/>
        <v>39139</v>
      </c>
      <c r="U319" s="128">
        <v>33118</v>
      </c>
      <c r="V319" s="128">
        <v>24608696.401072741</v>
      </c>
      <c r="W319" s="128">
        <v>1602</v>
      </c>
      <c r="X319" s="128">
        <v>1613</v>
      </c>
      <c r="Y319" s="128">
        <v>28</v>
      </c>
      <c r="Z319" s="128">
        <v>158</v>
      </c>
      <c r="AA319" s="128">
        <v>93</v>
      </c>
      <c r="AB319" s="128">
        <v>25</v>
      </c>
      <c r="AC319" s="128">
        <v>0</v>
      </c>
      <c r="AD319" s="128">
        <v>2</v>
      </c>
      <c r="AE319" s="128">
        <v>15</v>
      </c>
      <c r="AF319" s="128">
        <f t="shared" si="13"/>
        <v>27093.696401072739</v>
      </c>
      <c r="AG319" s="128">
        <v>14945</v>
      </c>
      <c r="AH319" s="128">
        <f t="shared" si="14"/>
        <v>1812.8937036515717</v>
      </c>
      <c r="AI319" t="s">
        <v>118</v>
      </c>
      <c r="AM319" t="s">
        <v>422</v>
      </c>
      <c r="AN319" s="128">
        <v>1805.2936845710408</v>
      </c>
      <c r="AO319" t="s">
        <v>118</v>
      </c>
    </row>
    <row r="320" spans="1:41" x14ac:dyDescent="0.25">
      <c r="A320" t="s">
        <v>526</v>
      </c>
      <c r="B320" t="s">
        <v>609</v>
      </c>
      <c r="C320" s="128">
        <v>94654</v>
      </c>
      <c r="D320" s="128">
        <v>0</v>
      </c>
      <c r="E320" s="128">
        <v>328</v>
      </c>
      <c r="F320" s="128">
        <v>2633</v>
      </c>
      <c r="G320" s="128">
        <v>23397</v>
      </c>
      <c r="H320" s="128">
        <v>7210</v>
      </c>
      <c r="I320" s="128">
        <v>2195</v>
      </c>
      <c r="J320" s="128">
        <v>2296</v>
      </c>
      <c r="K320" s="128">
        <v>237</v>
      </c>
      <c r="L320" s="128">
        <v>3231</v>
      </c>
      <c r="M320" s="128">
        <v>4984</v>
      </c>
      <c r="N320" s="128">
        <v>20065</v>
      </c>
      <c r="O320" s="128">
        <v>21204</v>
      </c>
      <c r="P320" s="128">
        <v>6324</v>
      </c>
      <c r="Q320" s="128">
        <v>550</v>
      </c>
      <c r="R320" s="128"/>
      <c r="S320" t="s">
        <v>609</v>
      </c>
      <c r="T320" s="128">
        <f t="shared" si="12"/>
        <v>91693</v>
      </c>
      <c r="U320" s="128">
        <v>74957</v>
      </c>
      <c r="V320" s="128">
        <v>50329874.049754344</v>
      </c>
      <c r="W320" s="128">
        <v>3795</v>
      </c>
      <c r="X320" s="128">
        <v>3787</v>
      </c>
      <c r="Y320" s="128">
        <v>105</v>
      </c>
      <c r="Z320" s="128">
        <v>211</v>
      </c>
      <c r="AA320" s="128">
        <v>333</v>
      </c>
      <c r="AB320" s="128">
        <v>45</v>
      </c>
      <c r="AC320" s="128">
        <v>313</v>
      </c>
      <c r="AD320" s="128">
        <v>0</v>
      </c>
      <c r="AE320" s="128">
        <v>15</v>
      </c>
      <c r="AF320" s="128">
        <f t="shared" si="13"/>
        <v>58461.874049754348</v>
      </c>
      <c r="AG320" s="128">
        <v>26589</v>
      </c>
      <c r="AH320" s="128">
        <f t="shared" si="14"/>
        <v>2198.7240606925552</v>
      </c>
      <c r="AI320" t="s">
        <v>118</v>
      </c>
      <c r="AM320" t="s">
        <v>440</v>
      </c>
      <c r="AN320" s="128">
        <v>1989.3352976910032</v>
      </c>
      <c r="AO320" t="s">
        <v>118</v>
      </c>
    </row>
    <row r="321" spans="1:41" x14ac:dyDescent="0.25">
      <c r="A321" t="s">
        <v>521</v>
      </c>
      <c r="B321" t="s">
        <v>324</v>
      </c>
      <c r="C321" s="128">
        <v>334054</v>
      </c>
      <c r="D321" s="128">
        <v>55918</v>
      </c>
      <c r="E321" s="128">
        <v>5279</v>
      </c>
      <c r="F321" s="128">
        <v>22532</v>
      </c>
      <c r="G321" s="128">
        <v>74596</v>
      </c>
      <c r="H321" s="128">
        <v>19627</v>
      </c>
      <c r="I321" s="128">
        <v>8156</v>
      </c>
      <c r="J321" s="128">
        <v>9605</v>
      </c>
      <c r="K321" s="128">
        <v>3669</v>
      </c>
      <c r="L321" s="128">
        <v>5421</v>
      </c>
      <c r="M321" s="128">
        <v>15603</v>
      </c>
      <c r="N321" s="128">
        <v>32061</v>
      </c>
      <c r="O321" s="128">
        <v>61164</v>
      </c>
      <c r="P321" s="128">
        <v>24745</v>
      </c>
      <c r="Q321" s="128">
        <v>2572</v>
      </c>
      <c r="R321" s="128"/>
      <c r="S321" t="s">
        <v>324</v>
      </c>
      <c r="T321" s="128">
        <f t="shared" si="12"/>
        <v>250325</v>
      </c>
      <c r="U321" s="128">
        <v>167423</v>
      </c>
      <c r="V321" s="128">
        <v>149233552.03790033</v>
      </c>
      <c r="W321" s="128">
        <v>14763</v>
      </c>
      <c r="X321" s="128">
        <v>14791</v>
      </c>
      <c r="Y321" s="128">
        <v>1038</v>
      </c>
      <c r="Z321" s="128">
        <v>1121</v>
      </c>
      <c r="AA321" s="128">
        <v>4912</v>
      </c>
      <c r="AB321" s="128">
        <v>426</v>
      </c>
      <c r="AC321" s="128">
        <v>270</v>
      </c>
      <c r="AD321" s="128">
        <v>371</v>
      </c>
      <c r="AE321" s="128">
        <v>84</v>
      </c>
      <c r="AF321" s="128">
        <f t="shared" si="13"/>
        <v>194359.55203790034</v>
      </c>
      <c r="AG321" s="128">
        <v>112487</v>
      </c>
      <c r="AH321" s="128">
        <f t="shared" si="14"/>
        <v>1727.8401240845637</v>
      </c>
      <c r="AI321" t="s">
        <v>467</v>
      </c>
      <c r="AM321" t="s">
        <v>339</v>
      </c>
      <c r="AN321" s="128">
        <v>1948.20339196294</v>
      </c>
      <c r="AO321" t="s">
        <v>118</v>
      </c>
    </row>
    <row r="322" spans="1:41" x14ac:dyDescent="0.25">
      <c r="A322" t="s">
        <v>520</v>
      </c>
      <c r="B322" s="86" t="s">
        <v>140</v>
      </c>
      <c r="C322" s="128">
        <v>82836</v>
      </c>
      <c r="D322" s="128">
        <v>1689</v>
      </c>
      <c r="E322" s="128">
        <v>1674</v>
      </c>
      <c r="F322" s="128">
        <v>4691</v>
      </c>
      <c r="G322" s="128">
        <v>23121</v>
      </c>
      <c r="H322" s="128">
        <v>6799</v>
      </c>
      <c r="I322" s="128">
        <v>1644</v>
      </c>
      <c r="J322" s="128">
        <v>2693</v>
      </c>
      <c r="K322" s="128">
        <v>889</v>
      </c>
      <c r="L322" s="128">
        <v>2110</v>
      </c>
      <c r="M322" s="128">
        <v>2651</v>
      </c>
      <c r="N322" s="128">
        <v>12973</v>
      </c>
      <c r="O322" s="128">
        <v>15613</v>
      </c>
      <c r="P322" s="128">
        <v>5546</v>
      </c>
      <c r="Q322" s="128">
        <v>1115</v>
      </c>
      <c r="R322" s="128"/>
      <c r="S322" t="s">
        <v>140</v>
      </c>
      <c r="T322" s="128">
        <f t="shared" si="12"/>
        <v>74782</v>
      </c>
      <c r="U322" s="128">
        <v>57478</v>
      </c>
      <c r="V322" s="128">
        <v>46850323.563750856</v>
      </c>
      <c r="W322" s="128">
        <v>2139</v>
      </c>
      <c r="X322" s="128">
        <v>3131</v>
      </c>
      <c r="Y322" s="128">
        <v>92</v>
      </c>
      <c r="Z322" s="128">
        <v>236</v>
      </c>
      <c r="AA322" s="128">
        <v>600</v>
      </c>
      <c r="AB322" s="128">
        <v>96</v>
      </c>
      <c r="AC322" s="128">
        <v>150</v>
      </c>
      <c r="AD322" s="128">
        <v>0</v>
      </c>
      <c r="AE322" s="128">
        <v>13</v>
      </c>
      <c r="AF322" s="128">
        <f t="shared" si="13"/>
        <v>57697.323563750855</v>
      </c>
      <c r="AG322" s="128">
        <v>26280</v>
      </c>
      <c r="AH322" s="128">
        <f t="shared" si="14"/>
        <v>2195.4841538717983</v>
      </c>
      <c r="AI322" t="s">
        <v>118</v>
      </c>
      <c r="AM322" t="s">
        <v>273</v>
      </c>
      <c r="AN322" s="128">
        <v>2152.389411797586</v>
      </c>
      <c r="AO322" t="s">
        <v>118</v>
      </c>
    </row>
    <row r="323" spans="1:41" x14ac:dyDescent="0.25">
      <c r="A323" t="s">
        <v>521</v>
      </c>
      <c r="B323" t="s">
        <v>325</v>
      </c>
      <c r="C323" s="128">
        <v>49800</v>
      </c>
      <c r="D323" s="128">
        <v>5405</v>
      </c>
      <c r="E323" s="128">
        <v>1460</v>
      </c>
      <c r="F323" s="128">
        <v>4336</v>
      </c>
      <c r="G323" s="128">
        <v>11533</v>
      </c>
      <c r="H323" s="128">
        <v>5191</v>
      </c>
      <c r="I323" s="128">
        <v>1322</v>
      </c>
      <c r="J323" s="128">
        <v>1508</v>
      </c>
      <c r="K323" s="128">
        <v>272</v>
      </c>
      <c r="L323" s="128">
        <v>608</v>
      </c>
      <c r="M323" s="128">
        <v>2626</v>
      </c>
      <c r="N323" s="128">
        <v>2849</v>
      </c>
      <c r="O323" s="128">
        <v>4785</v>
      </c>
      <c r="P323" s="128">
        <v>3949</v>
      </c>
      <c r="Q323" s="128">
        <v>5050</v>
      </c>
      <c r="R323" s="128"/>
      <c r="S323" t="s">
        <v>325</v>
      </c>
      <c r="T323" s="128">
        <f t="shared" ref="T323:T346" si="15">SUM(C323,-D323,-E323,-F323)</f>
        <v>38599</v>
      </c>
      <c r="U323" s="128">
        <v>20734</v>
      </c>
      <c r="V323" s="128">
        <v>18339381.862991437</v>
      </c>
      <c r="W323" s="128">
        <v>2273</v>
      </c>
      <c r="X323" s="128">
        <v>2214</v>
      </c>
      <c r="Y323" s="128">
        <v>379</v>
      </c>
      <c r="Z323" s="128">
        <v>197</v>
      </c>
      <c r="AA323" s="128">
        <v>677</v>
      </c>
      <c r="AB323" s="128">
        <v>30</v>
      </c>
      <c r="AC323" s="128">
        <v>1021</v>
      </c>
      <c r="AD323" s="128">
        <v>601</v>
      </c>
      <c r="AE323" s="128">
        <v>140</v>
      </c>
      <c r="AF323" s="128">
        <f t="shared" ref="AF323:AF347" si="16">SUM(T323,-U323,V323/1000,-W323,-X323,-Y323,-Z323,-AA323,-AB323,-AC323,-AD323,-AE323)</f>
        <v>28672.381862991439</v>
      </c>
      <c r="AG323" s="128">
        <v>14958</v>
      </c>
      <c r="AH323" s="128">
        <f t="shared" ref="AH323:AH347" si="17">AF323*1000/AG323</f>
        <v>1916.8593303243374</v>
      </c>
      <c r="AI323" t="s">
        <v>467</v>
      </c>
      <c r="AM323" t="s">
        <v>161</v>
      </c>
      <c r="AN323" s="128">
        <v>1999.327314502186</v>
      </c>
      <c r="AO323" t="s">
        <v>118</v>
      </c>
    </row>
    <row r="324" spans="1:41" x14ac:dyDescent="0.25">
      <c r="A324" t="s">
        <v>522</v>
      </c>
      <c r="B324" s="86" t="s">
        <v>162</v>
      </c>
      <c r="C324" s="128">
        <v>61556</v>
      </c>
      <c r="D324" s="128">
        <v>5538</v>
      </c>
      <c r="E324" s="128">
        <v>904</v>
      </c>
      <c r="F324" s="128">
        <v>1928</v>
      </c>
      <c r="G324" s="128">
        <v>17112</v>
      </c>
      <c r="H324" s="128">
        <v>3771</v>
      </c>
      <c r="I324" s="128">
        <v>1670</v>
      </c>
      <c r="J324" s="128">
        <v>1810</v>
      </c>
      <c r="K324" s="128">
        <v>2645</v>
      </c>
      <c r="L324" s="128">
        <v>927</v>
      </c>
      <c r="M324" s="128">
        <v>3250</v>
      </c>
      <c r="N324" s="128">
        <v>4414</v>
      </c>
      <c r="O324" s="128">
        <v>12747</v>
      </c>
      <c r="P324" s="128">
        <v>4692</v>
      </c>
      <c r="Q324" s="128">
        <v>389</v>
      </c>
      <c r="R324" s="128"/>
      <c r="S324" t="s">
        <v>162</v>
      </c>
      <c r="T324" s="128">
        <f t="shared" si="15"/>
        <v>53186</v>
      </c>
      <c r="U324" s="128">
        <v>39238</v>
      </c>
      <c r="V324" s="128">
        <v>33305560.809076421</v>
      </c>
      <c r="W324" s="128">
        <v>3151</v>
      </c>
      <c r="X324" s="128">
        <v>1933</v>
      </c>
      <c r="Y324" s="128">
        <v>318</v>
      </c>
      <c r="Z324" s="128">
        <v>266</v>
      </c>
      <c r="AA324" s="128">
        <v>580</v>
      </c>
      <c r="AB324" s="128">
        <v>36</v>
      </c>
      <c r="AC324" s="128">
        <v>213</v>
      </c>
      <c r="AD324" s="128">
        <v>0</v>
      </c>
      <c r="AE324" s="128">
        <v>44</v>
      </c>
      <c r="AF324" s="128">
        <f t="shared" si="16"/>
        <v>40712.560809076422</v>
      </c>
      <c r="AG324" s="128">
        <v>24643</v>
      </c>
      <c r="AH324" s="128">
        <f t="shared" si="17"/>
        <v>1652.0943395315676</v>
      </c>
      <c r="AI324" t="s">
        <v>467</v>
      </c>
      <c r="AM324" t="s">
        <v>138</v>
      </c>
      <c r="AN324" s="128">
        <v>1903.4072317143925</v>
      </c>
      <c r="AO324" t="s">
        <v>118</v>
      </c>
    </row>
    <row r="325" spans="1:41" x14ac:dyDescent="0.25">
      <c r="A325" t="s">
        <v>517</v>
      </c>
      <c r="B325" t="s">
        <v>209</v>
      </c>
      <c r="C325" s="128">
        <v>105733</v>
      </c>
      <c r="D325" s="128">
        <v>63</v>
      </c>
      <c r="E325" s="128">
        <v>345</v>
      </c>
      <c r="F325" s="128">
        <v>3374</v>
      </c>
      <c r="G325" s="128">
        <v>2043</v>
      </c>
      <c r="H325" s="128">
        <v>14359</v>
      </c>
      <c r="I325" s="128">
        <v>3734</v>
      </c>
      <c r="J325" s="128">
        <v>4477</v>
      </c>
      <c r="K325" s="128">
        <v>1390</v>
      </c>
      <c r="L325" s="128">
        <v>1932</v>
      </c>
      <c r="M325" s="128">
        <v>8193</v>
      </c>
      <c r="N325" s="128">
        <v>21168</v>
      </c>
      <c r="O325" s="128">
        <v>31988</v>
      </c>
      <c r="P325" s="128">
        <v>10234</v>
      </c>
      <c r="Q325" s="128">
        <v>2433</v>
      </c>
      <c r="R325" s="128"/>
      <c r="S325" t="s">
        <v>209</v>
      </c>
      <c r="T325" s="128">
        <f t="shared" si="15"/>
        <v>101951</v>
      </c>
      <c r="U325" s="128">
        <v>80302</v>
      </c>
      <c r="V325" s="128">
        <v>63020450.253753588</v>
      </c>
      <c r="W325" s="128">
        <v>4218</v>
      </c>
      <c r="X325" s="128">
        <v>4229</v>
      </c>
      <c r="Y325" s="128">
        <v>0</v>
      </c>
      <c r="Z325" s="128">
        <v>372</v>
      </c>
      <c r="AA325" s="128">
        <v>905</v>
      </c>
      <c r="AB325" s="128">
        <v>254</v>
      </c>
      <c r="AC325" s="128">
        <v>94</v>
      </c>
      <c r="AD325" s="128">
        <v>0</v>
      </c>
      <c r="AE325" s="128">
        <v>38</v>
      </c>
      <c r="AF325" s="128">
        <f t="shared" si="16"/>
        <v>74559.450253753588</v>
      </c>
      <c r="AG325" s="128">
        <v>41343</v>
      </c>
      <c r="AH325" s="128">
        <f t="shared" si="17"/>
        <v>1803.4358961312334</v>
      </c>
      <c r="AI325" t="s">
        <v>118</v>
      </c>
      <c r="AM325" t="s">
        <v>424</v>
      </c>
      <c r="AN325" s="128">
        <v>2056.7624503499951</v>
      </c>
      <c r="AO325" t="s">
        <v>118</v>
      </c>
    </row>
    <row r="326" spans="1:41" x14ac:dyDescent="0.25">
      <c r="A326" t="s">
        <v>524</v>
      </c>
      <c r="B326" s="86" t="s">
        <v>279</v>
      </c>
      <c r="C326" s="128">
        <v>55335</v>
      </c>
      <c r="D326" s="128">
        <v>1418</v>
      </c>
      <c r="E326" s="128">
        <v>577</v>
      </c>
      <c r="F326" s="128">
        <v>3099</v>
      </c>
      <c r="G326" s="128">
        <v>15201</v>
      </c>
      <c r="H326" s="128">
        <v>5073</v>
      </c>
      <c r="I326" s="128">
        <v>2548</v>
      </c>
      <c r="J326" s="128">
        <v>1657</v>
      </c>
      <c r="K326" s="128">
        <v>314</v>
      </c>
      <c r="L326" s="128">
        <v>982</v>
      </c>
      <c r="M326" s="128">
        <v>2701</v>
      </c>
      <c r="N326" s="128">
        <v>4588</v>
      </c>
      <c r="O326" s="128">
        <v>9736</v>
      </c>
      <c r="P326" s="128">
        <v>5748</v>
      </c>
      <c r="Q326" s="128">
        <v>1727</v>
      </c>
      <c r="R326" s="128"/>
      <c r="S326" t="s">
        <v>279</v>
      </c>
      <c r="T326" s="128">
        <f t="shared" si="15"/>
        <v>50241</v>
      </c>
      <c r="U326" s="128">
        <v>33577</v>
      </c>
      <c r="V326" s="128">
        <v>28851013.652540307</v>
      </c>
      <c r="W326" s="128">
        <v>2940</v>
      </c>
      <c r="X326" s="128">
        <v>3370</v>
      </c>
      <c r="Y326" s="128">
        <v>320</v>
      </c>
      <c r="Z326" s="128">
        <v>196</v>
      </c>
      <c r="AA326" s="128">
        <v>737</v>
      </c>
      <c r="AB326" s="128">
        <v>39</v>
      </c>
      <c r="AC326" s="128">
        <v>317</v>
      </c>
      <c r="AD326" s="128">
        <v>0</v>
      </c>
      <c r="AE326" s="128">
        <v>34</v>
      </c>
      <c r="AF326" s="128">
        <f t="shared" si="16"/>
        <v>37562.013652540307</v>
      </c>
      <c r="AG326" s="128">
        <v>24503</v>
      </c>
      <c r="AH326" s="128">
        <f t="shared" si="17"/>
        <v>1532.9557055274988</v>
      </c>
      <c r="AI326" t="s">
        <v>467</v>
      </c>
      <c r="AM326" t="s">
        <v>393</v>
      </c>
      <c r="AN326" s="128">
        <v>1782.7575126715792</v>
      </c>
      <c r="AO326" t="s">
        <v>118</v>
      </c>
    </row>
    <row r="327" spans="1:41" x14ac:dyDescent="0.25">
      <c r="A327" t="s">
        <v>524</v>
      </c>
      <c r="B327" t="s">
        <v>234</v>
      </c>
      <c r="C327" s="128">
        <v>57667</v>
      </c>
      <c r="D327" s="128">
        <v>674</v>
      </c>
      <c r="E327" s="128">
        <v>868</v>
      </c>
      <c r="F327" s="128">
        <v>2980</v>
      </c>
      <c r="G327" s="128">
        <v>11257</v>
      </c>
      <c r="H327" s="128">
        <v>5781</v>
      </c>
      <c r="I327" s="128">
        <v>1726</v>
      </c>
      <c r="J327" s="128">
        <v>2021</v>
      </c>
      <c r="K327" s="128">
        <v>1490</v>
      </c>
      <c r="L327" s="128">
        <v>854</v>
      </c>
      <c r="M327" s="128">
        <v>2335</v>
      </c>
      <c r="N327" s="128">
        <v>8280</v>
      </c>
      <c r="O327" s="128">
        <v>14474</v>
      </c>
      <c r="P327" s="128">
        <v>4874</v>
      </c>
      <c r="Q327" s="128">
        <v>362</v>
      </c>
      <c r="R327" s="128"/>
      <c r="S327" t="s">
        <v>234</v>
      </c>
      <c r="T327" s="128">
        <f t="shared" si="15"/>
        <v>53145</v>
      </c>
      <c r="U327" s="128">
        <v>39656</v>
      </c>
      <c r="V327" s="128">
        <v>33151558.864194807</v>
      </c>
      <c r="W327" s="128">
        <v>2436</v>
      </c>
      <c r="X327" s="128">
        <v>3003</v>
      </c>
      <c r="Y327" s="128">
        <v>171</v>
      </c>
      <c r="Z327" s="128">
        <v>330</v>
      </c>
      <c r="AA327" s="128">
        <v>603</v>
      </c>
      <c r="AB327" s="128">
        <v>126</v>
      </c>
      <c r="AC327" s="128">
        <v>36</v>
      </c>
      <c r="AD327" s="128">
        <v>36</v>
      </c>
      <c r="AE327" s="128">
        <v>147</v>
      </c>
      <c r="AF327" s="128">
        <f t="shared" si="16"/>
        <v>39752.558864194805</v>
      </c>
      <c r="AG327" s="128">
        <v>23922</v>
      </c>
      <c r="AH327" s="128">
        <f t="shared" si="17"/>
        <v>1661.757330666115</v>
      </c>
      <c r="AI327" t="s">
        <v>467</v>
      </c>
      <c r="AM327" t="s">
        <v>276</v>
      </c>
      <c r="AN327" s="128">
        <v>1882.3902996169309</v>
      </c>
      <c r="AO327" t="s">
        <v>118</v>
      </c>
    </row>
    <row r="328" spans="1:41" x14ac:dyDescent="0.25">
      <c r="A328" t="s">
        <v>519</v>
      </c>
      <c r="B328" t="s">
        <v>210</v>
      </c>
      <c r="C328" s="128">
        <v>93251</v>
      </c>
      <c r="D328" s="128">
        <v>365</v>
      </c>
      <c r="E328" s="128">
        <v>2292</v>
      </c>
      <c r="F328" s="128">
        <v>5561</v>
      </c>
      <c r="G328" s="128">
        <v>22306</v>
      </c>
      <c r="H328" s="128">
        <v>4107</v>
      </c>
      <c r="I328" s="128">
        <v>1934</v>
      </c>
      <c r="J328" s="128">
        <v>1625</v>
      </c>
      <c r="K328" s="128">
        <v>395</v>
      </c>
      <c r="L328" s="128">
        <v>1525</v>
      </c>
      <c r="M328" s="128">
        <v>6362</v>
      </c>
      <c r="N328" s="128">
        <v>15227</v>
      </c>
      <c r="O328" s="128">
        <v>25147</v>
      </c>
      <c r="P328" s="128">
        <v>5977</v>
      </c>
      <c r="Q328" s="128">
        <v>694</v>
      </c>
      <c r="R328" s="128"/>
      <c r="S328" t="s">
        <v>210</v>
      </c>
      <c r="T328" s="128">
        <f t="shared" si="15"/>
        <v>85033</v>
      </c>
      <c r="U328" s="128">
        <v>64529</v>
      </c>
      <c r="V328" s="128">
        <v>51107306.943540886</v>
      </c>
      <c r="W328" s="128">
        <v>3976</v>
      </c>
      <c r="X328" s="128">
        <v>2592</v>
      </c>
      <c r="Y328" s="128">
        <v>201</v>
      </c>
      <c r="Z328" s="128">
        <v>273</v>
      </c>
      <c r="AA328" s="128">
        <v>316</v>
      </c>
      <c r="AB328" s="128">
        <v>143</v>
      </c>
      <c r="AC328" s="128">
        <v>861</v>
      </c>
      <c r="AD328" s="128">
        <v>0</v>
      </c>
      <c r="AE328" s="128">
        <v>61</v>
      </c>
      <c r="AF328" s="128">
        <f t="shared" si="16"/>
        <v>63188.306943540883</v>
      </c>
      <c r="AG328" s="128">
        <v>29177</v>
      </c>
      <c r="AH328" s="128">
        <f t="shared" si="17"/>
        <v>2165.6889654022307</v>
      </c>
      <c r="AI328" t="s">
        <v>118</v>
      </c>
      <c r="AM328" t="s">
        <v>605</v>
      </c>
      <c r="AN328" s="128">
        <v>1658.8832938809123</v>
      </c>
      <c r="AO328" t="s">
        <v>118</v>
      </c>
    </row>
    <row r="329" spans="1:41" x14ac:dyDescent="0.25">
      <c r="A329" t="s">
        <v>517</v>
      </c>
      <c r="B329" t="s">
        <v>398</v>
      </c>
      <c r="C329" s="128">
        <v>52451</v>
      </c>
      <c r="D329" s="128">
        <v>95</v>
      </c>
      <c r="E329" s="128">
        <v>94</v>
      </c>
      <c r="F329" s="128">
        <v>2356</v>
      </c>
      <c r="G329" s="128">
        <v>11005</v>
      </c>
      <c r="H329" s="128">
        <v>4201</v>
      </c>
      <c r="I329" s="128">
        <v>1820</v>
      </c>
      <c r="J329" s="128">
        <v>1655</v>
      </c>
      <c r="K329" s="128">
        <v>74</v>
      </c>
      <c r="L329" s="128">
        <v>1426</v>
      </c>
      <c r="M329" s="128">
        <v>2192</v>
      </c>
      <c r="N329" s="128">
        <v>9132</v>
      </c>
      <c r="O329" s="128">
        <v>13107</v>
      </c>
      <c r="P329" s="128">
        <v>5176</v>
      </c>
      <c r="Q329" s="128">
        <v>118</v>
      </c>
      <c r="R329" s="128"/>
      <c r="S329" t="s">
        <v>398</v>
      </c>
      <c r="T329" s="128">
        <f t="shared" si="15"/>
        <v>49906</v>
      </c>
      <c r="U329" s="128">
        <v>39071</v>
      </c>
      <c r="V329" s="128">
        <v>31321912.395680033</v>
      </c>
      <c r="W329" s="128">
        <v>2035</v>
      </c>
      <c r="X329" s="128">
        <v>2577</v>
      </c>
      <c r="Y329" s="128">
        <v>74</v>
      </c>
      <c r="Z329" s="128">
        <v>214</v>
      </c>
      <c r="AA329" s="128">
        <v>658</v>
      </c>
      <c r="AB329" s="128">
        <v>119</v>
      </c>
      <c r="AC329" s="128">
        <v>641</v>
      </c>
      <c r="AD329" s="128">
        <v>0</v>
      </c>
      <c r="AE329" s="128">
        <v>33</v>
      </c>
      <c r="AF329" s="128">
        <f t="shared" si="16"/>
        <v>35805.912395680032</v>
      </c>
      <c r="AG329" s="128">
        <v>22125</v>
      </c>
      <c r="AH329" s="128">
        <f t="shared" si="17"/>
        <v>1618.346322968589</v>
      </c>
      <c r="AI329" t="s">
        <v>467</v>
      </c>
      <c r="AM329" t="s">
        <v>320</v>
      </c>
      <c r="AN329" s="128">
        <v>2193.8121419270965</v>
      </c>
      <c r="AO329" t="s">
        <v>118</v>
      </c>
    </row>
    <row r="330" spans="1:41" x14ac:dyDescent="0.25">
      <c r="A330" t="s">
        <v>524</v>
      </c>
      <c r="B330" t="s">
        <v>235</v>
      </c>
      <c r="C330" s="128">
        <v>155470</v>
      </c>
      <c r="D330" s="128">
        <v>8742</v>
      </c>
      <c r="E330" s="128">
        <v>2909</v>
      </c>
      <c r="F330" s="128">
        <v>11388</v>
      </c>
      <c r="G330" s="128">
        <v>32326</v>
      </c>
      <c r="H330" s="128">
        <v>7825</v>
      </c>
      <c r="I330" s="128">
        <v>3627</v>
      </c>
      <c r="J330" s="128">
        <v>6009</v>
      </c>
      <c r="K330" s="128">
        <v>10463</v>
      </c>
      <c r="L330" s="128">
        <v>3528</v>
      </c>
      <c r="M330" s="128">
        <v>10186</v>
      </c>
      <c r="N330" s="128">
        <v>21986</v>
      </c>
      <c r="O330" s="128">
        <v>25466</v>
      </c>
      <c r="P330" s="128">
        <v>9959</v>
      </c>
      <c r="Q330" s="128">
        <v>1052</v>
      </c>
      <c r="R330" s="128"/>
      <c r="S330" t="s">
        <v>235</v>
      </c>
      <c r="T330" s="128">
        <f t="shared" si="15"/>
        <v>132431</v>
      </c>
      <c r="U330" s="128">
        <v>94477</v>
      </c>
      <c r="V330" s="128">
        <v>78560108.224238485</v>
      </c>
      <c r="W330" s="128">
        <v>6153</v>
      </c>
      <c r="X330" s="128">
        <v>5976</v>
      </c>
      <c r="Y330" s="128">
        <v>730</v>
      </c>
      <c r="Z330" s="128">
        <v>662</v>
      </c>
      <c r="AA330" s="128">
        <v>1399</v>
      </c>
      <c r="AB330" s="128">
        <v>315</v>
      </c>
      <c r="AC330" s="128">
        <v>96</v>
      </c>
      <c r="AD330" s="128">
        <v>2167</v>
      </c>
      <c r="AE330" s="128">
        <v>178</v>
      </c>
      <c r="AF330" s="128">
        <f t="shared" si="16"/>
        <v>98838.108224238487</v>
      </c>
      <c r="AG330" s="128">
        <v>52879</v>
      </c>
      <c r="AH330" s="128">
        <f t="shared" si="17"/>
        <v>1869.1372420854873</v>
      </c>
      <c r="AI330" t="s">
        <v>467</v>
      </c>
      <c r="AM330" t="s">
        <v>139</v>
      </c>
      <c r="AN330" s="128">
        <v>4360.3290647264648</v>
      </c>
      <c r="AO330" t="s">
        <v>118</v>
      </c>
    </row>
    <row r="331" spans="1:41" x14ac:dyDescent="0.25">
      <c r="A331" t="s">
        <v>518</v>
      </c>
      <c r="B331" t="s">
        <v>280</v>
      </c>
      <c r="C331" s="128">
        <v>39539</v>
      </c>
      <c r="D331" s="128">
        <v>0</v>
      </c>
      <c r="E331" s="128">
        <v>204</v>
      </c>
      <c r="F331" s="128">
        <v>1029</v>
      </c>
      <c r="G331" s="128">
        <v>1122</v>
      </c>
      <c r="H331" s="128">
        <v>7889</v>
      </c>
      <c r="I331" s="128">
        <v>1976</v>
      </c>
      <c r="J331" s="128">
        <v>1942</v>
      </c>
      <c r="K331" s="128">
        <v>27</v>
      </c>
      <c r="L331" s="128">
        <v>887</v>
      </c>
      <c r="M331" s="128">
        <v>2799</v>
      </c>
      <c r="N331" s="128">
        <v>4455</v>
      </c>
      <c r="O331" s="128">
        <v>10029</v>
      </c>
      <c r="P331" s="128">
        <v>5154</v>
      </c>
      <c r="Q331" s="128">
        <v>2026</v>
      </c>
      <c r="R331" s="128"/>
      <c r="S331" t="s">
        <v>280</v>
      </c>
      <c r="T331" s="128">
        <f t="shared" si="15"/>
        <v>38306</v>
      </c>
      <c r="U331" s="128">
        <v>27322</v>
      </c>
      <c r="V331" s="128">
        <v>23728179.958288118</v>
      </c>
      <c r="W331" s="128">
        <v>1903</v>
      </c>
      <c r="X331" s="128">
        <v>2458</v>
      </c>
      <c r="Y331" s="128">
        <v>159</v>
      </c>
      <c r="Z331" s="128">
        <v>200</v>
      </c>
      <c r="AA331" s="128">
        <v>1671</v>
      </c>
      <c r="AB331" s="128">
        <v>35</v>
      </c>
      <c r="AC331" s="128">
        <v>8</v>
      </c>
      <c r="AD331" s="128">
        <v>0</v>
      </c>
      <c r="AE331" s="128">
        <v>65</v>
      </c>
      <c r="AF331" s="128">
        <f t="shared" si="16"/>
        <v>28213.179958288121</v>
      </c>
      <c r="AG331" s="128">
        <v>16379</v>
      </c>
      <c r="AH331" s="128">
        <f t="shared" si="17"/>
        <v>1722.5215189137384</v>
      </c>
      <c r="AI331" t="s">
        <v>467</v>
      </c>
      <c r="AM331" t="s">
        <v>395</v>
      </c>
      <c r="AN331" s="128">
        <v>1769.4301676765776</v>
      </c>
      <c r="AO331" t="s">
        <v>118</v>
      </c>
    </row>
    <row r="332" spans="1:41" x14ac:dyDescent="0.25">
      <c r="A332" s="86" t="s">
        <v>524</v>
      </c>
      <c r="B332" t="s">
        <v>236</v>
      </c>
      <c r="C332" s="128">
        <v>34320</v>
      </c>
      <c r="D332" s="128">
        <v>6057</v>
      </c>
      <c r="E332" s="128">
        <v>29</v>
      </c>
      <c r="F332" s="128">
        <v>1343</v>
      </c>
      <c r="G332" s="128">
        <v>6106</v>
      </c>
      <c r="H332" s="128">
        <v>1980</v>
      </c>
      <c r="I332" s="128">
        <v>810</v>
      </c>
      <c r="J332" s="128">
        <v>748</v>
      </c>
      <c r="K332" s="128">
        <v>116</v>
      </c>
      <c r="L332" s="128">
        <v>866</v>
      </c>
      <c r="M332" s="128">
        <v>1387</v>
      </c>
      <c r="N332" s="128">
        <v>2410</v>
      </c>
      <c r="O332" s="128">
        <v>8761</v>
      </c>
      <c r="P332" s="128">
        <v>3221</v>
      </c>
      <c r="Q332" s="128">
        <v>529</v>
      </c>
      <c r="R332" s="128"/>
      <c r="S332" t="s">
        <v>236</v>
      </c>
      <c r="T332" s="128">
        <f t="shared" si="15"/>
        <v>26891</v>
      </c>
      <c r="U332" s="128">
        <v>20416</v>
      </c>
      <c r="V332" s="128">
        <v>18367661.105079751</v>
      </c>
      <c r="W332" s="128">
        <v>1305</v>
      </c>
      <c r="X332" s="128">
        <v>1732</v>
      </c>
      <c r="Y332" s="128">
        <v>186</v>
      </c>
      <c r="Z332" s="128">
        <v>160</v>
      </c>
      <c r="AA332" s="128">
        <v>331</v>
      </c>
      <c r="AB332" s="128">
        <v>6</v>
      </c>
      <c r="AC332" s="128">
        <v>241</v>
      </c>
      <c r="AD332" s="128">
        <v>0</v>
      </c>
      <c r="AE332" s="128">
        <v>0</v>
      </c>
      <c r="AF332" s="128">
        <f t="shared" si="16"/>
        <v>20881.661105079751</v>
      </c>
      <c r="AG332" s="128">
        <v>13877</v>
      </c>
      <c r="AH332" s="128">
        <f t="shared" si="17"/>
        <v>1504.7676807004216</v>
      </c>
      <c r="AI332" t="s">
        <v>467</v>
      </c>
      <c r="AM332" t="s">
        <v>606</v>
      </c>
      <c r="AN332" s="128">
        <v>1935.1279775466069</v>
      </c>
      <c r="AO332" t="s">
        <v>118</v>
      </c>
    </row>
    <row r="333" spans="1:41" x14ac:dyDescent="0.25">
      <c r="A333" t="s">
        <v>524</v>
      </c>
      <c r="B333" t="s">
        <v>281</v>
      </c>
      <c r="C333" s="128">
        <v>566411</v>
      </c>
      <c r="D333" s="128">
        <v>35582</v>
      </c>
      <c r="E333" s="128">
        <v>7824</v>
      </c>
      <c r="F333" s="128">
        <v>29373</v>
      </c>
      <c r="G333" s="128">
        <v>112034</v>
      </c>
      <c r="H333" s="128">
        <v>27721</v>
      </c>
      <c r="I333" s="128">
        <v>14630</v>
      </c>
      <c r="J333" s="128">
        <v>14217</v>
      </c>
      <c r="K333" s="128">
        <v>1981</v>
      </c>
      <c r="L333" s="128">
        <v>19974</v>
      </c>
      <c r="M333" s="128">
        <v>28211</v>
      </c>
      <c r="N333" s="128">
        <v>95314</v>
      </c>
      <c r="O333" s="128">
        <v>133380</v>
      </c>
      <c r="P333" s="128">
        <v>44043</v>
      </c>
      <c r="Q333" s="128">
        <v>5441</v>
      </c>
      <c r="R333" s="128"/>
      <c r="S333" t="s">
        <v>281</v>
      </c>
      <c r="T333" s="128">
        <f t="shared" si="15"/>
        <v>493632</v>
      </c>
      <c r="U333" s="128">
        <v>399466</v>
      </c>
      <c r="V333" s="128">
        <v>284998047.51720881</v>
      </c>
      <c r="W333" s="128">
        <v>22373</v>
      </c>
      <c r="X333" s="128">
        <v>23031</v>
      </c>
      <c r="Y333" s="128">
        <v>1076</v>
      </c>
      <c r="Z333" s="128">
        <v>2039</v>
      </c>
      <c r="AA333" s="128">
        <v>6189</v>
      </c>
      <c r="AB333" s="128">
        <v>1922</v>
      </c>
      <c r="AC333" s="128">
        <v>2836</v>
      </c>
      <c r="AD333" s="128">
        <v>5192</v>
      </c>
      <c r="AE333" s="128">
        <v>2191</v>
      </c>
      <c r="AF333" s="128">
        <f t="shared" si="16"/>
        <v>312315.04751720879</v>
      </c>
      <c r="AG333" s="128">
        <v>157131</v>
      </c>
      <c r="AH333" s="128">
        <f t="shared" si="17"/>
        <v>1987.6093674526912</v>
      </c>
      <c r="AI333" t="s">
        <v>441</v>
      </c>
      <c r="AM333" t="s">
        <v>397</v>
      </c>
      <c r="AN333" s="128">
        <v>2378.3272997150721</v>
      </c>
      <c r="AO333" t="s">
        <v>118</v>
      </c>
    </row>
    <row r="334" spans="1:41" x14ac:dyDescent="0.25">
      <c r="A334" t="s">
        <v>519</v>
      </c>
      <c r="B334" t="s">
        <v>211</v>
      </c>
      <c r="C334" s="128">
        <v>85121</v>
      </c>
      <c r="D334" s="128">
        <v>6390</v>
      </c>
      <c r="E334" s="128">
        <v>631</v>
      </c>
      <c r="F334" s="128">
        <v>3596</v>
      </c>
      <c r="G334" s="128">
        <v>10251</v>
      </c>
      <c r="H334" s="128">
        <v>7214</v>
      </c>
      <c r="I334" s="128">
        <v>3303</v>
      </c>
      <c r="J334" s="128">
        <v>3913</v>
      </c>
      <c r="K334" s="128">
        <v>3451</v>
      </c>
      <c r="L334" s="128">
        <v>3385</v>
      </c>
      <c r="M334" s="128">
        <v>4874</v>
      </c>
      <c r="N334" s="128">
        <v>11985</v>
      </c>
      <c r="O334" s="128">
        <v>16483</v>
      </c>
      <c r="P334" s="128">
        <v>7595</v>
      </c>
      <c r="Q334" s="128">
        <v>1893</v>
      </c>
      <c r="R334" s="128"/>
      <c r="S334" t="s">
        <v>211</v>
      </c>
      <c r="T334" s="128">
        <f t="shared" si="15"/>
        <v>74504</v>
      </c>
      <c r="U334" s="128">
        <v>54610</v>
      </c>
      <c r="V334" s="128">
        <v>43690678.362981148</v>
      </c>
      <c r="W334" s="128">
        <v>4255</v>
      </c>
      <c r="X334" s="128">
        <v>0</v>
      </c>
      <c r="Y334" s="128">
        <v>334</v>
      </c>
      <c r="Z334" s="128">
        <v>316</v>
      </c>
      <c r="AA334" s="128">
        <v>1059</v>
      </c>
      <c r="AB334" s="128">
        <v>234</v>
      </c>
      <c r="AC334" s="128">
        <v>249</v>
      </c>
      <c r="AD334" s="128">
        <v>759</v>
      </c>
      <c r="AE334" s="128">
        <v>89</v>
      </c>
      <c r="AF334" s="128">
        <f t="shared" si="16"/>
        <v>56289.678362981147</v>
      </c>
      <c r="AG334" s="128">
        <v>29954</v>
      </c>
      <c r="AH334" s="128">
        <f t="shared" si="17"/>
        <v>1879.2040583221321</v>
      </c>
      <c r="AI334" t="s">
        <v>467</v>
      </c>
      <c r="AM334" t="s">
        <v>206</v>
      </c>
      <c r="AN334" s="128">
        <v>1867.0321338397064</v>
      </c>
      <c r="AO334" t="s">
        <v>118</v>
      </c>
    </row>
    <row r="335" spans="1:41" x14ac:dyDescent="0.25">
      <c r="A335" t="s">
        <v>518</v>
      </c>
      <c r="B335" t="s">
        <v>282</v>
      </c>
      <c r="C335" s="128">
        <v>62034</v>
      </c>
      <c r="D335" s="128">
        <v>1935</v>
      </c>
      <c r="E335" s="128">
        <v>1153</v>
      </c>
      <c r="F335" s="128">
        <v>2610</v>
      </c>
      <c r="G335" s="128">
        <v>1174</v>
      </c>
      <c r="H335" s="128">
        <v>9127</v>
      </c>
      <c r="I335" s="128">
        <v>3551</v>
      </c>
      <c r="J335" s="128">
        <v>5000</v>
      </c>
      <c r="K335" s="128">
        <v>2830</v>
      </c>
      <c r="L335" s="128">
        <v>1178</v>
      </c>
      <c r="M335" s="128">
        <v>3872</v>
      </c>
      <c r="N335" s="128">
        <v>11736</v>
      </c>
      <c r="O335" s="128">
        <v>10709</v>
      </c>
      <c r="P335" s="128">
        <v>4849</v>
      </c>
      <c r="Q335" s="128">
        <v>2381</v>
      </c>
      <c r="R335" s="128"/>
      <c r="S335" t="s">
        <v>282</v>
      </c>
      <c r="T335" s="128">
        <f t="shared" si="15"/>
        <v>56336</v>
      </c>
      <c r="U335" s="128">
        <v>34698</v>
      </c>
      <c r="V335" s="128">
        <v>27496494.948514264</v>
      </c>
      <c r="W335" s="128">
        <v>2052</v>
      </c>
      <c r="X335" s="128">
        <v>2138</v>
      </c>
      <c r="Y335" s="128">
        <v>130</v>
      </c>
      <c r="Z335" s="128">
        <v>351</v>
      </c>
      <c r="AA335" s="128">
        <v>387</v>
      </c>
      <c r="AB335" s="128">
        <v>137</v>
      </c>
      <c r="AC335" s="128">
        <v>3294</v>
      </c>
      <c r="AD335" s="128">
        <v>6317</v>
      </c>
      <c r="AE335" s="128">
        <v>894</v>
      </c>
      <c r="AF335" s="128">
        <f t="shared" si="16"/>
        <v>33434.494948514264</v>
      </c>
      <c r="AG335" s="128">
        <v>17103</v>
      </c>
      <c r="AH335" s="128">
        <f t="shared" si="17"/>
        <v>1954.8906594465452</v>
      </c>
      <c r="AI335" t="s">
        <v>118</v>
      </c>
      <c r="AM335" t="s">
        <v>278</v>
      </c>
      <c r="AN335" s="128">
        <v>1758.7726203085394</v>
      </c>
      <c r="AO335" t="s">
        <v>118</v>
      </c>
    </row>
    <row r="336" spans="1:41" x14ac:dyDescent="0.25">
      <c r="A336" t="s">
        <v>523</v>
      </c>
      <c r="B336" t="s">
        <v>434</v>
      </c>
      <c r="C336" s="128">
        <v>65818</v>
      </c>
      <c r="D336" s="128">
        <v>5686</v>
      </c>
      <c r="E336" s="128">
        <v>3</v>
      </c>
      <c r="F336" s="128">
        <v>1199</v>
      </c>
      <c r="G336" s="128">
        <v>9243</v>
      </c>
      <c r="H336" s="128">
        <v>10809</v>
      </c>
      <c r="I336" s="128">
        <v>1854</v>
      </c>
      <c r="J336" s="128">
        <v>3833</v>
      </c>
      <c r="K336" s="128">
        <v>1315</v>
      </c>
      <c r="L336" s="128">
        <v>1612</v>
      </c>
      <c r="M336" s="128">
        <v>3061</v>
      </c>
      <c r="N336" s="128">
        <v>6866</v>
      </c>
      <c r="O336" s="128">
        <v>14660</v>
      </c>
      <c r="P336" s="128">
        <v>5971</v>
      </c>
      <c r="Q336" s="128">
        <v>209</v>
      </c>
      <c r="R336" s="128"/>
      <c r="S336" t="s">
        <v>434</v>
      </c>
      <c r="T336" s="128">
        <f t="shared" si="15"/>
        <v>58930</v>
      </c>
      <c r="U336" s="128">
        <v>39864</v>
      </c>
      <c r="V336" s="128">
        <v>33008181.513200503</v>
      </c>
      <c r="W336" s="128">
        <v>1272</v>
      </c>
      <c r="X336" s="128">
        <v>2612</v>
      </c>
      <c r="Y336" s="128">
        <v>107</v>
      </c>
      <c r="Z336" s="128">
        <v>291</v>
      </c>
      <c r="AA336" s="128">
        <v>1535</v>
      </c>
      <c r="AB336" s="128">
        <v>60</v>
      </c>
      <c r="AC336" s="128">
        <v>3140</v>
      </c>
      <c r="AD336" s="128">
        <v>0</v>
      </c>
      <c r="AE336" s="128">
        <v>152</v>
      </c>
      <c r="AF336" s="128">
        <f t="shared" si="16"/>
        <v>42905.181513200499</v>
      </c>
      <c r="AG336" s="128">
        <v>23340</v>
      </c>
      <c r="AH336" s="128">
        <f t="shared" si="17"/>
        <v>1838.2682739160455</v>
      </c>
      <c r="AI336" t="s">
        <v>467</v>
      </c>
      <c r="AM336" t="s">
        <v>608</v>
      </c>
      <c r="AN336" s="128">
        <v>1780.2030739655017</v>
      </c>
      <c r="AO336" t="s">
        <v>118</v>
      </c>
    </row>
    <row r="337" spans="1:43" x14ac:dyDescent="0.25">
      <c r="A337" t="s">
        <v>524</v>
      </c>
      <c r="B337" t="s">
        <v>237</v>
      </c>
      <c r="C337" s="128">
        <v>172036</v>
      </c>
      <c r="D337" s="128">
        <v>497</v>
      </c>
      <c r="E337" s="128">
        <v>800</v>
      </c>
      <c r="F337" s="128">
        <v>7911</v>
      </c>
      <c r="G337" s="128">
        <v>28658</v>
      </c>
      <c r="H337" s="128">
        <v>9811</v>
      </c>
      <c r="I337" s="128">
        <v>6045</v>
      </c>
      <c r="J337" s="128">
        <v>4761</v>
      </c>
      <c r="K337" s="128">
        <v>672</v>
      </c>
      <c r="L337" s="128">
        <v>2298</v>
      </c>
      <c r="M337" s="128">
        <v>12226</v>
      </c>
      <c r="N337" s="128">
        <v>36612</v>
      </c>
      <c r="O337" s="128">
        <v>43377</v>
      </c>
      <c r="P337" s="128">
        <v>17045</v>
      </c>
      <c r="Q337" s="128">
        <v>1838</v>
      </c>
      <c r="R337" s="128"/>
      <c r="S337" t="s">
        <v>237</v>
      </c>
      <c r="T337" s="128">
        <f t="shared" si="15"/>
        <v>162828</v>
      </c>
      <c r="U337" s="128">
        <v>126532</v>
      </c>
      <c r="V337" s="128">
        <v>103851814.80669345</v>
      </c>
      <c r="W337" s="128">
        <v>5925</v>
      </c>
      <c r="X337" s="128">
        <v>9452</v>
      </c>
      <c r="Y337" s="128">
        <v>1069</v>
      </c>
      <c r="Z337" s="128">
        <v>1101</v>
      </c>
      <c r="AA337" s="128">
        <v>4560</v>
      </c>
      <c r="AB337" s="128">
        <v>97</v>
      </c>
      <c r="AC337" s="128">
        <v>373</v>
      </c>
      <c r="AD337" s="128">
        <v>3124</v>
      </c>
      <c r="AE337" s="128">
        <v>315</v>
      </c>
      <c r="AF337" s="128">
        <f t="shared" si="16"/>
        <v>114131.81480669347</v>
      </c>
      <c r="AG337" s="128">
        <v>65968</v>
      </c>
      <c r="AH337" s="128">
        <f t="shared" si="17"/>
        <v>1730.1087619253799</v>
      </c>
      <c r="AI337" t="s">
        <v>118</v>
      </c>
      <c r="AM337" t="s">
        <v>116</v>
      </c>
      <c r="AN337" s="128">
        <v>1984.399947929458</v>
      </c>
      <c r="AO337" t="s">
        <v>118</v>
      </c>
    </row>
    <row r="338" spans="1:43" x14ac:dyDescent="0.25">
      <c r="A338" t="s">
        <v>519</v>
      </c>
      <c r="B338" t="s">
        <v>212</v>
      </c>
      <c r="C338" s="128">
        <v>154963</v>
      </c>
      <c r="D338" s="128">
        <v>2283</v>
      </c>
      <c r="E338" s="128">
        <v>2053</v>
      </c>
      <c r="F338" s="128">
        <v>5976</v>
      </c>
      <c r="G338" s="128">
        <v>24813</v>
      </c>
      <c r="H338" s="128">
        <v>8740</v>
      </c>
      <c r="I338" s="128">
        <v>2874</v>
      </c>
      <c r="J338" s="128">
        <v>3310</v>
      </c>
      <c r="K338" s="128">
        <v>24633</v>
      </c>
      <c r="L338" s="128">
        <v>3391</v>
      </c>
      <c r="M338" s="128">
        <v>6848</v>
      </c>
      <c r="N338" s="128">
        <v>24867</v>
      </c>
      <c r="O338" s="128">
        <v>33150</v>
      </c>
      <c r="P338" s="128">
        <v>8429</v>
      </c>
      <c r="Q338" s="128">
        <v>4278</v>
      </c>
      <c r="R338" s="128"/>
      <c r="S338" t="s">
        <v>212</v>
      </c>
      <c r="T338" s="128">
        <f t="shared" si="15"/>
        <v>144651</v>
      </c>
      <c r="U338" s="128">
        <v>92686</v>
      </c>
      <c r="V338" s="128">
        <v>72296373.567378998</v>
      </c>
      <c r="W338" s="128">
        <v>4661</v>
      </c>
      <c r="X338" s="128">
        <v>3679</v>
      </c>
      <c r="Y338" s="128">
        <v>147</v>
      </c>
      <c r="Z338" s="128">
        <v>484</v>
      </c>
      <c r="AA338" s="128">
        <v>727</v>
      </c>
      <c r="AB338" s="128">
        <v>186</v>
      </c>
      <c r="AC338" s="128">
        <v>382</v>
      </c>
      <c r="AD338" s="128">
        <v>1268</v>
      </c>
      <c r="AE338" s="128">
        <v>710</v>
      </c>
      <c r="AF338" s="128">
        <f t="shared" si="16"/>
        <v>112017.37356737899</v>
      </c>
      <c r="AG338" s="128">
        <v>44643</v>
      </c>
      <c r="AH338" s="128">
        <f t="shared" si="17"/>
        <v>2509.1811385296464</v>
      </c>
      <c r="AI338" t="s">
        <v>118</v>
      </c>
      <c r="AM338" t="s">
        <v>208</v>
      </c>
      <c r="AN338" s="128">
        <v>1812.8937036515717</v>
      </c>
      <c r="AO338" t="s">
        <v>118</v>
      </c>
    </row>
    <row r="339" spans="1:43" x14ac:dyDescent="0.25">
      <c r="A339" t="s">
        <v>521</v>
      </c>
      <c r="B339" t="s">
        <v>326</v>
      </c>
      <c r="C339" s="128">
        <v>405302</v>
      </c>
      <c r="D339" s="128">
        <v>12583</v>
      </c>
      <c r="E339" s="128">
        <v>841</v>
      </c>
      <c r="F339" s="128">
        <v>10773</v>
      </c>
      <c r="G339" s="128">
        <v>90270</v>
      </c>
      <c r="H339" s="128">
        <v>19110</v>
      </c>
      <c r="I339" s="128">
        <v>11107</v>
      </c>
      <c r="J339" s="128">
        <v>15354</v>
      </c>
      <c r="K339" s="128">
        <v>5418</v>
      </c>
      <c r="L339" s="128">
        <v>17207</v>
      </c>
      <c r="M339" s="128">
        <v>28225</v>
      </c>
      <c r="N339" s="128">
        <v>73679</v>
      </c>
      <c r="O339" s="128">
        <v>102319</v>
      </c>
      <c r="P339" s="128">
        <v>21669</v>
      </c>
      <c r="Q339" s="128">
        <v>3568</v>
      </c>
      <c r="R339" s="128"/>
      <c r="S339" t="s">
        <v>326</v>
      </c>
      <c r="T339" s="128">
        <f t="shared" si="15"/>
        <v>381105</v>
      </c>
      <c r="U339" s="128">
        <v>284582</v>
      </c>
      <c r="V339" s="128">
        <v>220593323.65241721</v>
      </c>
      <c r="W339" s="128">
        <v>6676</v>
      </c>
      <c r="X339" s="128">
        <v>15832</v>
      </c>
      <c r="Y339" s="128">
        <v>447</v>
      </c>
      <c r="Z339" s="128">
        <v>1288</v>
      </c>
      <c r="AA339" s="128">
        <v>6904</v>
      </c>
      <c r="AB339" s="128">
        <v>274</v>
      </c>
      <c r="AC339" s="128">
        <v>267</v>
      </c>
      <c r="AD339" s="128">
        <v>2737</v>
      </c>
      <c r="AE339" s="128">
        <v>2587</v>
      </c>
      <c r="AF339" s="128">
        <f t="shared" si="16"/>
        <v>280104.32365241722</v>
      </c>
      <c r="AG339" s="128">
        <v>125754</v>
      </c>
      <c r="AH339" s="128">
        <f t="shared" si="17"/>
        <v>2227.3989189402901</v>
      </c>
      <c r="AI339" t="s">
        <v>441</v>
      </c>
      <c r="AM339" t="s">
        <v>609</v>
      </c>
      <c r="AN339" s="128">
        <v>2198.7240606925552</v>
      </c>
      <c r="AO339" t="s">
        <v>118</v>
      </c>
    </row>
    <row r="340" spans="1:43" x14ac:dyDescent="0.25">
      <c r="A340" t="s">
        <v>521</v>
      </c>
      <c r="B340" t="s">
        <v>327</v>
      </c>
      <c r="C340" s="128">
        <v>24715</v>
      </c>
      <c r="D340" s="128">
        <v>737</v>
      </c>
      <c r="E340" s="128">
        <v>189</v>
      </c>
      <c r="F340" s="128">
        <v>1735</v>
      </c>
      <c r="G340" s="128">
        <v>6906</v>
      </c>
      <c r="H340" s="128">
        <v>3723</v>
      </c>
      <c r="I340" s="128">
        <v>734</v>
      </c>
      <c r="J340" s="128">
        <v>945</v>
      </c>
      <c r="K340" s="128">
        <v>65</v>
      </c>
      <c r="L340" s="128">
        <v>382</v>
      </c>
      <c r="M340" s="128">
        <v>1124</v>
      </c>
      <c r="N340" s="128">
        <v>1426</v>
      </c>
      <c r="O340" s="128">
        <v>3845</v>
      </c>
      <c r="P340" s="128">
        <v>2597</v>
      </c>
      <c r="Q340" s="128">
        <v>455</v>
      </c>
      <c r="R340" s="128"/>
      <c r="S340" t="s">
        <v>327</v>
      </c>
      <c r="T340" s="128">
        <f t="shared" si="15"/>
        <v>22054</v>
      </c>
      <c r="U340" s="128">
        <v>14533</v>
      </c>
      <c r="V340" s="128">
        <v>12693740.273440549</v>
      </c>
      <c r="W340" s="128">
        <v>1119</v>
      </c>
      <c r="X340" s="128">
        <v>820</v>
      </c>
      <c r="Y340" s="128">
        <v>5</v>
      </c>
      <c r="Z340" s="128">
        <v>57</v>
      </c>
      <c r="AA340" s="128">
        <v>294</v>
      </c>
      <c r="AB340" s="128">
        <v>27</v>
      </c>
      <c r="AC340" s="128">
        <v>0</v>
      </c>
      <c r="AD340" s="128">
        <v>0</v>
      </c>
      <c r="AE340" s="128">
        <v>0</v>
      </c>
      <c r="AF340" s="128">
        <f t="shared" si="16"/>
        <v>17892.740273440548</v>
      </c>
      <c r="AG340" s="128">
        <v>9299</v>
      </c>
      <c r="AH340" s="128">
        <f t="shared" si="17"/>
        <v>1924.1574656888426</v>
      </c>
      <c r="AI340" t="s">
        <v>467</v>
      </c>
      <c r="AM340" t="s">
        <v>140</v>
      </c>
      <c r="AN340" s="128">
        <v>2195.4841538717983</v>
      </c>
      <c r="AO340" t="s">
        <v>118</v>
      </c>
    </row>
    <row r="341" spans="1:43" x14ac:dyDescent="0.25">
      <c r="A341" t="s">
        <v>521</v>
      </c>
      <c r="B341" t="s">
        <v>328</v>
      </c>
      <c r="C341" s="128">
        <v>126739</v>
      </c>
      <c r="D341" s="128">
        <v>16746</v>
      </c>
      <c r="E341" s="128">
        <v>2290</v>
      </c>
      <c r="F341" s="128">
        <v>7794</v>
      </c>
      <c r="G341" s="128">
        <v>23054</v>
      </c>
      <c r="H341" s="128">
        <v>7311</v>
      </c>
      <c r="I341" s="128">
        <v>3851</v>
      </c>
      <c r="J341" s="128">
        <v>2025</v>
      </c>
      <c r="K341" s="128">
        <v>100</v>
      </c>
      <c r="L341" s="128">
        <v>3841</v>
      </c>
      <c r="M341" s="128">
        <v>7300</v>
      </c>
      <c r="N341" s="128">
        <v>13896</v>
      </c>
      <c r="O341" s="128">
        <v>24624</v>
      </c>
      <c r="P341" s="128">
        <v>9394</v>
      </c>
      <c r="Q341" s="128">
        <v>5420</v>
      </c>
      <c r="R341" s="128"/>
      <c r="S341" t="s">
        <v>328</v>
      </c>
      <c r="T341" s="128">
        <f t="shared" si="15"/>
        <v>99909</v>
      </c>
      <c r="U341" s="128">
        <v>74442</v>
      </c>
      <c r="V341" s="128">
        <v>60644795.244595014</v>
      </c>
      <c r="W341" s="128">
        <v>4351</v>
      </c>
      <c r="X341" s="128">
        <v>5161</v>
      </c>
      <c r="Y341" s="128">
        <v>289</v>
      </c>
      <c r="Z341" s="128">
        <v>419</v>
      </c>
      <c r="AA341" s="128">
        <v>1854</v>
      </c>
      <c r="AB341" s="128">
        <v>52</v>
      </c>
      <c r="AC341" s="128">
        <v>372</v>
      </c>
      <c r="AD341" s="128">
        <v>12</v>
      </c>
      <c r="AE341" s="128">
        <v>210</v>
      </c>
      <c r="AF341" s="128">
        <f t="shared" si="16"/>
        <v>73391.795244595007</v>
      </c>
      <c r="AG341" s="128">
        <v>45796</v>
      </c>
      <c r="AH341" s="128">
        <f t="shared" si="17"/>
        <v>1602.5809076031751</v>
      </c>
      <c r="AI341" t="s">
        <v>467</v>
      </c>
      <c r="AM341" t="s">
        <v>209</v>
      </c>
      <c r="AN341" s="128">
        <v>1803.4358961312334</v>
      </c>
      <c r="AO341" t="s">
        <v>118</v>
      </c>
    </row>
    <row r="342" spans="1:43" x14ac:dyDescent="0.25">
      <c r="A342" t="s">
        <v>517</v>
      </c>
      <c r="B342" t="s">
        <v>399</v>
      </c>
      <c r="C342" s="128">
        <v>52600</v>
      </c>
      <c r="D342" s="128">
        <v>64</v>
      </c>
      <c r="E342" s="128">
        <v>276</v>
      </c>
      <c r="F342" s="128">
        <v>2080</v>
      </c>
      <c r="G342" s="128">
        <v>10661</v>
      </c>
      <c r="H342" s="128">
        <v>4258</v>
      </c>
      <c r="I342" s="128">
        <v>1531</v>
      </c>
      <c r="J342" s="128">
        <v>2736</v>
      </c>
      <c r="K342" s="128">
        <v>1629</v>
      </c>
      <c r="L342" s="128">
        <v>1314</v>
      </c>
      <c r="M342" s="128">
        <v>3795</v>
      </c>
      <c r="N342" s="128">
        <v>7011</v>
      </c>
      <c r="O342" s="128">
        <v>12108</v>
      </c>
      <c r="P342" s="128">
        <v>4223</v>
      </c>
      <c r="Q342" s="128">
        <v>920</v>
      </c>
      <c r="R342" s="128"/>
      <c r="S342" t="s">
        <v>399</v>
      </c>
      <c r="T342" s="128">
        <f t="shared" si="15"/>
        <v>50180</v>
      </c>
      <c r="U342" s="128">
        <v>36838</v>
      </c>
      <c r="V342" s="128">
        <v>30433301.828078251</v>
      </c>
      <c r="W342" s="128">
        <v>2493</v>
      </c>
      <c r="X342" s="128">
        <v>2699</v>
      </c>
      <c r="Y342" s="128">
        <v>2</v>
      </c>
      <c r="Z342" s="128">
        <v>195</v>
      </c>
      <c r="AA342" s="128">
        <v>1202</v>
      </c>
      <c r="AB342" s="128">
        <v>192</v>
      </c>
      <c r="AC342" s="128">
        <v>160</v>
      </c>
      <c r="AD342" s="128">
        <v>0</v>
      </c>
      <c r="AE342" s="128">
        <v>28</v>
      </c>
      <c r="AF342" s="128">
        <f t="shared" si="16"/>
        <v>36804.301828078256</v>
      </c>
      <c r="AG342" s="128">
        <v>22256</v>
      </c>
      <c r="AH342" s="128">
        <f t="shared" si="17"/>
        <v>1653.6799886807269</v>
      </c>
      <c r="AI342" t="s">
        <v>467</v>
      </c>
      <c r="AM342" t="s">
        <v>210</v>
      </c>
      <c r="AN342" s="128">
        <v>2165.6889654022307</v>
      </c>
      <c r="AO342" t="s">
        <v>118</v>
      </c>
    </row>
    <row r="343" spans="1:43" x14ac:dyDescent="0.25">
      <c r="A343" t="s">
        <v>519</v>
      </c>
      <c r="B343" t="s">
        <v>213</v>
      </c>
      <c r="C343" s="128">
        <v>180483</v>
      </c>
      <c r="D343" s="128">
        <v>10811</v>
      </c>
      <c r="E343" s="128">
        <v>3015</v>
      </c>
      <c r="F343" s="128">
        <v>10156</v>
      </c>
      <c r="G343" s="128">
        <v>45841</v>
      </c>
      <c r="H343" s="128">
        <v>8167</v>
      </c>
      <c r="I343" s="128">
        <v>3246</v>
      </c>
      <c r="J343" s="128">
        <v>3029</v>
      </c>
      <c r="K343" s="128">
        <v>2156</v>
      </c>
      <c r="L343" s="128">
        <v>3969</v>
      </c>
      <c r="M343" s="128">
        <v>9259</v>
      </c>
      <c r="N343" s="128">
        <v>30238</v>
      </c>
      <c r="O343" s="128">
        <v>40461</v>
      </c>
      <c r="P343" s="128">
        <v>8967</v>
      </c>
      <c r="Q343" s="128">
        <v>1510</v>
      </c>
      <c r="R343" s="128"/>
      <c r="S343" t="s">
        <v>213</v>
      </c>
      <c r="T343" s="128">
        <f t="shared" si="15"/>
        <v>156501</v>
      </c>
      <c r="U343" s="128">
        <v>129028</v>
      </c>
      <c r="V343" s="128">
        <v>94412238.471423537</v>
      </c>
      <c r="W343" s="128">
        <v>3777</v>
      </c>
      <c r="X343" s="128">
        <v>6164</v>
      </c>
      <c r="Y343" s="128">
        <v>198</v>
      </c>
      <c r="Z343" s="128">
        <v>473</v>
      </c>
      <c r="AA343" s="128">
        <v>1409</v>
      </c>
      <c r="AB343" s="128">
        <v>198</v>
      </c>
      <c r="AC343" s="128">
        <v>210</v>
      </c>
      <c r="AD343" s="128">
        <v>2656</v>
      </c>
      <c r="AE343" s="128">
        <v>820</v>
      </c>
      <c r="AF343" s="128">
        <f t="shared" si="16"/>
        <v>105980.23847142354</v>
      </c>
      <c r="AG343" s="128">
        <v>48327</v>
      </c>
      <c r="AH343" s="128">
        <f t="shared" si="17"/>
        <v>2192.9819453188393</v>
      </c>
      <c r="AI343" t="s">
        <v>441</v>
      </c>
      <c r="AM343" t="s">
        <v>282</v>
      </c>
      <c r="AN343" s="128">
        <v>1954.8906594465452</v>
      </c>
      <c r="AO343" t="s">
        <v>118</v>
      </c>
    </row>
    <row r="344" spans="1:43" x14ac:dyDescent="0.25">
      <c r="A344" t="s">
        <v>522</v>
      </c>
      <c r="B344" t="s">
        <v>163</v>
      </c>
      <c r="C344" s="128">
        <v>59402</v>
      </c>
      <c r="D344" s="128">
        <v>4343</v>
      </c>
      <c r="E344" s="128">
        <v>511</v>
      </c>
      <c r="F344" s="128">
        <v>3105</v>
      </c>
      <c r="G344" s="128">
        <v>12970</v>
      </c>
      <c r="H344" s="128">
        <v>4230</v>
      </c>
      <c r="I344" s="128">
        <v>1859</v>
      </c>
      <c r="J344" s="128">
        <v>2243</v>
      </c>
      <c r="K344" s="128">
        <v>3803</v>
      </c>
      <c r="L344" s="128">
        <v>1809</v>
      </c>
      <c r="M344" s="128">
        <v>2739</v>
      </c>
      <c r="N344" s="128">
        <v>5423</v>
      </c>
      <c r="O344" s="128">
        <v>11368</v>
      </c>
      <c r="P344" s="128">
        <v>3754</v>
      </c>
      <c r="Q344" s="128">
        <v>1514</v>
      </c>
      <c r="R344" s="128"/>
      <c r="S344" t="s">
        <v>163</v>
      </c>
      <c r="T344" s="128">
        <f t="shared" si="15"/>
        <v>51443</v>
      </c>
      <c r="U344" s="128">
        <v>38864</v>
      </c>
      <c r="V344" s="128">
        <v>32428283.944001827</v>
      </c>
      <c r="W344" s="128">
        <v>2904</v>
      </c>
      <c r="X344" s="128">
        <v>1816</v>
      </c>
      <c r="Y344" s="128">
        <v>399</v>
      </c>
      <c r="Z344" s="128">
        <v>206</v>
      </c>
      <c r="AA344" s="128">
        <v>944</v>
      </c>
      <c r="AB344" s="128">
        <v>325</v>
      </c>
      <c r="AC344" s="128">
        <v>64</v>
      </c>
      <c r="AD344" s="128">
        <v>0</v>
      </c>
      <c r="AE344" s="128">
        <v>415</v>
      </c>
      <c r="AF344" s="128">
        <f t="shared" si="16"/>
        <v>37934.283944001829</v>
      </c>
      <c r="AG344" s="128">
        <v>23014</v>
      </c>
      <c r="AH344" s="128">
        <f t="shared" si="17"/>
        <v>1648.3133720344933</v>
      </c>
      <c r="AI344" t="s">
        <v>467</v>
      </c>
      <c r="AM344" t="s">
        <v>237</v>
      </c>
      <c r="AN344" s="128">
        <v>1730.1087619253799</v>
      </c>
      <c r="AO344" t="s">
        <v>118</v>
      </c>
    </row>
    <row r="345" spans="1:43" x14ac:dyDescent="0.25">
      <c r="A345" t="s">
        <v>521</v>
      </c>
      <c r="B345" t="s">
        <v>329</v>
      </c>
      <c r="C345" s="128">
        <v>151155</v>
      </c>
      <c r="D345" s="128">
        <v>2947</v>
      </c>
      <c r="E345" s="128">
        <v>3064</v>
      </c>
      <c r="F345" s="128">
        <v>7324</v>
      </c>
      <c r="G345" s="128">
        <v>18403</v>
      </c>
      <c r="H345" s="128">
        <v>10894</v>
      </c>
      <c r="I345" s="128">
        <v>4432</v>
      </c>
      <c r="J345" s="128">
        <v>5364</v>
      </c>
      <c r="K345" s="128">
        <v>4783</v>
      </c>
      <c r="L345" s="128">
        <v>3397</v>
      </c>
      <c r="M345" s="128">
        <v>7692</v>
      </c>
      <c r="N345" s="128">
        <v>32176</v>
      </c>
      <c r="O345" s="128">
        <v>36458</v>
      </c>
      <c r="P345" s="128">
        <v>12879</v>
      </c>
      <c r="Q345" s="128">
        <v>777</v>
      </c>
      <c r="R345" s="128"/>
      <c r="S345" t="s">
        <v>329</v>
      </c>
      <c r="T345" s="128">
        <f t="shared" si="15"/>
        <v>137820</v>
      </c>
      <c r="U345" s="128">
        <v>105760</v>
      </c>
      <c r="V345" s="128">
        <v>81216124.237046331</v>
      </c>
      <c r="W345" s="128">
        <v>6630</v>
      </c>
      <c r="X345" s="128">
        <v>7291</v>
      </c>
      <c r="Y345" s="128">
        <v>733</v>
      </c>
      <c r="Z345" s="128">
        <v>573</v>
      </c>
      <c r="AA345" s="128">
        <v>875</v>
      </c>
      <c r="AB345" s="128">
        <v>259</v>
      </c>
      <c r="AC345" s="128">
        <v>0</v>
      </c>
      <c r="AD345" s="128">
        <v>192</v>
      </c>
      <c r="AE345" s="128">
        <v>1110</v>
      </c>
      <c r="AF345" s="128">
        <f t="shared" si="16"/>
        <v>95613.12423704633</v>
      </c>
      <c r="AG345" s="128">
        <v>44772</v>
      </c>
      <c r="AH345" s="128">
        <f t="shared" si="17"/>
        <v>2135.5562458019817</v>
      </c>
      <c r="AI345" t="s">
        <v>118</v>
      </c>
      <c r="AM345" t="s">
        <v>212</v>
      </c>
      <c r="AN345" s="128">
        <v>2509.1811385296464</v>
      </c>
      <c r="AO345" t="s">
        <v>118</v>
      </c>
    </row>
    <row r="346" spans="1:43" x14ac:dyDescent="0.25">
      <c r="A346" t="s">
        <v>522</v>
      </c>
      <c r="B346" t="s">
        <v>164</v>
      </c>
      <c r="C346" s="128">
        <v>610875</v>
      </c>
      <c r="D346" s="128">
        <v>82094</v>
      </c>
      <c r="E346" s="128">
        <v>5347</v>
      </c>
      <c r="F346" s="128">
        <v>21607</v>
      </c>
      <c r="G346" s="128">
        <v>88828</v>
      </c>
      <c r="H346" s="128">
        <v>40679</v>
      </c>
      <c r="I346" s="128">
        <v>12428</v>
      </c>
      <c r="J346" s="128">
        <v>16362</v>
      </c>
      <c r="K346" s="128">
        <v>2340</v>
      </c>
      <c r="L346" s="128">
        <v>15382</v>
      </c>
      <c r="M346" s="128">
        <v>38542</v>
      </c>
      <c r="N346" s="128">
        <v>71835</v>
      </c>
      <c r="O346" s="128">
        <v>181316</v>
      </c>
      <c r="P346" s="128">
        <v>33415</v>
      </c>
      <c r="Q346" s="128">
        <v>2154</v>
      </c>
      <c r="R346" s="128"/>
      <c r="S346" t="s">
        <v>164</v>
      </c>
      <c r="T346" s="128">
        <f t="shared" si="15"/>
        <v>501827</v>
      </c>
      <c r="U346" s="128">
        <v>390750</v>
      </c>
      <c r="V346" s="128">
        <v>233265841.97325414</v>
      </c>
      <c r="W346" s="128">
        <v>7479</v>
      </c>
      <c r="X346" s="128">
        <v>16250</v>
      </c>
      <c r="Y346" s="128">
        <v>1119</v>
      </c>
      <c r="Z346" s="128">
        <v>1676</v>
      </c>
      <c r="AA346" s="128">
        <v>4453</v>
      </c>
      <c r="AB346" s="128">
        <v>815</v>
      </c>
      <c r="AC346" s="128">
        <v>550</v>
      </c>
      <c r="AD346" s="128">
        <v>11382</v>
      </c>
      <c r="AE346" s="128">
        <v>1073</v>
      </c>
      <c r="AF346" s="128">
        <f t="shared" si="16"/>
        <v>299545.84197325411</v>
      </c>
      <c r="AG346" s="128">
        <v>130645</v>
      </c>
      <c r="AH346" s="128">
        <f t="shared" si="17"/>
        <v>2292.8228556259642</v>
      </c>
      <c r="AI346" t="s">
        <v>441</v>
      </c>
      <c r="AM346" t="s">
        <v>329</v>
      </c>
      <c r="AN346" s="128">
        <v>2135.5562458019817</v>
      </c>
      <c r="AO346" t="s">
        <v>118</v>
      </c>
      <c r="AP346">
        <f>_xlfn.QUARTILE.INC(AN232:AN346,3)</f>
        <v>2037.1079833554952</v>
      </c>
      <c r="AQ346">
        <f>SUM(AP346,0.05*AP346)</f>
        <v>2138.96338252327</v>
      </c>
    </row>
    <row r="347" spans="1:43" x14ac:dyDescent="0.25">
      <c r="B347" t="s">
        <v>442</v>
      </c>
      <c r="C347" s="128">
        <f t="shared" ref="C347:Q347" si="18">SUM(C2:C346)</f>
        <v>63149141</v>
      </c>
      <c r="D347" s="128">
        <f t="shared" si="18"/>
        <v>2788448</v>
      </c>
      <c r="E347" s="128">
        <f t="shared" si="18"/>
        <v>727039</v>
      </c>
      <c r="F347" s="128">
        <f t="shared" si="18"/>
        <v>2843680</v>
      </c>
      <c r="G347" s="128">
        <f t="shared" si="18"/>
        <v>12588255</v>
      </c>
      <c r="H347" s="128">
        <f t="shared" si="18"/>
        <v>3877210</v>
      </c>
      <c r="I347" s="128">
        <f t="shared" si="18"/>
        <v>1624370</v>
      </c>
      <c r="J347" s="128">
        <f t="shared" si="18"/>
        <v>2497504</v>
      </c>
      <c r="K347" s="128">
        <f t="shared" si="18"/>
        <v>1219996</v>
      </c>
      <c r="L347" s="128">
        <f t="shared" si="18"/>
        <v>1914073</v>
      </c>
      <c r="M347" s="128">
        <f t="shared" si="18"/>
        <v>3904729</v>
      </c>
      <c r="N347" s="128">
        <f t="shared" si="18"/>
        <v>10455749</v>
      </c>
      <c r="O347" s="128">
        <f t="shared" si="18"/>
        <v>13867729</v>
      </c>
      <c r="P347" s="128">
        <f t="shared" si="18"/>
        <v>4137730</v>
      </c>
      <c r="Q347" s="128">
        <f t="shared" si="18"/>
        <v>1012085</v>
      </c>
      <c r="R347" s="128"/>
      <c r="S347" t="s">
        <v>442</v>
      </c>
      <c r="T347" s="128">
        <f>SUM(T2:T346)</f>
        <v>56789974</v>
      </c>
      <c r="U347" s="128">
        <f>SUM(U2:U346)</f>
        <v>41987915</v>
      </c>
      <c r="V347" s="128">
        <f>SUM(V2:V346)</f>
        <v>30369267672.699356</v>
      </c>
      <c r="W347" s="128">
        <f>SUM(W2:W346)</f>
        <v>1771234</v>
      </c>
      <c r="X347" s="128">
        <f t="shared" ref="X347:AD347" si="19">SUM(X2:X346)</f>
        <v>2257304</v>
      </c>
      <c r="Y347" s="128">
        <f t="shared" si="19"/>
        <v>115164</v>
      </c>
      <c r="Z347" s="128">
        <f t="shared" si="19"/>
        <v>216888</v>
      </c>
      <c r="AA347" s="128">
        <f t="shared" si="19"/>
        <v>602918</v>
      </c>
      <c r="AB347" s="128">
        <f t="shared" si="19"/>
        <v>154103</v>
      </c>
      <c r="AC347" s="128">
        <f t="shared" si="19"/>
        <v>376645</v>
      </c>
      <c r="AD347" s="128">
        <f t="shared" si="19"/>
        <v>1111181</v>
      </c>
      <c r="AE347" s="128">
        <v>434330</v>
      </c>
      <c r="AF347" s="128">
        <f t="shared" si="16"/>
        <v>38131559.672699355</v>
      </c>
      <c r="AG347" s="128">
        <f>SUM(AG2:AG346)</f>
        <v>17591394</v>
      </c>
      <c r="AH347" s="128">
        <f t="shared" si="17"/>
        <v>2167.6258102512716</v>
      </c>
      <c r="AI347" t="s">
        <v>118</v>
      </c>
    </row>
    <row r="348" spans="1:43" x14ac:dyDescent="0.25">
      <c r="H348" s="129"/>
      <c r="T348" s="128"/>
    </row>
    <row r="349" spans="1:43" x14ac:dyDescent="0.25">
      <c r="H349" s="129"/>
      <c r="T349" s="128"/>
    </row>
    <row r="350" spans="1:43" x14ac:dyDescent="0.25">
      <c r="H350" s="129"/>
      <c r="T350" s="128"/>
    </row>
    <row r="351" spans="1:43" x14ac:dyDescent="0.25">
      <c r="H351" s="129"/>
      <c r="T351" s="128"/>
    </row>
    <row r="352" spans="1:43" x14ac:dyDescent="0.25">
      <c r="H352" s="129"/>
      <c r="T352" s="128"/>
    </row>
    <row r="353" spans="4:22" x14ac:dyDescent="0.25">
      <c r="H353" s="129"/>
      <c r="T353" s="128"/>
    </row>
    <row r="354" spans="4:22" x14ac:dyDescent="0.25">
      <c r="H354" s="129"/>
      <c r="T354" s="128"/>
    </row>
    <row r="355" spans="4:22" x14ac:dyDescent="0.25">
      <c r="H355" s="129"/>
      <c r="T355" s="128"/>
    </row>
    <row r="356" spans="4:22" ht="13" customHeight="1" x14ac:dyDescent="0.25">
      <c r="H356" s="129"/>
      <c r="T356" s="128"/>
    </row>
    <row r="357" spans="4:22" x14ac:dyDescent="0.25">
      <c r="D357" s="129"/>
      <c r="E357" s="129"/>
      <c r="F357" s="129"/>
      <c r="G357" s="129"/>
      <c r="H357" s="129"/>
      <c r="T357" s="128"/>
      <c r="V357"/>
    </row>
  </sheetData>
  <sheetProtection algorithmName="SHA-512" hashValue="wJgnQVQMI+oNDH9ZdljzrHr+Rvqjn7aKmsPwz8s4cPjtYnnDQelU4oL1PmYVN0/aF1JWBGFho5uBDc5t2Qjj1w==" saltValue="vPCHa3Wkrgg39P9Rg5aSUw==" spinCount="100000" sheet="1" objects="1" scenarios="1"/>
  <sortState xmlns:xlrd2="http://schemas.microsoft.com/office/spreadsheetml/2017/richdata2" ref="AM2:AO346">
    <sortCondition ref="AO2:AO346"/>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D27E-B342-4739-A040-97E56EA79473}">
  <dimension ref="A1:CH367"/>
  <sheetViews>
    <sheetView zoomScaleNormal="100" workbookViewId="0">
      <pane xSplit="1" ySplit="1" topLeftCell="BY2" activePane="bottomRight" state="frozen"/>
      <selection pane="topRight" activeCell="B1" sqref="B1"/>
      <selection pane="bottomLeft" activeCell="A2" sqref="A2"/>
      <selection pane="bottomRight" activeCell="CF71" sqref="CF71"/>
    </sheetView>
  </sheetViews>
  <sheetFormatPr defaultRowHeight="12.5" x14ac:dyDescent="0.25"/>
  <cols>
    <col min="1" max="1" width="28.08984375" bestFit="1" customWidth="1"/>
    <col min="2" max="2" width="19.54296875" bestFit="1" customWidth="1"/>
    <col min="3" max="3" width="14.54296875" bestFit="1" customWidth="1"/>
    <col min="4" max="4" width="7.81640625" bestFit="1" customWidth="1"/>
    <col min="5" max="5" width="17.81640625" bestFit="1" customWidth="1"/>
    <col min="6" max="9" width="17.1796875" bestFit="1" customWidth="1"/>
    <col min="10" max="10" width="18.1796875" bestFit="1" customWidth="1"/>
    <col min="11" max="11" width="22.6328125" bestFit="1" customWidth="1"/>
    <col min="12" max="12" width="22.453125" bestFit="1" customWidth="1"/>
    <col min="13" max="14" width="18.1796875" bestFit="1" customWidth="1"/>
    <col min="15" max="15" width="15.6328125" bestFit="1" customWidth="1"/>
    <col min="17" max="17" width="22.1796875" bestFit="1" customWidth="1"/>
    <col min="18" max="18" width="14.54296875" bestFit="1" customWidth="1"/>
    <col min="19" max="19" width="21.08984375" bestFit="1" customWidth="1"/>
    <col min="20" max="20" width="22.1796875" bestFit="1" customWidth="1"/>
    <col min="21" max="21" width="14.6328125" bestFit="1" customWidth="1"/>
    <col min="22" max="22" width="21.08984375" bestFit="1" customWidth="1"/>
    <col min="23" max="23" width="22.1796875" bestFit="1" customWidth="1"/>
    <col min="24" max="24" width="14.6328125" bestFit="1" customWidth="1"/>
    <col min="25" max="25" width="21.08984375" bestFit="1" customWidth="1"/>
    <col min="26" max="26" width="22.1796875" bestFit="1" customWidth="1"/>
    <col min="27" max="27" width="14.6328125" bestFit="1" customWidth="1"/>
    <col min="28" max="28" width="21.08984375" bestFit="1" customWidth="1"/>
    <col min="29" max="29" width="22.1796875" bestFit="1" customWidth="1"/>
    <col min="30" max="30" width="14.6328125" bestFit="1" customWidth="1"/>
    <col min="31" max="31" width="21.08984375" bestFit="1" customWidth="1"/>
    <col min="32" max="32" width="22.1796875" bestFit="1" customWidth="1"/>
    <col min="33" max="33" width="14.6328125" bestFit="1" customWidth="1"/>
    <col min="34" max="34" width="21.08984375" bestFit="1" customWidth="1"/>
    <col min="35" max="35" width="19.453125" bestFit="1" customWidth="1"/>
    <col min="36" max="36" width="19.08984375" bestFit="1" customWidth="1"/>
    <col min="37" max="37" width="25.6328125" bestFit="1" customWidth="1"/>
    <col min="38" max="38" width="19.1796875" bestFit="1" customWidth="1"/>
    <col min="39" max="39" width="18.90625" bestFit="1" customWidth="1"/>
    <col min="40" max="40" width="25.453125" bestFit="1" customWidth="1"/>
    <col min="41" max="41" width="22.1796875" bestFit="1" customWidth="1"/>
    <col min="42" max="42" width="14.6328125" bestFit="1" customWidth="1"/>
    <col min="43" max="43" width="21.08984375" bestFit="1" customWidth="1"/>
    <col min="44" max="44" width="32" bestFit="1" customWidth="1"/>
    <col min="45" max="45" width="14.6328125" bestFit="1" customWidth="1"/>
    <col min="46" max="46" width="21.08984375" bestFit="1" customWidth="1"/>
    <col min="47" max="47" width="19.6328125" bestFit="1" customWidth="1"/>
    <col min="48" max="48" width="19.36328125" bestFit="1" customWidth="1"/>
    <col min="49" max="49" width="25.90625" bestFit="1" customWidth="1"/>
    <col min="50" max="50" width="26.453125" bestFit="1" customWidth="1"/>
    <col min="52" max="52" width="28.08984375" bestFit="1" customWidth="1"/>
    <col min="53" max="53" width="34.08984375" style="128" bestFit="1" customWidth="1"/>
    <col min="54" max="54" width="12.81640625" style="128" bestFit="1" customWidth="1"/>
    <col min="55" max="55" width="16.08984375" style="128" bestFit="1" customWidth="1"/>
    <col min="56" max="56" width="12.6328125" style="128" bestFit="1" customWidth="1"/>
    <col min="57" max="57" width="30.6328125" style="128" bestFit="1" customWidth="1"/>
    <col min="58" max="58" width="32" style="128" bestFit="1" customWidth="1"/>
    <col min="59" max="59" width="23.26953125" bestFit="1" customWidth="1"/>
    <col min="60" max="60" width="11.6328125" bestFit="1" customWidth="1"/>
    <col min="61" max="61" width="35.36328125" bestFit="1" customWidth="1"/>
    <col min="62" max="62" width="26.6328125" bestFit="1" customWidth="1"/>
    <col min="63" max="63" width="20.6328125" bestFit="1" customWidth="1"/>
    <col min="64" max="64" width="23.453125" bestFit="1" customWidth="1"/>
    <col min="65" max="65" width="14.54296875" bestFit="1" customWidth="1"/>
    <col min="66" max="66" width="18.08984375" bestFit="1" customWidth="1"/>
    <col min="67" max="67" width="17.54296875" bestFit="1" customWidth="1"/>
    <col min="68" max="68" width="10.36328125" bestFit="1" customWidth="1"/>
    <col min="69" max="69" width="13.81640625" bestFit="1" customWidth="1"/>
    <col min="70" max="70" width="20.1796875" bestFit="1" customWidth="1"/>
    <col min="71" max="71" width="23.08984375" bestFit="1" customWidth="1"/>
    <col min="74" max="74" width="18.6328125" bestFit="1" customWidth="1"/>
    <col min="75" max="75" width="14.81640625" bestFit="1" customWidth="1"/>
    <col min="78" max="78" width="27.7265625" bestFit="1" customWidth="1"/>
    <col min="79" max="79" width="23.08984375" bestFit="1" customWidth="1"/>
    <col min="82" max="82" width="27.7265625" bestFit="1" customWidth="1"/>
    <col min="85" max="85" width="8.26953125" bestFit="1" customWidth="1"/>
  </cols>
  <sheetData>
    <row r="1" spans="1:80" x14ac:dyDescent="0.25">
      <c r="A1" t="s">
        <v>530</v>
      </c>
      <c r="B1" t="s">
        <v>814</v>
      </c>
      <c r="C1" t="s">
        <v>815</v>
      </c>
      <c r="D1" t="s">
        <v>816</v>
      </c>
      <c r="E1" t="s">
        <v>817</v>
      </c>
      <c r="F1" t="s">
        <v>818</v>
      </c>
      <c r="G1" t="s">
        <v>819</v>
      </c>
      <c r="H1" t="s">
        <v>820</v>
      </c>
      <c r="I1" t="s">
        <v>821</v>
      </c>
      <c r="J1" t="s">
        <v>822</v>
      </c>
      <c r="K1" t="s">
        <v>823</v>
      </c>
      <c r="L1" t="s">
        <v>824</v>
      </c>
      <c r="M1" t="s">
        <v>825</v>
      </c>
      <c r="N1" t="s">
        <v>826</v>
      </c>
      <c r="O1" t="s">
        <v>809</v>
      </c>
      <c r="Q1" t="s">
        <v>785</v>
      </c>
      <c r="R1" t="s">
        <v>767</v>
      </c>
      <c r="S1" t="s">
        <v>776</v>
      </c>
      <c r="T1" t="s">
        <v>786</v>
      </c>
      <c r="U1" t="s">
        <v>768</v>
      </c>
      <c r="V1" t="s">
        <v>777</v>
      </c>
      <c r="W1" t="s">
        <v>787</v>
      </c>
      <c r="X1" t="s">
        <v>769</v>
      </c>
      <c r="Y1" t="s">
        <v>778</v>
      </c>
      <c r="Z1" t="s">
        <v>788</v>
      </c>
      <c r="AA1" t="s">
        <v>770</v>
      </c>
      <c r="AB1" t="s">
        <v>779</v>
      </c>
      <c r="AC1" t="s">
        <v>789</v>
      </c>
      <c r="AD1" t="s">
        <v>771</v>
      </c>
      <c r="AE1" t="s">
        <v>780</v>
      </c>
      <c r="AF1" t="s">
        <v>790</v>
      </c>
      <c r="AG1" t="s">
        <v>772</v>
      </c>
      <c r="AH1" t="s">
        <v>781</v>
      </c>
      <c r="AI1" t="s">
        <v>808</v>
      </c>
      <c r="AJ1" t="s">
        <v>810</v>
      </c>
      <c r="AK1" t="s">
        <v>812</v>
      </c>
      <c r="AL1" t="s">
        <v>794</v>
      </c>
      <c r="AM1" t="s">
        <v>811</v>
      </c>
      <c r="AN1" t="s">
        <v>813</v>
      </c>
      <c r="AO1" t="s">
        <v>791</v>
      </c>
      <c r="AP1" t="s">
        <v>773</v>
      </c>
      <c r="AQ1" t="s">
        <v>782</v>
      </c>
      <c r="AR1" t="s">
        <v>792</v>
      </c>
      <c r="AS1" t="s">
        <v>774</v>
      </c>
      <c r="AT1" t="s">
        <v>783</v>
      </c>
      <c r="AU1" t="s">
        <v>793</v>
      </c>
      <c r="AV1" t="s">
        <v>775</v>
      </c>
      <c r="AW1" t="s">
        <v>784</v>
      </c>
      <c r="AX1" t="s">
        <v>748</v>
      </c>
      <c r="AZ1" t="s">
        <v>886</v>
      </c>
      <c r="BA1" s="128" t="s">
        <v>887</v>
      </c>
      <c r="BB1" s="128" t="s">
        <v>888</v>
      </c>
      <c r="BC1" s="128" t="s">
        <v>889</v>
      </c>
      <c r="BD1" s="128" t="s">
        <v>890</v>
      </c>
      <c r="BE1" s="128" t="s">
        <v>891</v>
      </c>
      <c r="BF1" s="128" t="s">
        <v>892</v>
      </c>
      <c r="BG1" t="s">
        <v>893</v>
      </c>
      <c r="BH1" t="s">
        <v>894</v>
      </c>
      <c r="BI1" t="s">
        <v>895</v>
      </c>
      <c r="BJ1" t="s">
        <v>896</v>
      </c>
      <c r="BK1" t="s">
        <v>897</v>
      </c>
      <c r="BL1" t="s">
        <v>898</v>
      </c>
      <c r="BM1" t="s">
        <v>899</v>
      </c>
      <c r="BN1" t="s">
        <v>1012</v>
      </c>
      <c r="BO1" t="s">
        <v>1013</v>
      </c>
      <c r="BP1" t="s">
        <v>1020</v>
      </c>
      <c r="BQ1" t="s">
        <v>1021</v>
      </c>
      <c r="BR1" t="s">
        <v>1022</v>
      </c>
      <c r="BS1" t="s">
        <v>1023</v>
      </c>
      <c r="BT1" t="s">
        <v>804</v>
      </c>
      <c r="BU1" t="s">
        <v>1032</v>
      </c>
      <c r="BZ1" t="s">
        <v>530</v>
      </c>
      <c r="CA1" t="s">
        <v>1023</v>
      </c>
      <c r="CB1" t="s">
        <v>1014</v>
      </c>
    </row>
    <row r="2" spans="1:80" ht="14.5" x14ac:dyDescent="0.25">
      <c r="A2" t="s">
        <v>106</v>
      </c>
      <c r="B2">
        <v>14561</v>
      </c>
      <c r="C2">
        <v>2599</v>
      </c>
      <c r="D2">
        <v>195</v>
      </c>
      <c r="E2">
        <f>SUM(Q2,-R2,-S2)</f>
        <v>4487</v>
      </c>
      <c r="F2">
        <f>SUM(T2,-U2,-V2)</f>
        <v>1665</v>
      </c>
      <c r="G2">
        <f>SUM(W2,-X2,-Y2)</f>
        <v>2304</v>
      </c>
      <c r="H2">
        <f>SUM(Z2,-AA2,-AB2)</f>
        <v>722</v>
      </c>
      <c r="I2">
        <f>SUM(AC2,-AD2,-AE2)</f>
        <v>1137</v>
      </c>
      <c r="J2">
        <f>SUM(AF2,-AG2,-AH2)</f>
        <v>5576</v>
      </c>
      <c r="K2">
        <f>SUM(AI2,-AJ2,-AK2)</f>
        <v>8292</v>
      </c>
      <c r="L2">
        <f>SUM(AL2,-AM2,-AN2)</f>
        <v>16347</v>
      </c>
      <c r="M2">
        <f>SUM(AO2,-AP2,-AQ2)</f>
        <v>5077</v>
      </c>
      <c r="N2">
        <f>SUM(AR2,-AS2,-AT2)</f>
        <v>107</v>
      </c>
      <c r="O2">
        <f>SUM(B2:N2)</f>
        <v>63069</v>
      </c>
      <c r="Q2">
        <v>13440</v>
      </c>
      <c r="R2">
        <v>8074</v>
      </c>
      <c r="S2">
        <v>879</v>
      </c>
      <c r="T2">
        <v>1854</v>
      </c>
      <c r="U2">
        <v>161</v>
      </c>
      <c r="V2">
        <v>28</v>
      </c>
      <c r="W2">
        <v>3332</v>
      </c>
      <c r="X2">
        <v>638</v>
      </c>
      <c r="Y2">
        <v>390</v>
      </c>
      <c r="Z2" s="271">
        <v>797</v>
      </c>
      <c r="AA2">
        <v>75</v>
      </c>
      <c r="AB2">
        <v>0</v>
      </c>
      <c r="AC2">
        <v>1835</v>
      </c>
      <c r="AD2">
        <v>271</v>
      </c>
      <c r="AE2">
        <v>427</v>
      </c>
      <c r="AF2">
        <v>7558</v>
      </c>
      <c r="AG2">
        <v>1576</v>
      </c>
      <c r="AH2">
        <v>406</v>
      </c>
      <c r="AI2">
        <v>8416</v>
      </c>
      <c r="AJ2">
        <v>124</v>
      </c>
      <c r="AK2">
        <v>0</v>
      </c>
      <c r="AL2">
        <v>17600</v>
      </c>
      <c r="AM2">
        <v>1101</v>
      </c>
      <c r="AN2">
        <v>152</v>
      </c>
      <c r="AO2">
        <v>6247</v>
      </c>
      <c r="AP2">
        <v>878</v>
      </c>
      <c r="AQ2">
        <v>292</v>
      </c>
      <c r="AR2">
        <v>1722</v>
      </c>
      <c r="AS2">
        <v>1590</v>
      </c>
      <c r="AT2">
        <v>25</v>
      </c>
      <c r="AU2">
        <v>2190</v>
      </c>
      <c r="AV2">
        <v>73</v>
      </c>
      <c r="AW2">
        <v>0</v>
      </c>
      <c r="AX2">
        <f>SUM(D2,Q2,T2,W2,Z2,AC2,AF2,AI2,AL2,AO2,AR2,AU2)</f>
        <v>65186</v>
      </c>
      <c r="AZ2" t="s">
        <v>106</v>
      </c>
      <c r="BA2" s="128">
        <v>60202</v>
      </c>
      <c r="BB2" s="128">
        <v>2071490</v>
      </c>
      <c r="BC2" s="128">
        <v>0</v>
      </c>
      <c r="BD2" s="128">
        <v>124698</v>
      </c>
      <c r="BE2" s="128">
        <v>453925.98</v>
      </c>
      <c r="BF2" s="128">
        <v>5617809</v>
      </c>
      <c r="BG2" s="272">
        <v>0</v>
      </c>
      <c r="BH2">
        <v>2051</v>
      </c>
      <c r="BI2">
        <v>2590</v>
      </c>
      <c r="BJ2">
        <v>337</v>
      </c>
      <c r="BK2">
        <v>130</v>
      </c>
      <c r="BL2">
        <v>557</v>
      </c>
      <c r="BM2">
        <v>25</v>
      </c>
      <c r="BN2" s="128">
        <v>1785</v>
      </c>
      <c r="BO2" s="128">
        <v>0</v>
      </c>
      <c r="BP2" s="128">
        <v>35</v>
      </c>
      <c r="BQ2" s="128">
        <f>SUM(1000*BA2,-BB2,-BC2,-BD2,-BE2,-BF2,-BG2,-1000*BH2,-1000*BI2,-1000*BJ2,-1000*BK2,-1000*BL2,-1000*BM2,-1000*BN2,-1000*BO2,-1000*BP2)</f>
        <v>44424077.020000003</v>
      </c>
      <c r="BR2">
        <v>25392</v>
      </c>
      <c r="BS2" s="128">
        <f t="shared" ref="BS2:BS62" si="0">BQ2/BR2</f>
        <v>1749.530443446755</v>
      </c>
      <c r="BT2" t="s">
        <v>118</v>
      </c>
      <c r="BU2" s="129">
        <f>SUM(BQ2,1000*BP2)/BR2</f>
        <v>1750.9088303402648</v>
      </c>
      <c r="BV2" t="s">
        <v>833</v>
      </c>
      <c r="BW2">
        <v>1384</v>
      </c>
      <c r="BZ2" t="s">
        <v>239</v>
      </c>
      <c r="CA2">
        <v>2018.5952740058028</v>
      </c>
      <c r="CB2" t="s">
        <v>441</v>
      </c>
    </row>
    <row r="3" spans="1:80" ht="14.5" x14ac:dyDescent="0.25">
      <c r="A3" t="s">
        <v>238</v>
      </c>
      <c r="B3">
        <v>1951</v>
      </c>
      <c r="C3">
        <v>4140</v>
      </c>
      <c r="D3">
        <v>90</v>
      </c>
      <c r="E3">
        <f t="shared" ref="E3:E63" si="1">SUM(Q3,-R3,-S3)</f>
        <v>11462</v>
      </c>
      <c r="F3">
        <f t="shared" ref="F3:F63" si="2">SUM(T3,-U3,-V3)</f>
        <v>3083</v>
      </c>
      <c r="G3">
        <f t="shared" ref="G3:G63" si="3">SUM(W3,-X3,-Y3)</f>
        <v>6645</v>
      </c>
      <c r="H3">
        <f t="shared" ref="H3:H63" si="4">SUM(Z3,-AA3,-AB3)</f>
        <v>35144</v>
      </c>
      <c r="I3">
        <f t="shared" ref="I3:I63" si="5">SUM(AC3,-AD3,-AE3)</f>
        <v>1553</v>
      </c>
      <c r="J3">
        <f t="shared" ref="J3:J63" si="6">SUM(AF3,-AG3,-AH3)</f>
        <v>6900</v>
      </c>
      <c r="K3">
        <f t="shared" ref="K3:K63" si="7">SUM(AI3,-AJ3,-AK3)</f>
        <v>6245</v>
      </c>
      <c r="L3">
        <f t="shared" ref="L3:L63" si="8">SUM(AL3,-AM3,-AN3)</f>
        <v>15846</v>
      </c>
      <c r="M3">
        <f t="shared" ref="M3:M63" si="9">SUM(AO3,-AP3,-AQ3)</f>
        <v>6720</v>
      </c>
      <c r="N3">
        <f t="shared" ref="N3:N63" si="10">SUM(AR3,-AS3,-AT3)</f>
        <v>3312</v>
      </c>
      <c r="O3">
        <f t="shared" ref="O3:O63" si="11">SUM(B3:N3)</f>
        <v>103091</v>
      </c>
      <c r="Q3">
        <v>14100</v>
      </c>
      <c r="R3">
        <v>1951</v>
      </c>
      <c r="S3">
        <v>687</v>
      </c>
      <c r="T3">
        <v>3083</v>
      </c>
      <c r="U3">
        <v>0</v>
      </c>
      <c r="V3">
        <v>0</v>
      </c>
      <c r="W3">
        <v>7457</v>
      </c>
      <c r="X3">
        <v>0</v>
      </c>
      <c r="Y3">
        <v>812</v>
      </c>
      <c r="Z3" s="271">
        <v>35146</v>
      </c>
      <c r="AA3">
        <v>0</v>
      </c>
      <c r="AB3">
        <v>2</v>
      </c>
      <c r="AC3">
        <v>2633</v>
      </c>
      <c r="AD3">
        <v>0</v>
      </c>
      <c r="AE3">
        <v>1080</v>
      </c>
      <c r="AF3">
        <v>7784</v>
      </c>
      <c r="AG3">
        <v>0</v>
      </c>
      <c r="AH3">
        <v>884</v>
      </c>
      <c r="AI3">
        <v>6245</v>
      </c>
      <c r="AJ3">
        <v>0</v>
      </c>
      <c r="AK3">
        <v>0</v>
      </c>
      <c r="AL3">
        <v>15846</v>
      </c>
      <c r="AM3">
        <v>0</v>
      </c>
      <c r="AN3">
        <v>0</v>
      </c>
      <c r="AO3">
        <v>7395</v>
      </c>
      <c r="AP3">
        <v>0</v>
      </c>
      <c r="AQ3">
        <v>675</v>
      </c>
      <c r="AR3">
        <v>3312</v>
      </c>
      <c r="AS3">
        <v>0</v>
      </c>
      <c r="AT3">
        <v>0</v>
      </c>
      <c r="AU3">
        <v>7389</v>
      </c>
      <c r="AV3">
        <v>0</v>
      </c>
      <c r="AW3">
        <v>0</v>
      </c>
      <c r="AX3">
        <f t="shared" ref="AX3:AX63" si="12">SUM(D3,Q3,T3,W3,Z3,AC3,AF3,AI3,AL3,AO3,AR3,AU3)</f>
        <v>110480</v>
      </c>
      <c r="AZ3" t="s">
        <v>238</v>
      </c>
      <c r="BA3" s="128">
        <v>98861</v>
      </c>
      <c r="BB3" s="128">
        <v>677391</v>
      </c>
      <c r="BC3" s="128">
        <v>0</v>
      </c>
      <c r="BD3" s="128">
        <v>1003074</v>
      </c>
      <c r="BE3" s="128">
        <v>451982.04000000004</v>
      </c>
      <c r="BF3" s="128">
        <v>4154787</v>
      </c>
      <c r="BG3" s="272">
        <v>0</v>
      </c>
      <c r="BH3">
        <v>2759</v>
      </c>
      <c r="BI3">
        <v>3639</v>
      </c>
      <c r="BJ3">
        <v>337</v>
      </c>
      <c r="BK3">
        <v>539</v>
      </c>
      <c r="BL3">
        <v>2515</v>
      </c>
      <c r="BM3">
        <v>391</v>
      </c>
      <c r="BN3" s="128">
        <v>746</v>
      </c>
      <c r="BO3" s="128">
        <v>0</v>
      </c>
      <c r="BP3" s="128">
        <v>2243</v>
      </c>
      <c r="BQ3" s="128">
        <f t="shared" ref="BQ3:BQ66" si="13">SUM(1000*BA3,-BB3,-BC3,-BD3,-BE3,-BF3,-BG3,-1000*BH3,-1000*BI3,-1000*BJ3,-1000*BK3,-1000*BL3,-1000*BM3,-1000*BN3,-1000*BO3,-1000*BP3)</f>
        <v>79404765.959999993</v>
      </c>
      <c r="BR3">
        <v>31986</v>
      </c>
      <c r="BS3" s="128">
        <f t="shared" si="0"/>
        <v>2482.4850234477581</v>
      </c>
      <c r="BT3" t="s">
        <v>467</v>
      </c>
      <c r="BU3" s="129">
        <f t="shared" ref="BU3:BU66" si="14">SUM(BQ3,1000*BP3)/BR3</f>
        <v>2552.6094528856374</v>
      </c>
      <c r="BV3" t="s">
        <v>834</v>
      </c>
      <c r="BW3">
        <v>1747</v>
      </c>
      <c r="BZ3" t="s">
        <v>141</v>
      </c>
      <c r="CA3">
        <v>2408.8660110889091</v>
      </c>
      <c r="CB3" t="s">
        <v>441</v>
      </c>
    </row>
    <row r="4" spans="1:80" ht="14.5" x14ac:dyDescent="0.25">
      <c r="A4" t="s">
        <v>165</v>
      </c>
      <c r="B4">
        <v>13904</v>
      </c>
      <c r="C4">
        <v>2032</v>
      </c>
      <c r="D4">
        <v>500</v>
      </c>
      <c r="E4">
        <f t="shared" si="1"/>
        <v>4811</v>
      </c>
      <c r="F4">
        <f t="shared" si="2"/>
        <v>1835</v>
      </c>
      <c r="G4">
        <f t="shared" si="3"/>
        <v>1330</v>
      </c>
      <c r="H4">
        <f t="shared" si="4"/>
        <v>204</v>
      </c>
      <c r="I4">
        <f t="shared" si="5"/>
        <v>1313</v>
      </c>
      <c r="J4">
        <f t="shared" si="6"/>
        <v>3176</v>
      </c>
      <c r="K4">
        <f t="shared" si="7"/>
        <v>16138</v>
      </c>
      <c r="L4">
        <f t="shared" si="8"/>
        <v>14374</v>
      </c>
      <c r="M4">
        <f t="shared" si="9"/>
        <v>3329</v>
      </c>
      <c r="N4">
        <f t="shared" si="10"/>
        <v>459</v>
      </c>
      <c r="O4">
        <f t="shared" si="11"/>
        <v>63405</v>
      </c>
      <c r="Q4">
        <v>12058</v>
      </c>
      <c r="R4">
        <v>6719</v>
      </c>
      <c r="S4">
        <v>528</v>
      </c>
      <c r="T4">
        <v>2537</v>
      </c>
      <c r="U4">
        <v>649</v>
      </c>
      <c r="V4">
        <v>53</v>
      </c>
      <c r="W4">
        <v>2594</v>
      </c>
      <c r="X4">
        <v>965</v>
      </c>
      <c r="Y4">
        <v>299</v>
      </c>
      <c r="Z4" s="271">
        <v>283</v>
      </c>
      <c r="AA4">
        <v>79</v>
      </c>
      <c r="AB4">
        <v>0</v>
      </c>
      <c r="AC4">
        <v>1934</v>
      </c>
      <c r="AD4">
        <v>115</v>
      </c>
      <c r="AE4">
        <v>506</v>
      </c>
      <c r="AF4">
        <v>4880</v>
      </c>
      <c r="AG4">
        <v>1522</v>
      </c>
      <c r="AH4">
        <v>182</v>
      </c>
      <c r="AI4">
        <v>16780</v>
      </c>
      <c r="AJ4">
        <v>642</v>
      </c>
      <c r="AK4">
        <v>0</v>
      </c>
      <c r="AL4">
        <v>15694</v>
      </c>
      <c r="AM4">
        <v>1320</v>
      </c>
      <c r="AN4">
        <v>0</v>
      </c>
      <c r="AO4">
        <v>4482</v>
      </c>
      <c r="AP4">
        <v>762</v>
      </c>
      <c r="AQ4">
        <v>391</v>
      </c>
      <c r="AR4">
        <v>1617</v>
      </c>
      <c r="AS4">
        <v>1085</v>
      </c>
      <c r="AT4">
        <v>73</v>
      </c>
      <c r="AU4">
        <v>782</v>
      </c>
      <c r="AV4">
        <v>46</v>
      </c>
      <c r="AW4">
        <v>0</v>
      </c>
      <c r="AX4">
        <f t="shared" si="12"/>
        <v>64141</v>
      </c>
      <c r="AZ4" t="s">
        <v>165</v>
      </c>
      <c r="BA4" s="128">
        <v>60827</v>
      </c>
      <c r="BB4" s="128">
        <v>922791</v>
      </c>
      <c r="BC4" s="128">
        <v>0</v>
      </c>
      <c r="BD4" s="128">
        <v>6167617</v>
      </c>
      <c r="BE4" s="128">
        <v>330346.89666666667</v>
      </c>
      <c r="BF4" s="128">
        <v>4542396</v>
      </c>
      <c r="BG4" s="272">
        <v>0</v>
      </c>
      <c r="BH4">
        <v>1928</v>
      </c>
      <c r="BI4">
        <v>1431</v>
      </c>
      <c r="BJ4">
        <v>292</v>
      </c>
      <c r="BK4">
        <v>270</v>
      </c>
      <c r="BL4">
        <v>412</v>
      </c>
      <c r="BM4">
        <v>145</v>
      </c>
      <c r="BN4" s="128">
        <v>188</v>
      </c>
      <c r="BO4" s="128">
        <v>0</v>
      </c>
      <c r="BP4" s="128">
        <v>69</v>
      </c>
      <c r="BQ4" s="128">
        <f t="shared" si="13"/>
        <v>44128849.103333332</v>
      </c>
      <c r="BR4">
        <v>27120</v>
      </c>
      <c r="BS4" s="128">
        <f t="shared" si="0"/>
        <v>1627.1699521878072</v>
      </c>
      <c r="BT4" t="s">
        <v>118</v>
      </c>
      <c r="BU4" s="129">
        <f t="shared" si="14"/>
        <v>1629.7141999754178</v>
      </c>
      <c r="BV4" t="s">
        <v>835</v>
      </c>
      <c r="BW4">
        <v>1552</v>
      </c>
      <c r="BZ4" t="s">
        <v>429</v>
      </c>
      <c r="CA4">
        <v>2509.6834739252281</v>
      </c>
      <c r="CB4" t="s">
        <v>441</v>
      </c>
    </row>
    <row r="5" spans="1:80" ht="14.5" x14ac:dyDescent="0.25">
      <c r="A5" t="s">
        <v>127</v>
      </c>
      <c r="B5">
        <v>6315</v>
      </c>
      <c r="C5">
        <v>3911</v>
      </c>
      <c r="D5">
        <v>349</v>
      </c>
      <c r="E5">
        <f t="shared" si="1"/>
        <v>10866</v>
      </c>
      <c r="F5">
        <f t="shared" si="2"/>
        <v>2034</v>
      </c>
      <c r="G5">
        <f t="shared" si="3"/>
        <v>2273</v>
      </c>
      <c r="H5">
        <f t="shared" si="4"/>
        <v>546</v>
      </c>
      <c r="I5">
        <f t="shared" si="5"/>
        <v>2598</v>
      </c>
      <c r="J5">
        <f t="shared" si="6"/>
        <v>3669</v>
      </c>
      <c r="K5">
        <f t="shared" si="7"/>
        <v>19206</v>
      </c>
      <c r="L5">
        <f t="shared" si="8"/>
        <v>24453</v>
      </c>
      <c r="M5">
        <f t="shared" si="9"/>
        <v>5736</v>
      </c>
      <c r="N5">
        <f t="shared" si="10"/>
        <v>2285</v>
      </c>
      <c r="O5">
        <f t="shared" si="11"/>
        <v>84241</v>
      </c>
      <c r="Q5">
        <v>13756</v>
      </c>
      <c r="R5">
        <v>2466</v>
      </c>
      <c r="S5">
        <v>424</v>
      </c>
      <c r="T5">
        <v>2034</v>
      </c>
      <c r="U5">
        <v>0</v>
      </c>
      <c r="V5">
        <v>0</v>
      </c>
      <c r="W5">
        <v>5122</v>
      </c>
      <c r="X5">
        <v>1707</v>
      </c>
      <c r="Y5">
        <v>1142</v>
      </c>
      <c r="Z5" s="271">
        <v>572</v>
      </c>
      <c r="AA5">
        <v>0</v>
      </c>
      <c r="AB5">
        <v>26</v>
      </c>
      <c r="AC5">
        <v>3394</v>
      </c>
      <c r="AD5">
        <v>0</v>
      </c>
      <c r="AE5">
        <v>796</v>
      </c>
      <c r="AF5">
        <v>5757</v>
      </c>
      <c r="AG5">
        <v>1655</v>
      </c>
      <c r="AH5">
        <v>433</v>
      </c>
      <c r="AI5">
        <v>19206</v>
      </c>
      <c r="AJ5">
        <v>0</v>
      </c>
      <c r="AK5">
        <v>0</v>
      </c>
      <c r="AL5">
        <v>24522</v>
      </c>
      <c r="AM5">
        <v>0</v>
      </c>
      <c r="AN5">
        <v>69</v>
      </c>
      <c r="AO5">
        <v>7244</v>
      </c>
      <c r="AP5">
        <v>487</v>
      </c>
      <c r="AQ5">
        <v>1021</v>
      </c>
      <c r="AR5">
        <v>2285</v>
      </c>
      <c r="AS5">
        <v>0</v>
      </c>
      <c r="AT5">
        <v>0</v>
      </c>
      <c r="AU5">
        <v>449</v>
      </c>
      <c r="AV5">
        <v>0</v>
      </c>
      <c r="AW5">
        <v>0</v>
      </c>
      <c r="AX5">
        <f t="shared" si="12"/>
        <v>84690</v>
      </c>
      <c r="AZ5" t="s">
        <v>127</v>
      </c>
      <c r="BA5" s="128">
        <v>79981</v>
      </c>
      <c r="BB5" s="128">
        <v>1844059</v>
      </c>
      <c r="BC5" s="128">
        <v>0</v>
      </c>
      <c r="BD5" s="128">
        <v>4618870</v>
      </c>
      <c r="BE5" s="128">
        <v>972569</v>
      </c>
      <c r="BF5" s="128">
        <v>10574118</v>
      </c>
      <c r="BG5" s="272">
        <v>25144.030595242977</v>
      </c>
      <c r="BH5">
        <v>2039</v>
      </c>
      <c r="BI5">
        <v>3918</v>
      </c>
      <c r="BJ5">
        <v>335</v>
      </c>
      <c r="BK5">
        <v>0</v>
      </c>
      <c r="BL5">
        <v>394</v>
      </c>
      <c r="BM5">
        <v>62</v>
      </c>
      <c r="BN5" s="128">
        <v>6</v>
      </c>
      <c r="BO5" s="128">
        <v>0</v>
      </c>
      <c r="BP5" s="128">
        <v>1755</v>
      </c>
      <c r="BQ5" s="128">
        <f t="shared" si="13"/>
        <v>53437239.969404757</v>
      </c>
      <c r="BR5">
        <v>27900</v>
      </c>
      <c r="BS5" s="128">
        <f t="shared" si="0"/>
        <v>1915.3132605521419</v>
      </c>
      <c r="BT5" t="s">
        <v>118</v>
      </c>
      <c r="BU5" s="129">
        <f t="shared" si="14"/>
        <v>1978.2164863585933</v>
      </c>
      <c r="BV5" t="s">
        <v>836</v>
      </c>
      <c r="BW5">
        <v>1966</v>
      </c>
      <c r="BZ5" t="s">
        <v>214</v>
      </c>
      <c r="CA5">
        <v>2132.1874583812596</v>
      </c>
      <c r="CB5" t="s">
        <v>441</v>
      </c>
    </row>
    <row r="6" spans="1:80" ht="14.5" x14ac:dyDescent="0.25">
      <c r="A6" t="s">
        <v>283</v>
      </c>
      <c r="B6">
        <v>7007</v>
      </c>
      <c r="C6">
        <v>2635</v>
      </c>
      <c r="D6">
        <v>903</v>
      </c>
      <c r="E6">
        <f t="shared" si="1"/>
        <v>1806</v>
      </c>
      <c r="F6">
        <f t="shared" si="2"/>
        <v>1933</v>
      </c>
      <c r="G6">
        <f t="shared" si="3"/>
        <v>1136</v>
      </c>
      <c r="H6">
        <f t="shared" si="4"/>
        <v>482</v>
      </c>
      <c r="I6">
        <f t="shared" si="5"/>
        <v>1597</v>
      </c>
      <c r="J6">
        <f t="shared" si="6"/>
        <v>4767</v>
      </c>
      <c r="K6">
        <f t="shared" si="7"/>
        <v>9511</v>
      </c>
      <c r="L6">
        <f t="shared" si="8"/>
        <v>13254</v>
      </c>
      <c r="M6">
        <f t="shared" si="9"/>
        <v>5147</v>
      </c>
      <c r="N6">
        <f t="shared" si="10"/>
        <v>2192</v>
      </c>
      <c r="O6">
        <f t="shared" si="11"/>
        <v>52370</v>
      </c>
      <c r="Q6">
        <v>9408</v>
      </c>
      <c r="R6">
        <v>7007</v>
      </c>
      <c r="S6">
        <v>595</v>
      </c>
      <c r="T6">
        <v>1933</v>
      </c>
      <c r="U6">
        <v>0</v>
      </c>
      <c r="V6">
        <v>0</v>
      </c>
      <c r="W6">
        <v>1860</v>
      </c>
      <c r="X6">
        <v>0</v>
      </c>
      <c r="Y6">
        <v>724</v>
      </c>
      <c r="Z6" s="271">
        <v>489</v>
      </c>
      <c r="AA6">
        <v>0</v>
      </c>
      <c r="AB6">
        <v>7</v>
      </c>
      <c r="AC6">
        <v>1861</v>
      </c>
      <c r="AD6">
        <v>0</v>
      </c>
      <c r="AE6">
        <v>264</v>
      </c>
      <c r="AF6">
        <v>5228</v>
      </c>
      <c r="AG6">
        <v>0</v>
      </c>
      <c r="AH6">
        <v>461</v>
      </c>
      <c r="AI6">
        <v>9511</v>
      </c>
      <c r="AJ6">
        <v>0</v>
      </c>
      <c r="AK6">
        <v>0</v>
      </c>
      <c r="AL6">
        <v>13254</v>
      </c>
      <c r="AM6">
        <v>0</v>
      </c>
      <c r="AN6">
        <v>0</v>
      </c>
      <c r="AO6">
        <v>5683</v>
      </c>
      <c r="AP6">
        <v>0</v>
      </c>
      <c r="AQ6">
        <v>536</v>
      </c>
      <c r="AR6">
        <v>2240</v>
      </c>
      <c r="AS6">
        <v>0</v>
      </c>
      <c r="AT6">
        <v>48</v>
      </c>
      <c r="AU6">
        <v>2832</v>
      </c>
      <c r="AV6">
        <v>0</v>
      </c>
      <c r="AW6">
        <v>0</v>
      </c>
      <c r="AX6">
        <f t="shared" si="12"/>
        <v>55202</v>
      </c>
      <c r="AZ6" t="s">
        <v>283</v>
      </c>
      <c r="BA6" s="128">
        <v>48832</v>
      </c>
      <c r="BB6" s="128">
        <v>850749</v>
      </c>
      <c r="BC6" s="128">
        <v>0</v>
      </c>
      <c r="BD6" s="128">
        <v>1448493</v>
      </c>
      <c r="BE6" s="128">
        <v>474824</v>
      </c>
      <c r="BF6" s="128">
        <v>5547118</v>
      </c>
      <c r="BG6" s="272">
        <v>0</v>
      </c>
      <c r="BH6">
        <v>1520</v>
      </c>
      <c r="BI6">
        <v>2818</v>
      </c>
      <c r="BJ6">
        <v>174</v>
      </c>
      <c r="BK6">
        <v>522</v>
      </c>
      <c r="BL6">
        <v>917</v>
      </c>
      <c r="BM6">
        <v>103</v>
      </c>
      <c r="BN6" s="128">
        <v>32</v>
      </c>
      <c r="BO6" s="128">
        <v>0</v>
      </c>
      <c r="BP6" s="128">
        <v>642</v>
      </c>
      <c r="BQ6" s="128">
        <f t="shared" si="13"/>
        <v>33782816</v>
      </c>
      <c r="BR6">
        <v>20126</v>
      </c>
      <c r="BS6" s="128">
        <f t="shared" si="0"/>
        <v>1678.5658352380005</v>
      </c>
      <c r="BT6" t="s">
        <v>467</v>
      </c>
      <c r="BU6" s="129">
        <f t="shared" si="14"/>
        <v>1710.4648713107424</v>
      </c>
      <c r="BV6" t="s">
        <v>837</v>
      </c>
      <c r="BW6">
        <v>1851</v>
      </c>
      <c r="BZ6" t="s">
        <v>241</v>
      </c>
      <c r="CA6">
        <v>3504.5720486158575</v>
      </c>
      <c r="CB6" t="s">
        <v>441</v>
      </c>
    </row>
    <row r="7" spans="1:80" ht="14.5" x14ac:dyDescent="0.25">
      <c r="A7" t="s">
        <v>284</v>
      </c>
      <c r="B7">
        <v>1411</v>
      </c>
      <c r="C7">
        <v>2710</v>
      </c>
      <c r="D7">
        <v>882</v>
      </c>
      <c r="E7">
        <f t="shared" si="1"/>
        <v>10202</v>
      </c>
      <c r="F7">
        <f t="shared" si="2"/>
        <v>2021</v>
      </c>
      <c r="G7">
        <f t="shared" si="3"/>
        <v>3227</v>
      </c>
      <c r="H7">
        <f t="shared" si="4"/>
        <v>197</v>
      </c>
      <c r="I7">
        <f t="shared" si="5"/>
        <v>1312</v>
      </c>
      <c r="J7">
        <f t="shared" si="6"/>
        <v>3844</v>
      </c>
      <c r="K7">
        <f t="shared" si="7"/>
        <v>7182</v>
      </c>
      <c r="L7">
        <f t="shared" si="8"/>
        <v>11376</v>
      </c>
      <c r="M7">
        <f t="shared" si="9"/>
        <v>7620</v>
      </c>
      <c r="N7">
        <f t="shared" si="10"/>
        <v>1523</v>
      </c>
      <c r="O7">
        <f t="shared" si="11"/>
        <v>53507</v>
      </c>
      <c r="Q7">
        <v>11633</v>
      </c>
      <c r="R7">
        <v>1411</v>
      </c>
      <c r="S7">
        <v>20</v>
      </c>
      <c r="T7">
        <v>2037</v>
      </c>
      <c r="U7">
        <v>0</v>
      </c>
      <c r="V7">
        <v>16</v>
      </c>
      <c r="W7">
        <v>4095</v>
      </c>
      <c r="X7">
        <v>0</v>
      </c>
      <c r="Y7">
        <v>868</v>
      </c>
      <c r="Z7" s="271">
        <v>197</v>
      </c>
      <c r="AA7">
        <v>0</v>
      </c>
      <c r="AB7">
        <v>0</v>
      </c>
      <c r="AC7">
        <v>1791</v>
      </c>
      <c r="AD7">
        <v>0</v>
      </c>
      <c r="AE7">
        <v>479</v>
      </c>
      <c r="AF7">
        <v>4277</v>
      </c>
      <c r="AG7">
        <v>0</v>
      </c>
      <c r="AH7">
        <v>433</v>
      </c>
      <c r="AI7">
        <v>7182</v>
      </c>
      <c r="AJ7">
        <v>0</v>
      </c>
      <c r="AK7">
        <v>0</v>
      </c>
      <c r="AL7">
        <v>11432</v>
      </c>
      <c r="AM7">
        <v>0</v>
      </c>
      <c r="AN7">
        <v>56</v>
      </c>
      <c r="AO7">
        <v>8422</v>
      </c>
      <c r="AP7">
        <v>0</v>
      </c>
      <c r="AQ7">
        <v>802</v>
      </c>
      <c r="AR7">
        <v>1559</v>
      </c>
      <c r="AS7">
        <v>0</v>
      </c>
      <c r="AT7">
        <v>36</v>
      </c>
      <c r="AU7">
        <v>6019</v>
      </c>
      <c r="AV7">
        <v>0</v>
      </c>
      <c r="AW7">
        <v>0</v>
      </c>
      <c r="AX7">
        <f t="shared" si="12"/>
        <v>59526</v>
      </c>
      <c r="AZ7" t="s">
        <v>284</v>
      </c>
      <c r="BA7" s="128">
        <v>49915</v>
      </c>
      <c r="BB7" s="128">
        <v>285378</v>
      </c>
      <c r="BC7" s="128">
        <v>0</v>
      </c>
      <c r="BD7" s="128">
        <v>302725</v>
      </c>
      <c r="BE7" s="128">
        <v>348899.69666666666</v>
      </c>
      <c r="BF7" s="128">
        <v>5267412.5572029557</v>
      </c>
      <c r="BG7" s="272">
        <v>0</v>
      </c>
      <c r="BH7">
        <v>2983</v>
      </c>
      <c r="BI7">
        <v>3884</v>
      </c>
      <c r="BJ7">
        <v>332</v>
      </c>
      <c r="BK7">
        <v>207</v>
      </c>
      <c r="BL7">
        <v>392</v>
      </c>
      <c r="BM7">
        <v>95</v>
      </c>
      <c r="BN7" s="128">
        <v>0</v>
      </c>
      <c r="BO7" s="128">
        <v>0</v>
      </c>
      <c r="BP7" s="128">
        <v>164</v>
      </c>
      <c r="BQ7" s="128">
        <f t="shared" si="13"/>
        <v>35653584.746130377</v>
      </c>
      <c r="BR7">
        <v>25799</v>
      </c>
      <c r="BS7" s="128">
        <f t="shared" si="0"/>
        <v>1381.9754543249885</v>
      </c>
      <c r="BT7" t="s">
        <v>467</v>
      </c>
      <c r="BU7" s="129">
        <f t="shared" si="14"/>
        <v>1388.3322898612496</v>
      </c>
      <c r="BV7" t="s">
        <v>838</v>
      </c>
      <c r="BW7">
        <v>2399</v>
      </c>
      <c r="BZ7" t="s">
        <v>166</v>
      </c>
      <c r="CA7">
        <v>2004.0484327585375</v>
      </c>
      <c r="CB7" t="s">
        <v>441</v>
      </c>
    </row>
    <row r="8" spans="1:80" ht="14.5" x14ac:dyDescent="0.25">
      <c r="A8" t="s">
        <v>239</v>
      </c>
      <c r="B8">
        <v>48998</v>
      </c>
      <c r="C8">
        <v>18940</v>
      </c>
      <c r="D8">
        <v>6818</v>
      </c>
      <c r="E8">
        <f t="shared" si="1"/>
        <v>16332</v>
      </c>
      <c r="F8">
        <f t="shared" si="2"/>
        <v>12278</v>
      </c>
      <c r="G8">
        <f t="shared" si="3"/>
        <v>13921</v>
      </c>
      <c r="H8">
        <f t="shared" si="4"/>
        <v>17112</v>
      </c>
      <c r="I8">
        <f t="shared" si="5"/>
        <v>10108</v>
      </c>
      <c r="J8">
        <f t="shared" si="6"/>
        <v>38365</v>
      </c>
      <c r="K8">
        <f t="shared" si="7"/>
        <v>72690</v>
      </c>
      <c r="L8">
        <f t="shared" si="8"/>
        <v>98039</v>
      </c>
      <c r="M8">
        <f t="shared" si="9"/>
        <v>21089</v>
      </c>
      <c r="N8">
        <f t="shared" si="10"/>
        <v>3826</v>
      </c>
      <c r="O8">
        <f t="shared" si="11"/>
        <v>378516</v>
      </c>
      <c r="Q8">
        <v>50081</v>
      </c>
      <c r="R8">
        <v>29838</v>
      </c>
      <c r="S8">
        <v>3911</v>
      </c>
      <c r="T8">
        <v>15891</v>
      </c>
      <c r="U8">
        <v>3313</v>
      </c>
      <c r="V8">
        <v>300</v>
      </c>
      <c r="W8">
        <v>20900</v>
      </c>
      <c r="X8">
        <v>1670</v>
      </c>
      <c r="Y8">
        <v>5309</v>
      </c>
      <c r="Z8" s="271">
        <v>18202</v>
      </c>
      <c r="AA8">
        <v>1057</v>
      </c>
      <c r="AB8">
        <v>33</v>
      </c>
      <c r="AC8">
        <v>16062</v>
      </c>
      <c r="AD8">
        <v>1786</v>
      </c>
      <c r="AE8">
        <v>4168</v>
      </c>
      <c r="AF8">
        <v>42249</v>
      </c>
      <c r="AG8">
        <v>877</v>
      </c>
      <c r="AH8">
        <v>3007</v>
      </c>
      <c r="AI8">
        <v>73875</v>
      </c>
      <c r="AJ8">
        <v>1184</v>
      </c>
      <c r="AK8">
        <v>1</v>
      </c>
      <c r="AL8">
        <v>102356</v>
      </c>
      <c r="AM8">
        <v>4308</v>
      </c>
      <c r="AN8">
        <v>9</v>
      </c>
      <c r="AO8">
        <v>24048</v>
      </c>
      <c r="AP8">
        <v>813</v>
      </c>
      <c r="AQ8">
        <v>2146</v>
      </c>
      <c r="AR8">
        <v>7571</v>
      </c>
      <c r="AS8">
        <v>3689</v>
      </c>
      <c r="AT8">
        <v>56</v>
      </c>
      <c r="AU8">
        <v>20651</v>
      </c>
      <c r="AV8">
        <v>463</v>
      </c>
      <c r="AW8">
        <v>0</v>
      </c>
      <c r="AX8">
        <f t="shared" si="12"/>
        <v>398704</v>
      </c>
      <c r="AZ8" t="s">
        <v>239</v>
      </c>
      <c r="BA8" s="128">
        <v>352295</v>
      </c>
      <c r="BB8" s="128">
        <v>4152617</v>
      </c>
      <c r="BC8" s="128">
        <v>19150244</v>
      </c>
      <c r="BD8" s="128">
        <v>11914633</v>
      </c>
      <c r="BE8" s="128">
        <v>12249290</v>
      </c>
      <c r="BF8" s="128">
        <v>41841640.172948882</v>
      </c>
      <c r="BG8" s="272">
        <v>1155010.9996353835</v>
      </c>
      <c r="BH8">
        <v>8495</v>
      </c>
      <c r="BI8">
        <v>13326</v>
      </c>
      <c r="BJ8">
        <v>1110</v>
      </c>
      <c r="BK8">
        <v>146</v>
      </c>
      <c r="BL8">
        <v>2085</v>
      </c>
      <c r="BM8">
        <v>468</v>
      </c>
      <c r="BN8" s="128">
        <v>2</v>
      </c>
      <c r="BO8" s="128">
        <v>8423</v>
      </c>
      <c r="BP8" s="128">
        <v>5939</v>
      </c>
      <c r="BQ8" s="128">
        <f t="shared" si="13"/>
        <v>221837564.8274157</v>
      </c>
      <c r="BR8">
        <v>109897</v>
      </c>
      <c r="BS8" s="128">
        <f t="shared" si="0"/>
        <v>2018.5952740058028</v>
      </c>
      <c r="BT8" t="s">
        <v>441</v>
      </c>
      <c r="BU8" s="129">
        <f t="shared" si="14"/>
        <v>2072.6367856030256</v>
      </c>
      <c r="BZ8" t="s">
        <v>167</v>
      </c>
      <c r="CA8">
        <v>2336.8277114142547</v>
      </c>
      <c r="CB8" t="s">
        <v>441</v>
      </c>
    </row>
    <row r="9" spans="1:80" ht="14.5" x14ac:dyDescent="0.25">
      <c r="A9" t="s">
        <v>141</v>
      </c>
      <c r="B9">
        <v>54608</v>
      </c>
      <c r="C9">
        <v>10529</v>
      </c>
      <c r="D9">
        <v>3778</v>
      </c>
      <c r="E9">
        <f t="shared" si="1"/>
        <v>9042</v>
      </c>
      <c r="F9">
        <f t="shared" si="2"/>
        <v>5890</v>
      </c>
      <c r="G9">
        <f t="shared" si="3"/>
        <v>10318</v>
      </c>
      <c r="H9">
        <f t="shared" si="4"/>
        <v>12913</v>
      </c>
      <c r="I9">
        <f t="shared" si="5"/>
        <v>3978</v>
      </c>
      <c r="J9">
        <f t="shared" si="6"/>
        <v>12969</v>
      </c>
      <c r="K9">
        <f t="shared" si="7"/>
        <v>73443</v>
      </c>
      <c r="L9">
        <f t="shared" si="8"/>
        <v>78904</v>
      </c>
      <c r="M9">
        <f t="shared" si="9"/>
        <v>18200</v>
      </c>
      <c r="N9">
        <f t="shared" si="10"/>
        <v>1720</v>
      </c>
      <c r="O9">
        <f t="shared" si="11"/>
        <v>296292</v>
      </c>
      <c r="Q9">
        <v>39591</v>
      </c>
      <c r="R9">
        <v>26388</v>
      </c>
      <c r="S9">
        <v>4161</v>
      </c>
      <c r="T9">
        <v>6999</v>
      </c>
      <c r="U9">
        <v>1109</v>
      </c>
      <c r="V9">
        <v>0</v>
      </c>
      <c r="W9">
        <v>13344</v>
      </c>
      <c r="X9">
        <v>1552</v>
      </c>
      <c r="Y9">
        <v>1474</v>
      </c>
      <c r="Z9" s="271">
        <v>13546</v>
      </c>
      <c r="AA9">
        <v>610</v>
      </c>
      <c r="AB9">
        <v>23</v>
      </c>
      <c r="AC9">
        <v>7337</v>
      </c>
      <c r="AD9">
        <v>1135</v>
      </c>
      <c r="AE9">
        <v>2224</v>
      </c>
      <c r="AF9">
        <v>16924</v>
      </c>
      <c r="AG9">
        <v>2921</v>
      </c>
      <c r="AH9">
        <v>1034</v>
      </c>
      <c r="AI9">
        <v>80244</v>
      </c>
      <c r="AJ9">
        <v>6801</v>
      </c>
      <c r="AK9">
        <v>0</v>
      </c>
      <c r="AL9">
        <v>88611</v>
      </c>
      <c r="AM9">
        <v>9580</v>
      </c>
      <c r="AN9">
        <v>127</v>
      </c>
      <c r="AO9">
        <v>21276</v>
      </c>
      <c r="AP9">
        <v>1640</v>
      </c>
      <c r="AQ9">
        <v>1436</v>
      </c>
      <c r="AR9">
        <v>4389</v>
      </c>
      <c r="AS9">
        <v>2619</v>
      </c>
      <c r="AT9">
        <v>50</v>
      </c>
      <c r="AU9">
        <v>3948</v>
      </c>
      <c r="AV9">
        <v>253</v>
      </c>
      <c r="AW9">
        <v>0</v>
      </c>
      <c r="AX9">
        <f t="shared" si="12"/>
        <v>299987</v>
      </c>
      <c r="AZ9" t="s">
        <v>141</v>
      </c>
      <c r="BA9" s="128">
        <v>281732</v>
      </c>
      <c r="BB9" s="128">
        <v>4549979</v>
      </c>
      <c r="BC9" s="128">
        <v>14531710</v>
      </c>
      <c r="BD9" s="128">
        <v>12212774</v>
      </c>
      <c r="BE9" s="128">
        <v>5371993</v>
      </c>
      <c r="BF9" s="128">
        <v>42678200.937213488</v>
      </c>
      <c r="BG9" s="272">
        <v>1340883.0117436871</v>
      </c>
      <c r="BH9">
        <v>10336</v>
      </c>
      <c r="BI9">
        <v>8244</v>
      </c>
      <c r="BJ9">
        <v>749</v>
      </c>
      <c r="BK9">
        <v>418</v>
      </c>
      <c r="BL9">
        <v>1761</v>
      </c>
      <c r="BM9">
        <v>254</v>
      </c>
      <c r="BN9" s="128">
        <v>399</v>
      </c>
      <c r="BO9" s="128">
        <v>2170</v>
      </c>
      <c r="BP9" s="128">
        <v>531</v>
      </c>
      <c r="BQ9" s="128">
        <f t="shared" si="13"/>
        <v>176184460.05104282</v>
      </c>
      <c r="BR9">
        <v>73140</v>
      </c>
      <c r="BS9" s="128">
        <f t="shared" si="0"/>
        <v>2408.8660110889091</v>
      </c>
      <c r="BT9" t="s">
        <v>441</v>
      </c>
      <c r="BU9" s="129">
        <f t="shared" si="14"/>
        <v>2416.126060309582</v>
      </c>
      <c r="BZ9" t="s">
        <v>107</v>
      </c>
      <c r="CA9">
        <v>2297.5380772169801</v>
      </c>
      <c r="CB9" t="s">
        <v>441</v>
      </c>
    </row>
    <row r="10" spans="1:80" ht="14.5" x14ac:dyDescent="0.25">
      <c r="A10" t="s">
        <v>429</v>
      </c>
      <c r="B10">
        <v>145650</v>
      </c>
      <c r="C10">
        <v>22846</v>
      </c>
      <c r="D10">
        <v>12361</v>
      </c>
      <c r="E10">
        <f t="shared" si="1"/>
        <v>38956</v>
      </c>
      <c r="F10">
        <f t="shared" si="2"/>
        <v>16629</v>
      </c>
      <c r="G10">
        <f t="shared" si="3"/>
        <v>40501</v>
      </c>
      <c r="H10">
        <f t="shared" si="4"/>
        <v>65795</v>
      </c>
      <c r="I10">
        <f t="shared" si="5"/>
        <v>30359</v>
      </c>
      <c r="J10">
        <f t="shared" si="6"/>
        <v>55756</v>
      </c>
      <c r="K10">
        <f t="shared" si="7"/>
        <v>115591</v>
      </c>
      <c r="L10">
        <f t="shared" si="8"/>
        <v>201590</v>
      </c>
      <c r="M10">
        <f t="shared" si="9"/>
        <v>55803</v>
      </c>
      <c r="N10">
        <f t="shared" si="10"/>
        <v>42808</v>
      </c>
      <c r="O10">
        <f t="shared" si="11"/>
        <v>844645</v>
      </c>
      <c r="Q10">
        <v>102366</v>
      </c>
      <c r="R10">
        <v>60843</v>
      </c>
      <c r="S10">
        <v>2567</v>
      </c>
      <c r="T10">
        <v>21090</v>
      </c>
      <c r="U10">
        <v>4130</v>
      </c>
      <c r="V10">
        <v>331</v>
      </c>
      <c r="W10">
        <v>53830</v>
      </c>
      <c r="X10">
        <v>10033</v>
      </c>
      <c r="Y10">
        <v>3296</v>
      </c>
      <c r="Z10" s="271">
        <v>68695</v>
      </c>
      <c r="AA10">
        <v>2712</v>
      </c>
      <c r="AB10">
        <v>188</v>
      </c>
      <c r="AC10">
        <v>42623</v>
      </c>
      <c r="AD10">
        <v>4636</v>
      </c>
      <c r="AE10">
        <v>7628</v>
      </c>
      <c r="AF10">
        <v>67571</v>
      </c>
      <c r="AG10">
        <v>6448</v>
      </c>
      <c r="AH10">
        <v>5367</v>
      </c>
      <c r="AI10">
        <v>129132</v>
      </c>
      <c r="AJ10">
        <v>13541</v>
      </c>
      <c r="AK10">
        <v>0</v>
      </c>
      <c r="AL10">
        <v>215797</v>
      </c>
      <c r="AM10">
        <v>13970</v>
      </c>
      <c r="AN10">
        <v>237</v>
      </c>
      <c r="AO10">
        <v>69082</v>
      </c>
      <c r="AP10">
        <v>10086</v>
      </c>
      <c r="AQ10">
        <v>3193</v>
      </c>
      <c r="AR10">
        <v>55997</v>
      </c>
      <c r="AS10">
        <v>13150</v>
      </c>
      <c r="AT10">
        <v>39</v>
      </c>
      <c r="AU10">
        <v>90674</v>
      </c>
      <c r="AV10">
        <v>6101</v>
      </c>
      <c r="AW10">
        <v>0</v>
      </c>
      <c r="AX10">
        <f t="shared" si="12"/>
        <v>929218</v>
      </c>
      <c r="AZ10" t="s">
        <v>429</v>
      </c>
      <c r="BA10" s="128">
        <v>803337</v>
      </c>
      <c r="BB10" s="128">
        <v>6583951</v>
      </c>
      <c r="BC10" s="128">
        <v>40991498</v>
      </c>
      <c r="BD10" s="128">
        <v>10553188</v>
      </c>
      <c r="BE10" s="128">
        <v>28596788</v>
      </c>
      <c r="BF10" s="128">
        <v>87544029.065116599</v>
      </c>
      <c r="BG10" s="272">
        <v>23983452.125123128</v>
      </c>
      <c r="BH10">
        <v>15755</v>
      </c>
      <c r="BI10">
        <v>32492</v>
      </c>
      <c r="BJ10">
        <v>2363</v>
      </c>
      <c r="BK10">
        <v>0</v>
      </c>
      <c r="BL10">
        <v>10623</v>
      </c>
      <c r="BM10">
        <v>835</v>
      </c>
      <c r="BN10" s="128">
        <v>1077</v>
      </c>
      <c r="BO10" s="128">
        <v>0</v>
      </c>
      <c r="BP10" s="128">
        <v>2967</v>
      </c>
      <c r="BQ10" s="128">
        <f t="shared" si="13"/>
        <v>538972093.80976021</v>
      </c>
      <c r="BR10">
        <v>214757</v>
      </c>
      <c r="BS10" s="128">
        <f t="shared" si="0"/>
        <v>2509.6834739252281</v>
      </c>
      <c r="BT10" t="s">
        <v>441</v>
      </c>
      <c r="BU10" s="129">
        <f t="shared" si="14"/>
        <v>2523.4990887829508</v>
      </c>
      <c r="BZ10" t="s">
        <v>347</v>
      </c>
      <c r="CA10">
        <v>2549.817456737233</v>
      </c>
      <c r="CB10" t="s">
        <v>441</v>
      </c>
    </row>
    <row r="11" spans="1:80" ht="14.5" x14ac:dyDescent="0.25">
      <c r="A11" t="s">
        <v>285</v>
      </c>
      <c r="B11">
        <v>67305</v>
      </c>
      <c r="C11">
        <v>14843</v>
      </c>
      <c r="D11">
        <v>3877</v>
      </c>
      <c r="E11">
        <f t="shared" si="1"/>
        <v>16749</v>
      </c>
      <c r="F11">
        <f t="shared" si="2"/>
        <v>7755</v>
      </c>
      <c r="G11">
        <f t="shared" si="3"/>
        <v>20655</v>
      </c>
      <c r="H11">
        <f t="shared" si="4"/>
        <v>7532</v>
      </c>
      <c r="I11">
        <f t="shared" si="5"/>
        <v>7458</v>
      </c>
      <c r="J11">
        <f t="shared" si="6"/>
        <v>17304</v>
      </c>
      <c r="K11">
        <f t="shared" si="7"/>
        <v>46441</v>
      </c>
      <c r="L11">
        <f t="shared" si="8"/>
        <v>65039</v>
      </c>
      <c r="M11">
        <f t="shared" si="9"/>
        <v>26822</v>
      </c>
      <c r="N11">
        <f t="shared" si="10"/>
        <v>1572</v>
      </c>
      <c r="O11">
        <f t="shared" si="11"/>
        <v>303352</v>
      </c>
      <c r="Q11">
        <v>47579</v>
      </c>
      <c r="R11">
        <v>29791</v>
      </c>
      <c r="S11">
        <v>1039</v>
      </c>
      <c r="T11">
        <v>10017</v>
      </c>
      <c r="U11">
        <v>2152</v>
      </c>
      <c r="V11">
        <v>110</v>
      </c>
      <c r="W11">
        <v>29371</v>
      </c>
      <c r="X11">
        <v>4190</v>
      </c>
      <c r="Y11">
        <v>4526</v>
      </c>
      <c r="Z11" s="271">
        <v>8565</v>
      </c>
      <c r="AA11">
        <v>1030</v>
      </c>
      <c r="AB11">
        <v>3</v>
      </c>
      <c r="AC11">
        <v>11453</v>
      </c>
      <c r="AD11">
        <v>1056</v>
      </c>
      <c r="AE11">
        <v>2939</v>
      </c>
      <c r="AF11">
        <v>24363</v>
      </c>
      <c r="AG11">
        <v>4075</v>
      </c>
      <c r="AH11">
        <v>2984</v>
      </c>
      <c r="AI11">
        <v>57820</v>
      </c>
      <c r="AJ11">
        <v>11123</v>
      </c>
      <c r="AK11">
        <v>256</v>
      </c>
      <c r="AL11">
        <v>68736</v>
      </c>
      <c r="AM11">
        <v>3472</v>
      </c>
      <c r="AN11">
        <v>225</v>
      </c>
      <c r="AO11">
        <v>33964</v>
      </c>
      <c r="AP11">
        <v>4619</v>
      </c>
      <c r="AQ11">
        <v>2523</v>
      </c>
      <c r="AR11">
        <v>6020</v>
      </c>
      <c r="AS11">
        <v>4321</v>
      </c>
      <c r="AT11">
        <v>127</v>
      </c>
      <c r="AU11">
        <v>9260</v>
      </c>
      <c r="AV11">
        <v>1476</v>
      </c>
      <c r="AW11">
        <v>111</v>
      </c>
      <c r="AX11">
        <f t="shared" si="12"/>
        <v>311025</v>
      </c>
      <c r="AZ11" t="s">
        <v>285</v>
      </c>
      <c r="BA11" s="128">
        <v>283045</v>
      </c>
      <c r="BB11" s="128">
        <v>5120722</v>
      </c>
      <c r="BC11" s="128">
        <v>0</v>
      </c>
      <c r="BD11" s="128">
        <v>13739065</v>
      </c>
      <c r="BE11" s="128">
        <v>1574864</v>
      </c>
      <c r="BF11" s="128">
        <v>25707005.623975877</v>
      </c>
      <c r="BG11" s="272">
        <v>656863.69642510638</v>
      </c>
      <c r="BH11">
        <v>12130</v>
      </c>
      <c r="BI11">
        <v>13100</v>
      </c>
      <c r="BJ11">
        <v>1414</v>
      </c>
      <c r="BK11">
        <v>825</v>
      </c>
      <c r="BL11">
        <v>1928</v>
      </c>
      <c r="BM11">
        <v>296</v>
      </c>
      <c r="BN11" s="128">
        <v>100</v>
      </c>
      <c r="BO11" s="128">
        <v>1384</v>
      </c>
      <c r="BP11" s="128">
        <v>5065</v>
      </c>
      <c r="BQ11" s="128">
        <f t="shared" si="13"/>
        <v>200004479.67959902</v>
      </c>
      <c r="BR11">
        <v>112580</v>
      </c>
      <c r="BS11" s="128">
        <f t="shared" si="0"/>
        <v>1776.554269671336</v>
      </c>
      <c r="BT11" t="s">
        <v>467</v>
      </c>
      <c r="BU11" s="129">
        <f t="shared" si="14"/>
        <v>1821.5444988417039</v>
      </c>
      <c r="BZ11" t="s">
        <v>354</v>
      </c>
      <c r="CA11">
        <v>2099.5629331155287</v>
      </c>
      <c r="CB11" t="s">
        <v>441</v>
      </c>
    </row>
    <row r="12" spans="1:80" ht="14.5" x14ac:dyDescent="0.25">
      <c r="A12" t="s">
        <v>343</v>
      </c>
      <c r="B12">
        <v>723</v>
      </c>
      <c r="C12">
        <v>750</v>
      </c>
      <c r="D12">
        <v>442</v>
      </c>
      <c r="E12">
        <f t="shared" si="1"/>
        <v>4156</v>
      </c>
      <c r="F12">
        <f t="shared" si="2"/>
        <v>1092</v>
      </c>
      <c r="G12">
        <f t="shared" si="3"/>
        <v>1213</v>
      </c>
      <c r="H12">
        <f t="shared" si="4"/>
        <v>141</v>
      </c>
      <c r="I12">
        <f t="shared" si="5"/>
        <v>494</v>
      </c>
      <c r="J12">
        <f t="shared" si="6"/>
        <v>1773</v>
      </c>
      <c r="K12">
        <f t="shared" si="7"/>
        <v>2702</v>
      </c>
      <c r="L12">
        <f t="shared" si="8"/>
        <v>4960</v>
      </c>
      <c r="M12">
        <f t="shared" si="9"/>
        <v>2432</v>
      </c>
      <c r="N12">
        <f t="shared" si="10"/>
        <v>754</v>
      </c>
      <c r="O12">
        <f t="shared" si="11"/>
        <v>21632</v>
      </c>
      <c r="Q12">
        <v>4941</v>
      </c>
      <c r="R12">
        <v>723</v>
      </c>
      <c r="S12">
        <v>62</v>
      </c>
      <c r="T12">
        <v>1136</v>
      </c>
      <c r="U12">
        <v>0</v>
      </c>
      <c r="V12">
        <v>44</v>
      </c>
      <c r="W12">
        <v>1253</v>
      </c>
      <c r="X12">
        <v>0</v>
      </c>
      <c r="Y12">
        <v>40</v>
      </c>
      <c r="Z12" s="271">
        <v>142</v>
      </c>
      <c r="AA12">
        <v>0</v>
      </c>
      <c r="AB12">
        <v>1</v>
      </c>
      <c r="AC12">
        <v>674</v>
      </c>
      <c r="AD12">
        <v>0</v>
      </c>
      <c r="AE12">
        <v>180</v>
      </c>
      <c r="AF12">
        <v>1942</v>
      </c>
      <c r="AG12">
        <v>0</v>
      </c>
      <c r="AH12">
        <v>169</v>
      </c>
      <c r="AI12">
        <v>2702</v>
      </c>
      <c r="AJ12">
        <v>0</v>
      </c>
      <c r="AK12">
        <v>0</v>
      </c>
      <c r="AL12">
        <v>5002</v>
      </c>
      <c r="AM12">
        <v>0</v>
      </c>
      <c r="AN12">
        <v>42</v>
      </c>
      <c r="AO12">
        <v>2638</v>
      </c>
      <c r="AP12">
        <v>0</v>
      </c>
      <c r="AQ12">
        <v>206</v>
      </c>
      <c r="AR12">
        <v>760</v>
      </c>
      <c r="AS12">
        <v>0</v>
      </c>
      <c r="AT12">
        <v>6</v>
      </c>
      <c r="AU12">
        <v>0</v>
      </c>
      <c r="AV12">
        <v>0</v>
      </c>
      <c r="AW12">
        <v>0</v>
      </c>
      <c r="AX12">
        <f t="shared" si="12"/>
        <v>21632</v>
      </c>
      <c r="AZ12" t="s">
        <v>343</v>
      </c>
      <c r="BA12" s="128">
        <v>20440</v>
      </c>
      <c r="BB12" s="128">
        <v>541766</v>
      </c>
      <c r="BC12" s="128">
        <v>0</v>
      </c>
      <c r="BD12" s="128">
        <v>544441</v>
      </c>
      <c r="BE12" s="128">
        <v>242452</v>
      </c>
      <c r="BF12" s="128">
        <v>1316294</v>
      </c>
      <c r="BG12" s="272">
        <v>31986.237837249413</v>
      </c>
      <c r="BH12">
        <v>1398</v>
      </c>
      <c r="BI12">
        <v>1043</v>
      </c>
      <c r="BJ12">
        <v>179</v>
      </c>
      <c r="BK12">
        <v>22</v>
      </c>
      <c r="BL12">
        <v>371</v>
      </c>
      <c r="BM12">
        <v>102</v>
      </c>
      <c r="BN12" s="128">
        <v>271</v>
      </c>
      <c r="BO12" s="128">
        <v>0</v>
      </c>
      <c r="BP12" s="128">
        <v>43</v>
      </c>
      <c r="BQ12" s="128">
        <f t="shared" si="13"/>
        <v>14334060.762162752</v>
      </c>
      <c r="BR12">
        <v>10371</v>
      </c>
      <c r="BS12" s="128">
        <f t="shared" si="0"/>
        <v>1382.1290870854066</v>
      </c>
      <c r="BT12" t="s">
        <v>467</v>
      </c>
      <c r="BU12" s="129">
        <f t="shared" si="14"/>
        <v>1386.2752639246701</v>
      </c>
      <c r="BZ12" t="s">
        <v>402</v>
      </c>
      <c r="CA12">
        <v>2254.7242342437221</v>
      </c>
      <c r="CB12" t="s">
        <v>441</v>
      </c>
    </row>
    <row r="13" spans="1:80" ht="14.5" x14ac:dyDescent="0.25">
      <c r="A13" t="s">
        <v>598</v>
      </c>
      <c r="B13">
        <v>29440</v>
      </c>
      <c r="C13">
        <v>9588</v>
      </c>
      <c r="D13">
        <v>1324</v>
      </c>
      <c r="E13">
        <f t="shared" si="1"/>
        <v>9830</v>
      </c>
      <c r="F13">
        <f t="shared" si="2"/>
        <v>3518</v>
      </c>
      <c r="G13">
        <f t="shared" si="3"/>
        <v>6684</v>
      </c>
      <c r="H13">
        <f t="shared" si="4"/>
        <v>601</v>
      </c>
      <c r="I13">
        <f t="shared" si="5"/>
        <v>3624</v>
      </c>
      <c r="J13">
        <f t="shared" si="6"/>
        <v>7177</v>
      </c>
      <c r="K13">
        <f t="shared" si="7"/>
        <v>14054</v>
      </c>
      <c r="L13">
        <f t="shared" si="8"/>
        <v>25424</v>
      </c>
      <c r="M13">
        <f t="shared" si="9"/>
        <v>9976</v>
      </c>
      <c r="N13">
        <f t="shared" si="10"/>
        <v>465</v>
      </c>
      <c r="O13">
        <f t="shared" si="11"/>
        <v>121705</v>
      </c>
      <c r="Q13">
        <v>24469</v>
      </c>
      <c r="R13">
        <v>14401</v>
      </c>
      <c r="S13">
        <v>238</v>
      </c>
      <c r="T13">
        <v>4335</v>
      </c>
      <c r="U13">
        <v>641</v>
      </c>
      <c r="V13">
        <v>176</v>
      </c>
      <c r="W13">
        <v>9978</v>
      </c>
      <c r="X13">
        <v>1902</v>
      </c>
      <c r="Y13">
        <v>1392</v>
      </c>
      <c r="Z13" s="271">
        <v>1189</v>
      </c>
      <c r="AA13">
        <v>575</v>
      </c>
      <c r="AB13">
        <v>13</v>
      </c>
      <c r="AC13">
        <v>8535</v>
      </c>
      <c r="AD13">
        <v>249</v>
      </c>
      <c r="AE13">
        <v>4662</v>
      </c>
      <c r="AF13">
        <v>11204</v>
      </c>
      <c r="AG13">
        <v>2559</v>
      </c>
      <c r="AH13">
        <v>1468</v>
      </c>
      <c r="AI13">
        <v>15190</v>
      </c>
      <c r="AJ13">
        <v>1136</v>
      </c>
      <c r="AK13">
        <v>0</v>
      </c>
      <c r="AL13">
        <v>29623</v>
      </c>
      <c r="AM13">
        <v>3901</v>
      </c>
      <c r="AN13">
        <v>298</v>
      </c>
      <c r="AO13">
        <v>13330</v>
      </c>
      <c r="AP13">
        <v>2094</v>
      </c>
      <c r="AQ13">
        <v>1260</v>
      </c>
      <c r="AR13">
        <v>1939</v>
      </c>
      <c r="AS13">
        <v>1393</v>
      </c>
      <c r="AT13">
        <v>81</v>
      </c>
      <c r="AU13">
        <v>4503</v>
      </c>
      <c r="AV13">
        <v>589</v>
      </c>
      <c r="AW13">
        <v>0</v>
      </c>
      <c r="AX13">
        <f t="shared" si="12"/>
        <v>125619</v>
      </c>
      <c r="AZ13" t="s">
        <v>598</v>
      </c>
      <c r="BA13" s="128">
        <v>110204</v>
      </c>
      <c r="BB13" s="128">
        <v>1468870</v>
      </c>
      <c r="BC13" s="128">
        <v>0</v>
      </c>
      <c r="BD13" s="128">
        <v>3487234</v>
      </c>
      <c r="BE13" s="128">
        <v>996159</v>
      </c>
      <c r="BF13" s="128">
        <v>8057322.6332761431</v>
      </c>
      <c r="BG13" s="272">
        <v>1273784.1255077189</v>
      </c>
      <c r="BH13">
        <v>5261</v>
      </c>
      <c r="BI13">
        <v>5629</v>
      </c>
      <c r="BJ13">
        <v>910</v>
      </c>
      <c r="BK13">
        <v>879</v>
      </c>
      <c r="BL13">
        <v>1368</v>
      </c>
      <c r="BM13">
        <v>255</v>
      </c>
      <c r="BN13" s="128">
        <v>147</v>
      </c>
      <c r="BO13" s="128">
        <v>0</v>
      </c>
      <c r="BP13" s="128">
        <v>743</v>
      </c>
      <c r="BQ13" s="128">
        <f t="shared" si="13"/>
        <v>79728630.241216138</v>
      </c>
      <c r="BR13">
        <v>56343</v>
      </c>
      <c r="BS13" s="128">
        <f t="shared" si="0"/>
        <v>1415.0583078859156</v>
      </c>
      <c r="BT13" t="s">
        <v>467</v>
      </c>
      <c r="BU13" s="129">
        <f t="shared" si="14"/>
        <v>1428.2453941255549</v>
      </c>
      <c r="BZ13" t="s">
        <v>247</v>
      </c>
      <c r="CA13">
        <v>2098.2152872344054</v>
      </c>
      <c r="CB13" t="s">
        <v>441</v>
      </c>
    </row>
    <row r="14" spans="1:80" ht="14.5" x14ac:dyDescent="0.25">
      <c r="A14" t="s">
        <v>128</v>
      </c>
      <c r="B14">
        <v>8879</v>
      </c>
      <c r="C14">
        <v>1993</v>
      </c>
      <c r="D14">
        <v>476</v>
      </c>
      <c r="E14">
        <f t="shared" si="1"/>
        <v>2092</v>
      </c>
      <c r="F14">
        <f t="shared" si="2"/>
        <v>710</v>
      </c>
      <c r="G14">
        <f t="shared" si="3"/>
        <v>634</v>
      </c>
      <c r="H14">
        <f t="shared" si="4"/>
        <v>1646</v>
      </c>
      <c r="I14">
        <f t="shared" si="5"/>
        <v>865</v>
      </c>
      <c r="J14">
        <f t="shared" si="6"/>
        <v>1261</v>
      </c>
      <c r="K14">
        <f t="shared" si="7"/>
        <v>260</v>
      </c>
      <c r="L14">
        <f t="shared" si="8"/>
        <v>1732</v>
      </c>
      <c r="M14">
        <f t="shared" si="9"/>
        <v>1591</v>
      </c>
      <c r="N14">
        <f t="shared" si="10"/>
        <v>1534</v>
      </c>
      <c r="O14">
        <f t="shared" si="11"/>
        <v>23673</v>
      </c>
      <c r="Q14">
        <v>5318</v>
      </c>
      <c r="R14">
        <v>3041</v>
      </c>
      <c r="S14">
        <v>185</v>
      </c>
      <c r="T14">
        <v>808</v>
      </c>
      <c r="U14">
        <v>82</v>
      </c>
      <c r="V14">
        <v>16</v>
      </c>
      <c r="W14">
        <v>1456</v>
      </c>
      <c r="X14">
        <v>184</v>
      </c>
      <c r="Y14">
        <v>638</v>
      </c>
      <c r="Z14" s="271">
        <v>1860</v>
      </c>
      <c r="AA14">
        <v>202</v>
      </c>
      <c r="AB14">
        <v>12</v>
      </c>
      <c r="AC14">
        <v>3571</v>
      </c>
      <c r="AD14">
        <v>2431</v>
      </c>
      <c r="AE14">
        <v>275</v>
      </c>
      <c r="AF14">
        <v>2302</v>
      </c>
      <c r="AG14">
        <v>705</v>
      </c>
      <c r="AH14">
        <v>336</v>
      </c>
      <c r="AI14">
        <v>582</v>
      </c>
      <c r="AJ14">
        <v>313</v>
      </c>
      <c r="AK14">
        <v>9</v>
      </c>
      <c r="AL14">
        <v>2015</v>
      </c>
      <c r="AM14">
        <v>283</v>
      </c>
      <c r="AN14">
        <v>0</v>
      </c>
      <c r="AO14">
        <v>2800</v>
      </c>
      <c r="AP14">
        <v>782</v>
      </c>
      <c r="AQ14">
        <v>427</v>
      </c>
      <c r="AR14">
        <v>2480</v>
      </c>
      <c r="AS14">
        <v>851</v>
      </c>
      <c r="AT14">
        <v>95</v>
      </c>
      <c r="AU14">
        <v>5</v>
      </c>
      <c r="AV14">
        <v>5</v>
      </c>
      <c r="AW14">
        <v>0</v>
      </c>
      <c r="AX14">
        <f t="shared" si="12"/>
        <v>23673</v>
      </c>
      <c r="AZ14" t="s">
        <v>128</v>
      </c>
      <c r="BA14" s="128">
        <v>21199</v>
      </c>
      <c r="BB14" s="128">
        <v>103443</v>
      </c>
      <c r="BC14" s="128">
        <v>0</v>
      </c>
      <c r="BD14" s="128">
        <v>211021</v>
      </c>
      <c r="BE14" s="128">
        <v>198780</v>
      </c>
      <c r="BF14" s="128">
        <v>174057</v>
      </c>
      <c r="BG14" s="272">
        <v>2696440.8636029297</v>
      </c>
      <c r="BH14">
        <v>802</v>
      </c>
      <c r="BI14">
        <v>1226</v>
      </c>
      <c r="BJ14">
        <v>61</v>
      </c>
      <c r="BK14">
        <v>45</v>
      </c>
      <c r="BL14">
        <v>220</v>
      </c>
      <c r="BM14">
        <v>87</v>
      </c>
      <c r="BN14" s="128">
        <v>4584</v>
      </c>
      <c r="BO14" s="128">
        <v>0</v>
      </c>
      <c r="BP14" s="128">
        <v>71</v>
      </c>
      <c r="BQ14" s="128">
        <f t="shared" si="13"/>
        <v>10719258.136397071</v>
      </c>
      <c r="BR14">
        <v>3747</v>
      </c>
      <c r="BS14" s="128">
        <f t="shared" si="0"/>
        <v>2860.7574423264136</v>
      </c>
      <c r="BT14" t="s">
        <v>467</v>
      </c>
      <c r="BU14" s="129">
        <f t="shared" si="14"/>
        <v>2879.7059344534482</v>
      </c>
      <c r="BZ14" t="s">
        <v>144</v>
      </c>
      <c r="CA14">
        <v>2063.9384947143167</v>
      </c>
      <c r="CB14" t="s">
        <v>441</v>
      </c>
    </row>
    <row r="15" spans="1:80" ht="14.5" x14ac:dyDescent="0.25">
      <c r="A15" t="s">
        <v>214</v>
      </c>
      <c r="B15">
        <v>91186</v>
      </c>
      <c r="C15">
        <v>19698</v>
      </c>
      <c r="D15">
        <v>8441</v>
      </c>
      <c r="E15">
        <f t="shared" si="1"/>
        <v>31773</v>
      </c>
      <c r="F15">
        <f t="shared" si="2"/>
        <v>12274</v>
      </c>
      <c r="G15">
        <f t="shared" si="3"/>
        <v>16887</v>
      </c>
      <c r="H15">
        <f t="shared" si="4"/>
        <v>10419</v>
      </c>
      <c r="I15">
        <f t="shared" si="5"/>
        <v>24584</v>
      </c>
      <c r="J15">
        <f t="shared" si="6"/>
        <v>48978</v>
      </c>
      <c r="K15">
        <f t="shared" si="7"/>
        <v>83903</v>
      </c>
      <c r="L15">
        <f t="shared" si="8"/>
        <v>138839</v>
      </c>
      <c r="M15">
        <f t="shared" si="9"/>
        <v>42222</v>
      </c>
      <c r="N15">
        <f t="shared" si="10"/>
        <v>9088</v>
      </c>
      <c r="O15">
        <f t="shared" si="11"/>
        <v>538292</v>
      </c>
      <c r="Q15">
        <v>81240</v>
      </c>
      <c r="R15">
        <v>45875</v>
      </c>
      <c r="S15">
        <v>3592</v>
      </c>
      <c r="T15">
        <v>14749</v>
      </c>
      <c r="U15">
        <v>2475</v>
      </c>
      <c r="V15">
        <v>0</v>
      </c>
      <c r="W15">
        <v>25194</v>
      </c>
      <c r="X15">
        <v>4528</v>
      </c>
      <c r="Y15">
        <v>3779</v>
      </c>
      <c r="Z15" s="271">
        <v>11440</v>
      </c>
      <c r="AA15">
        <v>1021</v>
      </c>
      <c r="AB15">
        <v>0</v>
      </c>
      <c r="AC15">
        <v>32379</v>
      </c>
      <c r="AD15">
        <v>1866</v>
      </c>
      <c r="AE15">
        <v>5929</v>
      </c>
      <c r="AF15">
        <v>57123</v>
      </c>
      <c r="AG15">
        <v>2995</v>
      </c>
      <c r="AH15">
        <v>5150</v>
      </c>
      <c r="AI15">
        <v>94880</v>
      </c>
      <c r="AJ15">
        <v>10977</v>
      </c>
      <c r="AK15">
        <v>0</v>
      </c>
      <c r="AL15">
        <v>147720</v>
      </c>
      <c r="AM15">
        <v>8722</v>
      </c>
      <c r="AN15">
        <v>159</v>
      </c>
      <c r="AO15">
        <v>49309</v>
      </c>
      <c r="AP15">
        <v>6550</v>
      </c>
      <c r="AQ15">
        <v>537</v>
      </c>
      <c r="AR15">
        <v>15817</v>
      </c>
      <c r="AS15">
        <v>6177</v>
      </c>
      <c r="AT15">
        <v>552</v>
      </c>
      <c r="AU15">
        <v>26396</v>
      </c>
      <c r="AV15">
        <v>0</v>
      </c>
      <c r="AW15">
        <v>0</v>
      </c>
      <c r="AX15">
        <f t="shared" si="12"/>
        <v>564688</v>
      </c>
      <c r="AZ15" t="s">
        <v>214</v>
      </c>
      <c r="BA15" s="128">
        <v>510153</v>
      </c>
      <c r="BB15" s="128">
        <v>5061795</v>
      </c>
      <c r="BC15" s="128">
        <v>30098652</v>
      </c>
      <c r="BD15" s="128">
        <v>17594221</v>
      </c>
      <c r="BE15" s="128">
        <v>14655696</v>
      </c>
      <c r="BF15" s="128">
        <v>48767070.943639807</v>
      </c>
      <c r="BG15" s="272">
        <v>5816235.9837314561</v>
      </c>
      <c r="BH15">
        <v>13684</v>
      </c>
      <c r="BI15">
        <v>21237</v>
      </c>
      <c r="BJ15">
        <v>2429</v>
      </c>
      <c r="BK15">
        <v>4153</v>
      </c>
      <c r="BL15">
        <v>4028</v>
      </c>
      <c r="BM15">
        <v>1408</v>
      </c>
      <c r="BN15" s="128">
        <v>0</v>
      </c>
      <c r="BO15" s="128">
        <v>3198</v>
      </c>
      <c r="BP15" s="128">
        <v>2335</v>
      </c>
      <c r="BQ15" s="128">
        <f t="shared" si="13"/>
        <v>335687329.07262874</v>
      </c>
      <c r="BR15">
        <v>157438</v>
      </c>
      <c r="BS15" s="128">
        <f t="shared" si="0"/>
        <v>2132.1874583812596</v>
      </c>
      <c r="BT15" t="s">
        <v>441</v>
      </c>
      <c r="BU15" s="129">
        <f t="shared" si="14"/>
        <v>2147.0186935341453</v>
      </c>
      <c r="BZ15" t="s">
        <v>175</v>
      </c>
      <c r="CA15">
        <v>1914.1953993487466</v>
      </c>
      <c r="CB15" t="s">
        <v>441</v>
      </c>
    </row>
    <row r="16" spans="1:80" ht="14.5" x14ac:dyDescent="0.25">
      <c r="A16" t="s">
        <v>240</v>
      </c>
      <c r="B16">
        <v>83380</v>
      </c>
      <c r="C16">
        <v>10153</v>
      </c>
      <c r="D16">
        <v>3167</v>
      </c>
      <c r="E16">
        <f t="shared" si="1"/>
        <v>35216</v>
      </c>
      <c r="F16">
        <f t="shared" si="2"/>
        <v>6970</v>
      </c>
      <c r="G16">
        <f t="shared" si="3"/>
        <v>8860</v>
      </c>
      <c r="H16">
        <f t="shared" si="4"/>
        <v>6152</v>
      </c>
      <c r="I16">
        <f t="shared" si="5"/>
        <v>5577</v>
      </c>
      <c r="J16">
        <f t="shared" si="6"/>
        <v>18699</v>
      </c>
      <c r="K16">
        <f t="shared" si="7"/>
        <v>22853</v>
      </c>
      <c r="L16">
        <f t="shared" si="8"/>
        <v>38433</v>
      </c>
      <c r="M16">
        <f t="shared" si="9"/>
        <v>14092</v>
      </c>
      <c r="N16">
        <f t="shared" si="10"/>
        <v>3827</v>
      </c>
      <c r="O16">
        <f t="shared" si="11"/>
        <v>257379</v>
      </c>
      <c r="Q16">
        <v>85844</v>
      </c>
      <c r="R16">
        <v>47811</v>
      </c>
      <c r="S16">
        <v>2817</v>
      </c>
      <c r="T16">
        <v>10642</v>
      </c>
      <c r="U16">
        <v>3672</v>
      </c>
      <c r="V16">
        <v>0</v>
      </c>
      <c r="W16">
        <v>12505</v>
      </c>
      <c r="X16">
        <v>2808</v>
      </c>
      <c r="Y16">
        <v>837</v>
      </c>
      <c r="Z16" s="271">
        <v>7236</v>
      </c>
      <c r="AA16">
        <v>1078</v>
      </c>
      <c r="AB16">
        <v>6</v>
      </c>
      <c r="AC16">
        <v>9192</v>
      </c>
      <c r="AD16">
        <v>1234</v>
      </c>
      <c r="AE16">
        <v>2381</v>
      </c>
      <c r="AF16">
        <v>26628</v>
      </c>
      <c r="AG16">
        <v>6714</v>
      </c>
      <c r="AH16">
        <v>1215</v>
      </c>
      <c r="AI16">
        <v>26272</v>
      </c>
      <c r="AJ16">
        <v>3419</v>
      </c>
      <c r="AK16">
        <v>0</v>
      </c>
      <c r="AL16">
        <v>45562</v>
      </c>
      <c r="AM16">
        <v>7129</v>
      </c>
      <c r="AN16">
        <v>0</v>
      </c>
      <c r="AO16">
        <v>22318</v>
      </c>
      <c r="AP16">
        <v>5329</v>
      </c>
      <c r="AQ16">
        <v>2897</v>
      </c>
      <c r="AR16">
        <v>8013</v>
      </c>
      <c r="AS16">
        <v>4186</v>
      </c>
      <c r="AT16">
        <v>0</v>
      </c>
      <c r="AU16">
        <v>4925</v>
      </c>
      <c r="AV16">
        <v>0</v>
      </c>
      <c r="AW16">
        <v>0</v>
      </c>
      <c r="AX16">
        <f t="shared" si="12"/>
        <v>262304</v>
      </c>
      <c r="AZ16" t="s">
        <v>240</v>
      </c>
      <c r="BA16" s="128">
        <v>244059</v>
      </c>
      <c r="BB16" s="128">
        <v>1147189</v>
      </c>
      <c r="BC16" s="128">
        <v>0</v>
      </c>
      <c r="BD16" s="128">
        <v>2355927</v>
      </c>
      <c r="BE16" s="128">
        <v>1032286</v>
      </c>
      <c r="BF16" s="128">
        <v>23642140.251840465</v>
      </c>
      <c r="BG16" s="272">
        <v>0</v>
      </c>
      <c r="BH16">
        <v>8945</v>
      </c>
      <c r="BI16">
        <v>9978</v>
      </c>
      <c r="BJ16">
        <v>1423</v>
      </c>
      <c r="BK16">
        <v>4086</v>
      </c>
      <c r="BL16">
        <v>1861</v>
      </c>
      <c r="BM16">
        <v>892</v>
      </c>
      <c r="BN16" s="128">
        <v>1762</v>
      </c>
      <c r="BO16" s="128">
        <v>3172</v>
      </c>
      <c r="BP16" s="128">
        <v>1305</v>
      </c>
      <c r="BQ16" s="128">
        <f t="shared" si="13"/>
        <v>182457457.74815953</v>
      </c>
      <c r="BR16">
        <v>90746</v>
      </c>
      <c r="BS16" s="128">
        <f t="shared" si="0"/>
        <v>2010.6391218142896</v>
      </c>
      <c r="BT16" t="s">
        <v>467</v>
      </c>
      <c r="BU16" s="129">
        <f t="shared" si="14"/>
        <v>2025.0199209679713</v>
      </c>
      <c r="BZ16" t="s">
        <v>176</v>
      </c>
      <c r="CA16">
        <v>2157.2177328425255</v>
      </c>
      <c r="CB16" t="s">
        <v>441</v>
      </c>
    </row>
    <row r="17" spans="1:80" ht="14.5" x14ac:dyDescent="0.25">
      <c r="A17" t="s">
        <v>241</v>
      </c>
      <c r="B17">
        <v>1280319</v>
      </c>
      <c r="C17">
        <v>231229</v>
      </c>
      <c r="D17">
        <v>73420</v>
      </c>
      <c r="E17">
        <f t="shared" si="1"/>
        <v>350531</v>
      </c>
      <c r="F17">
        <f t="shared" si="2"/>
        <v>142833</v>
      </c>
      <c r="G17">
        <f t="shared" si="3"/>
        <v>501506</v>
      </c>
      <c r="H17">
        <f t="shared" si="4"/>
        <v>291505</v>
      </c>
      <c r="I17">
        <f t="shared" si="5"/>
        <v>178584</v>
      </c>
      <c r="J17">
        <f t="shared" si="6"/>
        <v>327490</v>
      </c>
      <c r="K17">
        <f t="shared" si="7"/>
        <v>909061</v>
      </c>
      <c r="L17">
        <f t="shared" si="8"/>
        <v>920493</v>
      </c>
      <c r="M17">
        <f t="shared" si="9"/>
        <v>224560</v>
      </c>
      <c r="N17">
        <f t="shared" si="10"/>
        <v>87675</v>
      </c>
      <c r="O17">
        <f t="shared" si="11"/>
        <v>5519206</v>
      </c>
      <c r="Q17">
        <v>833760</v>
      </c>
      <c r="R17">
        <v>444036</v>
      </c>
      <c r="S17">
        <v>39193</v>
      </c>
      <c r="T17">
        <v>224946</v>
      </c>
      <c r="U17">
        <v>81643</v>
      </c>
      <c r="V17">
        <v>470</v>
      </c>
      <c r="W17">
        <v>735527</v>
      </c>
      <c r="X17">
        <v>175284</v>
      </c>
      <c r="Y17">
        <v>58737</v>
      </c>
      <c r="Z17" s="271">
        <v>331023</v>
      </c>
      <c r="AA17">
        <v>15296</v>
      </c>
      <c r="AB17">
        <v>24222</v>
      </c>
      <c r="AC17">
        <v>258173</v>
      </c>
      <c r="AD17">
        <v>29093</v>
      </c>
      <c r="AE17">
        <v>50496</v>
      </c>
      <c r="AF17">
        <v>390291</v>
      </c>
      <c r="AG17">
        <v>42814</v>
      </c>
      <c r="AH17">
        <v>19987</v>
      </c>
      <c r="AI17">
        <v>1041307</v>
      </c>
      <c r="AJ17">
        <v>128764</v>
      </c>
      <c r="AK17">
        <v>3482</v>
      </c>
      <c r="AL17">
        <v>1002742</v>
      </c>
      <c r="AM17">
        <v>79460</v>
      </c>
      <c r="AN17">
        <v>2789</v>
      </c>
      <c r="AO17">
        <v>348582</v>
      </c>
      <c r="AP17">
        <v>94278</v>
      </c>
      <c r="AQ17">
        <v>29744</v>
      </c>
      <c r="AR17">
        <v>185099</v>
      </c>
      <c r="AS17">
        <v>96010</v>
      </c>
      <c r="AT17">
        <v>1414</v>
      </c>
      <c r="AU17">
        <v>504341</v>
      </c>
      <c r="AV17">
        <v>93641</v>
      </c>
      <c r="AW17">
        <v>695</v>
      </c>
      <c r="AX17">
        <f t="shared" si="12"/>
        <v>5929211</v>
      </c>
      <c r="AZ17" t="s">
        <v>241</v>
      </c>
      <c r="BA17" s="128">
        <v>5120221</v>
      </c>
      <c r="BB17" s="128">
        <v>35520825</v>
      </c>
      <c r="BC17" s="128">
        <v>114586735</v>
      </c>
      <c r="BD17" s="128">
        <v>75876787</v>
      </c>
      <c r="BE17" s="128">
        <v>143641641</v>
      </c>
      <c r="BF17" s="128">
        <v>634269747.01671946</v>
      </c>
      <c r="BG17" s="272">
        <v>50265223.161428809</v>
      </c>
      <c r="BH17">
        <v>80508</v>
      </c>
      <c r="BI17">
        <v>174564</v>
      </c>
      <c r="BJ17">
        <v>13742</v>
      </c>
      <c r="BK17">
        <v>6274</v>
      </c>
      <c r="BL17">
        <v>53420</v>
      </c>
      <c r="BM17">
        <v>67600</v>
      </c>
      <c r="BN17" s="128">
        <v>120000</v>
      </c>
      <c r="BO17" s="128">
        <v>259403</v>
      </c>
      <c r="BP17" s="128">
        <v>231331</v>
      </c>
      <c r="BQ17" s="128">
        <f t="shared" si="13"/>
        <v>3059218041.8218517</v>
      </c>
      <c r="BR17">
        <v>872922</v>
      </c>
      <c r="BS17" s="128">
        <f t="shared" si="0"/>
        <v>3504.5720486158575</v>
      </c>
      <c r="BT17" t="s">
        <v>441</v>
      </c>
      <c r="BU17" s="129">
        <f t="shared" si="14"/>
        <v>3769.5796896192919</v>
      </c>
      <c r="BZ17" t="s">
        <v>291</v>
      </c>
      <c r="CA17">
        <v>2231.2835460071537</v>
      </c>
      <c r="CB17" t="s">
        <v>441</v>
      </c>
    </row>
    <row r="18" spans="1:80" ht="14.5" x14ac:dyDescent="0.25">
      <c r="A18" t="s">
        <v>166</v>
      </c>
      <c r="B18">
        <v>103235</v>
      </c>
      <c r="C18">
        <v>24120</v>
      </c>
      <c r="D18">
        <v>7522</v>
      </c>
      <c r="E18">
        <f t="shared" si="1"/>
        <v>22502</v>
      </c>
      <c r="F18">
        <f t="shared" si="2"/>
        <v>13688</v>
      </c>
      <c r="G18">
        <f t="shared" si="3"/>
        <v>10905</v>
      </c>
      <c r="H18">
        <f t="shared" si="4"/>
        <v>7523</v>
      </c>
      <c r="I18">
        <f t="shared" si="5"/>
        <v>16288</v>
      </c>
      <c r="J18">
        <f t="shared" si="6"/>
        <v>36924</v>
      </c>
      <c r="K18">
        <f t="shared" si="7"/>
        <v>92944</v>
      </c>
      <c r="L18">
        <f t="shared" si="8"/>
        <v>168525</v>
      </c>
      <c r="M18">
        <f t="shared" si="9"/>
        <v>50725</v>
      </c>
      <c r="N18">
        <f t="shared" si="10"/>
        <v>4068</v>
      </c>
      <c r="O18">
        <f t="shared" si="11"/>
        <v>558969</v>
      </c>
      <c r="Q18">
        <v>81747</v>
      </c>
      <c r="R18">
        <v>53465</v>
      </c>
      <c r="S18">
        <v>5780</v>
      </c>
      <c r="T18">
        <v>16905</v>
      </c>
      <c r="U18">
        <v>2993</v>
      </c>
      <c r="V18">
        <v>224</v>
      </c>
      <c r="W18">
        <v>19170</v>
      </c>
      <c r="X18">
        <v>5703</v>
      </c>
      <c r="Y18">
        <v>2562</v>
      </c>
      <c r="Z18" s="271">
        <v>9486</v>
      </c>
      <c r="AA18">
        <v>1824</v>
      </c>
      <c r="AB18">
        <v>139</v>
      </c>
      <c r="AC18">
        <v>24575</v>
      </c>
      <c r="AD18">
        <v>1683</v>
      </c>
      <c r="AE18">
        <v>6604</v>
      </c>
      <c r="AF18">
        <v>49011</v>
      </c>
      <c r="AG18">
        <v>6849</v>
      </c>
      <c r="AH18">
        <v>5238</v>
      </c>
      <c r="AI18">
        <v>102331</v>
      </c>
      <c r="AJ18">
        <v>9387</v>
      </c>
      <c r="AK18">
        <v>0</v>
      </c>
      <c r="AL18">
        <v>181312</v>
      </c>
      <c r="AM18">
        <v>11822</v>
      </c>
      <c r="AN18">
        <v>965</v>
      </c>
      <c r="AO18">
        <v>55835</v>
      </c>
      <c r="AP18">
        <v>2714</v>
      </c>
      <c r="AQ18">
        <v>2396</v>
      </c>
      <c r="AR18">
        <v>11026</v>
      </c>
      <c r="AS18">
        <v>6746</v>
      </c>
      <c r="AT18">
        <v>212</v>
      </c>
      <c r="AU18">
        <v>10816</v>
      </c>
      <c r="AV18">
        <v>49</v>
      </c>
      <c r="AW18">
        <v>0</v>
      </c>
      <c r="AX18">
        <f t="shared" si="12"/>
        <v>569736</v>
      </c>
      <c r="AZ18" t="s">
        <v>166</v>
      </c>
      <c r="BA18" s="128">
        <v>527278</v>
      </c>
      <c r="BB18" s="128">
        <v>10671548</v>
      </c>
      <c r="BC18" s="128">
        <v>40818586</v>
      </c>
      <c r="BD18" s="128">
        <v>20728795</v>
      </c>
      <c r="BE18" s="128">
        <v>13017370</v>
      </c>
      <c r="BF18" s="128">
        <v>52506579.022924304</v>
      </c>
      <c r="BG18" s="272">
        <v>4496061.7114514709</v>
      </c>
      <c r="BH18">
        <v>12424</v>
      </c>
      <c r="BI18">
        <v>21260</v>
      </c>
      <c r="BJ18">
        <v>2273</v>
      </c>
      <c r="BK18">
        <v>1617</v>
      </c>
      <c r="BL18">
        <v>4728</v>
      </c>
      <c r="BM18">
        <v>1174</v>
      </c>
      <c r="BN18" s="128">
        <v>2183</v>
      </c>
      <c r="BO18" s="128">
        <v>308</v>
      </c>
      <c r="BP18" s="128">
        <v>8865</v>
      </c>
      <c r="BQ18" s="128">
        <f t="shared" si="13"/>
        <v>330207060.26562423</v>
      </c>
      <c r="BR18">
        <v>164770</v>
      </c>
      <c r="BS18" s="128">
        <f t="shared" si="0"/>
        <v>2004.0484327585375</v>
      </c>
      <c r="BT18" t="s">
        <v>441</v>
      </c>
      <c r="BU18" s="129">
        <f t="shared" si="14"/>
        <v>2057.8507025892104</v>
      </c>
      <c r="BZ18" t="s">
        <v>179</v>
      </c>
      <c r="CA18">
        <v>1656.3073185060832</v>
      </c>
      <c r="CB18" t="s">
        <v>441</v>
      </c>
    </row>
    <row r="19" spans="1:80" ht="14.5" x14ac:dyDescent="0.25">
      <c r="A19" t="s">
        <v>167</v>
      </c>
      <c r="B19">
        <v>81392</v>
      </c>
      <c r="C19">
        <v>32077</v>
      </c>
      <c r="D19">
        <v>13882</v>
      </c>
      <c r="E19">
        <f t="shared" si="1"/>
        <v>28859</v>
      </c>
      <c r="F19">
        <f t="shared" si="2"/>
        <v>14227</v>
      </c>
      <c r="G19">
        <f t="shared" si="3"/>
        <v>23660</v>
      </c>
      <c r="H19">
        <f t="shared" si="4"/>
        <v>6219</v>
      </c>
      <c r="I19">
        <f t="shared" si="5"/>
        <v>23483</v>
      </c>
      <c r="J19">
        <f t="shared" si="6"/>
        <v>57796</v>
      </c>
      <c r="K19">
        <f t="shared" si="7"/>
        <v>183411</v>
      </c>
      <c r="L19">
        <f t="shared" si="8"/>
        <v>200614</v>
      </c>
      <c r="M19">
        <f t="shared" si="9"/>
        <v>33365</v>
      </c>
      <c r="N19">
        <f t="shared" si="10"/>
        <v>6858</v>
      </c>
      <c r="O19">
        <f t="shared" si="11"/>
        <v>705843</v>
      </c>
      <c r="Q19">
        <v>84829</v>
      </c>
      <c r="R19">
        <v>50651</v>
      </c>
      <c r="S19">
        <v>5319</v>
      </c>
      <c r="T19">
        <v>17896</v>
      </c>
      <c r="U19">
        <v>3251</v>
      </c>
      <c r="V19">
        <v>418</v>
      </c>
      <c r="W19">
        <v>32877</v>
      </c>
      <c r="X19">
        <v>3210</v>
      </c>
      <c r="Y19">
        <v>6007</v>
      </c>
      <c r="Z19" s="271">
        <v>6434</v>
      </c>
      <c r="AA19">
        <v>12</v>
      </c>
      <c r="AB19">
        <v>203</v>
      </c>
      <c r="AC19">
        <v>32786</v>
      </c>
      <c r="AD19">
        <v>789</v>
      </c>
      <c r="AE19">
        <v>8514</v>
      </c>
      <c r="AF19">
        <v>64216</v>
      </c>
      <c r="AG19">
        <v>2192</v>
      </c>
      <c r="AH19">
        <v>4228</v>
      </c>
      <c r="AI19">
        <v>197466</v>
      </c>
      <c r="AJ19">
        <v>14024</v>
      </c>
      <c r="AK19">
        <v>31</v>
      </c>
      <c r="AL19">
        <v>205214</v>
      </c>
      <c r="AM19">
        <v>4519</v>
      </c>
      <c r="AN19">
        <v>81</v>
      </c>
      <c r="AO19">
        <v>43295</v>
      </c>
      <c r="AP19">
        <v>2660</v>
      </c>
      <c r="AQ19">
        <v>7270</v>
      </c>
      <c r="AR19">
        <v>6858</v>
      </c>
      <c r="AS19">
        <v>0</v>
      </c>
      <c r="AT19">
        <v>0</v>
      </c>
      <c r="AU19">
        <v>26418</v>
      </c>
      <c r="AV19">
        <v>84</v>
      </c>
      <c r="AW19">
        <v>6</v>
      </c>
      <c r="AX19">
        <f t="shared" si="12"/>
        <v>732171</v>
      </c>
      <c r="AZ19" t="s">
        <v>167</v>
      </c>
      <c r="BA19" s="128">
        <v>659794</v>
      </c>
      <c r="BB19" s="128">
        <v>7303458</v>
      </c>
      <c r="BC19" s="128">
        <v>62161419</v>
      </c>
      <c r="BD19" s="128">
        <v>29245777</v>
      </c>
      <c r="BE19" s="128">
        <v>22228275</v>
      </c>
      <c r="BF19" s="128">
        <v>114062314.93254617</v>
      </c>
      <c r="BG19" s="272">
        <v>0</v>
      </c>
      <c r="BH19">
        <v>17161</v>
      </c>
      <c r="BI19">
        <v>17554</v>
      </c>
      <c r="BJ19">
        <v>2099</v>
      </c>
      <c r="BK19">
        <v>0</v>
      </c>
      <c r="BL19">
        <v>4037</v>
      </c>
      <c r="BM19">
        <v>2318</v>
      </c>
      <c r="BN19" s="128">
        <v>470</v>
      </c>
      <c r="BO19" s="128">
        <v>0</v>
      </c>
      <c r="BP19" s="128">
        <v>1473</v>
      </c>
      <c r="BQ19" s="128">
        <f t="shared" si="13"/>
        <v>379680756.06745386</v>
      </c>
      <c r="BR19">
        <v>162477</v>
      </c>
      <c r="BS19" s="128">
        <f t="shared" si="0"/>
        <v>2336.8277114142547</v>
      </c>
      <c r="BT19" t="s">
        <v>441</v>
      </c>
      <c r="BU19" s="129">
        <f t="shared" si="14"/>
        <v>2345.8936099722046</v>
      </c>
      <c r="BZ19" t="s">
        <v>754</v>
      </c>
      <c r="CA19">
        <v>-1809.0542539457831</v>
      </c>
      <c r="CB19" t="s">
        <v>441</v>
      </c>
    </row>
    <row r="20" spans="1:80" ht="14.5" x14ac:dyDescent="0.25">
      <c r="A20" t="s">
        <v>107</v>
      </c>
      <c r="B20">
        <v>47707</v>
      </c>
      <c r="C20">
        <v>11190</v>
      </c>
      <c r="D20">
        <v>0</v>
      </c>
      <c r="E20">
        <f t="shared" si="1"/>
        <v>7918</v>
      </c>
      <c r="F20">
        <f t="shared" si="2"/>
        <v>4730</v>
      </c>
      <c r="G20">
        <f t="shared" si="3"/>
        <v>7983</v>
      </c>
      <c r="H20">
        <f t="shared" si="4"/>
        <v>4004</v>
      </c>
      <c r="I20">
        <f t="shared" si="5"/>
        <v>7941</v>
      </c>
      <c r="J20">
        <f t="shared" si="6"/>
        <v>20156</v>
      </c>
      <c r="K20">
        <f t="shared" si="7"/>
        <v>65412</v>
      </c>
      <c r="L20">
        <f t="shared" si="8"/>
        <v>97240</v>
      </c>
      <c r="M20">
        <f t="shared" si="9"/>
        <v>11869</v>
      </c>
      <c r="N20">
        <f t="shared" si="10"/>
        <v>3011</v>
      </c>
      <c r="O20">
        <f t="shared" si="11"/>
        <v>289161</v>
      </c>
      <c r="Q20">
        <v>31471</v>
      </c>
      <c r="R20">
        <v>21830</v>
      </c>
      <c r="S20">
        <v>1723</v>
      </c>
      <c r="T20">
        <v>5744</v>
      </c>
      <c r="U20">
        <v>963</v>
      </c>
      <c r="V20">
        <v>51</v>
      </c>
      <c r="W20">
        <v>12902</v>
      </c>
      <c r="X20">
        <v>3110</v>
      </c>
      <c r="Y20">
        <v>1809</v>
      </c>
      <c r="Z20" s="271">
        <v>4694</v>
      </c>
      <c r="AA20">
        <v>656</v>
      </c>
      <c r="AB20">
        <v>34</v>
      </c>
      <c r="AC20">
        <v>14002</v>
      </c>
      <c r="AD20">
        <v>3631</v>
      </c>
      <c r="AE20">
        <v>2430</v>
      </c>
      <c r="AF20">
        <v>28572</v>
      </c>
      <c r="AG20">
        <v>5060</v>
      </c>
      <c r="AH20">
        <v>3356</v>
      </c>
      <c r="AI20">
        <v>65706</v>
      </c>
      <c r="AJ20">
        <v>280</v>
      </c>
      <c r="AK20">
        <v>14</v>
      </c>
      <c r="AL20">
        <v>103785</v>
      </c>
      <c r="AM20">
        <v>5772</v>
      </c>
      <c r="AN20">
        <v>773</v>
      </c>
      <c r="AO20">
        <v>16890</v>
      </c>
      <c r="AP20">
        <v>4234</v>
      </c>
      <c r="AQ20">
        <v>787</v>
      </c>
      <c r="AR20">
        <v>5395</v>
      </c>
      <c r="AS20">
        <v>2171</v>
      </c>
      <c r="AT20">
        <v>213</v>
      </c>
      <c r="AU20">
        <v>2753</v>
      </c>
      <c r="AV20">
        <v>0</v>
      </c>
      <c r="AW20">
        <v>0</v>
      </c>
      <c r="AX20">
        <f t="shared" si="12"/>
        <v>291914</v>
      </c>
      <c r="AZ20" t="s">
        <v>107</v>
      </c>
      <c r="BA20" s="128">
        <v>277971</v>
      </c>
      <c r="BB20" s="128">
        <v>5853482</v>
      </c>
      <c r="BC20" s="128">
        <v>35767066</v>
      </c>
      <c r="BD20" s="128">
        <v>17932248</v>
      </c>
      <c r="BE20" s="128">
        <v>6551565</v>
      </c>
      <c r="BF20" s="128">
        <v>31058660.161149532</v>
      </c>
      <c r="BG20" s="272">
        <v>5892540.3697740734</v>
      </c>
      <c r="BH20">
        <v>4392</v>
      </c>
      <c r="BI20">
        <v>6896</v>
      </c>
      <c r="BJ20">
        <v>717</v>
      </c>
      <c r="BK20">
        <v>561</v>
      </c>
      <c r="BL20">
        <v>1638</v>
      </c>
      <c r="BM20">
        <v>351</v>
      </c>
      <c r="BN20" s="128">
        <v>710</v>
      </c>
      <c r="BO20" s="128">
        <v>1415</v>
      </c>
      <c r="BP20" s="128">
        <v>89</v>
      </c>
      <c r="BQ20" s="128">
        <f t="shared" si="13"/>
        <v>158146438.4690764</v>
      </c>
      <c r="BR20">
        <v>68833</v>
      </c>
      <c r="BS20" s="128">
        <f t="shared" si="0"/>
        <v>2297.5380772169801</v>
      </c>
      <c r="BT20" t="s">
        <v>441</v>
      </c>
      <c r="BU20" s="129">
        <f t="shared" si="14"/>
        <v>2298.8310616866388</v>
      </c>
      <c r="BZ20" t="s">
        <v>361</v>
      </c>
      <c r="CA20">
        <v>1958.7688053579109</v>
      </c>
      <c r="CB20" t="s">
        <v>441</v>
      </c>
    </row>
    <row r="21" spans="1:80" ht="14.5" x14ac:dyDescent="0.25">
      <c r="A21" t="s">
        <v>344</v>
      </c>
      <c r="B21">
        <v>10302</v>
      </c>
      <c r="C21">
        <v>1810</v>
      </c>
      <c r="D21">
        <v>0</v>
      </c>
      <c r="E21">
        <f t="shared" si="1"/>
        <v>3583</v>
      </c>
      <c r="F21">
        <f t="shared" si="2"/>
        <v>1075</v>
      </c>
      <c r="G21">
        <f t="shared" si="3"/>
        <v>1785</v>
      </c>
      <c r="H21">
        <f t="shared" si="4"/>
        <v>313</v>
      </c>
      <c r="I21">
        <f t="shared" si="5"/>
        <v>1299</v>
      </c>
      <c r="J21">
        <f t="shared" si="6"/>
        <v>1791</v>
      </c>
      <c r="K21">
        <f t="shared" si="7"/>
        <v>6040</v>
      </c>
      <c r="L21">
        <f t="shared" si="8"/>
        <v>10243</v>
      </c>
      <c r="M21">
        <f t="shared" si="9"/>
        <v>2575</v>
      </c>
      <c r="N21">
        <f t="shared" si="10"/>
        <v>691</v>
      </c>
      <c r="O21">
        <f t="shared" si="11"/>
        <v>41507</v>
      </c>
      <c r="Q21">
        <v>10187</v>
      </c>
      <c r="R21">
        <v>6079</v>
      </c>
      <c r="S21">
        <v>525</v>
      </c>
      <c r="T21">
        <v>1487</v>
      </c>
      <c r="U21">
        <v>391</v>
      </c>
      <c r="V21">
        <v>21</v>
      </c>
      <c r="W21">
        <v>2519</v>
      </c>
      <c r="X21">
        <v>532</v>
      </c>
      <c r="Y21">
        <v>202</v>
      </c>
      <c r="Z21" s="271">
        <v>427</v>
      </c>
      <c r="AA21">
        <v>114</v>
      </c>
      <c r="AB21">
        <v>0</v>
      </c>
      <c r="AC21">
        <v>1731</v>
      </c>
      <c r="AD21">
        <v>137</v>
      </c>
      <c r="AE21">
        <v>295</v>
      </c>
      <c r="AF21">
        <v>2990</v>
      </c>
      <c r="AG21">
        <v>1025</v>
      </c>
      <c r="AH21">
        <v>174</v>
      </c>
      <c r="AI21">
        <v>6139</v>
      </c>
      <c r="AJ21">
        <v>99</v>
      </c>
      <c r="AK21">
        <v>0</v>
      </c>
      <c r="AL21">
        <v>10689</v>
      </c>
      <c r="AM21">
        <v>264</v>
      </c>
      <c r="AN21">
        <v>182</v>
      </c>
      <c r="AO21">
        <v>3418</v>
      </c>
      <c r="AP21">
        <v>444</v>
      </c>
      <c r="AQ21">
        <v>399</v>
      </c>
      <c r="AR21">
        <v>1720</v>
      </c>
      <c r="AS21">
        <v>1017</v>
      </c>
      <c r="AT21">
        <v>12</v>
      </c>
      <c r="AU21">
        <v>268</v>
      </c>
      <c r="AV21">
        <v>200</v>
      </c>
      <c r="AW21">
        <v>0</v>
      </c>
      <c r="AX21">
        <f t="shared" si="12"/>
        <v>41575</v>
      </c>
      <c r="AZ21" t="s">
        <v>344</v>
      </c>
      <c r="BA21" s="128">
        <v>39497</v>
      </c>
      <c r="BB21" s="128">
        <v>618619</v>
      </c>
      <c r="BC21" s="128">
        <v>0</v>
      </c>
      <c r="BD21" s="128">
        <v>1671954</v>
      </c>
      <c r="BE21" s="128">
        <v>311976.3</v>
      </c>
      <c r="BF21" s="128">
        <v>3158580.6216283883</v>
      </c>
      <c r="BG21" s="272">
        <v>0</v>
      </c>
      <c r="BH21">
        <v>2043</v>
      </c>
      <c r="BI21">
        <v>1215</v>
      </c>
      <c r="BJ21">
        <v>272</v>
      </c>
      <c r="BK21">
        <v>0</v>
      </c>
      <c r="BL21">
        <v>668</v>
      </c>
      <c r="BM21">
        <v>70</v>
      </c>
      <c r="BN21" s="128">
        <v>506</v>
      </c>
      <c r="BO21" s="128">
        <v>0</v>
      </c>
      <c r="BP21" s="128">
        <v>132</v>
      </c>
      <c r="BQ21" s="128">
        <f t="shared" si="13"/>
        <v>28829870.078371614</v>
      </c>
      <c r="BR21">
        <v>16804</v>
      </c>
      <c r="BS21" s="128">
        <f t="shared" si="0"/>
        <v>1715.6552058064517</v>
      </c>
      <c r="BT21" t="s">
        <v>467</v>
      </c>
      <c r="BU21" s="129">
        <f t="shared" si="14"/>
        <v>1723.5104783606055</v>
      </c>
      <c r="BZ21" t="s">
        <v>110</v>
      </c>
      <c r="CA21">
        <v>1952.9044481674619</v>
      </c>
      <c r="CB21" t="s">
        <v>441</v>
      </c>
    </row>
    <row r="22" spans="1:80" ht="14.5" x14ac:dyDescent="0.25">
      <c r="A22" t="s">
        <v>345</v>
      </c>
      <c r="B22">
        <v>654</v>
      </c>
      <c r="C22">
        <v>698</v>
      </c>
      <c r="D22">
        <v>40</v>
      </c>
      <c r="E22">
        <f t="shared" si="1"/>
        <v>3733</v>
      </c>
      <c r="F22">
        <f t="shared" si="2"/>
        <v>893</v>
      </c>
      <c r="G22">
        <f t="shared" si="3"/>
        <v>957</v>
      </c>
      <c r="H22">
        <f t="shared" si="4"/>
        <v>188</v>
      </c>
      <c r="I22">
        <f t="shared" si="5"/>
        <v>384</v>
      </c>
      <c r="J22">
        <f t="shared" si="6"/>
        <v>1555</v>
      </c>
      <c r="K22">
        <f t="shared" si="7"/>
        <v>1718</v>
      </c>
      <c r="L22">
        <f t="shared" si="8"/>
        <v>4028</v>
      </c>
      <c r="M22">
        <f t="shared" si="9"/>
        <v>1889</v>
      </c>
      <c r="N22">
        <f t="shared" si="10"/>
        <v>799</v>
      </c>
      <c r="O22">
        <f t="shared" si="11"/>
        <v>17536</v>
      </c>
      <c r="Q22">
        <v>4549</v>
      </c>
      <c r="R22">
        <v>654</v>
      </c>
      <c r="S22">
        <v>162</v>
      </c>
      <c r="T22">
        <v>893</v>
      </c>
      <c r="U22">
        <v>0</v>
      </c>
      <c r="V22">
        <v>0</v>
      </c>
      <c r="W22">
        <v>1052</v>
      </c>
      <c r="X22">
        <v>0</v>
      </c>
      <c r="Y22">
        <v>95</v>
      </c>
      <c r="Z22" s="271">
        <v>189</v>
      </c>
      <c r="AA22">
        <v>0</v>
      </c>
      <c r="AB22">
        <v>1</v>
      </c>
      <c r="AC22">
        <v>590</v>
      </c>
      <c r="AD22">
        <v>0</v>
      </c>
      <c r="AE22">
        <v>206</v>
      </c>
      <c r="AF22">
        <v>1651</v>
      </c>
      <c r="AG22">
        <v>0</v>
      </c>
      <c r="AH22">
        <v>96</v>
      </c>
      <c r="AI22">
        <v>1718</v>
      </c>
      <c r="AJ22">
        <v>0</v>
      </c>
      <c r="AK22">
        <v>0</v>
      </c>
      <c r="AL22">
        <v>4114</v>
      </c>
      <c r="AM22">
        <v>0</v>
      </c>
      <c r="AN22">
        <v>86</v>
      </c>
      <c r="AO22">
        <v>1941</v>
      </c>
      <c r="AP22">
        <v>0</v>
      </c>
      <c r="AQ22">
        <v>52</v>
      </c>
      <c r="AR22">
        <v>799</v>
      </c>
      <c r="AS22">
        <v>0</v>
      </c>
      <c r="AT22">
        <v>0</v>
      </c>
      <c r="AU22">
        <v>915</v>
      </c>
      <c r="AV22">
        <v>0</v>
      </c>
      <c r="AW22">
        <v>0</v>
      </c>
      <c r="AX22">
        <f t="shared" si="12"/>
        <v>18451</v>
      </c>
      <c r="AZ22" t="s">
        <v>345</v>
      </c>
      <c r="BA22" s="128">
        <v>16798</v>
      </c>
      <c r="BB22" s="128">
        <v>75934</v>
      </c>
      <c r="BC22" s="128">
        <v>0</v>
      </c>
      <c r="BD22" s="128">
        <v>31137</v>
      </c>
      <c r="BE22" s="128">
        <v>245482</v>
      </c>
      <c r="BF22" s="128">
        <v>1163535</v>
      </c>
      <c r="BG22" s="272">
        <v>0</v>
      </c>
      <c r="BH22">
        <v>609</v>
      </c>
      <c r="BI22">
        <v>796</v>
      </c>
      <c r="BJ22">
        <v>96</v>
      </c>
      <c r="BK22">
        <v>0</v>
      </c>
      <c r="BL22">
        <v>300</v>
      </c>
      <c r="BM22">
        <v>138</v>
      </c>
      <c r="BN22" s="128">
        <v>381</v>
      </c>
      <c r="BO22" s="128">
        <v>0</v>
      </c>
      <c r="BP22" s="128">
        <v>9</v>
      </c>
      <c r="BQ22" s="128">
        <f t="shared" si="13"/>
        <v>12952912</v>
      </c>
      <c r="BR22">
        <v>6906</v>
      </c>
      <c r="BS22" s="128">
        <f t="shared" si="0"/>
        <v>1875.6026643498408</v>
      </c>
      <c r="BT22" t="s">
        <v>467</v>
      </c>
      <c r="BU22" s="129">
        <f t="shared" si="14"/>
        <v>1876.9058789458443</v>
      </c>
      <c r="BZ22" t="s">
        <v>146</v>
      </c>
      <c r="CA22">
        <v>2534.3887305325502</v>
      </c>
      <c r="CB22" t="s">
        <v>441</v>
      </c>
    </row>
    <row r="23" spans="1:80" ht="14.5" x14ac:dyDescent="0.25">
      <c r="A23" t="s">
        <v>215</v>
      </c>
      <c r="B23">
        <v>12045</v>
      </c>
      <c r="C23">
        <v>1907</v>
      </c>
      <c r="D23">
        <v>150</v>
      </c>
      <c r="E23">
        <f t="shared" si="1"/>
        <v>4819</v>
      </c>
      <c r="F23">
        <f t="shared" si="2"/>
        <v>1747</v>
      </c>
      <c r="G23">
        <f t="shared" si="3"/>
        <v>2111</v>
      </c>
      <c r="H23">
        <f t="shared" si="4"/>
        <v>132</v>
      </c>
      <c r="I23">
        <f t="shared" si="5"/>
        <v>1573</v>
      </c>
      <c r="J23">
        <f t="shared" si="6"/>
        <v>3593</v>
      </c>
      <c r="K23">
        <f t="shared" si="7"/>
        <v>11749</v>
      </c>
      <c r="L23">
        <f t="shared" si="8"/>
        <v>11752</v>
      </c>
      <c r="M23">
        <f t="shared" si="9"/>
        <v>7208</v>
      </c>
      <c r="N23">
        <f t="shared" si="10"/>
        <v>1929</v>
      </c>
      <c r="O23">
        <f t="shared" si="11"/>
        <v>60715</v>
      </c>
      <c r="Q23">
        <v>12329</v>
      </c>
      <c r="R23">
        <v>7176</v>
      </c>
      <c r="S23">
        <v>334</v>
      </c>
      <c r="T23">
        <v>2306</v>
      </c>
      <c r="U23">
        <v>549</v>
      </c>
      <c r="V23">
        <v>10</v>
      </c>
      <c r="W23">
        <v>2709</v>
      </c>
      <c r="X23">
        <v>523</v>
      </c>
      <c r="Y23">
        <v>75</v>
      </c>
      <c r="Z23" s="271">
        <v>132</v>
      </c>
      <c r="AA23">
        <v>0</v>
      </c>
      <c r="AB23">
        <v>0</v>
      </c>
      <c r="AC23">
        <v>2409</v>
      </c>
      <c r="AD23">
        <v>131</v>
      </c>
      <c r="AE23">
        <v>705</v>
      </c>
      <c r="AF23">
        <v>4595</v>
      </c>
      <c r="AG23">
        <v>671</v>
      </c>
      <c r="AH23">
        <v>331</v>
      </c>
      <c r="AI23">
        <v>11832</v>
      </c>
      <c r="AJ23">
        <v>83</v>
      </c>
      <c r="AK23">
        <v>0</v>
      </c>
      <c r="AL23">
        <v>12187</v>
      </c>
      <c r="AM23">
        <v>424</v>
      </c>
      <c r="AN23">
        <v>11</v>
      </c>
      <c r="AO23">
        <v>7912</v>
      </c>
      <c r="AP23">
        <v>340</v>
      </c>
      <c r="AQ23">
        <v>364</v>
      </c>
      <c r="AR23">
        <v>4154</v>
      </c>
      <c r="AS23">
        <v>2148</v>
      </c>
      <c r="AT23">
        <v>77</v>
      </c>
      <c r="AU23">
        <v>0</v>
      </c>
      <c r="AV23">
        <v>0</v>
      </c>
      <c r="AW23">
        <v>0</v>
      </c>
      <c r="AX23">
        <f t="shared" si="12"/>
        <v>60715</v>
      </c>
      <c r="AZ23" t="s">
        <v>215</v>
      </c>
      <c r="BA23" s="128">
        <v>58658</v>
      </c>
      <c r="BB23" s="128">
        <v>798898</v>
      </c>
      <c r="BC23" s="128">
        <v>0</v>
      </c>
      <c r="BD23" s="128">
        <v>956896</v>
      </c>
      <c r="BE23" s="128">
        <v>341323</v>
      </c>
      <c r="BF23" s="128">
        <v>5675446.5903152451</v>
      </c>
      <c r="BG23" s="272">
        <v>237219.41311004013</v>
      </c>
      <c r="BH23">
        <v>2823</v>
      </c>
      <c r="BI23">
        <v>3846</v>
      </c>
      <c r="BJ23">
        <v>311</v>
      </c>
      <c r="BK23">
        <v>465</v>
      </c>
      <c r="BL23">
        <v>349</v>
      </c>
      <c r="BM23">
        <v>114</v>
      </c>
      <c r="BN23" s="128">
        <v>150</v>
      </c>
      <c r="BO23" s="128">
        <v>0</v>
      </c>
      <c r="BP23" s="128">
        <v>64</v>
      </c>
      <c r="BQ23" s="128">
        <f t="shared" si="13"/>
        <v>42526216.996574715</v>
      </c>
      <c r="BR23">
        <v>24784</v>
      </c>
      <c r="BS23" s="128">
        <f t="shared" si="0"/>
        <v>1715.8738297520463</v>
      </c>
      <c r="BT23" t="s">
        <v>118</v>
      </c>
      <c r="BU23" s="129">
        <f t="shared" si="14"/>
        <v>1718.4561409205421</v>
      </c>
      <c r="BZ23" t="s">
        <v>331</v>
      </c>
      <c r="CA23">
        <v>1917.7085908001741</v>
      </c>
      <c r="CB23" t="s">
        <v>441</v>
      </c>
    </row>
    <row r="24" spans="1:80" ht="14.5" x14ac:dyDescent="0.25">
      <c r="A24" t="s">
        <v>286</v>
      </c>
      <c r="B24">
        <v>1830</v>
      </c>
      <c r="C24">
        <v>7771</v>
      </c>
      <c r="D24">
        <v>2220</v>
      </c>
      <c r="E24">
        <f t="shared" si="1"/>
        <v>19737</v>
      </c>
      <c r="F24">
        <f t="shared" si="2"/>
        <v>3837</v>
      </c>
      <c r="G24">
        <f t="shared" si="3"/>
        <v>5408</v>
      </c>
      <c r="H24">
        <f t="shared" si="4"/>
        <v>402</v>
      </c>
      <c r="I24">
        <f t="shared" si="5"/>
        <v>2971</v>
      </c>
      <c r="J24">
        <f t="shared" si="6"/>
        <v>10310</v>
      </c>
      <c r="K24">
        <f t="shared" si="7"/>
        <v>11556</v>
      </c>
      <c r="L24">
        <f t="shared" si="8"/>
        <v>24325</v>
      </c>
      <c r="M24">
        <f t="shared" si="9"/>
        <v>13318</v>
      </c>
      <c r="N24">
        <f t="shared" si="10"/>
        <v>2306</v>
      </c>
      <c r="O24">
        <f t="shared" si="11"/>
        <v>105991</v>
      </c>
      <c r="Q24">
        <v>22458</v>
      </c>
      <c r="R24">
        <v>1830</v>
      </c>
      <c r="S24">
        <v>891</v>
      </c>
      <c r="T24">
        <v>3849</v>
      </c>
      <c r="U24">
        <v>0</v>
      </c>
      <c r="V24">
        <v>12</v>
      </c>
      <c r="W24">
        <v>6652</v>
      </c>
      <c r="X24">
        <v>0</v>
      </c>
      <c r="Y24">
        <v>1244</v>
      </c>
      <c r="Z24" s="271">
        <v>402</v>
      </c>
      <c r="AA24">
        <v>0</v>
      </c>
      <c r="AB24">
        <v>0</v>
      </c>
      <c r="AC24">
        <v>5559</v>
      </c>
      <c r="AD24">
        <v>0</v>
      </c>
      <c r="AE24">
        <v>2588</v>
      </c>
      <c r="AF24">
        <v>12350</v>
      </c>
      <c r="AG24">
        <v>0</v>
      </c>
      <c r="AH24">
        <v>2040</v>
      </c>
      <c r="AI24">
        <v>11556</v>
      </c>
      <c r="AJ24">
        <v>0</v>
      </c>
      <c r="AK24">
        <v>0</v>
      </c>
      <c r="AL24">
        <v>24413</v>
      </c>
      <c r="AM24">
        <v>0</v>
      </c>
      <c r="AN24">
        <v>88</v>
      </c>
      <c r="AO24">
        <v>14164</v>
      </c>
      <c r="AP24">
        <v>0</v>
      </c>
      <c r="AQ24">
        <v>846</v>
      </c>
      <c r="AR24">
        <v>2368</v>
      </c>
      <c r="AS24">
        <v>0</v>
      </c>
      <c r="AT24">
        <v>62</v>
      </c>
      <c r="AU24">
        <v>13629</v>
      </c>
      <c r="AV24">
        <v>0</v>
      </c>
      <c r="AW24">
        <v>0</v>
      </c>
      <c r="AX24">
        <f t="shared" si="12"/>
        <v>119620</v>
      </c>
      <c r="AZ24" t="s">
        <v>286</v>
      </c>
      <c r="BA24" s="128">
        <v>96000</v>
      </c>
      <c r="BB24" s="128">
        <v>1338605</v>
      </c>
      <c r="BC24" s="128">
        <v>0</v>
      </c>
      <c r="BD24" s="128">
        <v>203234</v>
      </c>
      <c r="BE24" s="128">
        <v>679822.22333333339</v>
      </c>
      <c r="BF24" s="128">
        <v>8172464.6658762973</v>
      </c>
      <c r="BG24" s="272">
        <v>0</v>
      </c>
      <c r="BH24">
        <v>3121</v>
      </c>
      <c r="BI24">
        <v>6008</v>
      </c>
      <c r="BJ24">
        <v>593</v>
      </c>
      <c r="BK24">
        <v>530</v>
      </c>
      <c r="BL24">
        <v>610</v>
      </c>
      <c r="BM24">
        <v>183</v>
      </c>
      <c r="BN24" s="128">
        <v>25</v>
      </c>
      <c r="BO24" s="128">
        <v>0</v>
      </c>
      <c r="BP24" s="128">
        <v>1025</v>
      </c>
      <c r="BQ24" s="128">
        <f t="shared" si="13"/>
        <v>73510874.110790372</v>
      </c>
      <c r="BR24">
        <v>48637</v>
      </c>
      <c r="BS24" s="128">
        <f t="shared" si="0"/>
        <v>1511.4187575465257</v>
      </c>
      <c r="BT24" t="s">
        <v>467</v>
      </c>
      <c r="BU24" s="129">
        <f t="shared" si="14"/>
        <v>1532.4932481606672</v>
      </c>
      <c r="BZ24" t="s">
        <v>293</v>
      </c>
      <c r="CA24">
        <v>2289.6380362501441</v>
      </c>
      <c r="CB24" t="s">
        <v>441</v>
      </c>
    </row>
    <row r="25" spans="1:80" ht="14.5" x14ac:dyDescent="0.25">
      <c r="A25" t="s">
        <v>168</v>
      </c>
      <c r="B25">
        <v>37881</v>
      </c>
      <c r="C25">
        <v>11302</v>
      </c>
      <c r="D25">
        <v>5009</v>
      </c>
      <c r="E25">
        <f t="shared" si="1"/>
        <v>5072</v>
      </c>
      <c r="F25">
        <f t="shared" si="2"/>
        <v>4672</v>
      </c>
      <c r="G25">
        <f t="shared" si="3"/>
        <v>7535</v>
      </c>
      <c r="H25">
        <f t="shared" si="4"/>
        <v>697</v>
      </c>
      <c r="I25">
        <f t="shared" si="5"/>
        <v>4383</v>
      </c>
      <c r="J25">
        <f t="shared" si="6"/>
        <v>11652</v>
      </c>
      <c r="K25">
        <f t="shared" si="7"/>
        <v>11282</v>
      </c>
      <c r="L25">
        <f t="shared" si="8"/>
        <v>34070</v>
      </c>
      <c r="M25">
        <f t="shared" si="9"/>
        <v>7991</v>
      </c>
      <c r="N25">
        <f t="shared" si="10"/>
        <v>5930</v>
      </c>
      <c r="O25">
        <f t="shared" si="11"/>
        <v>147476</v>
      </c>
      <c r="Q25">
        <v>24472</v>
      </c>
      <c r="R25">
        <v>18533</v>
      </c>
      <c r="S25">
        <v>867</v>
      </c>
      <c r="T25">
        <v>6008</v>
      </c>
      <c r="U25">
        <v>979</v>
      </c>
      <c r="V25">
        <v>357</v>
      </c>
      <c r="W25">
        <v>11184</v>
      </c>
      <c r="X25">
        <v>1851</v>
      </c>
      <c r="Y25">
        <v>1798</v>
      </c>
      <c r="Z25" s="271">
        <v>1151</v>
      </c>
      <c r="AA25">
        <v>445</v>
      </c>
      <c r="AB25">
        <v>9</v>
      </c>
      <c r="AC25">
        <v>8334</v>
      </c>
      <c r="AD25">
        <v>536</v>
      </c>
      <c r="AE25">
        <v>3415</v>
      </c>
      <c r="AF25">
        <v>16847</v>
      </c>
      <c r="AG25">
        <v>2922</v>
      </c>
      <c r="AH25">
        <v>2273</v>
      </c>
      <c r="AI25">
        <v>16184</v>
      </c>
      <c r="AJ25">
        <v>4902</v>
      </c>
      <c r="AK25">
        <v>0</v>
      </c>
      <c r="AL25">
        <v>37700</v>
      </c>
      <c r="AM25">
        <v>3263</v>
      </c>
      <c r="AN25">
        <v>367</v>
      </c>
      <c r="AO25">
        <v>12766</v>
      </c>
      <c r="AP25">
        <v>2564</v>
      </c>
      <c r="AQ25">
        <v>2211</v>
      </c>
      <c r="AR25">
        <v>7821</v>
      </c>
      <c r="AS25">
        <v>1886</v>
      </c>
      <c r="AT25">
        <v>5</v>
      </c>
      <c r="AU25">
        <v>0</v>
      </c>
      <c r="AV25">
        <v>0</v>
      </c>
      <c r="AW25">
        <v>0</v>
      </c>
      <c r="AX25">
        <f t="shared" si="12"/>
        <v>147476</v>
      </c>
      <c r="AZ25" t="s">
        <v>168</v>
      </c>
      <c r="BA25" s="128">
        <v>131165</v>
      </c>
      <c r="BB25" s="128">
        <v>8246839</v>
      </c>
      <c r="BC25" s="128">
        <v>0</v>
      </c>
      <c r="BD25" s="128">
        <v>2612675</v>
      </c>
      <c r="BE25" s="128">
        <v>789262.69666666677</v>
      </c>
      <c r="BF25" s="128">
        <v>7469702.4229941191</v>
      </c>
      <c r="BG25" s="272">
        <v>1234996.6245633392</v>
      </c>
      <c r="BH25">
        <v>4819</v>
      </c>
      <c r="BI25">
        <v>6429</v>
      </c>
      <c r="BJ25">
        <v>1073</v>
      </c>
      <c r="BK25">
        <v>923</v>
      </c>
      <c r="BL25">
        <v>2319</v>
      </c>
      <c r="BM25">
        <v>1206</v>
      </c>
      <c r="BN25" s="128">
        <v>1535</v>
      </c>
      <c r="BO25" s="128">
        <v>48</v>
      </c>
      <c r="BP25" s="128">
        <v>3485</v>
      </c>
      <c r="BQ25" s="128">
        <f t="shared" si="13"/>
        <v>88974524.255775869</v>
      </c>
      <c r="BR25">
        <v>59993</v>
      </c>
      <c r="BS25" s="128">
        <f t="shared" si="0"/>
        <v>1483.0817638020415</v>
      </c>
      <c r="BT25" t="s">
        <v>467</v>
      </c>
      <c r="BU25" s="129">
        <f t="shared" si="14"/>
        <v>1541.1718743149345</v>
      </c>
      <c r="BZ25" t="s">
        <v>294</v>
      </c>
      <c r="CA25">
        <v>2080.8741210241615</v>
      </c>
      <c r="CB25" t="s">
        <v>441</v>
      </c>
    </row>
    <row r="26" spans="1:80" ht="14.5" x14ac:dyDescent="0.25">
      <c r="A26" t="s">
        <v>400</v>
      </c>
      <c r="B26">
        <v>9614</v>
      </c>
      <c r="C26">
        <v>1009</v>
      </c>
      <c r="D26">
        <v>3</v>
      </c>
      <c r="E26">
        <f t="shared" si="1"/>
        <v>2558</v>
      </c>
      <c r="F26">
        <f t="shared" si="2"/>
        <v>1189</v>
      </c>
      <c r="G26">
        <f t="shared" si="3"/>
        <v>1273</v>
      </c>
      <c r="H26">
        <f t="shared" si="4"/>
        <v>261</v>
      </c>
      <c r="I26">
        <f t="shared" si="5"/>
        <v>706</v>
      </c>
      <c r="J26">
        <f t="shared" si="6"/>
        <v>3570</v>
      </c>
      <c r="K26">
        <f t="shared" si="7"/>
        <v>6979</v>
      </c>
      <c r="L26">
        <f t="shared" si="8"/>
        <v>8954</v>
      </c>
      <c r="M26">
        <f t="shared" si="9"/>
        <v>4600</v>
      </c>
      <c r="N26">
        <f t="shared" si="10"/>
        <v>623</v>
      </c>
      <c r="O26">
        <f t="shared" si="11"/>
        <v>41339</v>
      </c>
      <c r="Q26">
        <v>7702</v>
      </c>
      <c r="R26">
        <v>5069</v>
      </c>
      <c r="S26">
        <v>75</v>
      </c>
      <c r="T26">
        <v>1317</v>
      </c>
      <c r="U26">
        <v>128</v>
      </c>
      <c r="V26">
        <v>0</v>
      </c>
      <c r="W26">
        <v>1924</v>
      </c>
      <c r="X26">
        <v>447</v>
      </c>
      <c r="Y26">
        <v>204</v>
      </c>
      <c r="Z26" s="271">
        <v>466</v>
      </c>
      <c r="AA26">
        <v>203</v>
      </c>
      <c r="AB26">
        <v>2</v>
      </c>
      <c r="AC26">
        <v>801</v>
      </c>
      <c r="AD26">
        <v>54</v>
      </c>
      <c r="AE26">
        <v>41</v>
      </c>
      <c r="AF26">
        <v>4535</v>
      </c>
      <c r="AG26">
        <v>524</v>
      </c>
      <c r="AH26">
        <v>441</v>
      </c>
      <c r="AI26">
        <v>7142</v>
      </c>
      <c r="AJ26">
        <v>159</v>
      </c>
      <c r="AK26">
        <v>4</v>
      </c>
      <c r="AL26">
        <v>10338</v>
      </c>
      <c r="AM26">
        <v>1362</v>
      </c>
      <c r="AN26">
        <v>22</v>
      </c>
      <c r="AO26">
        <v>5363</v>
      </c>
      <c r="AP26">
        <v>551</v>
      </c>
      <c r="AQ26">
        <v>212</v>
      </c>
      <c r="AR26">
        <v>1586</v>
      </c>
      <c r="AS26">
        <v>956</v>
      </c>
      <c r="AT26">
        <v>7</v>
      </c>
      <c r="AU26">
        <v>191</v>
      </c>
      <c r="AV26">
        <v>161</v>
      </c>
      <c r="AW26">
        <v>1</v>
      </c>
      <c r="AX26">
        <f t="shared" si="12"/>
        <v>41368</v>
      </c>
      <c r="AZ26" t="s">
        <v>400</v>
      </c>
      <c r="BA26" s="128">
        <v>40165</v>
      </c>
      <c r="BB26" s="128">
        <v>559622</v>
      </c>
      <c r="BC26" s="128">
        <v>0</v>
      </c>
      <c r="BD26" s="128">
        <v>1223362</v>
      </c>
      <c r="BE26" s="128">
        <v>333146</v>
      </c>
      <c r="BF26" s="128">
        <v>3659185.2484992323</v>
      </c>
      <c r="BG26" s="272">
        <v>0</v>
      </c>
      <c r="BH26">
        <v>1937</v>
      </c>
      <c r="BI26">
        <v>2034</v>
      </c>
      <c r="BJ26">
        <v>196</v>
      </c>
      <c r="BK26">
        <v>52</v>
      </c>
      <c r="BL26">
        <v>383</v>
      </c>
      <c r="BM26">
        <v>27</v>
      </c>
      <c r="BN26" s="128">
        <v>27</v>
      </c>
      <c r="BO26" s="128">
        <v>0</v>
      </c>
      <c r="BP26" s="128">
        <v>10</v>
      </c>
      <c r="BQ26" s="128">
        <f t="shared" si="13"/>
        <v>29723684.75150077</v>
      </c>
      <c r="BR26">
        <v>15883</v>
      </c>
      <c r="BS26" s="128">
        <f t="shared" si="0"/>
        <v>1871.4150192974105</v>
      </c>
      <c r="BT26" t="s">
        <v>118</v>
      </c>
      <c r="BU26" s="129">
        <f t="shared" si="14"/>
        <v>1872.0446232765075</v>
      </c>
      <c r="BZ26" t="s">
        <v>121</v>
      </c>
      <c r="CA26">
        <v>2419.5305445549106</v>
      </c>
      <c r="CB26" t="s">
        <v>441</v>
      </c>
    </row>
    <row r="27" spans="1:80" ht="14.5" x14ac:dyDescent="0.25">
      <c r="A27" t="s">
        <v>599</v>
      </c>
      <c r="B27">
        <v>17987</v>
      </c>
      <c r="C27">
        <v>6527</v>
      </c>
      <c r="D27">
        <v>500</v>
      </c>
      <c r="E27">
        <f t="shared" si="1"/>
        <v>5954</v>
      </c>
      <c r="F27">
        <f t="shared" si="2"/>
        <v>2488</v>
      </c>
      <c r="G27">
        <f t="shared" si="3"/>
        <v>3062</v>
      </c>
      <c r="H27">
        <f t="shared" si="4"/>
        <v>303</v>
      </c>
      <c r="I27">
        <f t="shared" si="5"/>
        <v>1706</v>
      </c>
      <c r="J27">
        <f t="shared" si="6"/>
        <v>4921</v>
      </c>
      <c r="K27">
        <f t="shared" si="7"/>
        <v>15197</v>
      </c>
      <c r="L27">
        <f t="shared" si="8"/>
        <v>22053</v>
      </c>
      <c r="M27">
        <f t="shared" si="9"/>
        <v>7974</v>
      </c>
      <c r="N27">
        <f t="shared" si="10"/>
        <v>860</v>
      </c>
      <c r="O27">
        <f t="shared" si="11"/>
        <v>89532</v>
      </c>
      <c r="Q27">
        <v>16250</v>
      </c>
      <c r="R27">
        <v>9257</v>
      </c>
      <c r="S27">
        <v>1039</v>
      </c>
      <c r="T27">
        <v>3019</v>
      </c>
      <c r="U27">
        <v>505</v>
      </c>
      <c r="V27">
        <v>26</v>
      </c>
      <c r="W27">
        <v>4651</v>
      </c>
      <c r="X27">
        <v>762</v>
      </c>
      <c r="Y27">
        <v>827</v>
      </c>
      <c r="Z27" s="271">
        <v>923</v>
      </c>
      <c r="AA27">
        <v>344</v>
      </c>
      <c r="AB27">
        <v>276</v>
      </c>
      <c r="AC27">
        <v>2567</v>
      </c>
      <c r="AD27">
        <v>199</v>
      </c>
      <c r="AE27">
        <v>662</v>
      </c>
      <c r="AF27">
        <v>6682</v>
      </c>
      <c r="AG27">
        <v>622</v>
      </c>
      <c r="AH27">
        <v>1139</v>
      </c>
      <c r="AI27">
        <v>15766</v>
      </c>
      <c r="AJ27">
        <v>569</v>
      </c>
      <c r="AK27">
        <v>0</v>
      </c>
      <c r="AL27">
        <v>25255</v>
      </c>
      <c r="AM27">
        <v>2663</v>
      </c>
      <c r="AN27">
        <v>539</v>
      </c>
      <c r="AO27">
        <v>10693</v>
      </c>
      <c r="AP27">
        <v>861</v>
      </c>
      <c r="AQ27">
        <v>1858</v>
      </c>
      <c r="AR27">
        <v>3226</v>
      </c>
      <c r="AS27">
        <v>2205</v>
      </c>
      <c r="AT27">
        <v>161</v>
      </c>
      <c r="AU27">
        <v>0</v>
      </c>
      <c r="AV27">
        <v>0</v>
      </c>
      <c r="AW27">
        <v>0</v>
      </c>
      <c r="AX27">
        <f t="shared" si="12"/>
        <v>89532</v>
      </c>
      <c r="AZ27" t="s">
        <v>599</v>
      </c>
      <c r="BA27" s="128">
        <v>82505</v>
      </c>
      <c r="BB27" s="128">
        <v>727313</v>
      </c>
      <c r="BC27" s="128">
        <v>0</v>
      </c>
      <c r="BD27" s="128">
        <v>4636571</v>
      </c>
      <c r="BE27" s="128">
        <v>521073</v>
      </c>
      <c r="BF27" s="128">
        <v>7645494.9855987551</v>
      </c>
      <c r="BG27" s="272">
        <v>1328618.4976580171</v>
      </c>
      <c r="BH27">
        <v>4837</v>
      </c>
      <c r="BI27">
        <v>4281</v>
      </c>
      <c r="BJ27">
        <v>459</v>
      </c>
      <c r="BK27">
        <v>110</v>
      </c>
      <c r="BL27">
        <v>554</v>
      </c>
      <c r="BM27">
        <v>50</v>
      </c>
      <c r="BN27" s="128">
        <v>128</v>
      </c>
      <c r="BO27" s="128">
        <v>0</v>
      </c>
      <c r="BP27" s="128">
        <v>15</v>
      </c>
      <c r="BQ27" s="128">
        <f t="shared" si="13"/>
        <v>57211929.516743228</v>
      </c>
      <c r="BR27">
        <v>36057</v>
      </c>
      <c r="BS27" s="128">
        <f t="shared" si="0"/>
        <v>1586.7079767241653</v>
      </c>
      <c r="BT27" t="s">
        <v>118</v>
      </c>
      <c r="BU27" s="129">
        <f t="shared" si="14"/>
        <v>1587.1239847115187</v>
      </c>
      <c r="BZ27" t="s">
        <v>252</v>
      </c>
      <c r="CA27">
        <v>1891.017801787043</v>
      </c>
      <c r="CB27" t="s">
        <v>441</v>
      </c>
    </row>
    <row r="28" spans="1:80" ht="14.5" x14ac:dyDescent="0.25">
      <c r="A28" t="s">
        <v>401</v>
      </c>
      <c r="B28">
        <v>10530</v>
      </c>
      <c r="C28">
        <v>1282</v>
      </c>
      <c r="D28">
        <v>17</v>
      </c>
      <c r="E28">
        <f t="shared" si="1"/>
        <v>2756</v>
      </c>
      <c r="F28">
        <f t="shared" si="2"/>
        <v>1020</v>
      </c>
      <c r="G28">
        <f t="shared" si="3"/>
        <v>841</v>
      </c>
      <c r="H28">
        <f t="shared" si="4"/>
        <v>268</v>
      </c>
      <c r="I28">
        <f t="shared" si="5"/>
        <v>836</v>
      </c>
      <c r="J28">
        <f t="shared" si="6"/>
        <v>1858</v>
      </c>
      <c r="K28">
        <f t="shared" si="7"/>
        <v>5221</v>
      </c>
      <c r="L28">
        <f t="shared" si="8"/>
        <v>7694</v>
      </c>
      <c r="M28">
        <f t="shared" si="9"/>
        <v>1774</v>
      </c>
      <c r="N28">
        <f t="shared" si="10"/>
        <v>366</v>
      </c>
      <c r="O28">
        <f t="shared" si="11"/>
        <v>34463</v>
      </c>
      <c r="Q28">
        <v>7655</v>
      </c>
      <c r="R28">
        <v>4590</v>
      </c>
      <c r="S28">
        <v>309</v>
      </c>
      <c r="T28">
        <v>1245</v>
      </c>
      <c r="U28">
        <v>225</v>
      </c>
      <c r="V28">
        <v>0</v>
      </c>
      <c r="W28">
        <v>1446</v>
      </c>
      <c r="X28">
        <v>468</v>
      </c>
      <c r="Y28">
        <v>137</v>
      </c>
      <c r="Z28" s="271">
        <v>508</v>
      </c>
      <c r="AA28">
        <v>240</v>
      </c>
      <c r="AB28">
        <v>0</v>
      </c>
      <c r="AC28">
        <v>1268</v>
      </c>
      <c r="AD28">
        <v>87</v>
      </c>
      <c r="AE28">
        <v>345</v>
      </c>
      <c r="AF28">
        <v>2804</v>
      </c>
      <c r="AG28">
        <v>826</v>
      </c>
      <c r="AH28">
        <v>120</v>
      </c>
      <c r="AI28">
        <v>5847</v>
      </c>
      <c r="AJ28">
        <v>626</v>
      </c>
      <c r="AK28">
        <v>0</v>
      </c>
      <c r="AL28">
        <v>9254</v>
      </c>
      <c r="AM28">
        <v>1559</v>
      </c>
      <c r="AN28">
        <v>1</v>
      </c>
      <c r="AO28">
        <v>3539</v>
      </c>
      <c r="AP28">
        <v>1395</v>
      </c>
      <c r="AQ28">
        <v>370</v>
      </c>
      <c r="AR28">
        <v>880</v>
      </c>
      <c r="AS28">
        <v>514</v>
      </c>
      <c r="AT28">
        <v>0</v>
      </c>
      <c r="AU28">
        <v>-8</v>
      </c>
      <c r="AV28">
        <v>0</v>
      </c>
      <c r="AW28">
        <v>0</v>
      </c>
      <c r="AX28">
        <f t="shared" si="12"/>
        <v>34455</v>
      </c>
      <c r="AZ28" t="s">
        <v>401</v>
      </c>
      <c r="BA28" s="128">
        <v>33164</v>
      </c>
      <c r="BB28" s="128">
        <v>236928</v>
      </c>
      <c r="BC28" s="128">
        <v>0</v>
      </c>
      <c r="BD28" s="128">
        <v>1481608</v>
      </c>
      <c r="BE28" s="128">
        <v>308157</v>
      </c>
      <c r="BF28" s="128">
        <v>2683836</v>
      </c>
      <c r="BG28" s="272">
        <v>356957.06747755036</v>
      </c>
      <c r="BH28">
        <v>703</v>
      </c>
      <c r="BI28">
        <v>994</v>
      </c>
      <c r="BJ28">
        <v>138</v>
      </c>
      <c r="BK28">
        <v>51</v>
      </c>
      <c r="BL28">
        <v>326</v>
      </c>
      <c r="BM28">
        <v>64</v>
      </c>
      <c r="BN28" s="128">
        <v>827</v>
      </c>
      <c r="BO28" s="128">
        <v>0</v>
      </c>
      <c r="BP28" s="128">
        <v>77</v>
      </c>
      <c r="BQ28" s="128">
        <f t="shared" si="13"/>
        <v>24916513.93252245</v>
      </c>
      <c r="BR28">
        <v>13448</v>
      </c>
      <c r="BS28" s="128">
        <f t="shared" si="0"/>
        <v>1852.8044268681178</v>
      </c>
      <c r="BT28" t="s">
        <v>118</v>
      </c>
      <c r="BU28" s="129">
        <f t="shared" si="14"/>
        <v>1858.5301853452149</v>
      </c>
      <c r="BZ28" t="s">
        <v>183</v>
      </c>
      <c r="CA28">
        <v>2403.81980099877</v>
      </c>
      <c r="CB28" t="s">
        <v>441</v>
      </c>
    </row>
    <row r="29" spans="1:80" ht="14.5" x14ac:dyDescent="0.25">
      <c r="A29" t="s">
        <v>527</v>
      </c>
      <c r="B29">
        <v>34507</v>
      </c>
      <c r="C29">
        <v>4238</v>
      </c>
      <c r="D29">
        <v>758</v>
      </c>
      <c r="E29">
        <f t="shared" si="1"/>
        <v>10506</v>
      </c>
      <c r="F29">
        <f t="shared" si="2"/>
        <v>2574</v>
      </c>
      <c r="G29">
        <f t="shared" si="3"/>
        <v>4368</v>
      </c>
      <c r="H29">
        <f t="shared" si="4"/>
        <v>442</v>
      </c>
      <c r="I29">
        <f t="shared" si="5"/>
        <v>3403</v>
      </c>
      <c r="J29">
        <f t="shared" si="6"/>
        <v>4846</v>
      </c>
      <c r="K29">
        <f t="shared" si="7"/>
        <v>21890</v>
      </c>
      <c r="L29">
        <f t="shared" si="8"/>
        <v>23381</v>
      </c>
      <c r="M29">
        <f t="shared" si="9"/>
        <v>8023</v>
      </c>
      <c r="N29">
        <f t="shared" si="10"/>
        <v>1859</v>
      </c>
      <c r="O29">
        <f t="shared" si="11"/>
        <v>120795</v>
      </c>
      <c r="Q29">
        <v>39441</v>
      </c>
      <c r="R29">
        <v>24697</v>
      </c>
      <c r="S29">
        <v>4238</v>
      </c>
      <c r="T29">
        <v>3053</v>
      </c>
      <c r="U29">
        <v>479</v>
      </c>
      <c r="V29">
        <v>0</v>
      </c>
      <c r="W29">
        <v>4943</v>
      </c>
      <c r="X29">
        <v>575</v>
      </c>
      <c r="Y29">
        <v>0</v>
      </c>
      <c r="Z29" s="271">
        <v>614</v>
      </c>
      <c r="AA29">
        <v>172</v>
      </c>
      <c r="AB29">
        <v>0</v>
      </c>
      <c r="AC29">
        <v>3597</v>
      </c>
      <c r="AD29">
        <v>194</v>
      </c>
      <c r="AE29">
        <v>0</v>
      </c>
      <c r="AF29">
        <v>6307</v>
      </c>
      <c r="AG29">
        <v>1461</v>
      </c>
      <c r="AH29">
        <v>0</v>
      </c>
      <c r="AI29">
        <v>23572</v>
      </c>
      <c r="AJ29">
        <v>1682</v>
      </c>
      <c r="AK29">
        <v>0</v>
      </c>
      <c r="AL29">
        <v>27052</v>
      </c>
      <c r="AM29">
        <v>3671</v>
      </c>
      <c r="AN29">
        <v>0</v>
      </c>
      <c r="AO29">
        <v>8964</v>
      </c>
      <c r="AP29">
        <v>941</v>
      </c>
      <c r="AQ29">
        <v>0</v>
      </c>
      <c r="AR29">
        <v>2489</v>
      </c>
      <c r="AS29">
        <v>630</v>
      </c>
      <c r="AT29">
        <v>0</v>
      </c>
      <c r="AU29">
        <v>19</v>
      </c>
      <c r="AV29">
        <v>5</v>
      </c>
      <c r="AW29">
        <v>0</v>
      </c>
      <c r="AX29">
        <f t="shared" si="12"/>
        <v>120809</v>
      </c>
      <c r="AZ29" t="s">
        <v>527</v>
      </c>
      <c r="BA29" s="128">
        <v>115794</v>
      </c>
      <c r="BB29" s="128">
        <v>1550490</v>
      </c>
      <c r="BC29" s="128">
        <v>0</v>
      </c>
      <c r="BD29" s="128">
        <v>4140009</v>
      </c>
      <c r="BE29" s="128">
        <v>601080</v>
      </c>
      <c r="BF29" s="128">
        <v>10947040.556235362</v>
      </c>
      <c r="BG29" s="272">
        <v>1956843.7429024689</v>
      </c>
      <c r="BH29">
        <v>3930</v>
      </c>
      <c r="BI29">
        <v>4279</v>
      </c>
      <c r="BJ29">
        <v>414</v>
      </c>
      <c r="BK29">
        <v>75</v>
      </c>
      <c r="BL29">
        <v>708</v>
      </c>
      <c r="BM29">
        <v>175</v>
      </c>
      <c r="BN29" s="128">
        <v>610</v>
      </c>
      <c r="BO29" s="128">
        <v>0</v>
      </c>
      <c r="BP29" s="128">
        <v>161</v>
      </c>
      <c r="BQ29" s="128">
        <f t="shared" si="13"/>
        <v>86246536.700862169</v>
      </c>
      <c r="BR29">
        <v>35008</v>
      </c>
      <c r="BS29" s="128">
        <f t="shared" si="0"/>
        <v>2463.6236489048838</v>
      </c>
      <c r="BT29" t="s">
        <v>118</v>
      </c>
      <c r="BU29" s="129">
        <f t="shared" si="14"/>
        <v>2468.222597716584</v>
      </c>
      <c r="BZ29" t="s">
        <v>130</v>
      </c>
      <c r="CA29">
        <v>2199.7730463526332</v>
      </c>
      <c r="CB29" t="s">
        <v>441</v>
      </c>
    </row>
    <row r="30" spans="1:80" ht="14.5" x14ac:dyDescent="0.25">
      <c r="A30" t="s">
        <v>346</v>
      </c>
      <c r="B30">
        <v>8273</v>
      </c>
      <c r="C30">
        <v>1920</v>
      </c>
      <c r="D30">
        <v>311</v>
      </c>
      <c r="E30">
        <f t="shared" si="1"/>
        <v>3538</v>
      </c>
      <c r="F30">
        <f t="shared" si="2"/>
        <v>1399</v>
      </c>
      <c r="G30">
        <f t="shared" si="3"/>
        <v>1569</v>
      </c>
      <c r="H30">
        <f t="shared" si="4"/>
        <v>424</v>
      </c>
      <c r="I30">
        <f t="shared" si="5"/>
        <v>1021</v>
      </c>
      <c r="J30">
        <f t="shared" si="6"/>
        <v>3381</v>
      </c>
      <c r="K30">
        <f t="shared" si="7"/>
        <v>6379</v>
      </c>
      <c r="L30">
        <f t="shared" si="8"/>
        <v>10082</v>
      </c>
      <c r="M30">
        <f t="shared" si="9"/>
        <v>3011</v>
      </c>
      <c r="N30">
        <f t="shared" si="10"/>
        <v>360</v>
      </c>
      <c r="O30">
        <f t="shared" si="11"/>
        <v>41668</v>
      </c>
      <c r="Q30">
        <v>8478</v>
      </c>
      <c r="R30">
        <v>4600</v>
      </c>
      <c r="S30">
        <v>340</v>
      </c>
      <c r="T30">
        <v>2022</v>
      </c>
      <c r="U30">
        <v>620</v>
      </c>
      <c r="V30">
        <v>3</v>
      </c>
      <c r="W30">
        <v>2551</v>
      </c>
      <c r="X30">
        <v>415</v>
      </c>
      <c r="Y30">
        <v>567</v>
      </c>
      <c r="Z30" s="271">
        <v>614</v>
      </c>
      <c r="AA30">
        <v>190</v>
      </c>
      <c r="AB30">
        <v>0</v>
      </c>
      <c r="AC30">
        <v>1424</v>
      </c>
      <c r="AD30">
        <v>115</v>
      </c>
      <c r="AE30">
        <v>288</v>
      </c>
      <c r="AF30">
        <v>4071</v>
      </c>
      <c r="AG30">
        <v>557</v>
      </c>
      <c r="AH30">
        <v>133</v>
      </c>
      <c r="AI30">
        <v>6396</v>
      </c>
      <c r="AJ30">
        <v>17</v>
      </c>
      <c r="AK30">
        <v>0</v>
      </c>
      <c r="AL30">
        <v>10457</v>
      </c>
      <c r="AM30">
        <v>310</v>
      </c>
      <c r="AN30">
        <v>65</v>
      </c>
      <c r="AO30">
        <v>4222</v>
      </c>
      <c r="AP30">
        <v>717</v>
      </c>
      <c r="AQ30">
        <v>494</v>
      </c>
      <c r="AR30">
        <v>1001</v>
      </c>
      <c r="AS30">
        <v>611</v>
      </c>
      <c r="AT30">
        <v>30</v>
      </c>
      <c r="AU30">
        <v>7222</v>
      </c>
      <c r="AV30">
        <v>121</v>
      </c>
      <c r="AW30">
        <v>0</v>
      </c>
      <c r="AX30">
        <f t="shared" si="12"/>
        <v>48769</v>
      </c>
      <c r="AZ30" t="s">
        <v>346</v>
      </c>
      <c r="BA30" s="128">
        <v>39316</v>
      </c>
      <c r="BB30" s="128">
        <v>690920</v>
      </c>
      <c r="BC30" s="128">
        <v>0</v>
      </c>
      <c r="BD30" s="128">
        <v>2289808</v>
      </c>
      <c r="BE30" s="128">
        <v>383658.29666666663</v>
      </c>
      <c r="BF30" s="128">
        <v>2101169.2600213406</v>
      </c>
      <c r="BG30" s="272">
        <v>0</v>
      </c>
      <c r="BH30">
        <v>1869</v>
      </c>
      <c r="BI30">
        <v>1483</v>
      </c>
      <c r="BJ30">
        <v>519</v>
      </c>
      <c r="BK30">
        <v>14</v>
      </c>
      <c r="BL30">
        <v>527</v>
      </c>
      <c r="BM30">
        <v>49</v>
      </c>
      <c r="BN30" s="128">
        <v>951</v>
      </c>
      <c r="BO30" s="128">
        <v>0</v>
      </c>
      <c r="BP30" s="128">
        <v>1088</v>
      </c>
      <c r="BQ30" s="128">
        <f t="shared" si="13"/>
        <v>27350444.443311989</v>
      </c>
      <c r="BR30">
        <v>18755</v>
      </c>
      <c r="BS30" s="128">
        <f t="shared" si="0"/>
        <v>1458.3014899126626</v>
      </c>
      <c r="BT30" t="s">
        <v>467</v>
      </c>
      <c r="BU30" s="129">
        <f t="shared" si="14"/>
        <v>1516.3126869267924</v>
      </c>
      <c r="BZ30" t="s">
        <v>131</v>
      </c>
      <c r="CA30">
        <v>1782.2831050540299</v>
      </c>
      <c r="CB30" t="s">
        <v>441</v>
      </c>
    </row>
    <row r="31" spans="1:80" ht="14.5" x14ac:dyDescent="0.25">
      <c r="A31" t="s">
        <v>436</v>
      </c>
      <c r="B31">
        <v>9458</v>
      </c>
      <c r="C31">
        <v>1682</v>
      </c>
      <c r="D31">
        <v>19</v>
      </c>
      <c r="E31">
        <f t="shared" si="1"/>
        <v>4009</v>
      </c>
      <c r="F31">
        <f t="shared" si="2"/>
        <v>1382</v>
      </c>
      <c r="G31">
        <f t="shared" si="3"/>
        <v>1238</v>
      </c>
      <c r="H31">
        <f t="shared" si="4"/>
        <v>388</v>
      </c>
      <c r="I31">
        <f t="shared" si="5"/>
        <v>1367</v>
      </c>
      <c r="J31">
        <f t="shared" si="6"/>
        <v>2063</v>
      </c>
      <c r="K31">
        <f t="shared" si="7"/>
        <v>5935</v>
      </c>
      <c r="L31">
        <f t="shared" si="8"/>
        <v>7169</v>
      </c>
      <c r="M31">
        <f t="shared" si="9"/>
        <v>2859</v>
      </c>
      <c r="N31">
        <f t="shared" si="10"/>
        <v>561</v>
      </c>
      <c r="O31">
        <f t="shared" si="11"/>
        <v>38130</v>
      </c>
      <c r="Q31">
        <v>13790</v>
      </c>
      <c r="R31">
        <v>9454</v>
      </c>
      <c r="S31">
        <v>327</v>
      </c>
      <c r="T31">
        <v>1388</v>
      </c>
      <c r="U31">
        <v>0</v>
      </c>
      <c r="V31">
        <v>6</v>
      </c>
      <c r="W31">
        <v>1885</v>
      </c>
      <c r="X31">
        <v>0</v>
      </c>
      <c r="Y31">
        <v>647</v>
      </c>
      <c r="Z31" s="271">
        <v>364</v>
      </c>
      <c r="AA31">
        <v>0</v>
      </c>
      <c r="AB31">
        <v>-24</v>
      </c>
      <c r="AC31">
        <v>1500</v>
      </c>
      <c r="AD31">
        <v>0</v>
      </c>
      <c r="AE31">
        <v>133</v>
      </c>
      <c r="AF31">
        <v>2205</v>
      </c>
      <c r="AG31">
        <v>4</v>
      </c>
      <c r="AH31">
        <v>138</v>
      </c>
      <c r="AI31">
        <v>5935</v>
      </c>
      <c r="AJ31">
        <v>0</v>
      </c>
      <c r="AK31">
        <v>0</v>
      </c>
      <c r="AL31">
        <v>7210</v>
      </c>
      <c r="AM31">
        <v>0</v>
      </c>
      <c r="AN31">
        <v>41</v>
      </c>
      <c r="AO31">
        <v>3210</v>
      </c>
      <c r="AP31">
        <v>0</v>
      </c>
      <c r="AQ31">
        <v>351</v>
      </c>
      <c r="AR31">
        <v>624</v>
      </c>
      <c r="AS31">
        <v>0</v>
      </c>
      <c r="AT31">
        <v>63</v>
      </c>
      <c r="AU31">
        <v>119</v>
      </c>
      <c r="AV31">
        <v>0</v>
      </c>
      <c r="AW31">
        <v>0</v>
      </c>
      <c r="AX31">
        <f t="shared" si="12"/>
        <v>38249</v>
      </c>
      <c r="AZ31" t="s">
        <v>436</v>
      </c>
      <c r="BA31" s="128">
        <v>36429</v>
      </c>
      <c r="BB31" s="128">
        <v>401310</v>
      </c>
      <c r="BC31" s="128">
        <v>0</v>
      </c>
      <c r="BD31" s="128">
        <v>2426732</v>
      </c>
      <c r="BE31" s="128">
        <v>327097</v>
      </c>
      <c r="BF31" s="128">
        <v>2436321</v>
      </c>
      <c r="BG31" s="272">
        <v>162583.7218737714</v>
      </c>
      <c r="BH31">
        <v>1373</v>
      </c>
      <c r="BI31">
        <v>1236</v>
      </c>
      <c r="BJ31">
        <v>241</v>
      </c>
      <c r="BK31">
        <v>15</v>
      </c>
      <c r="BL31">
        <v>1</v>
      </c>
      <c r="BM31">
        <v>28</v>
      </c>
      <c r="BN31" s="128">
        <v>518</v>
      </c>
      <c r="BO31" s="128">
        <v>0</v>
      </c>
      <c r="BP31" s="128">
        <v>576</v>
      </c>
      <c r="BQ31" s="128">
        <f t="shared" si="13"/>
        <v>26686956.278126229</v>
      </c>
      <c r="BR31">
        <v>13111</v>
      </c>
      <c r="BS31" s="128">
        <f t="shared" si="0"/>
        <v>2035.4630675101998</v>
      </c>
      <c r="BT31" t="s">
        <v>118</v>
      </c>
      <c r="BU31" s="129">
        <f t="shared" si="14"/>
        <v>2079.395643209994</v>
      </c>
      <c r="BZ31" t="s">
        <v>407</v>
      </c>
      <c r="CA31">
        <v>2339.9118077215244</v>
      </c>
      <c r="CB31" t="s">
        <v>441</v>
      </c>
    </row>
    <row r="32" spans="1:80" ht="14.5" x14ac:dyDescent="0.25">
      <c r="A32" t="s">
        <v>437</v>
      </c>
      <c r="B32">
        <v>1398</v>
      </c>
      <c r="C32">
        <v>4558</v>
      </c>
      <c r="D32">
        <v>1754</v>
      </c>
      <c r="E32">
        <f t="shared" si="1"/>
        <v>14225</v>
      </c>
      <c r="F32">
        <f t="shared" si="2"/>
        <v>3817</v>
      </c>
      <c r="G32">
        <f t="shared" si="3"/>
        <v>5041</v>
      </c>
      <c r="H32">
        <f t="shared" si="4"/>
        <v>457</v>
      </c>
      <c r="I32">
        <f t="shared" si="5"/>
        <v>1912</v>
      </c>
      <c r="J32">
        <f t="shared" si="6"/>
        <v>8042</v>
      </c>
      <c r="K32">
        <f t="shared" si="7"/>
        <v>8277</v>
      </c>
      <c r="L32">
        <f t="shared" si="8"/>
        <v>13402</v>
      </c>
      <c r="M32">
        <f t="shared" si="9"/>
        <v>8950</v>
      </c>
      <c r="N32">
        <f t="shared" si="10"/>
        <v>2869</v>
      </c>
      <c r="O32">
        <f t="shared" si="11"/>
        <v>74702</v>
      </c>
      <c r="Q32">
        <v>15972</v>
      </c>
      <c r="R32">
        <v>1398</v>
      </c>
      <c r="S32">
        <v>349</v>
      </c>
      <c r="T32">
        <v>4035</v>
      </c>
      <c r="U32">
        <v>0</v>
      </c>
      <c r="V32">
        <v>218</v>
      </c>
      <c r="W32">
        <v>6595</v>
      </c>
      <c r="X32">
        <v>0</v>
      </c>
      <c r="Y32">
        <v>1554</v>
      </c>
      <c r="Z32" s="271">
        <v>476</v>
      </c>
      <c r="AA32">
        <v>0</v>
      </c>
      <c r="AB32">
        <v>19</v>
      </c>
      <c r="AC32">
        <v>2374</v>
      </c>
      <c r="AD32">
        <v>0</v>
      </c>
      <c r="AE32">
        <v>462</v>
      </c>
      <c r="AF32">
        <v>8435</v>
      </c>
      <c r="AG32">
        <v>0</v>
      </c>
      <c r="AH32">
        <v>393</v>
      </c>
      <c r="AI32">
        <v>8277</v>
      </c>
      <c r="AJ32">
        <v>0</v>
      </c>
      <c r="AK32">
        <v>0</v>
      </c>
      <c r="AL32">
        <v>13433</v>
      </c>
      <c r="AM32">
        <v>0</v>
      </c>
      <c r="AN32">
        <v>31</v>
      </c>
      <c r="AO32">
        <v>10333</v>
      </c>
      <c r="AP32">
        <v>0</v>
      </c>
      <c r="AQ32">
        <v>1383</v>
      </c>
      <c r="AR32">
        <v>2910</v>
      </c>
      <c r="AS32">
        <v>0</v>
      </c>
      <c r="AT32">
        <v>41</v>
      </c>
      <c r="AU32">
        <v>886</v>
      </c>
      <c r="AV32">
        <v>0</v>
      </c>
      <c r="AW32">
        <v>108</v>
      </c>
      <c r="AX32">
        <f t="shared" si="12"/>
        <v>75480</v>
      </c>
      <c r="AZ32" t="s">
        <v>437</v>
      </c>
      <c r="BA32" s="128">
        <v>68282</v>
      </c>
      <c r="BB32" s="128">
        <v>477310</v>
      </c>
      <c r="BC32" s="128">
        <v>0</v>
      </c>
      <c r="BD32" s="128">
        <v>1355094</v>
      </c>
      <c r="BE32" s="128">
        <v>411940.15333333332</v>
      </c>
      <c r="BF32" s="128">
        <v>5109932.2355410364</v>
      </c>
      <c r="BG32" s="272">
        <v>0</v>
      </c>
      <c r="BH32">
        <v>4171</v>
      </c>
      <c r="BI32">
        <v>4997</v>
      </c>
      <c r="BJ32">
        <v>394</v>
      </c>
      <c r="BK32">
        <v>482</v>
      </c>
      <c r="BL32">
        <v>650</v>
      </c>
      <c r="BM32">
        <v>32</v>
      </c>
      <c r="BN32" s="128">
        <v>4006</v>
      </c>
      <c r="BO32" s="128">
        <v>4156</v>
      </c>
      <c r="BP32" s="128">
        <v>2288</v>
      </c>
      <c r="BQ32" s="128">
        <f t="shared" si="13"/>
        <v>39751723.611125626</v>
      </c>
      <c r="BR32">
        <v>29696</v>
      </c>
      <c r="BS32" s="128">
        <f t="shared" si="0"/>
        <v>1338.6221582410299</v>
      </c>
      <c r="BT32" t="s">
        <v>467</v>
      </c>
      <c r="BU32" s="129">
        <f t="shared" si="14"/>
        <v>1415.6695720341334</v>
      </c>
      <c r="BZ32" t="s">
        <v>372</v>
      </c>
      <c r="CA32">
        <v>2128.9529672942199</v>
      </c>
      <c r="CB32" t="s">
        <v>441</v>
      </c>
    </row>
    <row r="33" spans="1:80" ht="14.5" x14ac:dyDescent="0.25">
      <c r="A33" t="s">
        <v>347</v>
      </c>
      <c r="B33">
        <v>49329</v>
      </c>
      <c r="C33">
        <v>10748</v>
      </c>
      <c r="D33">
        <v>6340</v>
      </c>
      <c r="E33">
        <f t="shared" si="1"/>
        <v>33438</v>
      </c>
      <c r="F33">
        <f t="shared" si="2"/>
        <v>4539</v>
      </c>
      <c r="G33">
        <f t="shared" si="3"/>
        <v>7624</v>
      </c>
      <c r="H33">
        <f t="shared" si="4"/>
        <v>4467</v>
      </c>
      <c r="I33">
        <f t="shared" si="5"/>
        <v>7285</v>
      </c>
      <c r="J33">
        <f t="shared" si="6"/>
        <v>16115</v>
      </c>
      <c r="K33">
        <f t="shared" si="7"/>
        <v>58021</v>
      </c>
      <c r="L33">
        <f t="shared" si="8"/>
        <v>66719</v>
      </c>
      <c r="M33">
        <f t="shared" si="9"/>
        <v>15261</v>
      </c>
      <c r="N33">
        <f t="shared" si="10"/>
        <v>4050</v>
      </c>
      <c r="O33">
        <f t="shared" si="11"/>
        <v>283936</v>
      </c>
      <c r="Q33">
        <v>61642</v>
      </c>
      <c r="R33">
        <v>26478</v>
      </c>
      <c r="S33">
        <v>1726</v>
      </c>
      <c r="T33">
        <v>6827</v>
      </c>
      <c r="U33">
        <v>2234</v>
      </c>
      <c r="V33">
        <v>54</v>
      </c>
      <c r="W33">
        <v>12769</v>
      </c>
      <c r="X33">
        <v>2089</v>
      </c>
      <c r="Y33">
        <v>3056</v>
      </c>
      <c r="Z33" s="271">
        <v>6549</v>
      </c>
      <c r="AA33">
        <v>1790</v>
      </c>
      <c r="AB33">
        <v>292</v>
      </c>
      <c r="AC33">
        <v>8629</v>
      </c>
      <c r="AD33">
        <v>620</v>
      </c>
      <c r="AE33">
        <v>724</v>
      </c>
      <c r="AF33">
        <v>26387</v>
      </c>
      <c r="AG33">
        <v>8791</v>
      </c>
      <c r="AH33">
        <v>1481</v>
      </c>
      <c r="AI33">
        <v>58021</v>
      </c>
      <c r="AJ33">
        <v>0</v>
      </c>
      <c r="AK33">
        <v>0</v>
      </c>
      <c r="AL33">
        <v>70234</v>
      </c>
      <c r="AM33">
        <v>3410</v>
      </c>
      <c r="AN33">
        <v>105</v>
      </c>
      <c r="AO33">
        <v>20026</v>
      </c>
      <c r="AP33">
        <v>1541</v>
      </c>
      <c r="AQ33">
        <v>3224</v>
      </c>
      <c r="AR33">
        <v>6512</v>
      </c>
      <c r="AS33">
        <v>2376</v>
      </c>
      <c r="AT33">
        <v>86</v>
      </c>
      <c r="AU33">
        <v>14896</v>
      </c>
      <c r="AV33">
        <v>0</v>
      </c>
      <c r="AW33">
        <v>0</v>
      </c>
      <c r="AX33">
        <f t="shared" si="12"/>
        <v>298832</v>
      </c>
      <c r="AZ33" t="s">
        <v>347</v>
      </c>
      <c r="BA33" s="128">
        <v>266848</v>
      </c>
      <c r="BB33" s="128">
        <v>2462266</v>
      </c>
      <c r="BC33" s="128">
        <v>13869323</v>
      </c>
      <c r="BD33" s="128">
        <v>11171146</v>
      </c>
      <c r="BE33" s="128">
        <v>4119637</v>
      </c>
      <c r="BF33" s="128">
        <v>31423539.167494237</v>
      </c>
      <c r="BG33" s="272">
        <v>7573262.8758049607</v>
      </c>
      <c r="BH33">
        <v>12860</v>
      </c>
      <c r="BI33">
        <v>9370</v>
      </c>
      <c r="BJ33">
        <v>1374</v>
      </c>
      <c r="BK33">
        <v>0</v>
      </c>
      <c r="BL33">
        <v>0</v>
      </c>
      <c r="BM33">
        <v>0</v>
      </c>
      <c r="BN33" s="128">
        <v>446</v>
      </c>
      <c r="BO33" s="128">
        <v>0</v>
      </c>
      <c r="BP33" s="128">
        <v>33</v>
      </c>
      <c r="BQ33" s="128">
        <f t="shared" si="13"/>
        <v>172145825.9567008</v>
      </c>
      <c r="BR33">
        <v>67513</v>
      </c>
      <c r="BS33" s="128">
        <f t="shared" si="0"/>
        <v>2549.817456737233</v>
      </c>
      <c r="BT33" t="s">
        <v>441</v>
      </c>
      <c r="BU33" s="129">
        <f t="shared" si="14"/>
        <v>2550.3062514878734</v>
      </c>
      <c r="BZ33" t="s">
        <v>444</v>
      </c>
      <c r="CA33">
        <v>1974.7024083851834</v>
      </c>
      <c r="CB33" t="s">
        <v>441</v>
      </c>
    </row>
    <row r="34" spans="1:80" ht="14.5" x14ac:dyDescent="0.25">
      <c r="A34" t="s">
        <v>169</v>
      </c>
      <c r="B34">
        <v>33080</v>
      </c>
      <c r="C34">
        <v>7422</v>
      </c>
      <c r="D34">
        <v>1357</v>
      </c>
      <c r="E34">
        <f t="shared" si="1"/>
        <v>11172</v>
      </c>
      <c r="F34">
        <f t="shared" si="2"/>
        <v>2958</v>
      </c>
      <c r="G34">
        <f t="shared" si="3"/>
        <v>3155</v>
      </c>
      <c r="H34">
        <f t="shared" si="4"/>
        <v>1101</v>
      </c>
      <c r="I34">
        <f t="shared" si="5"/>
        <v>1718</v>
      </c>
      <c r="J34">
        <f t="shared" si="6"/>
        <v>5819</v>
      </c>
      <c r="K34">
        <f t="shared" si="7"/>
        <v>18372</v>
      </c>
      <c r="L34">
        <f t="shared" si="8"/>
        <v>23562</v>
      </c>
      <c r="M34">
        <f t="shared" si="9"/>
        <v>9959</v>
      </c>
      <c r="N34">
        <f t="shared" si="10"/>
        <v>2072</v>
      </c>
      <c r="O34">
        <f t="shared" si="11"/>
        <v>121747</v>
      </c>
      <c r="Q34">
        <v>25473</v>
      </c>
      <c r="R34">
        <v>12555</v>
      </c>
      <c r="S34">
        <v>1746</v>
      </c>
      <c r="T34">
        <v>3208</v>
      </c>
      <c r="U34">
        <v>199</v>
      </c>
      <c r="V34">
        <v>51</v>
      </c>
      <c r="W34">
        <v>5789</v>
      </c>
      <c r="X34">
        <v>1451</v>
      </c>
      <c r="Y34">
        <v>1183</v>
      </c>
      <c r="Z34" s="271">
        <v>1519</v>
      </c>
      <c r="AA34">
        <v>220</v>
      </c>
      <c r="AB34">
        <v>198</v>
      </c>
      <c r="AC34">
        <v>3224</v>
      </c>
      <c r="AD34">
        <v>166</v>
      </c>
      <c r="AE34">
        <v>1340</v>
      </c>
      <c r="AF34">
        <v>8956</v>
      </c>
      <c r="AG34">
        <v>2884</v>
      </c>
      <c r="AH34">
        <v>253</v>
      </c>
      <c r="AI34">
        <v>25094</v>
      </c>
      <c r="AJ34">
        <v>6722</v>
      </c>
      <c r="AK34">
        <v>0</v>
      </c>
      <c r="AL34">
        <v>27577</v>
      </c>
      <c r="AM34">
        <v>4012</v>
      </c>
      <c r="AN34">
        <v>3</v>
      </c>
      <c r="AO34">
        <v>14121</v>
      </c>
      <c r="AP34">
        <v>1727</v>
      </c>
      <c r="AQ34">
        <v>2435</v>
      </c>
      <c r="AR34">
        <v>5358</v>
      </c>
      <c r="AS34">
        <v>3073</v>
      </c>
      <c r="AT34">
        <v>213</v>
      </c>
      <c r="AU34">
        <v>983</v>
      </c>
      <c r="AV34">
        <v>71</v>
      </c>
      <c r="AW34">
        <v>0</v>
      </c>
      <c r="AX34">
        <f t="shared" si="12"/>
        <v>122659</v>
      </c>
      <c r="AZ34" t="s">
        <v>169</v>
      </c>
      <c r="BA34" s="128">
        <v>112897</v>
      </c>
      <c r="BB34" s="128">
        <v>1398366</v>
      </c>
      <c r="BC34" s="128">
        <v>0</v>
      </c>
      <c r="BD34" s="128">
        <v>5944716</v>
      </c>
      <c r="BE34" s="128">
        <v>752989</v>
      </c>
      <c r="BF34" s="128">
        <v>7707780.1007310357</v>
      </c>
      <c r="BG34" s="272">
        <v>2066274.9897528682</v>
      </c>
      <c r="BH34">
        <v>7141</v>
      </c>
      <c r="BI34">
        <v>3249</v>
      </c>
      <c r="BJ34">
        <v>516</v>
      </c>
      <c r="BK34">
        <v>270</v>
      </c>
      <c r="BL34">
        <v>853</v>
      </c>
      <c r="BM34">
        <v>186</v>
      </c>
      <c r="BN34" s="128">
        <v>355</v>
      </c>
      <c r="BO34" s="128">
        <v>0</v>
      </c>
      <c r="BP34" s="128">
        <v>4</v>
      </c>
      <c r="BQ34" s="128">
        <f t="shared" si="13"/>
        <v>82452873.909516096</v>
      </c>
      <c r="BR34">
        <v>43846</v>
      </c>
      <c r="BS34" s="128">
        <f t="shared" si="0"/>
        <v>1880.5107400792797</v>
      </c>
      <c r="BT34" t="s">
        <v>118</v>
      </c>
      <c r="BU34" s="129">
        <f t="shared" si="14"/>
        <v>1880.6019684695548</v>
      </c>
      <c r="BZ34" t="s">
        <v>258</v>
      </c>
      <c r="CA34">
        <v>1727.1215304046375</v>
      </c>
      <c r="CB34" t="s">
        <v>441</v>
      </c>
    </row>
    <row r="35" spans="1:80" ht="14.5" x14ac:dyDescent="0.25">
      <c r="A35" t="s">
        <v>348</v>
      </c>
      <c r="B35">
        <v>13119</v>
      </c>
      <c r="C35">
        <v>2274</v>
      </c>
      <c r="D35">
        <v>810</v>
      </c>
      <c r="E35">
        <f t="shared" si="1"/>
        <v>6681</v>
      </c>
      <c r="F35">
        <f t="shared" si="2"/>
        <v>2074</v>
      </c>
      <c r="G35">
        <f t="shared" si="3"/>
        <v>2765</v>
      </c>
      <c r="H35">
        <f t="shared" si="4"/>
        <v>1336</v>
      </c>
      <c r="I35">
        <f t="shared" si="5"/>
        <v>1728</v>
      </c>
      <c r="J35">
        <f t="shared" si="6"/>
        <v>4228</v>
      </c>
      <c r="K35">
        <f t="shared" si="7"/>
        <v>11059</v>
      </c>
      <c r="L35">
        <f t="shared" si="8"/>
        <v>15764</v>
      </c>
      <c r="M35">
        <f t="shared" si="9"/>
        <v>6991</v>
      </c>
      <c r="N35">
        <f t="shared" si="10"/>
        <v>1246</v>
      </c>
      <c r="O35">
        <f t="shared" si="11"/>
        <v>70075</v>
      </c>
      <c r="Q35">
        <v>13364</v>
      </c>
      <c r="R35">
        <v>6471</v>
      </c>
      <c r="S35">
        <v>212</v>
      </c>
      <c r="T35">
        <v>2598</v>
      </c>
      <c r="U35">
        <v>512</v>
      </c>
      <c r="V35">
        <v>12</v>
      </c>
      <c r="W35">
        <v>4115</v>
      </c>
      <c r="X35">
        <v>747</v>
      </c>
      <c r="Y35">
        <v>603</v>
      </c>
      <c r="Z35" s="271">
        <v>1632</v>
      </c>
      <c r="AA35">
        <v>291</v>
      </c>
      <c r="AB35">
        <v>5</v>
      </c>
      <c r="AC35">
        <v>2563</v>
      </c>
      <c r="AD35">
        <v>84</v>
      </c>
      <c r="AE35">
        <v>751</v>
      </c>
      <c r="AF35">
        <v>5633</v>
      </c>
      <c r="AG35">
        <v>926</v>
      </c>
      <c r="AH35">
        <v>479</v>
      </c>
      <c r="AI35">
        <v>11174</v>
      </c>
      <c r="AJ35">
        <v>115</v>
      </c>
      <c r="AK35">
        <v>0</v>
      </c>
      <c r="AL35">
        <v>17055</v>
      </c>
      <c r="AM35">
        <v>1156</v>
      </c>
      <c r="AN35">
        <v>135</v>
      </c>
      <c r="AO35">
        <v>7734</v>
      </c>
      <c r="AP35">
        <v>669</v>
      </c>
      <c r="AQ35">
        <v>74</v>
      </c>
      <c r="AR35">
        <v>2961</v>
      </c>
      <c r="AS35">
        <v>1712</v>
      </c>
      <c r="AT35">
        <v>3</v>
      </c>
      <c r="AU35">
        <v>15508</v>
      </c>
      <c r="AV35">
        <v>436</v>
      </c>
      <c r="AW35">
        <v>0</v>
      </c>
      <c r="AX35">
        <f t="shared" si="12"/>
        <v>85147</v>
      </c>
      <c r="AZ35" t="s">
        <v>348</v>
      </c>
      <c r="BA35" s="128">
        <v>66555</v>
      </c>
      <c r="BB35" s="128">
        <v>690525</v>
      </c>
      <c r="BC35" s="128">
        <v>0</v>
      </c>
      <c r="BD35" s="128">
        <v>4357802</v>
      </c>
      <c r="BE35" s="128">
        <v>330976</v>
      </c>
      <c r="BF35" s="128">
        <v>4429962.2282030955</v>
      </c>
      <c r="BG35" s="272">
        <v>0</v>
      </c>
      <c r="BH35">
        <v>2502</v>
      </c>
      <c r="BI35">
        <v>3081</v>
      </c>
      <c r="BJ35">
        <v>462</v>
      </c>
      <c r="BK35">
        <v>84</v>
      </c>
      <c r="BL35">
        <v>1348</v>
      </c>
      <c r="BM35">
        <v>190</v>
      </c>
      <c r="BN35" s="128">
        <v>94</v>
      </c>
      <c r="BO35" s="128">
        <v>0</v>
      </c>
      <c r="BP35" s="128">
        <v>302</v>
      </c>
      <c r="BQ35" s="128">
        <f t="shared" si="13"/>
        <v>48682734.771796905</v>
      </c>
      <c r="BR35">
        <v>31464</v>
      </c>
      <c r="BS35" s="128">
        <f t="shared" si="0"/>
        <v>1547.251931470789</v>
      </c>
      <c r="BT35" t="s">
        <v>467</v>
      </c>
      <c r="BU35" s="129">
        <f t="shared" si="14"/>
        <v>1556.8502025107077</v>
      </c>
      <c r="BZ35" t="s">
        <v>111</v>
      </c>
      <c r="CA35">
        <v>1944.6164341805411</v>
      </c>
      <c r="CB35" t="s">
        <v>441</v>
      </c>
    </row>
    <row r="36" spans="1:80" ht="14.5" x14ac:dyDescent="0.25">
      <c r="A36" t="s">
        <v>349</v>
      </c>
      <c r="B36">
        <v>19063</v>
      </c>
      <c r="C36">
        <v>2990</v>
      </c>
      <c r="D36">
        <v>0</v>
      </c>
      <c r="E36">
        <f t="shared" si="1"/>
        <v>4055</v>
      </c>
      <c r="F36">
        <f t="shared" si="2"/>
        <v>1772</v>
      </c>
      <c r="G36">
        <f t="shared" si="3"/>
        <v>1373</v>
      </c>
      <c r="H36">
        <f t="shared" si="4"/>
        <v>538</v>
      </c>
      <c r="I36">
        <f t="shared" si="5"/>
        <v>1422</v>
      </c>
      <c r="J36">
        <f t="shared" si="6"/>
        <v>4313</v>
      </c>
      <c r="K36">
        <f t="shared" si="7"/>
        <v>12057</v>
      </c>
      <c r="L36">
        <f t="shared" si="8"/>
        <v>15356</v>
      </c>
      <c r="M36">
        <f t="shared" si="9"/>
        <v>6844</v>
      </c>
      <c r="N36">
        <f t="shared" si="10"/>
        <v>1435</v>
      </c>
      <c r="O36">
        <f t="shared" si="11"/>
        <v>71218</v>
      </c>
      <c r="Q36">
        <v>13033</v>
      </c>
      <c r="R36">
        <v>7997</v>
      </c>
      <c r="S36">
        <v>981</v>
      </c>
      <c r="T36">
        <v>2828</v>
      </c>
      <c r="U36">
        <v>1030</v>
      </c>
      <c r="V36">
        <v>26</v>
      </c>
      <c r="W36">
        <v>2676</v>
      </c>
      <c r="X36">
        <v>745</v>
      </c>
      <c r="Y36">
        <v>558</v>
      </c>
      <c r="Z36" s="271">
        <v>970</v>
      </c>
      <c r="AA36">
        <v>431</v>
      </c>
      <c r="AB36">
        <v>1</v>
      </c>
      <c r="AC36">
        <v>2152</v>
      </c>
      <c r="AD36">
        <v>308</v>
      </c>
      <c r="AE36">
        <v>422</v>
      </c>
      <c r="AF36">
        <v>6259</v>
      </c>
      <c r="AG36">
        <v>1242</v>
      </c>
      <c r="AH36">
        <v>704</v>
      </c>
      <c r="AI36">
        <v>13928</v>
      </c>
      <c r="AJ36">
        <v>1871</v>
      </c>
      <c r="AK36">
        <v>0</v>
      </c>
      <c r="AL36">
        <v>17387</v>
      </c>
      <c r="AM36">
        <v>1843</v>
      </c>
      <c r="AN36">
        <v>188</v>
      </c>
      <c r="AO36">
        <v>7946</v>
      </c>
      <c r="AP36">
        <v>992</v>
      </c>
      <c r="AQ36">
        <v>110</v>
      </c>
      <c r="AR36">
        <v>3111</v>
      </c>
      <c r="AS36">
        <v>1676</v>
      </c>
      <c r="AT36">
        <v>0</v>
      </c>
      <c r="AU36">
        <v>13576</v>
      </c>
      <c r="AV36">
        <v>928</v>
      </c>
      <c r="AW36">
        <v>0</v>
      </c>
      <c r="AX36">
        <f t="shared" si="12"/>
        <v>83866</v>
      </c>
      <c r="AZ36" t="s">
        <v>349</v>
      </c>
      <c r="BA36" s="128">
        <v>67300</v>
      </c>
      <c r="BB36" s="128">
        <v>1120536</v>
      </c>
      <c r="BC36" s="128">
        <v>0</v>
      </c>
      <c r="BD36" s="128">
        <v>3134233</v>
      </c>
      <c r="BE36" s="128">
        <v>350799.86333333334</v>
      </c>
      <c r="BF36" s="128">
        <v>6365530.919163039</v>
      </c>
      <c r="BG36" s="272">
        <v>0</v>
      </c>
      <c r="BH36">
        <v>2480</v>
      </c>
      <c r="BI36">
        <v>4234</v>
      </c>
      <c r="BJ36">
        <v>411</v>
      </c>
      <c r="BK36">
        <v>4</v>
      </c>
      <c r="BL36">
        <v>975</v>
      </c>
      <c r="BM36">
        <v>737</v>
      </c>
      <c r="BN36" s="128">
        <v>80</v>
      </c>
      <c r="BO36" s="128">
        <v>0</v>
      </c>
      <c r="BP36" s="128">
        <v>119</v>
      </c>
      <c r="BQ36" s="128">
        <f t="shared" si="13"/>
        <v>47288900.217503622</v>
      </c>
      <c r="BR36">
        <v>30211</v>
      </c>
      <c r="BS36" s="128">
        <f t="shared" si="0"/>
        <v>1565.2874852703858</v>
      </c>
      <c r="BT36" t="s">
        <v>467</v>
      </c>
      <c r="BU36" s="129">
        <f t="shared" si="14"/>
        <v>1569.2264478998916</v>
      </c>
      <c r="BZ36" t="s">
        <v>260</v>
      </c>
      <c r="CA36">
        <v>1959.1660794676366</v>
      </c>
      <c r="CB36" t="s">
        <v>441</v>
      </c>
    </row>
    <row r="37" spans="1:80" ht="14.5" x14ac:dyDescent="0.25">
      <c r="A37" t="s">
        <v>170</v>
      </c>
      <c r="B37">
        <v>12405</v>
      </c>
      <c r="C37">
        <v>2089</v>
      </c>
      <c r="D37">
        <v>2183</v>
      </c>
      <c r="E37">
        <f t="shared" si="1"/>
        <v>5141</v>
      </c>
      <c r="F37">
        <f t="shared" si="2"/>
        <v>1597</v>
      </c>
      <c r="G37">
        <f t="shared" si="3"/>
        <v>2193</v>
      </c>
      <c r="H37">
        <f t="shared" si="4"/>
        <v>241</v>
      </c>
      <c r="I37">
        <f t="shared" si="5"/>
        <v>1245</v>
      </c>
      <c r="J37">
        <f t="shared" si="6"/>
        <v>3383</v>
      </c>
      <c r="K37">
        <f t="shared" si="7"/>
        <v>13650</v>
      </c>
      <c r="L37">
        <f t="shared" si="8"/>
        <v>11264</v>
      </c>
      <c r="M37">
        <f t="shared" si="9"/>
        <v>4544</v>
      </c>
      <c r="N37">
        <f t="shared" si="10"/>
        <v>862</v>
      </c>
      <c r="O37">
        <f t="shared" si="11"/>
        <v>60797</v>
      </c>
      <c r="Q37">
        <v>12758</v>
      </c>
      <c r="R37">
        <v>7389</v>
      </c>
      <c r="S37">
        <v>228</v>
      </c>
      <c r="T37">
        <v>1887</v>
      </c>
      <c r="U37">
        <v>290</v>
      </c>
      <c r="V37">
        <v>0</v>
      </c>
      <c r="W37">
        <v>2774</v>
      </c>
      <c r="X37">
        <v>479</v>
      </c>
      <c r="Y37">
        <v>102</v>
      </c>
      <c r="Z37" s="271">
        <v>313</v>
      </c>
      <c r="AA37">
        <v>71</v>
      </c>
      <c r="AB37">
        <v>1</v>
      </c>
      <c r="AC37">
        <v>1599</v>
      </c>
      <c r="AD37">
        <v>109</v>
      </c>
      <c r="AE37">
        <v>245</v>
      </c>
      <c r="AF37">
        <v>4421</v>
      </c>
      <c r="AG37">
        <v>594</v>
      </c>
      <c r="AH37">
        <v>444</v>
      </c>
      <c r="AI37">
        <v>14275</v>
      </c>
      <c r="AJ37">
        <v>625</v>
      </c>
      <c r="AK37">
        <v>0</v>
      </c>
      <c r="AL37">
        <v>13076</v>
      </c>
      <c r="AM37">
        <v>1333</v>
      </c>
      <c r="AN37">
        <v>479</v>
      </c>
      <c r="AO37">
        <v>6112</v>
      </c>
      <c r="AP37">
        <v>978</v>
      </c>
      <c r="AQ37">
        <v>590</v>
      </c>
      <c r="AR37">
        <v>1399</v>
      </c>
      <c r="AS37">
        <v>537</v>
      </c>
      <c r="AT37">
        <v>0</v>
      </c>
      <c r="AU37">
        <v>3733</v>
      </c>
      <c r="AV37">
        <v>0</v>
      </c>
      <c r="AW37">
        <v>0</v>
      </c>
      <c r="AX37">
        <f t="shared" si="12"/>
        <v>64530</v>
      </c>
      <c r="AZ37" t="s">
        <v>170</v>
      </c>
      <c r="BA37" s="128">
        <v>56525</v>
      </c>
      <c r="BB37" s="128">
        <v>617418</v>
      </c>
      <c r="BC37" s="128">
        <v>0</v>
      </c>
      <c r="BD37" s="128">
        <v>2741432</v>
      </c>
      <c r="BE37" s="128">
        <v>478751</v>
      </c>
      <c r="BF37" s="128">
        <v>6116735.155511816</v>
      </c>
      <c r="BG37" s="272">
        <v>49645.144622142427</v>
      </c>
      <c r="BH37">
        <v>2554</v>
      </c>
      <c r="BI37">
        <v>2473</v>
      </c>
      <c r="BJ37">
        <v>390</v>
      </c>
      <c r="BK37">
        <v>51</v>
      </c>
      <c r="BL37">
        <v>450</v>
      </c>
      <c r="BM37">
        <v>187</v>
      </c>
      <c r="BN37" s="128">
        <v>227</v>
      </c>
      <c r="BO37" s="128">
        <v>0</v>
      </c>
      <c r="BP37" s="128">
        <v>936</v>
      </c>
      <c r="BQ37" s="128">
        <f t="shared" si="13"/>
        <v>39253018.699866042</v>
      </c>
      <c r="BR37">
        <v>26165</v>
      </c>
      <c r="BS37" s="128">
        <f t="shared" si="0"/>
        <v>1500.2109191617062</v>
      </c>
      <c r="BT37" t="s">
        <v>467</v>
      </c>
      <c r="BU37" s="129">
        <f t="shared" si="14"/>
        <v>1535.9838983323539</v>
      </c>
      <c r="BZ37" t="s">
        <v>151</v>
      </c>
      <c r="CA37">
        <v>1728.94983972763</v>
      </c>
      <c r="CB37" t="s">
        <v>441</v>
      </c>
    </row>
    <row r="38" spans="1:80" ht="14.5" x14ac:dyDescent="0.25">
      <c r="A38" t="s">
        <v>243</v>
      </c>
      <c r="B38">
        <v>22698</v>
      </c>
      <c r="C38">
        <v>4658</v>
      </c>
      <c r="D38">
        <v>3796</v>
      </c>
      <c r="E38">
        <f t="shared" si="1"/>
        <v>6508</v>
      </c>
      <c r="F38">
        <f t="shared" si="2"/>
        <v>3746</v>
      </c>
      <c r="G38">
        <f t="shared" si="3"/>
        <v>5485</v>
      </c>
      <c r="H38">
        <f t="shared" si="4"/>
        <v>939</v>
      </c>
      <c r="I38">
        <f t="shared" si="5"/>
        <v>2951</v>
      </c>
      <c r="J38">
        <f t="shared" si="6"/>
        <v>7242</v>
      </c>
      <c r="K38">
        <f t="shared" si="7"/>
        <v>25699</v>
      </c>
      <c r="L38">
        <f t="shared" si="8"/>
        <v>23389</v>
      </c>
      <c r="M38">
        <f t="shared" si="9"/>
        <v>10273</v>
      </c>
      <c r="N38">
        <f t="shared" si="10"/>
        <v>1090</v>
      </c>
      <c r="O38">
        <f t="shared" si="11"/>
        <v>118474</v>
      </c>
      <c r="Q38">
        <v>17113</v>
      </c>
      <c r="R38">
        <v>9078</v>
      </c>
      <c r="S38">
        <v>1527</v>
      </c>
      <c r="T38">
        <v>5800</v>
      </c>
      <c r="U38">
        <v>2007</v>
      </c>
      <c r="V38">
        <v>47</v>
      </c>
      <c r="W38">
        <v>8009</v>
      </c>
      <c r="X38">
        <v>1592</v>
      </c>
      <c r="Y38">
        <v>932</v>
      </c>
      <c r="Z38" s="271">
        <v>1395</v>
      </c>
      <c r="AA38">
        <v>456</v>
      </c>
      <c r="AB38">
        <v>0</v>
      </c>
      <c r="AC38">
        <v>4079</v>
      </c>
      <c r="AD38">
        <v>203</v>
      </c>
      <c r="AE38">
        <v>925</v>
      </c>
      <c r="AF38">
        <v>9539</v>
      </c>
      <c r="AG38">
        <v>1466</v>
      </c>
      <c r="AH38">
        <v>831</v>
      </c>
      <c r="AI38">
        <v>28229</v>
      </c>
      <c r="AJ38">
        <v>2530</v>
      </c>
      <c r="AK38">
        <v>0</v>
      </c>
      <c r="AL38">
        <v>25606</v>
      </c>
      <c r="AM38">
        <v>2217</v>
      </c>
      <c r="AN38">
        <v>0</v>
      </c>
      <c r="AO38">
        <v>11820</v>
      </c>
      <c r="AP38">
        <v>1191</v>
      </c>
      <c r="AQ38">
        <v>356</v>
      </c>
      <c r="AR38">
        <v>2958</v>
      </c>
      <c r="AS38">
        <v>1828</v>
      </c>
      <c r="AT38">
        <v>40</v>
      </c>
      <c r="AU38">
        <v>10892</v>
      </c>
      <c r="AV38">
        <v>130</v>
      </c>
      <c r="AW38">
        <v>0</v>
      </c>
      <c r="AX38">
        <f t="shared" si="12"/>
        <v>129236</v>
      </c>
      <c r="AZ38" t="s">
        <v>243</v>
      </c>
      <c r="BA38" s="128">
        <v>109890</v>
      </c>
      <c r="BB38" s="128">
        <v>913515</v>
      </c>
      <c r="BC38" s="128">
        <v>0</v>
      </c>
      <c r="BD38" s="128">
        <v>4685131</v>
      </c>
      <c r="BE38" s="128">
        <v>704702</v>
      </c>
      <c r="BF38" s="128">
        <v>16098225.201481054</v>
      </c>
      <c r="BG38" s="272">
        <v>744177.25779532455</v>
      </c>
      <c r="BH38">
        <v>4142</v>
      </c>
      <c r="BI38">
        <v>5201</v>
      </c>
      <c r="BJ38">
        <v>540</v>
      </c>
      <c r="BK38">
        <v>288</v>
      </c>
      <c r="BL38">
        <v>520</v>
      </c>
      <c r="BM38">
        <v>939</v>
      </c>
      <c r="BN38" s="128">
        <v>157</v>
      </c>
      <c r="BO38" s="128">
        <v>1221</v>
      </c>
      <c r="BP38" s="128">
        <v>1971</v>
      </c>
      <c r="BQ38" s="128">
        <f t="shared" si="13"/>
        <v>71765249.540723622</v>
      </c>
      <c r="BR38">
        <v>41853</v>
      </c>
      <c r="BS38" s="128">
        <f t="shared" si="0"/>
        <v>1714.6978601467904</v>
      </c>
      <c r="BT38" t="s">
        <v>118</v>
      </c>
      <c r="BU38" s="129">
        <f t="shared" si="14"/>
        <v>1761.7912584694914</v>
      </c>
      <c r="BZ38" t="s">
        <v>409</v>
      </c>
      <c r="CA38">
        <v>2051.8554625189968</v>
      </c>
      <c r="CB38" t="s">
        <v>441</v>
      </c>
    </row>
    <row r="39" spans="1:80" ht="14.5" x14ac:dyDescent="0.25">
      <c r="A39" t="s">
        <v>350</v>
      </c>
      <c r="B39">
        <v>6693</v>
      </c>
      <c r="C39">
        <v>3426</v>
      </c>
      <c r="D39">
        <v>952</v>
      </c>
      <c r="E39">
        <f t="shared" si="1"/>
        <v>3375</v>
      </c>
      <c r="F39">
        <f t="shared" si="2"/>
        <v>1551</v>
      </c>
      <c r="G39">
        <f t="shared" si="3"/>
        <v>1395</v>
      </c>
      <c r="H39">
        <f t="shared" si="4"/>
        <v>415</v>
      </c>
      <c r="I39">
        <f t="shared" si="5"/>
        <v>1938</v>
      </c>
      <c r="J39">
        <f t="shared" si="6"/>
        <v>3353</v>
      </c>
      <c r="K39">
        <f t="shared" si="7"/>
        <v>9016</v>
      </c>
      <c r="L39">
        <f t="shared" si="8"/>
        <v>11444</v>
      </c>
      <c r="M39">
        <f t="shared" si="9"/>
        <v>3957</v>
      </c>
      <c r="N39">
        <f t="shared" si="10"/>
        <v>2145</v>
      </c>
      <c r="O39">
        <f t="shared" si="11"/>
        <v>49660</v>
      </c>
      <c r="Q39">
        <v>7701</v>
      </c>
      <c r="R39">
        <v>4084</v>
      </c>
      <c r="S39">
        <v>242</v>
      </c>
      <c r="T39">
        <v>1718</v>
      </c>
      <c r="U39">
        <v>150</v>
      </c>
      <c r="V39">
        <v>17</v>
      </c>
      <c r="W39">
        <v>2503</v>
      </c>
      <c r="X39">
        <v>443</v>
      </c>
      <c r="Y39">
        <v>665</v>
      </c>
      <c r="Z39" s="271">
        <v>592</v>
      </c>
      <c r="AA39">
        <v>177</v>
      </c>
      <c r="AB39">
        <v>0</v>
      </c>
      <c r="AC39">
        <v>2774</v>
      </c>
      <c r="AD39">
        <v>107</v>
      </c>
      <c r="AE39">
        <v>729</v>
      </c>
      <c r="AF39">
        <v>4063</v>
      </c>
      <c r="AG39">
        <v>288</v>
      </c>
      <c r="AH39">
        <v>422</v>
      </c>
      <c r="AI39">
        <v>9134</v>
      </c>
      <c r="AJ39">
        <v>118</v>
      </c>
      <c r="AK39">
        <v>0</v>
      </c>
      <c r="AL39">
        <v>12396</v>
      </c>
      <c r="AM39">
        <v>381</v>
      </c>
      <c r="AN39">
        <v>571</v>
      </c>
      <c r="AO39">
        <v>4981</v>
      </c>
      <c r="AP39">
        <v>351</v>
      </c>
      <c r="AQ39">
        <v>673</v>
      </c>
      <c r="AR39">
        <v>2804</v>
      </c>
      <c r="AS39">
        <v>552</v>
      </c>
      <c r="AT39">
        <v>107</v>
      </c>
      <c r="AU39">
        <v>3505</v>
      </c>
      <c r="AV39">
        <v>42</v>
      </c>
      <c r="AW39">
        <v>0</v>
      </c>
      <c r="AX39">
        <f t="shared" si="12"/>
        <v>53123</v>
      </c>
      <c r="AZ39" t="s">
        <v>350</v>
      </c>
      <c r="BA39" s="128">
        <v>45240</v>
      </c>
      <c r="BB39" s="128">
        <v>541012</v>
      </c>
      <c r="BC39" s="128">
        <v>0</v>
      </c>
      <c r="BD39" s="128">
        <v>5042657</v>
      </c>
      <c r="BE39" s="128">
        <v>409161.75</v>
      </c>
      <c r="BF39" s="128">
        <v>2333430.9247594224</v>
      </c>
      <c r="BG39" s="272">
        <v>0</v>
      </c>
      <c r="BH39">
        <v>2001</v>
      </c>
      <c r="BI39">
        <v>1277</v>
      </c>
      <c r="BJ39">
        <v>289</v>
      </c>
      <c r="BK39">
        <v>0</v>
      </c>
      <c r="BL39">
        <v>735</v>
      </c>
      <c r="BM39">
        <v>101</v>
      </c>
      <c r="BN39" s="128">
        <v>1177</v>
      </c>
      <c r="BO39" s="128">
        <v>0</v>
      </c>
      <c r="BP39" s="128">
        <v>108</v>
      </c>
      <c r="BQ39" s="128">
        <f t="shared" si="13"/>
        <v>31225738.325240575</v>
      </c>
      <c r="BR39">
        <v>20529</v>
      </c>
      <c r="BS39" s="128">
        <f t="shared" si="0"/>
        <v>1521.0550112153819</v>
      </c>
      <c r="BT39" t="s">
        <v>467</v>
      </c>
      <c r="BU39" s="129">
        <f t="shared" si="14"/>
        <v>1526.3158617195468</v>
      </c>
      <c r="BZ39" t="s">
        <v>410</v>
      </c>
      <c r="CA39">
        <v>1847.2734672835904</v>
      </c>
      <c r="CB39" t="s">
        <v>441</v>
      </c>
    </row>
    <row r="40" spans="1:80" ht="14.5" x14ac:dyDescent="0.25">
      <c r="A40" t="s">
        <v>244</v>
      </c>
      <c r="B40">
        <v>1021</v>
      </c>
      <c r="C40">
        <v>1079</v>
      </c>
      <c r="D40">
        <v>127</v>
      </c>
      <c r="E40">
        <f t="shared" si="1"/>
        <v>5163</v>
      </c>
      <c r="F40">
        <f t="shared" si="2"/>
        <v>1443</v>
      </c>
      <c r="G40">
        <f t="shared" si="3"/>
        <v>3248</v>
      </c>
      <c r="H40">
        <f t="shared" si="4"/>
        <v>101</v>
      </c>
      <c r="I40">
        <f t="shared" si="5"/>
        <v>643</v>
      </c>
      <c r="J40">
        <f t="shared" si="6"/>
        <v>2015</v>
      </c>
      <c r="K40">
        <f t="shared" si="7"/>
        <v>2471</v>
      </c>
      <c r="L40">
        <f t="shared" si="8"/>
        <v>5438</v>
      </c>
      <c r="M40">
        <f t="shared" si="9"/>
        <v>2335</v>
      </c>
      <c r="N40">
        <f t="shared" si="10"/>
        <v>979</v>
      </c>
      <c r="O40">
        <f t="shared" si="11"/>
        <v>26063</v>
      </c>
      <c r="Q40">
        <v>6203</v>
      </c>
      <c r="R40">
        <v>1002</v>
      </c>
      <c r="S40">
        <v>38</v>
      </c>
      <c r="T40">
        <v>1496</v>
      </c>
      <c r="U40">
        <v>0</v>
      </c>
      <c r="V40">
        <v>53</v>
      </c>
      <c r="W40">
        <v>3494</v>
      </c>
      <c r="X40">
        <v>0</v>
      </c>
      <c r="Y40">
        <v>246</v>
      </c>
      <c r="Z40" s="271">
        <v>101</v>
      </c>
      <c r="AA40">
        <v>0</v>
      </c>
      <c r="AB40">
        <v>0</v>
      </c>
      <c r="AC40">
        <v>1007</v>
      </c>
      <c r="AD40">
        <v>0</v>
      </c>
      <c r="AE40">
        <v>364</v>
      </c>
      <c r="AF40">
        <v>2101</v>
      </c>
      <c r="AG40">
        <v>0</v>
      </c>
      <c r="AH40">
        <v>86</v>
      </c>
      <c r="AI40">
        <v>2471</v>
      </c>
      <c r="AJ40">
        <v>0</v>
      </c>
      <c r="AK40">
        <v>0</v>
      </c>
      <c r="AL40">
        <v>5464</v>
      </c>
      <c r="AM40">
        <v>0</v>
      </c>
      <c r="AN40">
        <v>26</v>
      </c>
      <c r="AO40">
        <v>2589</v>
      </c>
      <c r="AP40">
        <v>0</v>
      </c>
      <c r="AQ40">
        <v>254</v>
      </c>
      <c r="AR40">
        <v>991</v>
      </c>
      <c r="AS40">
        <v>0</v>
      </c>
      <c r="AT40">
        <v>12</v>
      </c>
      <c r="AU40">
        <v>9287</v>
      </c>
      <c r="AV40">
        <v>19</v>
      </c>
      <c r="AW40">
        <v>0</v>
      </c>
      <c r="AX40">
        <f t="shared" si="12"/>
        <v>35331</v>
      </c>
      <c r="AZ40" t="s">
        <v>244</v>
      </c>
      <c r="BA40" s="128">
        <v>24838</v>
      </c>
      <c r="BB40" s="128">
        <v>138127</v>
      </c>
      <c r="BC40" s="128">
        <v>0</v>
      </c>
      <c r="BD40" s="128">
        <v>140399</v>
      </c>
      <c r="BE40" s="128">
        <v>252157</v>
      </c>
      <c r="BF40" s="128">
        <v>1652324</v>
      </c>
      <c r="BG40" s="272">
        <v>0</v>
      </c>
      <c r="BH40">
        <v>1165</v>
      </c>
      <c r="BI40">
        <v>1277</v>
      </c>
      <c r="BJ40">
        <v>178</v>
      </c>
      <c r="BK40">
        <v>201</v>
      </c>
      <c r="BL40">
        <v>914</v>
      </c>
      <c r="BM40">
        <v>64</v>
      </c>
      <c r="BN40" s="128">
        <v>22</v>
      </c>
      <c r="BO40" s="128">
        <v>0</v>
      </c>
      <c r="BP40" s="128">
        <v>778</v>
      </c>
      <c r="BQ40" s="128">
        <f t="shared" si="13"/>
        <v>18055993</v>
      </c>
      <c r="BR40">
        <v>11953</v>
      </c>
      <c r="BS40" s="128">
        <f t="shared" si="0"/>
        <v>1510.5825315820296</v>
      </c>
      <c r="BT40" t="s">
        <v>467</v>
      </c>
      <c r="BU40" s="129">
        <f t="shared" si="14"/>
        <v>1575.6707939429432</v>
      </c>
      <c r="BZ40" t="s">
        <v>132</v>
      </c>
      <c r="CA40">
        <v>2237.6071119068865</v>
      </c>
      <c r="CB40" t="s">
        <v>441</v>
      </c>
    </row>
    <row r="41" spans="1:80" ht="14.5" x14ac:dyDescent="0.25">
      <c r="A41" t="s">
        <v>245</v>
      </c>
      <c r="B41">
        <v>14260</v>
      </c>
      <c r="C41">
        <v>2372</v>
      </c>
      <c r="D41">
        <v>427</v>
      </c>
      <c r="E41">
        <f t="shared" si="1"/>
        <v>5550</v>
      </c>
      <c r="F41">
        <f t="shared" si="2"/>
        <v>1961</v>
      </c>
      <c r="G41">
        <f t="shared" si="3"/>
        <v>2792</v>
      </c>
      <c r="H41">
        <f t="shared" si="4"/>
        <v>102</v>
      </c>
      <c r="I41">
        <f t="shared" si="5"/>
        <v>1271</v>
      </c>
      <c r="J41">
        <f t="shared" si="6"/>
        <v>3421</v>
      </c>
      <c r="K41">
        <f t="shared" si="7"/>
        <v>6081</v>
      </c>
      <c r="L41">
        <f t="shared" si="8"/>
        <v>9859</v>
      </c>
      <c r="M41">
        <f t="shared" si="9"/>
        <v>5638</v>
      </c>
      <c r="N41">
        <f t="shared" si="10"/>
        <v>289</v>
      </c>
      <c r="O41">
        <f t="shared" si="11"/>
        <v>54023</v>
      </c>
      <c r="Q41">
        <v>13413</v>
      </c>
      <c r="R41">
        <v>7338</v>
      </c>
      <c r="S41">
        <v>525</v>
      </c>
      <c r="T41">
        <v>2586</v>
      </c>
      <c r="U41">
        <v>588</v>
      </c>
      <c r="V41">
        <v>37</v>
      </c>
      <c r="W41">
        <v>3658</v>
      </c>
      <c r="X41">
        <v>690</v>
      </c>
      <c r="Y41">
        <v>176</v>
      </c>
      <c r="Z41" s="271">
        <v>112</v>
      </c>
      <c r="AA41">
        <v>0</v>
      </c>
      <c r="AB41">
        <v>10</v>
      </c>
      <c r="AC41">
        <v>2102</v>
      </c>
      <c r="AD41">
        <v>146</v>
      </c>
      <c r="AE41">
        <v>685</v>
      </c>
      <c r="AF41">
        <v>5642</v>
      </c>
      <c r="AG41">
        <v>1998</v>
      </c>
      <c r="AH41">
        <v>223</v>
      </c>
      <c r="AI41">
        <v>6107</v>
      </c>
      <c r="AJ41">
        <v>26</v>
      </c>
      <c r="AK41">
        <v>0</v>
      </c>
      <c r="AL41">
        <v>10408</v>
      </c>
      <c r="AM41">
        <v>549</v>
      </c>
      <c r="AN41">
        <v>0</v>
      </c>
      <c r="AO41">
        <v>7812</v>
      </c>
      <c r="AP41">
        <v>1458</v>
      </c>
      <c r="AQ41">
        <v>716</v>
      </c>
      <c r="AR41">
        <v>1756</v>
      </c>
      <c r="AS41">
        <v>1467</v>
      </c>
      <c r="AT41">
        <v>0</v>
      </c>
      <c r="AU41">
        <v>0</v>
      </c>
      <c r="AV41">
        <v>0</v>
      </c>
      <c r="AW41">
        <v>0</v>
      </c>
      <c r="AX41">
        <f t="shared" si="12"/>
        <v>54023</v>
      </c>
      <c r="AZ41" t="s">
        <v>245</v>
      </c>
      <c r="BA41" s="128">
        <v>51224</v>
      </c>
      <c r="BB41" s="128">
        <v>222319</v>
      </c>
      <c r="BC41" s="128">
        <v>0</v>
      </c>
      <c r="BD41" s="128">
        <v>832410</v>
      </c>
      <c r="BE41" s="128">
        <v>371640.6333333333</v>
      </c>
      <c r="BF41" s="128">
        <v>2867629.3225725284</v>
      </c>
      <c r="BG41" s="272">
        <v>288656.31736033503</v>
      </c>
      <c r="BH41">
        <v>3023</v>
      </c>
      <c r="BI41">
        <v>3349</v>
      </c>
      <c r="BJ41">
        <v>348</v>
      </c>
      <c r="BK41">
        <v>303</v>
      </c>
      <c r="BL41">
        <v>726</v>
      </c>
      <c r="BM41">
        <v>54</v>
      </c>
      <c r="BN41" s="128">
        <v>1472</v>
      </c>
      <c r="BO41" s="128">
        <v>1788</v>
      </c>
      <c r="BP41" s="128">
        <v>1065</v>
      </c>
      <c r="BQ41" s="128">
        <f t="shared" si="13"/>
        <v>34513344.726733804</v>
      </c>
      <c r="BR41">
        <v>23478</v>
      </c>
      <c r="BS41" s="128">
        <f t="shared" si="0"/>
        <v>1470.0291646108615</v>
      </c>
      <c r="BT41" t="s">
        <v>467</v>
      </c>
      <c r="BU41" s="129">
        <f t="shared" si="14"/>
        <v>1515.3907797399183</v>
      </c>
      <c r="BZ41" t="s">
        <v>303</v>
      </c>
      <c r="CA41">
        <v>2198.8954177536898</v>
      </c>
      <c r="CB41" t="s">
        <v>441</v>
      </c>
    </row>
    <row r="42" spans="1:80" ht="14.5" x14ac:dyDescent="0.25">
      <c r="A42" t="s">
        <v>287</v>
      </c>
      <c r="B42">
        <v>15164</v>
      </c>
      <c r="C42">
        <v>5798</v>
      </c>
      <c r="D42">
        <v>2725</v>
      </c>
      <c r="E42">
        <f t="shared" si="1"/>
        <v>2839</v>
      </c>
      <c r="F42">
        <f t="shared" si="2"/>
        <v>2630</v>
      </c>
      <c r="G42">
        <f t="shared" si="3"/>
        <v>4030</v>
      </c>
      <c r="H42">
        <f t="shared" si="4"/>
        <v>861</v>
      </c>
      <c r="I42">
        <f t="shared" si="5"/>
        <v>1951</v>
      </c>
      <c r="J42">
        <f t="shared" si="6"/>
        <v>4974</v>
      </c>
      <c r="K42">
        <f t="shared" si="7"/>
        <v>9114</v>
      </c>
      <c r="L42">
        <f t="shared" si="8"/>
        <v>16765</v>
      </c>
      <c r="M42">
        <f t="shared" si="9"/>
        <v>8074</v>
      </c>
      <c r="N42">
        <f t="shared" si="10"/>
        <v>2318</v>
      </c>
      <c r="O42">
        <f t="shared" si="11"/>
        <v>77243</v>
      </c>
      <c r="Q42">
        <v>12097</v>
      </c>
      <c r="R42">
        <v>8553</v>
      </c>
      <c r="S42">
        <v>705</v>
      </c>
      <c r="T42">
        <v>3087</v>
      </c>
      <c r="U42">
        <v>452</v>
      </c>
      <c r="V42">
        <v>5</v>
      </c>
      <c r="W42">
        <v>6670</v>
      </c>
      <c r="X42">
        <v>887</v>
      </c>
      <c r="Y42">
        <v>1753</v>
      </c>
      <c r="Z42" s="271">
        <v>1463</v>
      </c>
      <c r="AA42">
        <v>588</v>
      </c>
      <c r="AB42">
        <v>14</v>
      </c>
      <c r="AC42">
        <v>2807</v>
      </c>
      <c r="AD42">
        <v>228</v>
      </c>
      <c r="AE42">
        <v>628</v>
      </c>
      <c r="AF42">
        <v>7055</v>
      </c>
      <c r="AG42">
        <v>1057</v>
      </c>
      <c r="AH42">
        <v>1024</v>
      </c>
      <c r="AI42">
        <v>9139</v>
      </c>
      <c r="AJ42">
        <v>25</v>
      </c>
      <c r="AK42">
        <v>0</v>
      </c>
      <c r="AL42">
        <v>18321</v>
      </c>
      <c r="AM42">
        <v>1420</v>
      </c>
      <c r="AN42">
        <v>136</v>
      </c>
      <c r="AO42">
        <v>10316</v>
      </c>
      <c r="AP42">
        <v>737</v>
      </c>
      <c r="AQ42">
        <v>1505</v>
      </c>
      <c r="AR42">
        <v>3563</v>
      </c>
      <c r="AS42">
        <v>1217</v>
      </c>
      <c r="AT42">
        <v>28</v>
      </c>
      <c r="AU42">
        <v>9954</v>
      </c>
      <c r="AV42">
        <v>0</v>
      </c>
      <c r="AW42">
        <v>0</v>
      </c>
      <c r="AX42">
        <f t="shared" si="12"/>
        <v>87197</v>
      </c>
      <c r="AZ42" t="s">
        <v>287</v>
      </c>
      <c r="BA42" s="128">
        <v>68720</v>
      </c>
      <c r="BB42" s="128">
        <v>1035734</v>
      </c>
      <c r="BC42" s="128">
        <v>0</v>
      </c>
      <c r="BD42" s="128">
        <v>1171518</v>
      </c>
      <c r="BE42" s="128">
        <v>494902</v>
      </c>
      <c r="BF42" s="128">
        <v>5117910.47597617</v>
      </c>
      <c r="BG42" s="272">
        <v>0</v>
      </c>
      <c r="BH42">
        <v>4810</v>
      </c>
      <c r="BI42">
        <v>4603</v>
      </c>
      <c r="BJ42">
        <v>382</v>
      </c>
      <c r="BK42">
        <v>455</v>
      </c>
      <c r="BL42">
        <v>1864</v>
      </c>
      <c r="BM42">
        <v>158</v>
      </c>
      <c r="BN42" s="128">
        <v>1063</v>
      </c>
      <c r="BO42" s="128">
        <v>0</v>
      </c>
      <c r="BP42" s="128">
        <v>1050</v>
      </c>
      <c r="BQ42" s="128">
        <f t="shared" si="13"/>
        <v>46514935.524023831</v>
      </c>
      <c r="BR42">
        <v>35281</v>
      </c>
      <c r="BS42" s="128">
        <f t="shared" si="0"/>
        <v>1318.4131834138441</v>
      </c>
      <c r="BT42" t="s">
        <v>467</v>
      </c>
      <c r="BU42" s="129">
        <f t="shared" si="14"/>
        <v>1348.1742446082546</v>
      </c>
      <c r="BZ42" t="s">
        <v>431</v>
      </c>
      <c r="CA42">
        <v>2213.4203159708659</v>
      </c>
      <c r="CB42" t="s">
        <v>441</v>
      </c>
    </row>
    <row r="43" spans="1:80" ht="14.5" x14ac:dyDescent="0.25">
      <c r="A43" t="s">
        <v>351</v>
      </c>
      <c r="B43">
        <v>4929</v>
      </c>
      <c r="C43">
        <v>982</v>
      </c>
      <c r="D43">
        <v>444</v>
      </c>
      <c r="E43">
        <f t="shared" si="1"/>
        <v>2552</v>
      </c>
      <c r="F43">
        <f t="shared" si="2"/>
        <v>739</v>
      </c>
      <c r="G43">
        <f t="shared" si="3"/>
        <v>602</v>
      </c>
      <c r="H43">
        <f t="shared" si="4"/>
        <v>733</v>
      </c>
      <c r="I43">
        <f t="shared" si="5"/>
        <v>525</v>
      </c>
      <c r="J43">
        <f t="shared" si="6"/>
        <v>1254</v>
      </c>
      <c r="K43">
        <f t="shared" si="7"/>
        <v>3290</v>
      </c>
      <c r="L43">
        <f t="shared" si="8"/>
        <v>4773</v>
      </c>
      <c r="M43">
        <f t="shared" si="9"/>
        <v>2563</v>
      </c>
      <c r="N43">
        <f t="shared" si="10"/>
        <v>314</v>
      </c>
      <c r="O43">
        <f t="shared" si="11"/>
        <v>23700</v>
      </c>
      <c r="Q43">
        <v>5814</v>
      </c>
      <c r="R43">
        <v>3045</v>
      </c>
      <c r="S43">
        <v>217</v>
      </c>
      <c r="T43">
        <v>788</v>
      </c>
      <c r="U43">
        <v>49</v>
      </c>
      <c r="V43">
        <v>0</v>
      </c>
      <c r="W43">
        <v>917</v>
      </c>
      <c r="X43">
        <v>154</v>
      </c>
      <c r="Y43">
        <v>161</v>
      </c>
      <c r="Z43" s="271">
        <v>796</v>
      </c>
      <c r="AA43">
        <v>34</v>
      </c>
      <c r="AB43">
        <v>29</v>
      </c>
      <c r="AC43">
        <v>835</v>
      </c>
      <c r="AD43">
        <v>63</v>
      </c>
      <c r="AE43">
        <v>247</v>
      </c>
      <c r="AF43">
        <v>1531</v>
      </c>
      <c r="AG43">
        <v>183</v>
      </c>
      <c r="AH43">
        <v>94</v>
      </c>
      <c r="AI43">
        <v>3372</v>
      </c>
      <c r="AJ43">
        <v>82</v>
      </c>
      <c r="AK43">
        <v>0</v>
      </c>
      <c r="AL43">
        <v>5296</v>
      </c>
      <c r="AM43">
        <v>359</v>
      </c>
      <c r="AN43">
        <v>164</v>
      </c>
      <c r="AO43">
        <v>2987</v>
      </c>
      <c r="AP43">
        <v>354</v>
      </c>
      <c r="AQ43">
        <v>70</v>
      </c>
      <c r="AR43">
        <v>736</v>
      </c>
      <c r="AS43">
        <v>422</v>
      </c>
      <c r="AT43">
        <v>0</v>
      </c>
      <c r="AU43">
        <v>8365</v>
      </c>
      <c r="AV43">
        <v>184</v>
      </c>
      <c r="AW43">
        <v>0</v>
      </c>
      <c r="AX43">
        <f t="shared" si="12"/>
        <v>31881</v>
      </c>
      <c r="AZ43" t="s">
        <v>351</v>
      </c>
      <c r="BA43" s="128">
        <v>22090</v>
      </c>
      <c r="BB43" s="128">
        <v>50272</v>
      </c>
      <c r="BC43" s="128">
        <v>0</v>
      </c>
      <c r="BD43" s="128">
        <v>1222575</v>
      </c>
      <c r="BE43" s="128">
        <v>241708</v>
      </c>
      <c r="BF43" s="128">
        <v>1295042</v>
      </c>
      <c r="BG43" s="272">
        <v>0</v>
      </c>
      <c r="BH43">
        <v>1076</v>
      </c>
      <c r="BI43">
        <v>840</v>
      </c>
      <c r="BJ43">
        <v>129</v>
      </c>
      <c r="BK43">
        <v>102</v>
      </c>
      <c r="BL43">
        <v>345</v>
      </c>
      <c r="BM43">
        <v>118</v>
      </c>
      <c r="BN43" s="128">
        <v>30</v>
      </c>
      <c r="BO43" s="128">
        <v>0</v>
      </c>
      <c r="BP43" s="128">
        <v>24</v>
      </c>
      <c r="BQ43" s="128">
        <f t="shared" si="13"/>
        <v>16616403</v>
      </c>
      <c r="BR43">
        <v>10959</v>
      </c>
      <c r="BS43" s="128">
        <f t="shared" si="0"/>
        <v>1516.2335067068163</v>
      </c>
      <c r="BT43" t="s">
        <v>467</v>
      </c>
      <c r="BU43" s="129">
        <f t="shared" si="14"/>
        <v>1518.423487544484</v>
      </c>
      <c r="BZ43" t="s">
        <v>413</v>
      </c>
      <c r="CA43">
        <v>3716.5591063540041</v>
      </c>
      <c r="CB43" t="s">
        <v>441</v>
      </c>
    </row>
    <row r="44" spans="1:80" ht="14.5" x14ac:dyDescent="0.25">
      <c r="A44" t="s">
        <v>108</v>
      </c>
      <c r="B44">
        <v>15194</v>
      </c>
      <c r="C44">
        <v>3386</v>
      </c>
      <c r="D44">
        <v>772</v>
      </c>
      <c r="E44">
        <f t="shared" si="1"/>
        <v>5536</v>
      </c>
      <c r="F44">
        <f t="shared" si="2"/>
        <v>1541</v>
      </c>
      <c r="G44">
        <f t="shared" si="3"/>
        <v>980</v>
      </c>
      <c r="H44">
        <f t="shared" si="4"/>
        <v>341</v>
      </c>
      <c r="I44">
        <f t="shared" si="5"/>
        <v>1823</v>
      </c>
      <c r="J44">
        <f t="shared" si="6"/>
        <v>3942</v>
      </c>
      <c r="K44">
        <f t="shared" si="7"/>
        <v>14534</v>
      </c>
      <c r="L44">
        <f t="shared" si="8"/>
        <v>16921</v>
      </c>
      <c r="M44">
        <f t="shared" si="9"/>
        <v>3365</v>
      </c>
      <c r="N44">
        <f t="shared" si="10"/>
        <v>751</v>
      </c>
      <c r="O44">
        <f t="shared" si="11"/>
        <v>69086</v>
      </c>
      <c r="Q44">
        <v>12451</v>
      </c>
      <c r="R44">
        <v>6661</v>
      </c>
      <c r="S44">
        <v>254</v>
      </c>
      <c r="T44">
        <v>1630</v>
      </c>
      <c r="U44">
        <v>65</v>
      </c>
      <c r="V44">
        <v>24</v>
      </c>
      <c r="W44">
        <v>3343</v>
      </c>
      <c r="X44">
        <v>986</v>
      </c>
      <c r="Y44">
        <v>1377</v>
      </c>
      <c r="Z44" s="271">
        <v>562</v>
      </c>
      <c r="AA44">
        <v>221</v>
      </c>
      <c r="AB44">
        <v>0</v>
      </c>
      <c r="AC44">
        <v>2325</v>
      </c>
      <c r="AD44">
        <v>251</v>
      </c>
      <c r="AE44">
        <v>251</v>
      </c>
      <c r="AF44">
        <v>6516</v>
      </c>
      <c r="AG44">
        <v>2125</v>
      </c>
      <c r="AH44">
        <v>449</v>
      </c>
      <c r="AI44">
        <v>14710</v>
      </c>
      <c r="AJ44">
        <v>176</v>
      </c>
      <c r="AK44">
        <v>0</v>
      </c>
      <c r="AL44">
        <v>18292</v>
      </c>
      <c r="AM44">
        <v>1371</v>
      </c>
      <c r="AN44">
        <v>0</v>
      </c>
      <c r="AO44">
        <v>5945</v>
      </c>
      <c r="AP44">
        <v>1715</v>
      </c>
      <c r="AQ44">
        <v>865</v>
      </c>
      <c r="AR44">
        <v>2476</v>
      </c>
      <c r="AS44">
        <v>1559</v>
      </c>
      <c r="AT44">
        <v>166</v>
      </c>
      <c r="AU44">
        <v>198</v>
      </c>
      <c r="AV44">
        <v>64</v>
      </c>
      <c r="AW44">
        <v>0</v>
      </c>
      <c r="AX44">
        <f t="shared" si="12"/>
        <v>69220</v>
      </c>
      <c r="AZ44" t="s">
        <v>108</v>
      </c>
      <c r="BA44" s="128">
        <v>64864</v>
      </c>
      <c r="BB44" s="128">
        <v>1733725</v>
      </c>
      <c r="BC44" s="128">
        <v>0</v>
      </c>
      <c r="BD44" s="128">
        <v>4562168</v>
      </c>
      <c r="BE44" s="128">
        <v>503404</v>
      </c>
      <c r="BF44" s="128">
        <v>7606949.6529940628</v>
      </c>
      <c r="BG44" s="272">
        <v>0</v>
      </c>
      <c r="BH44">
        <v>3108</v>
      </c>
      <c r="BI44">
        <v>2399</v>
      </c>
      <c r="BJ44">
        <v>329</v>
      </c>
      <c r="BK44">
        <v>158</v>
      </c>
      <c r="BL44">
        <v>443</v>
      </c>
      <c r="BM44">
        <v>27</v>
      </c>
      <c r="BN44" s="128">
        <v>1566</v>
      </c>
      <c r="BO44" s="128">
        <v>0</v>
      </c>
      <c r="BP44" s="128">
        <v>38</v>
      </c>
      <c r="BQ44" s="128">
        <f t="shared" si="13"/>
        <v>42389753.347005934</v>
      </c>
      <c r="BR44">
        <v>25596</v>
      </c>
      <c r="BS44" s="128">
        <f t="shared" si="0"/>
        <v>1656.1085070716492</v>
      </c>
      <c r="BT44" t="s">
        <v>118</v>
      </c>
      <c r="BU44" s="129">
        <f t="shared" si="14"/>
        <v>1657.5931140414882</v>
      </c>
      <c r="BZ44" t="s">
        <v>112</v>
      </c>
      <c r="CA44">
        <v>1850.2295949793543</v>
      </c>
      <c r="CB44" t="s">
        <v>441</v>
      </c>
    </row>
    <row r="45" spans="1:80" ht="14.5" x14ac:dyDescent="0.25">
      <c r="A45" t="s">
        <v>142</v>
      </c>
      <c r="B45">
        <v>9996</v>
      </c>
      <c r="C45">
        <v>3108</v>
      </c>
      <c r="D45">
        <v>1569</v>
      </c>
      <c r="E45">
        <f t="shared" si="1"/>
        <v>5249</v>
      </c>
      <c r="F45">
        <f t="shared" si="2"/>
        <v>1521</v>
      </c>
      <c r="G45">
        <f t="shared" si="3"/>
        <v>1441</v>
      </c>
      <c r="H45">
        <f t="shared" si="4"/>
        <v>2919</v>
      </c>
      <c r="I45">
        <f t="shared" si="5"/>
        <v>1444</v>
      </c>
      <c r="J45">
        <f t="shared" si="6"/>
        <v>4420</v>
      </c>
      <c r="K45">
        <f t="shared" si="7"/>
        <v>9697</v>
      </c>
      <c r="L45">
        <f t="shared" si="8"/>
        <v>14639</v>
      </c>
      <c r="M45">
        <f t="shared" si="9"/>
        <v>4380</v>
      </c>
      <c r="N45">
        <f t="shared" si="10"/>
        <v>203</v>
      </c>
      <c r="O45">
        <f t="shared" si="11"/>
        <v>60586</v>
      </c>
      <c r="Q45">
        <v>12014</v>
      </c>
      <c r="R45">
        <v>5939</v>
      </c>
      <c r="S45">
        <v>826</v>
      </c>
      <c r="T45">
        <v>1679</v>
      </c>
      <c r="U45">
        <v>158</v>
      </c>
      <c r="V45">
        <v>0</v>
      </c>
      <c r="W45">
        <v>2343</v>
      </c>
      <c r="X45">
        <v>509</v>
      </c>
      <c r="Y45">
        <v>393</v>
      </c>
      <c r="Z45" s="271">
        <v>2956</v>
      </c>
      <c r="AA45">
        <v>20</v>
      </c>
      <c r="AB45">
        <v>17</v>
      </c>
      <c r="AC45">
        <v>2343</v>
      </c>
      <c r="AD45">
        <v>70</v>
      </c>
      <c r="AE45">
        <v>829</v>
      </c>
      <c r="AF45">
        <v>5680</v>
      </c>
      <c r="AG45">
        <v>555</v>
      </c>
      <c r="AH45">
        <v>705</v>
      </c>
      <c r="AI45">
        <v>9697</v>
      </c>
      <c r="AJ45">
        <v>0</v>
      </c>
      <c r="AK45">
        <v>0</v>
      </c>
      <c r="AL45">
        <v>16186</v>
      </c>
      <c r="AM45">
        <v>1535</v>
      </c>
      <c r="AN45">
        <v>12</v>
      </c>
      <c r="AO45">
        <v>4953</v>
      </c>
      <c r="AP45">
        <v>247</v>
      </c>
      <c r="AQ45">
        <v>326</v>
      </c>
      <c r="AR45">
        <v>1166</v>
      </c>
      <c r="AS45">
        <v>963</v>
      </c>
      <c r="AT45">
        <v>0</v>
      </c>
      <c r="AU45">
        <v>6778</v>
      </c>
      <c r="AV45">
        <v>0</v>
      </c>
      <c r="AW45">
        <v>0</v>
      </c>
      <c r="AX45">
        <f t="shared" si="12"/>
        <v>67364</v>
      </c>
      <c r="AZ45" t="s">
        <v>142</v>
      </c>
      <c r="BA45" s="128">
        <v>55909</v>
      </c>
      <c r="BB45" s="128">
        <v>1597723</v>
      </c>
      <c r="BC45" s="128">
        <v>0</v>
      </c>
      <c r="BD45" s="128">
        <v>2595987</v>
      </c>
      <c r="BE45" s="128">
        <v>445443</v>
      </c>
      <c r="BF45" s="128">
        <v>4602042.6848809998</v>
      </c>
      <c r="BG45" s="272">
        <v>0</v>
      </c>
      <c r="BH45">
        <v>1813</v>
      </c>
      <c r="BI45">
        <v>2009</v>
      </c>
      <c r="BJ45">
        <v>184</v>
      </c>
      <c r="BK45">
        <v>122</v>
      </c>
      <c r="BL45">
        <v>450</v>
      </c>
      <c r="BM45">
        <v>87</v>
      </c>
      <c r="BN45" s="128">
        <v>0</v>
      </c>
      <c r="BO45" s="128">
        <v>0</v>
      </c>
      <c r="BP45" s="128">
        <v>10</v>
      </c>
      <c r="BQ45" s="128">
        <f t="shared" si="13"/>
        <v>41992804.315118998</v>
      </c>
      <c r="BR45">
        <v>23667</v>
      </c>
      <c r="BS45" s="128">
        <f t="shared" si="0"/>
        <v>1774.3188538944098</v>
      </c>
      <c r="BT45" t="s">
        <v>118</v>
      </c>
      <c r="BU45" s="129">
        <f t="shared" si="14"/>
        <v>1774.7413831545612</v>
      </c>
      <c r="BZ45" t="s">
        <v>334</v>
      </c>
      <c r="CA45">
        <v>2125.9664841072868</v>
      </c>
      <c r="CB45" t="s">
        <v>441</v>
      </c>
    </row>
    <row r="46" spans="1:80" ht="14.5" x14ac:dyDescent="0.25">
      <c r="A46" t="s">
        <v>330</v>
      </c>
      <c r="B46">
        <v>11863</v>
      </c>
      <c r="C46">
        <v>1844</v>
      </c>
      <c r="D46">
        <v>436</v>
      </c>
      <c r="E46">
        <f t="shared" si="1"/>
        <v>4614</v>
      </c>
      <c r="F46">
        <f t="shared" si="2"/>
        <v>1968</v>
      </c>
      <c r="G46">
        <f t="shared" si="3"/>
        <v>2984</v>
      </c>
      <c r="H46">
        <f t="shared" si="4"/>
        <v>158</v>
      </c>
      <c r="I46">
        <f t="shared" si="5"/>
        <v>1951</v>
      </c>
      <c r="J46">
        <f t="shared" si="6"/>
        <v>2542</v>
      </c>
      <c r="K46">
        <f t="shared" si="7"/>
        <v>6833</v>
      </c>
      <c r="L46">
        <f t="shared" si="8"/>
        <v>15684</v>
      </c>
      <c r="M46">
        <f t="shared" si="9"/>
        <v>5063</v>
      </c>
      <c r="N46">
        <f t="shared" si="10"/>
        <v>296</v>
      </c>
      <c r="O46">
        <f t="shared" si="11"/>
        <v>56236</v>
      </c>
      <c r="Q46">
        <v>9823</v>
      </c>
      <c r="R46">
        <v>4825</v>
      </c>
      <c r="S46">
        <v>384</v>
      </c>
      <c r="T46">
        <v>2473</v>
      </c>
      <c r="U46">
        <v>370</v>
      </c>
      <c r="V46">
        <v>135</v>
      </c>
      <c r="W46">
        <v>3835</v>
      </c>
      <c r="X46">
        <v>662</v>
      </c>
      <c r="Y46">
        <v>189</v>
      </c>
      <c r="Z46" s="271">
        <v>355</v>
      </c>
      <c r="AA46">
        <v>197</v>
      </c>
      <c r="AB46">
        <v>0</v>
      </c>
      <c r="AC46">
        <v>2663</v>
      </c>
      <c r="AD46">
        <v>224</v>
      </c>
      <c r="AE46">
        <v>488</v>
      </c>
      <c r="AF46">
        <v>4168</v>
      </c>
      <c r="AG46">
        <v>1425</v>
      </c>
      <c r="AH46">
        <v>201</v>
      </c>
      <c r="AI46">
        <v>6853</v>
      </c>
      <c r="AJ46">
        <v>20</v>
      </c>
      <c r="AK46">
        <v>0</v>
      </c>
      <c r="AL46">
        <v>17304</v>
      </c>
      <c r="AM46">
        <v>1392</v>
      </c>
      <c r="AN46">
        <v>228</v>
      </c>
      <c r="AO46">
        <v>6656</v>
      </c>
      <c r="AP46">
        <v>1374</v>
      </c>
      <c r="AQ46">
        <v>219</v>
      </c>
      <c r="AR46">
        <v>1432</v>
      </c>
      <c r="AS46">
        <v>1136</v>
      </c>
      <c r="AT46">
        <v>0</v>
      </c>
      <c r="AU46">
        <v>1800</v>
      </c>
      <c r="AV46">
        <v>238</v>
      </c>
      <c r="AW46">
        <v>0</v>
      </c>
      <c r="AX46">
        <f t="shared" si="12"/>
        <v>57798</v>
      </c>
      <c r="AZ46" t="s">
        <v>330</v>
      </c>
      <c r="BA46" s="128">
        <v>53718</v>
      </c>
      <c r="BB46" s="128">
        <v>940582</v>
      </c>
      <c r="BC46" s="128">
        <v>0</v>
      </c>
      <c r="BD46" s="128">
        <v>1626146</v>
      </c>
      <c r="BE46" s="128">
        <v>833825</v>
      </c>
      <c r="BF46" s="128">
        <v>3459973.136787273</v>
      </c>
      <c r="BG46" s="272">
        <v>1213.4585839286447</v>
      </c>
      <c r="BH46">
        <v>1762</v>
      </c>
      <c r="BI46">
        <v>3037</v>
      </c>
      <c r="BJ46">
        <v>298</v>
      </c>
      <c r="BK46">
        <v>324</v>
      </c>
      <c r="BL46">
        <v>372</v>
      </c>
      <c r="BM46">
        <v>181</v>
      </c>
      <c r="BN46" s="128">
        <v>30</v>
      </c>
      <c r="BO46" s="128">
        <v>0</v>
      </c>
      <c r="BP46" s="128">
        <v>1332</v>
      </c>
      <c r="BQ46" s="128">
        <f t="shared" si="13"/>
        <v>39520260.404628798</v>
      </c>
      <c r="BR46">
        <v>22818</v>
      </c>
      <c r="BS46" s="128">
        <f t="shared" si="0"/>
        <v>1731.9774040068717</v>
      </c>
      <c r="BT46" t="s">
        <v>467</v>
      </c>
      <c r="BU46" s="129">
        <f t="shared" si="14"/>
        <v>1790.352371138084</v>
      </c>
      <c r="BZ46" t="s">
        <v>602</v>
      </c>
      <c r="CA46">
        <v>2240.2801558360825</v>
      </c>
      <c r="CB46" t="s">
        <v>441</v>
      </c>
    </row>
    <row r="47" spans="1:80" ht="14.5" x14ac:dyDescent="0.25">
      <c r="A47" t="s">
        <v>353</v>
      </c>
      <c r="B47">
        <v>1403</v>
      </c>
      <c r="C47">
        <v>7234</v>
      </c>
      <c r="D47">
        <v>1036</v>
      </c>
      <c r="E47">
        <f t="shared" si="1"/>
        <v>7656</v>
      </c>
      <c r="F47">
        <f t="shared" si="2"/>
        <v>2643</v>
      </c>
      <c r="G47">
        <f t="shared" si="3"/>
        <v>5116</v>
      </c>
      <c r="H47">
        <f t="shared" si="4"/>
        <v>2986</v>
      </c>
      <c r="I47">
        <f t="shared" si="5"/>
        <v>2827</v>
      </c>
      <c r="J47">
        <f t="shared" si="6"/>
        <v>6475</v>
      </c>
      <c r="K47">
        <f t="shared" si="7"/>
        <v>19518</v>
      </c>
      <c r="L47">
        <f t="shared" si="8"/>
        <v>24753</v>
      </c>
      <c r="M47">
        <f t="shared" si="9"/>
        <v>8214</v>
      </c>
      <c r="N47">
        <f t="shared" si="10"/>
        <v>2323</v>
      </c>
      <c r="O47">
        <f t="shared" si="11"/>
        <v>92184</v>
      </c>
      <c r="Q47">
        <v>12843</v>
      </c>
      <c r="R47">
        <v>1403</v>
      </c>
      <c r="S47">
        <v>3784</v>
      </c>
      <c r="T47">
        <v>2654</v>
      </c>
      <c r="U47">
        <v>0</v>
      </c>
      <c r="V47">
        <v>11</v>
      </c>
      <c r="W47">
        <v>5793</v>
      </c>
      <c r="X47">
        <v>0</v>
      </c>
      <c r="Y47">
        <v>677</v>
      </c>
      <c r="Z47" s="271">
        <v>2986</v>
      </c>
      <c r="AA47">
        <v>0</v>
      </c>
      <c r="AB47">
        <v>0</v>
      </c>
      <c r="AC47">
        <v>3848</v>
      </c>
      <c r="AD47">
        <v>0</v>
      </c>
      <c r="AE47">
        <v>1021</v>
      </c>
      <c r="AF47">
        <v>7020</v>
      </c>
      <c r="AG47">
        <v>0</v>
      </c>
      <c r="AH47">
        <v>545</v>
      </c>
      <c r="AI47">
        <v>19518</v>
      </c>
      <c r="AJ47">
        <v>0</v>
      </c>
      <c r="AK47">
        <v>0</v>
      </c>
      <c r="AL47">
        <v>24753</v>
      </c>
      <c r="AM47">
        <v>0</v>
      </c>
      <c r="AN47">
        <v>0</v>
      </c>
      <c r="AO47">
        <v>9407</v>
      </c>
      <c r="AP47">
        <v>0</v>
      </c>
      <c r="AQ47">
        <v>1193</v>
      </c>
      <c r="AR47">
        <v>2326</v>
      </c>
      <c r="AS47">
        <v>0</v>
      </c>
      <c r="AT47">
        <v>3</v>
      </c>
      <c r="AU47">
        <v>456</v>
      </c>
      <c r="AV47">
        <v>0</v>
      </c>
      <c r="AW47">
        <v>0</v>
      </c>
      <c r="AX47">
        <f t="shared" si="12"/>
        <v>92640</v>
      </c>
      <c r="AZ47" t="s">
        <v>353</v>
      </c>
      <c r="BA47" s="128">
        <v>83914</v>
      </c>
      <c r="BB47" s="128">
        <v>4251945.6800168045</v>
      </c>
      <c r="BC47" s="128">
        <v>0</v>
      </c>
      <c r="BD47" s="128">
        <v>8807520.4771040473</v>
      </c>
      <c r="BE47" s="128">
        <v>506145.62050133036</v>
      </c>
      <c r="BF47" s="128">
        <v>7553289.5285686105</v>
      </c>
      <c r="BG47" s="272">
        <v>146409.17958270572</v>
      </c>
      <c r="BH47">
        <v>3221</v>
      </c>
      <c r="BI47">
        <v>3091</v>
      </c>
      <c r="BJ47">
        <v>453</v>
      </c>
      <c r="BK47">
        <v>187</v>
      </c>
      <c r="BL47">
        <v>1033</v>
      </c>
      <c r="BM47">
        <v>132</v>
      </c>
      <c r="BN47" s="128">
        <v>47.172244783643748</v>
      </c>
      <c r="BO47" s="128">
        <v>325</v>
      </c>
      <c r="BP47" s="128">
        <v>38</v>
      </c>
      <c r="BQ47" s="128">
        <f t="shared" si="13"/>
        <v>54121517.269442856</v>
      </c>
      <c r="BR47">
        <v>32962</v>
      </c>
      <c r="BS47" s="128">
        <f t="shared" si="0"/>
        <v>1641.9366928415404</v>
      </c>
      <c r="BT47" t="s">
        <v>118</v>
      </c>
      <c r="BU47" s="129">
        <f t="shared" si="14"/>
        <v>1643.0895355088544</v>
      </c>
      <c r="BZ47" t="s">
        <v>193</v>
      </c>
      <c r="CA47">
        <v>2258.7253437304862</v>
      </c>
      <c r="CB47" t="s">
        <v>441</v>
      </c>
    </row>
    <row r="48" spans="1:80" ht="14.5" x14ac:dyDescent="0.25">
      <c r="A48" t="s">
        <v>354</v>
      </c>
      <c r="B48">
        <v>162642</v>
      </c>
      <c r="C48">
        <v>32186</v>
      </c>
      <c r="D48">
        <v>8647</v>
      </c>
      <c r="E48">
        <f t="shared" si="1"/>
        <v>24259</v>
      </c>
      <c r="F48">
        <f t="shared" si="2"/>
        <v>17382</v>
      </c>
      <c r="G48">
        <f t="shared" si="3"/>
        <v>24413</v>
      </c>
      <c r="H48">
        <f t="shared" si="4"/>
        <v>18677</v>
      </c>
      <c r="I48">
        <f t="shared" si="5"/>
        <v>30598</v>
      </c>
      <c r="J48">
        <f t="shared" si="6"/>
        <v>46331</v>
      </c>
      <c r="K48">
        <f t="shared" si="7"/>
        <v>85117</v>
      </c>
      <c r="L48">
        <f t="shared" si="8"/>
        <v>170955</v>
      </c>
      <c r="M48">
        <f t="shared" si="9"/>
        <v>37249</v>
      </c>
      <c r="N48">
        <f t="shared" si="10"/>
        <v>6041</v>
      </c>
      <c r="O48">
        <f t="shared" si="11"/>
        <v>664497</v>
      </c>
      <c r="Q48">
        <v>89898</v>
      </c>
      <c r="R48">
        <v>60796</v>
      </c>
      <c r="S48">
        <v>4843</v>
      </c>
      <c r="T48">
        <v>26139</v>
      </c>
      <c r="U48">
        <v>8455</v>
      </c>
      <c r="V48">
        <v>302</v>
      </c>
      <c r="W48">
        <v>38517</v>
      </c>
      <c r="X48">
        <v>8675</v>
      </c>
      <c r="Y48">
        <v>5429</v>
      </c>
      <c r="Z48" s="271">
        <v>22178</v>
      </c>
      <c r="AA48">
        <v>2803</v>
      </c>
      <c r="AB48">
        <v>698</v>
      </c>
      <c r="AC48">
        <v>33197</v>
      </c>
      <c r="AD48">
        <v>805</v>
      </c>
      <c r="AE48">
        <v>1794</v>
      </c>
      <c r="AF48">
        <v>58904</v>
      </c>
      <c r="AG48">
        <v>9153</v>
      </c>
      <c r="AH48">
        <v>3420</v>
      </c>
      <c r="AI48">
        <v>122978</v>
      </c>
      <c r="AJ48">
        <v>37661</v>
      </c>
      <c r="AK48">
        <v>200</v>
      </c>
      <c r="AL48">
        <v>184662</v>
      </c>
      <c r="AM48">
        <v>13485</v>
      </c>
      <c r="AN48">
        <v>222</v>
      </c>
      <c r="AO48">
        <v>58804</v>
      </c>
      <c r="AP48">
        <v>12415</v>
      </c>
      <c r="AQ48">
        <v>9140</v>
      </c>
      <c r="AR48">
        <v>15899</v>
      </c>
      <c r="AS48">
        <v>7605</v>
      </c>
      <c r="AT48">
        <v>2253</v>
      </c>
      <c r="AU48">
        <v>25025</v>
      </c>
      <c r="AV48">
        <v>789</v>
      </c>
      <c r="AW48">
        <v>3885</v>
      </c>
      <c r="AX48">
        <f t="shared" si="12"/>
        <v>684848</v>
      </c>
      <c r="AZ48" t="s">
        <v>354</v>
      </c>
      <c r="BA48" s="128">
        <v>618990</v>
      </c>
      <c r="BB48" s="128">
        <v>4907245</v>
      </c>
      <c r="BC48" s="128">
        <v>29082099</v>
      </c>
      <c r="BD48" s="128">
        <v>23719185</v>
      </c>
      <c r="BE48" s="128">
        <v>18724070</v>
      </c>
      <c r="BF48" s="128">
        <v>72396456.475696176</v>
      </c>
      <c r="BG48" s="272">
        <v>10425698.485196561</v>
      </c>
      <c r="BH48">
        <v>21123</v>
      </c>
      <c r="BI48">
        <v>25058</v>
      </c>
      <c r="BJ48">
        <v>2483</v>
      </c>
      <c r="BK48">
        <v>0</v>
      </c>
      <c r="BL48">
        <v>5783</v>
      </c>
      <c r="BM48">
        <v>7944</v>
      </c>
      <c r="BN48" s="128">
        <v>950</v>
      </c>
      <c r="BO48" s="128">
        <v>8353</v>
      </c>
      <c r="BP48" s="128">
        <v>1560</v>
      </c>
      <c r="BQ48" s="128">
        <f t="shared" si="13"/>
        <v>386481246.0391072</v>
      </c>
      <c r="BR48">
        <v>184077</v>
      </c>
      <c r="BS48" s="128">
        <f t="shared" si="0"/>
        <v>2099.5629331155287</v>
      </c>
      <c r="BT48" t="s">
        <v>441</v>
      </c>
      <c r="BU48" s="129">
        <f t="shared" si="14"/>
        <v>2108.0376475013563</v>
      </c>
      <c r="BZ48" t="s">
        <v>123</v>
      </c>
      <c r="CA48">
        <v>2282.5530846955789</v>
      </c>
      <c r="CB48" t="s">
        <v>441</v>
      </c>
    </row>
    <row r="49" spans="1:80" ht="14.5" x14ac:dyDescent="0.25">
      <c r="A49" t="s">
        <v>288</v>
      </c>
      <c r="B49">
        <v>11711</v>
      </c>
      <c r="C49">
        <v>4297</v>
      </c>
      <c r="D49">
        <v>182</v>
      </c>
      <c r="E49">
        <f t="shared" si="1"/>
        <v>4321</v>
      </c>
      <c r="F49">
        <f t="shared" si="2"/>
        <v>1334</v>
      </c>
      <c r="G49">
        <f t="shared" si="3"/>
        <v>3929</v>
      </c>
      <c r="H49">
        <f t="shared" si="4"/>
        <v>603</v>
      </c>
      <c r="I49">
        <f t="shared" si="5"/>
        <v>897</v>
      </c>
      <c r="J49">
        <f t="shared" si="6"/>
        <v>6682</v>
      </c>
      <c r="K49">
        <f t="shared" si="7"/>
        <v>4982</v>
      </c>
      <c r="L49">
        <f t="shared" si="8"/>
        <v>6936</v>
      </c>
      <c r="M49">
        <f t="shared" si="9"/>
        <v>3952</v>
      </c>
      <c r="N49">
        <f t="shared" si="10"/>
        <v>648</v>
      </c>
      <c r="O49">
        <f t="shared" si="11"/>
        <v>50474</v>
      </c>
      <c r="Q49">
        <v>9575</v>
      </c>
      <c r="R49">
        <v>5071</v>
      </c>
      <c r="S49">
        <v>183</v>
      </c>
      <c r="T49">
        <v>1556</v>
      </c>
      <c r="U49">
        <v>217</v>
      </c>
      <c r="V49">
        <v>5</v>
      </c>
      <c r="W49">
        <v>5275</v>
      </c>
      <c r="X49">
        <v>638</v>
      </c>
      <c r="Y49">
        <v>708</v>
      </c>
      <c r="Z49" s="271">
        <v>811</v>
      </c>
      <c r="AA49">
        <v>207</v>
      </c>
      <c r="AB49">
        <v>1</v>
      </c>
      <c r="AC49">
        <v>2651</v>
      </c>
      <c r="AD49">
        <v>174</v>
      </c>
      <c r="AE49">
        <v>1580</v>
      </c>
      <c r="AF49">
        <v>9684</v>
      </c>
      <c r="AG49">
        <v>2190</v>
      </c>
      <c r="AH49">
        <v>812</v>
      </c>
      <c r="AI49">
        <v>5075</v>
      </c>
      <c r="AJ49">
        <v>93</v>
      </c>
      <c r="AK49">
        <v>0</v>
      </c>
      <c r="AL49">
        <v>8214</v>
      </c>
      <c r="AM49">
        <v>1191</v>
      </c>
      <c r="AN49">
        <v>87</v>
      </c>
      <c r="AO49">
        <v>5992</v>
      </c>
      <c r="AP49">
        <v>1121</v>
      </c>
      <c r="AQ49">
        <v>919</v>
      </c>
      <c r="AR49">
        <v>1372</v>
      </c>
      <c r="AS49">
        <v>722</v>
      </c>
      <c r="AT49">
        <v>2</v>
      </c>
      <c r="AU49">
        <v>6017</v>
      </c>
      <c r="AV49">
        <v>87</v>
      </c>
      <c r="AW49">
        <v>0</v>
      </c>
      <c r="AX49">
        <f t="shared" si="12"/>
        <v>56404</v>
      </c>
      <c r="AZ49" t="s">
        <v>288</v>
      </c>
      <c r="BA49" s="128">
        <v>45908</v>
      </c>
      <c r="BB49" s="128">
        <v>70128</v>
      </c>
      <c r="BC49" s="128">
        <v>0</v>
      </c>
      <c r="BD49" s="128">
        <v>72568</v>
      </c>
      <c r="BE49" s="128">
        <v>301469</v>
      </c>
      <c r="BF49" s="128">
        <v>3263779.0838907124</v>
      </c>
      <c r="BG49" s="272">
        <v>0</v>
      </c>
      <c r="BH49">
        <v>1955</v>
      </c>
      <c r="BI49">
        <v>1513</v>
      </c>
      <c r="BJ49">
        <v>245</v>
      </c>
      <c r="BK49">
        <v>84</v>
      </c>
      <c r="BL49">
        <v>506</v>
      </c>
      <c r="BM49">
        <v>87</v>
      </c>
      <c r="BN49" s="128">
        <v>279</v>
      </c>
      <c r="BO49" s="128">
        <v>0</v>
      </c>
      <c r="BP49" s="128">
        <v>64</v>
      </c>
      <c r="BQ49" s="128">
        <f t="shared" si="13"/>
        <v>37467055.916109286</v>
      </c>
      <c r="BR49">
        <v>17423</v>
      </c>
      <c r="BS49" s="128">
        <f t="shared" si="0"/>
        <v>2150.4365445737981</v>
      </c>
      <c r="BT49" t="s">
        <v>467</v>
      </c>
      <c r="BU49" s="129">
        <f t="shared" si="14"/>
        <v>2154.109849974705</v>
      </c>
      <c r="BZ49" t="s">
        <v>383</v>
      </c>
      <c r="CA49">
        <v>1914.6987024587784</v>
      </c>
      <c r="CB49" t="s">
        <v>441</v>
      </c>
    </row>
    <row r="50" spans="1:80" ht="14.5" x14ac:dyDescent="0.25">
      <c r="A50" t="s">
        <v>171</v>
      </c>
      <c r="B50">
        <v>23582</v>
      </c>
      <c r="C50">
        <v>3377</v>
      </c>
      <c r="D50">
        <v>647</v>
      </c>
      <c r="E50">
        <f t="shared" si="1"/>
        <v>6920</v>
      </c>
      <c r="F50">
        <f t="shared" si="2"/>
        <v>2701</v>
      </c>
      <c r="G50">
        <f t="shared" si="3"/>
        <v>3471</v>
      </c>
      <c r="H50">
        <f t="shared" si="4"/>
        <v>543</v>
      </c>
      <c r="I50">
        <f t="shared" si="5"/>
        <v>1630</v>
      </c>
      <c r="J50">
        <f t="shared" si="6"/>
        <v>4077</v>
      </c>
      <c r="K50">
        <f t="shared" si="7"/>
        <v>8875</v>
      </c>
      <c r="L50">
        <f t="shared" si="8"/>
        <v>17859</v>
      </c>
      <c r="M50">
        <f t="shared" si="9"/>
        <v>8269</v>
      </c>
      <c r="N50">
        <f t="shared" si="10"/>
        <v>1726</v>
      </c>
      <c r="O50">
        <f t="shared" si="11"/>
        <v>83677</v>
      </c>
      <c r="Q50">
        <v>16039</v>
      </c>
      <c r="R50">
        <v>8473</v>
      </c>
      <c r="S50">
        <v>646</v>
      </c>
      <c r="T50">
        <v>3267</v>
      </c>
      <c r="U50">
        <v>521</v>
      </c>
      <c r="V50">
        <v>45</v>
      </c>
      <c r="W50">
        <v>4978</v>
      </c>
      <c r="X50">
        <v>1358</v>
      </c>
      <c r="Y50">
        <v>149</v>
      </c>
      <c r="Z50" s="271">
        <v>1125</v>
      </c>
      <c r="AA50">
        <v>581</v>
      </c>
      <c r="AB50">
        <v>1</v>
      </c>
      <c r="AC50">
        <v>2733</v>
      </c>
      <c r="AD50">
        <v>320</v>
      </c>
      <c r="AE50">
        <v>783</v>
      </c>
      <c r="AF50">
        <v>6461</v>
      </c>
      <c r="AG50">
        <v>1804</v>
      </c>
      <c r="AH50">
        <v>580</v>
      </c>
      <c r="AI50">
        <v>12482</v>
      </c>
      <c r="AJ50">
        <v>3607</v>
      </c>
      <c r="AK50">
        <v>0</v>
      </c>
      <c r="AL50">
        <v>21336</v>
      </c>
      <c r="AM50">
        <v>3473</v>
      </c>
      <c r="AN50">
        <v>4</v>
      </c>
      <c r="AO50">
        <v>10493</v>
      </c>
      <c r="AP50">
        <v>1068</v>
      </c>
      <c r="AQ50">
        <v>1156</v>
      </c>
      <c r="AR50">
        <v>4097</v>
      </c>
      <c r="AS50">
        <v>2358</v>
      </c>
      <c r="AT50">
        <v>13</v>
      </c>
      <c r="AU50">
        <v>19</v>
      </c>
      <c r="AV50">
        <v>19</v>
      </c>
      <c r="AW50">
        <v>0</v>
      </c>
      <c r="AX50">
        <f t="shared" si="12"/>
        <v>83677</v>
      </c>
      <c r="AZ50" t="s">
        <v>171</v>
      </c>
      <c r="BA50" s="128">
        <v>79634</v>
      </c>
      <c r="BB50" s="128">
        <v>2368091</v>
      </c>
      <c r="BC50" s="128">
        <v>0</v>
      </c>
      <c r="BD50" s="128">
        <v>4007793</v>
      </c>
      <c r="BE50" s="128">
        <v>546193.82666666666</v>
      </c>
      <c r="BF50" s="128">
        <v>4756951.0696768481</v>
      </c>
      <c r="BG50" s="272">
        <v>0</v>
      </c>
      <c r="BH50">
        <v>4740</v>
      </c>
      <c r="BI50">
        <v>4679</v>
      </c>
      <c r="BJ50">
        <v>396</v>
      </c>
      <c r="BK50">
        <v>137</v>
      </c>
      <c r="BL50">
        <v>1183</v>
      </c>
      <c r="BM50">
        <v>108</v>
      </c>
      <c r="BN50" s="128">
        <v>0</v>
      </c>
      <c r="BO50" s="128">
        <v>0</v>
      </c>
      <c r="BP50" s="128">
        <v>27</v>
      </c>
      <c r="BQ50" s="128">
        <f t="shared" si="13"/>
        <v>56684971.103656486</v>
      </c>
      <c r="BR50">
        <v>36083</v>
      </c>
      <c r="BS50" s="128">
        <f t="shared" si="0"/>
        <v>1570.9605937326853</v>
      </c>
      <c r="BT50" t="s">
        <v>467</v>
      </c>
      <c r="BU50" s="129">
        <f t="shared" si="14"/>
        <v>1571.7088685435381</v>
      </c>
      <c r="BZ50" t="s">
        <v>124</v>
      </c>
      <c r="CA50">
        <v>2245.0951488346896</v>
      </c>
      <c r="CB50" t="s">
        <v>441</v>
      </c>
    </row>
    <row r="51" spans="1:80" ht="14.5" x14ac:dyDescent="0.25">
      <c r="A51" t="s">
        <v>172</v>
      </c>
      <c r="B51">
        <v>15361</v>
      </c>
      <c r="C51">
        <v>2556</v>
      </c>
      <c r="D51">
        <v>400</v>
      </c>
      <c r="E51">
        <f t="shared" si="1"/>
        <v>3372</v>
      </c>
      <c r="F51">
        <f t="shared" si="2"/>
        <v>1312</v>
      </c>
      <c r="G51">
        <f t="shared" si="3"/>
        <v>1630</v>
      </c>
      <c r="H51">
        <f t="shared" si="4"/>
        <v>116</v>
      </c>
      <c r="I51">
        <f t="shared" si="5"/>
        <v>1251</v>
      </c>
      <c r="J51">
        <f t="shared" si="6"/>
        <v>2887</v>
      </c>
      <c r="K51">
        <f t="shared" si="7"/>
        <v>6401</v>
      </c>
      <c r="L51">
        <f t="shared" si="8"/>
        <v>11900</v>
      </c>
      <c r="M51">
        <f t="shared" si="9"/>
        <v>3679</v>
      </c>
      <c r="N51">
        <f t="shared" si="10"/>
        <v>890</v>
      </c>
      <c r="O51">
        <f t="shared" si="11"/>
        <v>51755</v>
      </c>
      <c r="Q51">
        <v>10529</v>
      </c>
      <c r="R51">
        <v>6597</v>
      </c>
      <c r="S51">
        <v>560</v>
      </c>
      <c r="T51">
        <v>1719</v>
      </c>
      <c r="U51">
        <v>385</v>
      </c>
      <c r="V51">
        <v>22</v>
      </c>
      <c r="W51">
        <v>2589</v>
      </c>
      <c r="X51">
        <v>604</v>
      </c>
      <c r="Y51">
        <v>355</v>
      </c>
      <c r="Z51" s="271">
        <v>241</v>
      </c>
      <c r="AA51">
        <v>116</v>
      </c>
      <c r="AB51">
        <v>9</v>
      </c>
      <c r="AC51">
        <v>1909</v>
      </c>
      <c r="AD51">
        <v>72</v>
      </c>
      <c r="AE51">
        <v>586</v>
      </c>
      <c r="AF51">
        <v>4080</v>
      </c>
      <c r="AG51">
        <v>787</v>
      </c>
      <c r="AH51">
        <v>406</v>
      </c>
      <c r="AI51">
        <v>9456</v>
      </c>
      <c r="AJ51">
        <v>3020</v>
      </c>
      <c r="AK51">
        <v>35</v>
      </c>
      <c r="AL51">
        <v>13669</v>
      </c>
      <c r="AM51">
        <v>1700</v>
      </c>
      <c r="AN51">
        <v>69</v>
      </c>
      <c r="AO51">
        <v>4842</v>
      </c>
      <c r="AP51">
        <v>649</v>
      </c>
      <c r="AQ51">
        <v>514</v>
      </c>
      <c r="AR51">
        <v>2259</v>
      </c>
      <c r="AS51">
        <v>1369</v>
      </c>
      <c r="AT51">
        <v>0</v>
      </c>
      <c r="AU51">
        <v>95</v>
      </c>
      <c r="AV51">
        <v>62</v>
      </c>
      <c r="AW51">
        <v>0</v>
      </c>
      <c r="AX51">
        <f t="shared" si="12"/>
        <v>51788</v>
      </c>
      <c r="AZ51" t="s">
        <v>172</v>
      </c>
      <c r="BA51" s="128">
        <v>48737</v>
      </c>
      <c r="BB51" s="128">
        <v>683934</v>
      </c>
      <c r="BC51" s="128">
        <v>0</v>
      </c>
      <c r="BD51" s="128">
        <v>2026926</v>
      </c>
      <c r="BE51" s="128">
        <v>374401.47333333333</v>
      </c>
      <c r="BF51" s="128">
        <v>4718195.7914021341</v>
      </c>
      <c r="BG51" s="272">
        <v>103127.45164056588</v>
      </c>
      <c r="BH51">
        <v>2490</v>
      </c>
      <c r="BI51">
        <v>1466</v>
      </c>
      <c r="BJ51">
        <v>248</v>
      </c>
      <c r="BK51">
        <v>109</v>
      </c>
      <c r="BL51">
        <v>457</v>
      </c>
      <c r="BM51">
        <v>109</v>
      </c>
      <c r="BN51" s="128">
        <v>966</v>
      </c>
      <c r="BO51" s="128">
        <v>0</v>
      </c>
      <c r="BP51" s="128">
        <v>17</v>
      </c>
      <c r="BQ51" s="128">
        <f t="shared" si="13"/>
        <v>34968415.283623964</v>
      </c>
      <c r="BR51">
        <v>20877</v>
      </c>
      <c r="BS51" s="128">
        <f t="shared" si="0"/>
        <v>1674.9731898081125</v>
      </c>
      <c r="BT51" t="s">
        <v>118</v>
      </c>
      <c r="BU51" s="129">
        <f t="shared" si="14"/>
        <v>1675.7874830494786</v>
      </c>
      <c r="BZ51" t="s">
        <v>419</v>
      </c>
      <c r="CA51">
        <v>2057.3445075054606</v>
      </c>
      <c r="CB51" t="s">
        <v>441</v>
      </c>
    </row>
    <row r="52" spans="1:80" ht="14.5" x14ac:dyDescent="0.25">
      <c r="A52" t="s">
        <v>402</v>
      </c>
      <c r="B52">
        <v>19242</v>
      </c>
      <c r="C52">
        <v>3084</v>
      </c>
      <c r="D52">
        <v>407</v>
      </c>
      <c r="E52">
        <f t="shared" si="1"/>
        <v>4980</v>
      </c>
      <c r="F52">
        <f t="shared" si="2"/>
        <v>2165</v>
      </c>
      <c r="G52">
        <f t="shared" si="3"/>
        <v>2305</v>
      </c>
      <c r="H52">
        <f t="shared" si="4"/>
        <v>800</v>
      </c>
      <c r="I52">
        <f t="shared" si="5"/>
        <v>3113</v>
      </c>
      <c r="J52">
        <f t="shared" si="6"/>
        <v>4569</v>
      </c>
      <c r="K52">
        <f t="shared" si="7"/>
        <v>30512</v>
      </c>
      <c r="L52">
        <f t="shared" si="8"/>
        <v>20345</v>
      </c>
      <c r="M52">
        <f t="shared" si="9"/>
        <v>6222</v>
      </c>
      <c r="N52">
        <f t="shared" si="10"/>
        <v>663</v>
      </c>
      <c r="O52">
        <f t="shared" si="11"/>
        <v>98407</v>
      </c>
      <c r="Q52">
        <v>15240</v>
      </c>
      <c r="R52">
        <v>9721</v>
      </c>
      <c r="S52">
        <v>539</v>
      </c>
      <c r="T52">
        <v>3048</v>
      </c>
      <c r="U52">
        <v>881</v>
      </c>
      <c r="V52">
        <v>2</v>
      </c>
      <c r="W52">
        <v>3807</v>
      </c>
      <c r="X52">
        <v>721</v>
      </c>
      <c r="Y52">
        <v>781</v>
      </c>
      <c r="Z52" s="271">
        <v>1024</v>
      </c>
      <c r="AA52">
        <v>224</v>
      </c>
      <c r="AB52">
        <v>0</v>
      </c>
      <c r="AC52">
        <v>3949</v>
      </c>
      <c r="AD52">
        <v>295</v>
      </c>
      <c r="AE52">
        <v>541</v>
      </c>
      <c r="AF52">
        <v>7092</v>
      </c>
      <c r="AG52">
        <v>2119</v>
      </c>
      <c r="AH52">
        <v>404</v>
      </c>
      <c r="AI52">
        <v>30725</v>
      </c>
      <c r="AJ52">
        <v>213</v>
      </c>
      <c r="AK52">
        <v>0</v>
      </c>
      <c r="AL52">
        <v>23062</v>
      </c>
      <c r="AM52">
        <v>2388</v>
      </c>
      <c r="AN52">
        <v>329</v>
      </c>
      <c r="AO52">
        <v>7924</v>
      </c>
      <c r="AP52">
        <v>1214</v>
      </c>
      <c r="AQ52">
        <v>488</v>
      </c>
      <c r="AR52">
        <v>1972</v>
      </c>
      <c r="AS52">
        <v>1309</v>
      </c>
      <c r="AT52">
        <v>0</v>
      </c>
      <c r="AU52">
        <v>6768</v>
      </c>
      <c r="AV52">
        <v>157</v>
      </c>
      <c r="AW52">
        <v>0</v>
      </c>
      <c r="AX52">
        <f t="shared" si="12"/>
        <v>105018</v>
      </c>
      <c r="AZ52" t="s">
        <v>402</v>
      </c>
      <c r="BA52" s="128">
        <v>94759</v>
      </c>
      <c r="BB52" s="128">
        <v>1042405</v>
      </c>
      <c r="BC52" s="128">
        <v>0</v>
      </c>
      <c r="BD52" s="128">
        <v>9760804</v>
      </c>
      <c r="BE52" s="128">
        <v>592011</v>
      </c>
      <c r="BF52" s="128">
        <v>12160678.26904472</v>
      </c>
      <c r="BG52" s="272">
        <v>620825.47862056643</v>
      </c>
      <c r="BH52">
        <v>3624</v>
      </c>
      <c r="BI52">
        <v>3583</v>
      </c>
      <c r="BJ52">
        <v>246</v>
      </c>
      <c r="BK52">
        <v>60</v>
      </c>
      <c r="BL52">
        <v>450</v>
      </c>
      <c r="BM52">
        <v>92</v>
      </c>
      <c r="BN52" s="128">
        <v>72</v>
      </c>
      <c r="BO52" s="128">
        <v>0</v>
      </c>
      <c r="BP52" s="128">
        <v>40</v>
      </c>
      <c r="BQ52" s="128">
        <f t="shared" si="13"/>
        <v>62415276.252334714</v>
      </c>
      <c r="BR52">
        <v>27682</v>
      </c>
      <c r="BS52" s="128">
        <f t="shared" si="0"/>
        <v>2254.7242342437221</v>
      </c>
      <c r="BT52" t="s">
        <v>118</v>
      </c>
      <c r="BU52" s="129">
        <f t="shared" si="14"/>
        <v>2256.1692165426889</v>
      </c>
      <c r="BZ52" t="s">
        <v>385</v>
      </c>
      <c r="CA52">
        <v>1894.522485436604</v>
      </c>
      <c r="CB52" t="s">
        <v>441</v>
      </c>
    </row>
    <row r="53" spans="1:80" ht="14.5" x14ac:dyDescent="0.25">
      <c r="A53" t="s">
        <v>216</v>
      </c>
      <c r="B53">
        <v>9555</v>
      </c>
      <c r="C53">
        <v>1507</v>
      </c>
      <c r="D53">
        <v>71</v>
      </c>
      <c r="E53">
        <f t="shared" si="1"/>
        <v>2923</v>
      </c>
      <c r="F53">
        <f t="shared" si="2"/>
        <v>1176</v>
      </c>
      <c r="G53">
        <f t="shared" si="3"/>
        <v>1534</v>
      </c>
      <c r="H53">
        <f t="shared" si="4"/>
        <v>16</v>
      </c>
      <c r="I53">
        <f t="shared" si="5"/>
        <v>681</v>
      </c>
      <c r="J53">
        <f t="shared" si="6"/>
        <v>2260</v>
      </c>
      <c r="K53">
        <f t="shared" si="7"/>
        <v>3652</v>
      </c>
      <c r="L53">
        <f t="shared" si="8"/>
        <v>6191</v>
      </c>
      <c r="M53">
        <f t="shared" si="9"/>
        <v>2739</v>
      </c>
      <c r="N53">
        <f t="shared" si="10"/>
        <v>344</v>
      </c>
      <c r="O53">
        <f t="shared" si="11"/>
        <v>32649</v>
      </c>
      <c r="Q53">
        <v>8414</v>
      </c>
      <c r="R53">
        <v>5309</v>
      </c>
      <c r="S53">
        <v>182</v>
      </c>
      <c r="T53">
        <v>1511</v>
      </c>
      <c r="U53">
        <v>292</v>
      </c>
      <c r="V53">
        <v>43</v>
      </c>
      <c r="W53">
        <v>2253</v>
      </c>
      <c r="X53">
        <v>353</v>
      </c>
      <c r="Y53">
        <v>366</v>
      </c>
      <c r="Z53" s="271">
        <v>40</v>
      </c>
      <c r="AA53">
        <v>20</v>
      </c>
      <c r="AB53">
        <v>4</v>
      </c>
      <c r="AC53">
        <v>1134</v>
      </c>
      <c r="AD53">
        <v>98</v>
      </c>
      <c r="AE53">
        <v>355</v>
      </c>
      <c r="AF53">
        <v>2901</v>
      </c>
      <c r="AG53">
        <v>411</v>
      </c>
      <c r="AH53">
        <v>230</v>
      </c>
      <c r="AI53">
        <v>3729</v>
      </c>
      <c r="AJ53">
        <v>77</v>
      </c>
      <c r="AK53">
        <v>0</v>
      </c>
      <c r="AL53">
        <v>7758</v>
      </c>
      <c r="AM53">
        <v>1498</v>
      </c>
      <c r="AN53">
        <v>69</v>
      </c>
      <c r="AO53">
        <v>3354</v>
      </c>
      <c r="AP53">
        <v>398</v>
      </c>
      <c r="AQ53">
        <v>217</v>
      </c>
      <c r="AR53">
        <v>1484</v>
      </c>
      <c r="AS53">
        <v>1099</v>
      </c>
      <c r="AT53">
        <v>41</v>
      </c>
      <c r="AU53">
        <v>167</v>
      </c>
      <c r="AV53">
        <v>0</v>
      </c>
      <c r="AW53">
        <v>0</v>
      </c>
      <c r="AX53">
        <f t="shared" si="12"/>
        <v>32816</v>
      </c>
      <c r="AZ53" t="s">
        <v>216</v>
      </c>
      <c r="BA53" s="128">
        <v>31071</v>
      </c>
      <c r="BB53" s="128">
        <v>777291</v>
      </c>
      <c r="BC53" s="128">
        <v>0</v>
      </c>
      <c r="BD53" s="128">
        <v>448592</v>
      </c>
      <c r="BE53" s="128">
        <v>257593</v>
      </c>
      <c r="BF53" s="128">
        <v>1951884.0731453914</v>
      </c>
      <c r="BG53" s="272">
        <v>97366.750600321218</v>
      </c>
      <c r="BH53">
        <v>1502</v>
      </c>
      <c r="BI53">
        <v>1817</v>
      </c>
      <c r="BJ53">
        <v>210</v>
      </c>
      <c r="BK53">
        <v>0</v>
      </c>
      <c r="BL53">
        <v>1104</v>
      </c>
      <c r="BM53">
        <v>110</v>
      </c>
      <c r="BN53" s="128">
        <v>149</v>
      </c>
      <c r="BO53" s="128">
        <v>0</v>
      </c>
      <c r="BP53" s="128">
        <v>1</v>
      </c>
      <c r="BQ53" s="128">
        <f t="shared" si="13"/>
        <v>22645273.176254287</v>
      </c>
      <c r="BR53">
        <v>15345</v>
      </c>
      <c r="BS53" s="128">
        <f t="shared" si="0"/>
        <v>1475.7427941514686</v>
      </c>
      <c r="BT53" t="s">
        <v>467</v>
      </c>
      <c r="BU53" s="129">
        <f t="shared" si="14"/>
        <v>1475.8079619585719</v>
      </c>
      <c r="BZ53" t="s">
        <v>316</v>
      </c>
      <c r="CA53">
        <v>3372.2788412354003</v>
      </c>
      <c r="CB53" t="s">
        <v>441</v>
      </c>
    </row>
    <row r="54" spans="1:80" ht="14.5" x14ac:dyDescent="0.25">
      <c r="A54" t="s">
        <v>217</v>
      </c>
      <c r="B54">
        <v>9239</v>
      </c>
      <c r="C54">
        <v>1988</v>
      </c>
      <c r="D54">
        <v>288</v>
      </c>
      <c r="E54">
        <f t="shared" si="1"/>
        <v>1791</v>
      </c>
      <c r="F54">
        <f t="shared" si="2"/>
        <v>1280</v>
      </c>
      <c r="G54">
        <f t="shared" si="3"/>
        <v>2149</v>
      </c>
      <c r="H54">
        <f t="shared" si="4"/>
        <v>346</v>
      </c>
      <c r="I54">
        <f t="shared" si="5"/>
        <v>1730</v>
      </c>
      <c r="J54">
        <f t="shared" si="6"/>
        <v>3965</v>
      </c>
      <c r="K54">
        <f t="shared" si="7"/>
        <v>4948</v>
      </c>
      <c r="L54">
        <f t="shared" si="8"/>
        <v>9147</v>
      </c>
      <c r="M54">
        <f t="shared" si="9"/>
        <v>4551</v>
      </c>
      <c r="N54">
        <f t="shared" si="10"/>
        <v>192</v>
      </c>
      <c r="O54">
        <f t="shared" si="11"/>
        <v>41614</v>
      </c>
      <c r="Q54">
        <v>6538</v>
      </c>
      <c r="R54">
        <v>4359</v>
      </c>
      <c r="S54">
        <v>388</v>
      </c>
      <c r="T54">
        <v>1718</v>
      </c>
      <c r="U54">
        <v>394</v>
      </c>
      <c r="V54">
        <v>44</v>
      </c>
      <c r="W54">
        <v>3238</v>
      </c>
      <c r="X54">
        <v>682</v>
      </c>
      <c r="Y54">
        <v>407</v>
      </c>
      <c r="Z54" s="271">
        <v>449</v>
      </c>
      <c r="AA54">
        <v>85</v>
      </c>
      <c r="AB54">
        <v>18</v>
      </c>
      <c r="AC54">
        <v>2211</v>
      </c>
      <c r="AD54">
        <v>173</v>
      </c>
      <c r="AE54">
        <v>308</v>
      </c>
      <c r="AF54">
        <v>4997</v>
      </c>
      <c r="AG54">
        <v>838</v>
      </c>
      <c r="AH54">
        <v>194</v>
      </c>
      <c r="AI54">
        <v>4948</v>
      </c>
      <c r="AJ54">
        <v>0</v>
      </c>
      <c r="AK54">
        <v>0</v>
      </c>
      <c r="AL54">
        <v>9803</v>
      </c>
      <c r="AM54">
        <v>656</v>
      </c>
      <c r="AN54">
        <v>0</v>
      </c>
      <c r="AO54">
        <v>5862</v>
      </c>
      <c r="AP54">
        <v>742</v>
      </c>
      <c r="AQ54">
        <v>569</v>
      </c>
      <c r="AR54">
        <v>1327</v>
      </c>
      <c r="AS54">
        <v>1075</v>
      </c>
      <c r="AT54">
        <v>60</v>
      </c>
      <c r="AU54">
        <v>13042</v>
      </c>
      <c r="AV54">
        <v>235</v>
      </c>
      <c r="AW54">
        <v>0</v>
      </c>
      <c r="AX54">
        <f t="shared" si="12"/>
        <v>54421</v>
      </c>
      <c r="AZ54" t="s">
        <v>217</v>
      </c>
      <c r="BA54" s="128">
        <v>39103</v>
      </c>
      <c r="BB54" s="128">
        <v>445666</v>
      </c>
      <c r="BC54" s="128">
        <v>0</v>
      </c>
      <c r="BD54" s="128">
        <v>996588</v>
      </c>
      <c r="BE54" s="128">
        <v>386419.68</v>
      </c>
      <c r="BF54" s="128">
        <v>2770861.3895474011</v>
      </c>
      <c r="BG54" s="272">
        <v>106711.17619401496</v>
      </c>
      <c r="BH54">
        <v>1501</v>
      </c>
      <c r="BI54">
        <v>1951</v>
      </c>
      <c r="BJ54">
        <v>294</v>
      </c>
      <c r="BK54">
        <v>382</v>
      </c>
      <c r="BL54">
        <v>593</v>
      </c>
      <c r="BM54">
        <v>299</v>
      </c>
      <c r="BN54" s="128">
        <v>8</v>
      </c>
      <c r="BO54" s="128">
        <v>0</v>
      </c>
      <c r="BP54" s="128">
        <v>881</v>
      </c>
      <c r="BQ54" s="128">
        <f t="shared" si="13"/>
        <v>28487753.754258588</v>
      </c>
      <c r="BR54">
        <v>22024</v>
      </c>
      <c r="BS54" s="128">
        <f t="shared" si="0"/>
        <v>1293.4868213884213</v>
      </c>
      <c r="BT54" t="s">
        <v>467</v>
      </c>
      <c r="BU54" s="129">
        <f t="shared" si="14"/>
        <v>1333.4886375889298</v>
      </c>
      <c r="BZ54" t="s">
        <v>443</v>
      </c>
      <c r="CA54">
        <v>2627.5634817359683</v>
      </c>
      <c r="CB54" t="s">
        <v>441</v>
      </c>
    </row>
    <row r="55" spans="1:80" ht="14.5" x14ac:dyDescent="0.25">
      <c r="A55" t="s">
        <v>173</v>
      </c>
      <c r="B55">
        <v>13565</v>
      </c>
      <c r="C55">
        <v>1886</v>
      </c>
      <c r="D55">
        <v>38</v>
      </c>
      <c r="E55">
        <f t="shared" si="1"/>
        <v>5590</v>
      </c>
      <c r="F55">
        <f t="shared" si="2"/>
        <v>2447</v>
      </c>
      <c r="G55">
        <f t="shared" si="3"/>
        <v>4101</v>
      </c>
      <c r="H55">
        <f t="shared" si="4"/>
        <v>1708</v>
      </c>
      <c r="I55">
        <f t="shared" si="5"/>
        <v>1807</v>
      </c>
      <c r="J55">
        <f t="shared" si="6"/>
        <v>2664</v>
      </c>
      <c r="K55">
        <f t="shared" si="7"/>
        <v>7244</v>
      </c>
      <c r="L55">
        <f t="shared" si="8"/>
        <v>10681</v>
      </c>
      <c r="M55">
        <f t="shared" si="9"/>
        <v>6768</v>
      </c>
      <c r="N55">
        <f t="shared" si="10"/>
        <v>3654</v>
      </c>
      <c r="O55">
        <f t="shared" si="11"/>
        <v>62153</v>
      </c>
      <c r="Q55">
        <v>14293</v>
      </c>
      <c r="R55">
        <v>8238</v>
      </c>
      <c r="S55">
        <v>465</v>
      </c>
      <c r="T55">
        <v>2648</v>
      </c>
      <c r="U55">
        <v>201</v>
      </c>
      <c r="V55">
        <v>0</v>
      </c>
      <c r="W55">
        <v>4734</v>
      </c>
      <c r="X55">
        <v>502</v>
      </c>
      <c r="Y55">
        <v>131</v>
      </c>
      <c r="Z55" s="271">
        <v>1860</v>
      </c>
      <c r="AA55">
        <v>152</v>
      </c>
      <c r="AB55">
        <v>0</v>
      </c>
      <c r="AC55">
        <v>2408</v>
      </c>
      <c r="AD55">
        <v>122</v>
      </c>
      <c r="AE55">
        <v>479</v>
      </c>
      <c r="AF55">
        <v>2951</v>
      </c>
      <c r="AG55">
        <v>237</v>
      </c>
      <c r="AH55">
        <v>50</v>
      </c>
      <c r="AI55">
        <v>8386</v>
      </c>
      <c r="AJ55">
        <v>1142</v>
      </c>
      <c r="AK55">
        <v>0</v>
      </c>
      <c r="AL55">
        <v>12499</v>
      </c>
      <c r="AM55">
        <v>1818</v>
      </c>
      <c r="AN55">
        <v>0</v>
      </c>
      <c r="AO55">
        <v>7813</v>
      </c>
      <c r="AP55">
        <v>284</v>
      </c>
      <c r="AQ55">
        <v>761</v>
      </c>
      <c r="AR55">
        <v>4486</v>
      </c>
      <c r="AS55">
        <v>832</v>
      </c>
      <c r="AT55">
        <v>0</v>
      </c>
      <c r="AU55">
        <v>832</v>
      </c>
      <c r="AV55">
        <v>37</v>
      </c>
      <c r="AW55">
        <v>0</v>
      </c>
      <c r="AX55">
        <f t="shared" si="12"/>
        <v>62948</v>
      </c>
      <c r="AZ55" t="s">
        <v>173</v>
      </c>
      <c r="BA55" s="128">
        <v>60192</v>
      </c>
      <c r="BB55" s="128">
        <v>837974</v>
      </c>
      <c r="BC55" s="128">
        <v>0</v>
      </c>
      <c r="BD55" s="128">
        <v>2009963</v>
      </c>
      <c r="BE55" s="128">
        <v>473898.23999999999</v>
      </c>
      <c r="BF55" s="128">
        <v>3796259.0340136383</v>
      </c>
      <c r="BG55" s="272">
        <v>637729.80940960161</v>
      </c>
      <c r="BH55">
        <v>2844</v>
      </c>
      <c r="BI55">
        <v>2982</v>
      </c>
      <c r="BJ55">
        <v>335</v>
      </c>
      <c r="BK55">
        <v>171</v>
      </c>
      <c r="BL55">
        <v>1105</v>
      </c>
      <c r="BM55">
        <v>145</v>
      </c>
      <c r="BN55" s="128">
        <v>240</v>
      </c>
      <c r="BO55" s="128">
        <v>0</v>
      </c>
      <c r="BP55" s="128">
        <v>1363</v>
      </c>
      <c r="BQ55" s="128">
        <f t="shared" si="13"/>
        <v>43251175.916576758</v>
      </c>
      <c r="BR55">
        <v>27010</v>
      </c>
      <c r="BS55" s="128">
        <f t="shared" si="0"/>
        <v>1601.3023293808499</v>
      </c>
      <c r="BT55" t="s">
        <v>467</v>
      </c>
      <c r="BU55" s="129">
        <f t="shared" si="14"/>
        <v>1651.7651209395319</v>
      </c>
      <c r="BZ55" t="s">
        <v>480</v>
      </c>
      <c r="CA55">
        <v>2651.0590741562924</v>
      </c>
      <c r="CB55" t="s">
        <v>441</v>
      </c>
    </row>
    <row r="56" spans="1:80" ht="14.5" x14ac:dyDescent="0.25">
      <c r="A56" t="s">
        <v>289</v>
      </c>
      <c r="B56">
        <v>36417</v>
      </c>
      <c r="C56">
        <v>8029</v>
      </c>
      <c r="D56">
        <v>458</v>
      </c>
      <c r="E56">
        <f t="shared" si="1"/>
        <v>18022</v>
      </c>
      <c r="F56">
        <f t="shared" si="2"/>
        <v>6088</v>
      </c>
      <c r="G56">
        <f t="shared" si="3"/>
        <v>4897</v>
      </c>
      <c r="H56">
        <f t="shared" si="4"/>
        <v>781</v>
      </c>
      <c r="I56">
        <f t="shared" si="5"/>
        <v>5622</v>
      </c>
      <c r="J56">
        <f t="shared" si="6"/>
        <v>14674</v>
      </c>
      <c r="K56">
        <f t="shared" si="7"/>
        <v>53178</v>
      </c>
      <c r="L56">
        <f t="shared" si="8"/>
        <v>45082</v>
      </c>
      <c r="M56">
        <f t="shared" si="9"/>
        <v>14284</v>
      </c>
      <c r="N56">
        <f t="shared" si="10"/>
        <v>5687</v>
      </c>
      <c r="O56">
        <f t="shared" si="11"/>
        <v>213219</v>
      </c>
      <c r="Q56">
        <v>35858</v>
      </c>
      <c r="R56">
        <v>17409</v>
      </c>
      <c r="S56">
        <v>427</v>
      </c>
      <c r="T56">
        <v>8629</v>
      </c>
      <c r="U56">
        <v>2446</v>
      </c>
      <c r="V56">
        <v>95</v>
      </c>
      <c r="W56">
        <v>8175</v>
      </c>
      <c r="X56">
        <v>1863</v>
      </c>
      <c r="Y56">
        <v>1415</v>
      </c>
      <c r="Z56" s="271">
        <v>1213</v>
      </c>
      <c r="AA56">
        <v>332</v>
      </c>
      <c r="AB56">
        <v>100</v>
      </c>
      <c r="AC56">
        <v>8081</v>
      </c>
      <c r="AD56">
        <v>858</v>
      </c>
      <c r="AE56">
        <v>1601</v>
      </c>
      <c r="AF56">
        <v>19519</v>
      </c>
      <c r="AG56">
        <v>2629</v>
      </c>
      <c r="AH56">
        <v>2216</v>
      </c>
      <c r="AI56">
        <v>53956</v>
      </c>
      <c r="AJ56">
        <v>778</v>
      </c>
      <c r="AK56">
        <v>0</v>
      </c>
      <c r="AL56">
        <v>49468</v>
      </c>
      <c r="AM56">
        <v>3927</v>
      </c>
      <c r="AN56">
        <v>459</v>
      </c>
      <c r="AO56">
        <v>18086</v>
      </c>
      <c r="AP56">
        <v>2452</v>
      </c>
      <c r="AQ56">
        <v>1350</v>
      </c>
      <c r="AR56">
        <v>8502</v>
      </c>
      <c r="AS56">
        <v>2450</v>
      </c>
      <c r="AT56">
        <v>365</v>
      </c>
      <c r="AU56">
        <v>13916</v>
      </c>
      <c r="AV56">
        <v>1273</v>
      </c>
      <c r="AW56">
        <v>1</v>
      </c>
      <c r="AX56">
        <f t="shared" si="12"/>
        <v>225861</v>
      </c>
      <c r="AZ56" t="s">
        <v>289</v>
      </c>
      <c r="BA56" s="128">
        <v>203458</v>
      </c>
      <c r="BB56" s="128">
        <v>3616723</v>
      </c>
      <c r="BC56" s="128">
        <v>0</v>
      </c>
      <c r="BD56" s="128">
        <v>6149126</v>
      </c>
      <c r="BE56" s="128">
        <v>1078019</v>
      </c>
      <c r="BF56" s="128">
        <v>33705086.766026944</v>
      </c>
      <c r="BG56" s="272">
        <v>454083.2099917084</v>
      </c>
      <c r="BH56">
        <v>4071</v>
      </c>
      <c r="BI56">
        <v>7906</v>
      </c>
      <c r="BJ56">
        <v>707</v>
      </c>
      <c r="BK56">
        <v>0</v>
      </c>
      <c r="BL56">
        <v>779</v>
      </c>
      <c r="BM56">
        <v>111</v>
      </c>
      <c r="BN56" s="128">
        <v>72</v>
      </c>
      <c r="BO56" s="128">
        <v>0</v>
      </c>
      <c r="BP56" s="128">
        <v>95</v>
      </c>
      <c r="BQ56" s="128">
        <f t="shared" si="13"/>
        <v>144713962.02398133</v>
      </c>
      <c r="BR56">
        <v>67315</v>
      </c>
      <c r="BS56" s="128">
        <f t="shared" si="0"/>
        <v>2149.8026000740006</v>
      </c>
      <c r="BT56" t="s">
        <v>118</v>
      </c>
      <c r="BU56" s="129">
        <f t="shared" si="14"/>
        <v>2151.2138754212483</v>
      </c>
      <c r="BZ56" t="s">
        <v>421</v>
      </c>
      <c r="CA56">
        <v>2247.4500492085808</v>
      </c>
      <c r="CB56" t="s">
        <v>441</v>
      </c>
    </row>
    <row r="57" spans="1:80" ht="14.5" x14ac:dyDescent="0.25">
      <c r="A57" t="s">
        <v>246</v>
      </c>
      <c r="B57">
        <v>1547</v>
      </c>
      <c r="C57">
        <v>3524</v>
      </c>
      <c r="D57">
        <v>1638</v>
      </c>
      <c r="E57">
        <f t="shared" si="1"/>
        <v>14466</v>
      </c>
      <c r="F57">
        <f t="shared" si="2"/>
        <v>2536</v>
      </c>
      <c r="G57">
        <f t="shared" si="3"/>
        <v>4489</v>
      </c>
      <c r="H57">
        <f t="shared" si="4"/>
        <v>518</v>
      </c>
      <c r="I57">
        <f t="shared" si="5"/>
        <v>1648</v>
      </c>
      <c r="J57">
        <f t="shared" si="6"/>
        <v>9997</v>
      </c>
      <c r="K57">
        <f t="shared" si="7"/>
        <v>8278</v>
      </c>
      <c r="L57">
        <f t="shared" si="8"/>
        <v>16120</v>
      </c>
      <c r="M57">
        <f t="shared" si="9"/>
        <v>7473</v>
      </c>
      <c r="N57">
        <f t="shared" si="10"/>
        <v>3070</v>
      </c>
      <c r="O57">
        <f t="shared" si="11"/>
        <v>75304</v>
      </c>
      <c r="Q57">
        <v>16472</v>
      </c>
      <c r="R57">
        <v>1487</v>
      </c>
      <c r="S57">
        <v>519</v>
      </c>
      <c r="T57">
        <v>2589</v>
      </c>
      <c r="U57">
        <v>0</v>
      </c>
      <c r="V57">
        <v>53</v>
      </c>
      <c r="W57">
        <v>5503</v>
      </c>
      <c r="X57">
        <v>0</v>
      </c>
      <c r="Y57">
        <v>1014</v>
      </c>
      <c r="Z57" s="271">
        <v>518</v>
      </c>
      <c r="AA57">
        <v>0</v>
      </c>
      <c r="AB57">
        <v>0</v>
      </c>
      <c r="AC57">
        <v>2504</v>
      </c>
      <c r="AD57">
        <v>0</v>
      </c>
      <c r="AE57">
        <v>856</v>
      </c>
      <c r="AF57">
        <v>10299</v>
      </c>
      <c r="AG57">
        <v>0</v>
      </c>
      <c r="AH57">
        <v>302</v>
      </c>
      <c r="AI57">
        <v>8338</v>
      </c>
      <c r="AJ57">
        <v>60</v>
      </c>
      <c r="AK57">
        <v>0</v>
      </c>
      <c r="AL57">
        <v>16154</v>
      </c>
      <c r="AM57">
        <v>0</v>
      </c>
      <c r="AN57">
        <v>34</v>
      </c>
      <c r="AO57">
        <v>8219</v>
      </c>
      <c r="AP57">
        <v>0</v>
      </c>
      <c r="AQ57">
        <v>746</v>
      </c>
      <c r="AR57">
        <v>3070</v>
      </c>
      <c r="AS57">
        <v>0</v>
      </c>
      <c r="AT57">
        <v>0</v>
      </c>
      <c r="AU57">
        <v>599</v>
      </c>
      <c r="AV57">
        <v>0</v>
      </c>
      <c r="AW57">
        <v>0</v>
      </c>
      <c r="AX57">
        <f t="shared" si="12"/>
        <v>75903</v>
      </c>
      <c r="AZ57" t="s">
        <v>246</v>
      </c>
      <c r="BA57" s="128">
        <v>70142</v>
      </c>
      <c r="BB57" s="128">
        <v>1171242</v>
      </c>
      <c r="BC57" s="128">
        <v>0</v>
      </c>
      <c r="BD57" s="128">
        <v>845155</v>
      </c>
      <c r="BE57" s="128">
        <v>465374.96</v>
      </c>
      <c r="BF57" s="128">
        <v>5138826.0713374913</v>
      </c>
      <c r="BG57" s="272">
        <v>0</v>
      </c>
      <c r="BH57">
        <v>3474</v>
      </c>
      <c r="BI57">
        <v>4307</v>
      </c>
      <c r="BJ57">
        <v>502</v>
      </c>
      <c r="BK57">
        <v>180</v>
      </c>
      <c r="BL57">
        <v>1170</v>
      </c>
      <c r="BM57">
        <v>82</v>
      </c>
      <c r="BN57" s="128">
        <v>1140</v>
      </c>
      <c r="BO57" s="128">
        <v>0</v>
      </c>
      <c r="BP57" s="128">
        <v>1105</v>
      </c>
      <c r="BQ57" s="128">
        <f t="shared" si="13"/>
        <v>50561401.968662515</v>
      </c>
      <c r="BR57">
        <v>36084</v>
      </c>
      <c r="BS57" s="128">
        <f t="shared" si="0"/>
        <v>1401.2138889442001</v>
      </c>
      <c r="BT57" t="s">
        <v>467</v>
      </c>
      <c r="BU57" s="129">
        <f t="shared" si="14"/>
        <v>1431.8368797434462</v>
      </c>
      <c r="BZ57" t="s">
        <v>136</v>
      </c>
      <c r="CA57">
        <v>2068.45651321591</v>
      </c>
      <c r="CB57" t="s">
        <v>441</v>
      </c>
    </row>
    <row r="58" spans="1:80" ht="14.5" x14ac:dyDescent="0.25">
      <c r="A58" t="s">
        <v>109</v>
      </c>
      <c r="B58">
        <v>18179</v>
      </c>
      <c r="C58">
        <v>8223</v>
      </c>
      <c r="D58">
        <v>2000</v>
      </c>
      <c r="E58">
        <f t="shared" si="1"/>
        <v>6964</v>
      </c>
      <c r="F58">
        <f t="shared" si="2"/>
        <v>2448</v>
      </c>
      <c r="G58">
        <f t="shared" si="3"/>
        <v>4028</v>
      </c>
      <c r="H58">
        <f t="shared" si="4"/>
        <v>735</v>
      </c>
      <c r="I58">
        <f t="shared" si="5"/>
        <v>2180</v>
      </c>
      <c r="J58">
        <f t="shared" si="6"/>
        <v>3707</v>
      </c>
      <c r="K58">
        <f t="shared" si="7"/>
        <v>21634</v>
      </c>
      <c r="L58">
        <f t="shared" si="8"/>
        <v>21620</v>
      </c>
      <c r="M58">
        <f t="shared" si="9"/>
        <v>6959</v>
      </c>
      <c r="N58">
        <f t="shared" si="10"/>
        <v>4640</v>
      </c>
      <c r="O58">
        <f t="shared" si="11"/>
        <v>103317</v>
      </c>
      <c r="Q58">
        <v>19540</v>
      </c>
      <c r="R58">
        <v>8457</v>
      </c>
      <c r="S58">
        <v>4119</v>
      </c>
      <c r="T58">
        <v>2448</v>
      </c>
      <c r="U58">
        <v>0</v>
      </c>
      <c r="V58">
        <v>0</v>
      </c>
      <c r="W58">
        <v>5285</v>
      </c>
      <c r="X58">
        <v>0</v>
      </c>
      <c r="Y58">
        <v>1257</v>
      </c>
      <c r="Z58" s="271">
        <v>2806</v>
      </c>
      <c r="AA58">
        <v>2051</v>
      </c>
      <c r="AB58">
        <v>20</v>
      </c>
      <c r="AC58">
        <v>2180</v>
      </c>
      <c r="AD58">
        <v>0</v>
      </c>
      <c r="AE58">
        <v>0</v>
      </c>
      <c r="AF58">
        <v>6178</v>
      </c>
      <c r="AG58">
        <v>2440</v>
      </c>
      <c r="AH58">
        <v>31</v>
      </c>
      <c r="AI58">
        <v>23333</v>
      </c>
      <c r="AJ58">
        <v>1699</v>
      </c>
      <c r="AK58">
        <v>0</v>
      </c>
      <c r="AL58">
        <v>21620</v>
      </c>
      <c r="AM58">
        <v>0</v>
      </c>
      <c r="AN58">
        <v>0</v>
      </c>
      <c r="AO58">
        <v>9373</v>
      </c>
      <c r="AP58">
        <v>1528</v>
      </c>
      <c r="AQ58">
        <v>886</v>
      </c>
      <c r="AR58">
        <v>8554</v>
      </c>
      <c r="AS58">
        <v>2004</v>
      </c>
      <c r="AT58">
        <v>1910</v>
      </c>
      <c r="AU58">
        <v>3542</v>
      </c>
      <c r="AV58">
        <v>0</v>
      </c>
      <c r="AW58">
        <v>0</v>
      </c>
      <c r="AX58">
        <f t="shared" si="12"/>
        <v>106859</v>
      </c>
      <c r="AZ58" t="s">
        <v>109</v>
      </c>
      <c r="BA58" s="128">
        <v>93094</v>
      </c>
      <c r="BB58" s="128">
        <v>923024</v>
      </c>
      <c r="BC58" s="128">
        <v>0</v>
      </c>
      <c r="BD58" s="128">
        <v>4090603</v>
      </c>
      <c r="BE58" s="128">
        <v>805481</v>
      </c>
      <c r="BF58" s="128">
        <v>11799683.295187632</v>
      </c>
      <c r="BG58" s="272">
        <v>655517.91406479292</v>
      </c>
      <c r="BH58">
        <v>3484</v>
      </c>
      <c r="BI58">
        <v>4408</v>
      </c>
      <c r="BJ58">
        <v>445</v>
      </c>
      <c r="BK58">
        <v>437</v>
      </c>
      <c r="BL58">
        <v>965</v>
      </c>
      <c r="BM58">
        <v>155</v>
      </c>
      <c r="BN58" s="128">
        <v>1919</v>
      </c>
      <c r="BO58" s="128">
        <v>0</v>
      </c>
      <c r="BP58" s="128">
        <v>204</v>
      </c>
      <c r="BQ58" s="128">
        <f t="shared" si="13"/>
        <v>62802690.790747568</v>
      </c>
      <c r="BR58">
        <v>35321</v>
      </c>
      <c r="BS58" s="128">
        <f t="shared" si="0"/>
        <v>1778.0552869609458</v>
      </c>
      <c r="BT58" t="s">
        <v>118</v>
      </c>
      <c r="BU58" s="129">
        <f t="shared" si="14"/>
        <v>1783.8308878782473</v>
      </c>
      <c r="BZ58" t="s">
        <v>125</v>
      </c>
      <c r="CA58">
        <v>2370.8111211447376</v>
      </c>
      <c r="CB58" t="s">
        <v>441</v>
      </c>
    </row>
    <row r="59" spans="1:80" ht="14.5" x14ac:dyDescent="0.25">
      <c r="A59" t="s">
        <v>355</v>
      </c>
      <c r="B59">
        <v>1109</v>
      </c>
      <c r="C59">
        <v>4240</v>
      </c>
      <c r="D59">
        <v>426</v>
      </c>
      <c r="E59">
        <f t="shared" si="1"/>
        <v>17972</v>
      </c>
      <c r="F59">
        <f t="shared" si="2"/>
        <v>1832</v>
      </c>
      <c r="G59">
        <f t="shared" si="3"/>
        <v>2052</v>
      </c>
      <c r="H59">
        <f t="shared" si="4"/>
        <v>1104</v>
      </c>
      <c r="I59">
        <f t="shared" si="5"/>
        <v>1200</v>
      </c>
      <c r="J59">
        <f t="shared" si="6"/>
        <v>3938</v>
      </c>
      <c r="K59">
        <f t="shared" si="7"/>
        <v>7985</v>
      </c>
      <c r="L59">
        <f t="shared" si="8"/>
        <v>11332</v>
      </c>
      <c r="M59">
        <f t="shared" si="9"/>
        <v>4405</v>
      </c>
      <c r="N59">
        <f t="shared" si="10"/>
        <v>1466</v>
      </c>
      <c r="O59">
        <f t="shared" si="11"/>
        <v>59061</v>
      </c>
      <c r="Q59">
        <v>21454</v>
      </c>
      <c r="R59">
        <v>1109</v>
      </c>
      <c r="S59">
        <v>2373</v>
      </c>
      <c r="T59">
        <v>1861</v>
      </c>
      <c r="U59">
        <v>0</v>
      </c>
      <c r="V59">
        <v>29</v>
      </c>
      <c r="W59">
        <v>2612</v>
      </c>
      <c r="X59">
        <v>0</v>
      </c>
      <c r="Y59">
        <v>560</v>
      </c>
      <c r="Z59" s="271">
        <v>1111</v>
      </c>
      <c r="AA59">
        <v>0</v>
      </c>
      <c r="AB59">
        <v>7</v>
      </c>
      <c r="AC59">
        <v>1452</v>
      </c>
      <c r="AD59">
        <v>0</v>
      </c>
      <c r="AE59">
        <v>252</v>
      </c>
      <c r="AF59">
        <v>4390</v>
      </c>
      <c r="AG59">
        <v>0</v>
      </c>
      <c r="AH59">
        <v>452</v>
      </c>
      <c r="AI59">
        <v>7985</v>
      </c>
      <c r="AJ59">
        <v>0</v>
      </c>
      <c r="AK59">
        <v>0</v>
      </c>
      <c r="AL59">
        <v>11381</v>
      </c>
      <c r="AM59">
        <v>0</v>
      </c>
      <c r="AN59">
        <v>49</v>
      </c>
      <c r="AO59">
        <v>4922</v>
      </c>
      <c r="AP59">
        <v>0</v>
      </c>
      <c r="AQ59">
        <v>517</v>
      </c>
      <c r="AR59">
        <v>1467</v>
      </c>
      <c r="AS59">
        <v>0</v>
      </c>
      <c r="AT59">
        <v>1</v>
      </c>
      <c r="AU59">
        <v>58</v>
      </c>
      <c r="AV59">
        <v>0</v>
      </c>
      <c r="AW59">
        <v>0</v>
      </c>
      <c r="AX59">
        <f t="shared" si="12"/>
        <v>59119</v>
      </c>
      <c r="AZ59" t="s">
        <v>355</v>
      </c>
      <c r="BA59" s="128">
        <v>54395</v>
      </c>
      <c r="BB59" s="128">
        <v>767285</v>
      </c>
      <c r="BC59" s="128">
        <v>0</v>
      </c>
      <c r="BD59" s="128">
        <v>1998122</v>
      </c>
      <c r="BE59" s="128">
        <v>1107318</v>
      </c>
      <c r="BF59" s="128">
        <v>3884075.1024144897</v>
      </c>
      <c r="BG59" s="272">
        <v>0</v>
      </c>
      <c r="BH59">
        <v>2082</v>
      </c>
      <c r="BI59">
        <v>2521</v>
      </c>
      <c r="BJ59">
        <v>250</v>
      </c>
      <c r="BK59">
        <v>53</v>
      </c>
      <c r="BL59">
        <v>485</v>
      </c>
      <c r="BM59">
        <v>186</v>
      </c>
      <c r="BN59" s="128">
        <v>225</v>
      </c>
      <c r="BO59" s="128">
        <v>0</v>
      </c>
      <c r="BP59" s="128">
        <v>254</v>
      </c>
      <c r="BQ59" s="128">
        <f t="shared" si="13"/>
        <v>40582199.897585511</v>
      </c>
      <c r="BR59">
        <v>21004</v>
      </c>
      <c r="BS59" s="128">
        <f t="shared" si="0"/>
        <v>1932.117686992264</v>
      </c>
      <c r="BT59" t="s">
        <v>467</v>
      </c>
      <c r="BU59" s="129">
        <f t="shared" si="14"/>
        <v>1944.2106216713726</v>
      </c>
      <c r="BZ59" t="s">
        <v>204</v>
      </c>
      <c r="CA59">
        <v>1924.6365067855584</v>
      </c>
      <c r="CB59" t="s">
        <v>441</v>
      </c>
    </row>
    <row r="60" spans="1:80" ht="14.5" x14ac:dyDescent="0.25">
      <c r="A60" t="s">
        <v>174</v>
      </c>
      <c r="B60">
        <v>13087</v>
      </c>
      <c r="C60">
        <v>4320</v>
      </c>
      <c r="D60">
        <v>612</v>
      </c>
      <c r="E60">
        <f t="shared" si="1"/>
        <v>10111</v>
      </c>
      <c r="F60">
        <f t="shared" si="2"/>
        <v>2459</v>
      </c>
      <c r="G60">
        <f t="shared" si="3"/>
        <v>2080</v>
      </c>
      <c r="H60">
        <f t="shared" si="4"/>
        <v>860</v>
      </c>
      <c r="I60">
        <f t="shared" si="5"/>
        <v>2526</v>
      </c>
      <c r="J60">
        <f t="shared" si="6"/>
        <v>4718</v>
      </c>
      <c r="K60">
        <f t="shared" si="7"/>
        <v>15044</v>
      </c>
      <c r="L60">
        <f t="shared" si="8"/>
        <v>15407</v>
      </c>
      <c r="M60">
        <f t="shared" si="9"/>
        <v>5316</v>
      </c>
      <c r="N60">
        <f t="shared" si="10"/>
        <v>1906</v>
      </c>
      <c r="O60">
        <f t="shared" si="11"/>
        <v>78446</v>
      </c>
      <c r="Q60">
        <v>15198</v>
      </c>
      <c r="R60">
        <v>4775</v>
      </c>
      <c r="S60">
        <v>312</v>
      </c>
      <c r="T60">
        <v>2988</v>
      </c>
      <c r="U60">
        <v>529</v>
      </c>
      <c r="V60">
        <v>0</v>
      </c>
      <c r="W60">
        <v>3842</v>
      </c>
      <c r="X60">
        <v>1052</v>
      </c>
      <c r="Y60">
        <v>710</v>
      </c>
      <c r="Z60" s="271">
        <v>937</v>
      </c>
      <c r="AA60">
        <v>77</v>
      </c>
      <c r="AB60">
        <v>0</v>
      </c>
      <c r="AC60">
        <v>3783</v>
      </c>
      <c r="AD60">
        <v>254</v>
      </c>
      <c r="AE60">
        <v>1003</v>
      </c>
      <c r="AF60">
        <v>7878</v>
      </c>
      <c r="AG60">
        <v>1736</v>
      </c>
      <c r="AH60">
        <v>1424</v>
      </c>
      <c r="AI60">
        <v>15687</v>
      </c>
      <c r="AJ60">
        <v>643</v>
      </c>
      <c r="AK60">
        <v>0</v>
      </c>
      <c r="AL60">
        <v>17698</v>
      </c>
      <c r="AM60">
        <v>2217</v>
      </c>
      <c r="AN60">
        <v>74</v>
      </c>
      <c r="AO60">
        <v>6879</v>
      </c>
      <c r="AP60">
        <v>774</v>
      </c>
      <c r="AQ60">
        <v>789</v>
      </c>
      <c r="AR60">
        <v>2526</v>
      </c>
      <c r="AS60">
        <v>614</v>
      </c>
      <c r="AT60">
        <v>6</v>
      </c>
      <c r="AU60">
        <v>4314</v>
      </c>
      <c r="AV60">
        <v>416</v>
      </c>
      <c r="AW60">
        <v>2</v>
      </c>
      <c r="AX60">
        <f t="shared" si="12"/>
        <v>82342</v>
      </c>
      <c r="AZ60" t="s">
        <v>174</v>
      </c>
      <c r="BA60" s="128">
        <v>73096</v>
      </c>
      <c r="BB60" s="128">
        <v>364712</v>
      </c>
      <c r="BC60" s="128">
        <v>0</v>
      </c>
      <c r="BD60" s="128">
        <v>3378420</v>
      </c>
      <c r="BE60" s="128">
        <v>468724</v>
      </c>
      <c r="BF60" s="128">
        <v>7941849.2376058102</v>
      </c>
      <c r="BG60" s="272">
        <v>0</v>
      </c>
      <c r="BH60">
        <v>3425</v>
      </c>
      <c r="BI60">
        <v>3203</v>
      </c>
      <c r="BJ60">
        <v>269</v>
      </c>
      <c r="BK60">
        <v>0</v>
      </c>
      <c r="BL60">
        <v>795</v>
      </c>
      <c r="BM60">
        <v>219</v>
      </c>
      <c r="BN60" s="128">
        <v>24</v>
      </c>
      <c r="BO60" s="128">
        <v>387</v>
      </c>
      <c r="BP60" s="128">
        <v>2065</v>
      </c>
      <c r="BQ60" s="128">
        <f t="shared" si="13"/>
        <v>50555294.76239419</v>
      </c>
      <c r="BR60">
        <v>29129</v>
      </c>
      <c r="BS60" s="128">
        <f t="shared" si="0"/>
        <v>1735.5657510520166</v>
      </c>
      <c r="BT60" t="s">
        <v>118</v>
      </c>
      <c r="BU60" s="129">
        <f t="shared" si="14"/>
        <v>1806.457302426935</v>
      </c>
      <c r="BZ60" t="s">
        <v>391</v>
      </c>
      <c r="CA60">
        <v>2156.5907111559968</v>
      </c>
      <c r="CB60" t="s">
        <v>441</v>
      </c>
    </row>
    <row r="61" spans="1:80" ht="14.5" x14ac:dyDescent="0.25">
      <c r="A61" t="s">
        <v>143</v>
      </c>
      <c r="B61">
        <v>19757</v>
      </c>
      <c r="C61">
        <v>2278</v>
      </c>
      <c r="D61">
        <v>226</v>
      </c>
      <c r="E61">
        <f t="shared" si="1"/>
        <v>3800</v>
      </c>
      <c r="F61">
        <f t="shared" si="2"/>
        <v>2077</v>
      </c>
      <c r="G61">
        <f t="shared" si="3"/>
        <v>1684</v>
      </c>
      <c r="H61">
        <f t="shared" si="4"/>
        <v>1653</v>
      </c>
      <c r="I61">
        <f t="shared" si="5"/>
        <v>1249</v>
      </c>
      <c r="J61">
        <f t="shared" si="6"/>
        <v>3906</v>
      </c>
      <c r="K61">
        <f t="shared" si="7"/>
        <v>6499</v>
      </c>
      <c r="L61">
        <f t="shared" si="8"/>
        <v>14756</v>
      </c>
      <c r="M61">
        <f t="shared" si="9"/>
        <v>5397</v>
      </c>
      <c r="N61">
        <f t="shared" si="10"/>
        <v>542</v>
      </c>
      <c r="O61">
        <f t="shared" si="11"/>
        <v>63824</v>
      </c>
      <c r="Q61">
        <v>11255</v>
      </c>
      <c r="R61">
        <v>6988</v>
      </c>
      <c r="S61">
        <v>467</v>
      </c>
      <c r="T61">
        <v>2552</v>
      </c>
      <c r="U61">
        <v>426</v>
      </c>
      <c r="V61">
        <v>49</v>
      </c>
      <c r="W61">
        <v>3115</v>
      </c>
      <c r="X61">
        <v>1188</v>
      </c>
      <c r="Y61">
        <v>243</v>
      </c>
      <c r="Z61" s="271">
        <v>1832</v>
      </c>
      <c r="AA61">
        <v>170</v>
      </c>
      <c r="AB61">
        <v>9</v>
      </c>
      <c r="AC61">
        <v>2032</v>
      </c>
      <c r="AD61">
        <v>323</v>
      </c>
      <c r="AE61">
        <v>460</v>
      </c>
      <c r="AF61">
        <v>6177</v>
      </c>
      <c r="AG61">
        <v>1247</v>
      </c>
      <c r="AH61">
        <v>1024</v>
      </c>
      <c r="AI61">
        <v>11259</v>
      </c>
      <c r="AJ61">
        <v>4760</v>
      </c>
      <c r="AK61">
        <v>0</v>
      </c>
      <c r="AL61">
        <v>16369</v>
      </c>
      <c r="AM61">
        <v>1609</v>
      </c>
      <c r="AN61">
        <v>4</v>
      </c>
      <c r="AO61">
        <v>6331</v>
      </c>
      <c r="AP61">
        <v>912</v>
      </c>
      <c r="AQ61">
        <v>22</v>
      </c>
      <c r="AR61">
        <v>2210</v>
      </c>
      <c r="AS61">
        <v>1668</v>
      </c>
      <c r="AT61">
        <v>0</v>
      </c>
      <c r="AU61">
        <v>6258</v>
      </c>
      <c r="AV61">
        <v>466</v>
      </c>
      <c r="AW61">
        <v>0</v>
      </c>
      <c r="AX61">
        <f t="shared" si="12"/>
        <v>69616</v>
      </c>
      <c r="AZ61" t="s">
        <v>143</v>
      </c>
      <c r="BA61" s="128">
        <v>60854</v>
      </c>
      <c r="BB61" s="128">
        <v>733208</v>
      </c>
      <c r="BC61" s="128">
        <v>0</v>
      </c>
      <c r="BD61" s="128">
        <v>2934434</v>
      </c>
      <c r="BE61" s="128">
        <v>285683.73666666669</v>
      </c>
      <c r="BF61" s="128">
        <v>3999858.2576137222</v>
      </c>
      <c r="BG61" s="272">
        <v>552000.18905275688</v>
      </c>
      <c r="BH61">
        <v>1465</v>
      </c>
      <c r="BI61">
        <v>2720</v>
      </c>
      <c r="BJ61">
        <v>375</v>
      </c>
      <c r="BK61">
        <v>275</v>
      </c>
      <c r="BL61">
        <v>1064</v>
      </c>
      <c r="BM61">
        <v>242</v>
      </c>
      <c r="BN61" s="128">
        <v>190</v>
      </c>
      <c r="BO61" s="128">
        <v>0</v>
      </c>
      <c r="BP61" s="128">
        <v>100</v>
      </c>
      <c r="BQ61" s="128">
        <f t="shared" si="13"/>
        <v>45917815.816666856</v>
      </c>
      <c r="BR61">
        <v>28903</v>
      </c>
      <c r="BS61" s="128">
        <f t="shared" si="0"/>
        <v>1588.6868427729598</v>
      </c>
      <c r="BT61" t="s">
        <v>467</v>
      </c>
      <c r="BU61" s="129">
        <f t="shared" si="14"/>
        <v>1592.1466912315973</v>
      </c>
      <c r="BZ61" t="s">
        <v>231</v>
      </c>
      <c r="CA61">
        <v>2257.0132285599339</v>
      </c>
      <c r="CB61" t="s">
        <v>441</v>
      </c>
    </row>
    <row r="62" spans="1:80" ht="14.5" x14ac:dyDescent="0.25">
      <c r="A62" t="s">
        <v>129</v>
      </c>
      <c r="B62">
        <v>981</v>
      </c>
      <c r="C62">
        <v>1765</v>
      </c>
      <c r="D62">
        <v>320</v>
      </c>
      <c r="E62">
        <f t="shared" si="1"/>
        <v>7597</v>
      </c>
      <c r="F62">
        <f t="shared" si="2"/>
        <v>1367</v>
      </c>
      <c r="G62">
        <f t="shared" si="3"/>
        <v>2503</v>
      </c>
      <c r="H62">
        <f t="shared" si="4"/>
        <v>528</v>
      </c>
      <c r="I62">
        <f t="shared" si="5"/>
        <v>2443</v>
      </c>
      <c r="J62">
        <f t="shared" si="6"/>
        <v>1902</v>
      </c>
      <c r="K62">
        <f t="shared" si="7"/>
        <v>14547</v>
      </c>
      <c r="L62">
        <f t="shared" si="8"/>
        <v>13718</v>
      </c>
      <c r="M62">
        <f t="shared" si="9"/>
        <v>4270</v>
      </c>
      <c r="N62">
        <f t="shared" si="10"/>
        <v>943</v>
      </c>
      <c r="O62">
        <f t="shared" si="11"/>
        <v>52884</v>
      </c>
      <c r="Q62">
        <v>8974</v>
      </c>
      <c r="R62">
        <v>981</v>
      </c>
      <c r="S62">
        <v>396</v>
      </c>
      <c r="T62">
        <v>1377</v>
      </c>
      <c r="U62">
        <v>0</v>
      </c>
      <c r="V62">
        <v>10</v>
      </c>
      <c r="W62">
        <v>2866</v>
      </c>
      <c r="X62">
        <v>0</v>
      </c>
      <c r="Y62">
        <v>363</v>
      </c>
      <c r="Z62" s="271">
        <v>528</v>
      </c>
      <c r="AA62">
        <v>0</v>
      </c>
      <c r="AB62">
        <v>0</v>
      </c>
      <c r="AC62">
        <v>3053</v>
      </c>
      <c r="AD62">
        <v>0</v>
      </c>
      <c r="AE62">
        <v>610</v>
      </c>
      <c r="AF62">
        <v>1943</v>
      </c>
      <c r="AG62">
        <v>0</v>
      </c>
      <c r="AH62">
        <v>41</v>
      </c>
      <c r="AI62">
        <v>14554</v>
      </c>
      <c r="AJ62">
        <v>0</v>
      </c>
      <c r="AK62">
        <v>7</v>
      </c>
      <c r="AL62">
        <v>13819</v>
      </c>
      <c r="AM62">
        <v>0</v>
      </c>
      <c r="AN62">
        <v>101</v>
      </c>
      <c r="AO62">
        <v>4507</v>
      </c>
      <c r="AP62">
        <v>0</v>
      </c>
      <c r="AQ62">
        <v>237</v>
      </c>
      <c r="AR62">
        <v>943</v>
      </c>
      <c r="AS62">
        <v>0</v>
      </c>
      <c r="AT62">
        <v>0</v>
      </c>
      <c r="AU62">
        <v>4</v>
      </c>
      <c r="AV62">
        <v>0</v>
      </c>
      <c r="AW62">
        <v>0</v>
      </c>
      <c r="AX62">
        <f t="shared" si="12"/>
        <v>52888</v>
      </c>
      <c r="AZ62" t="s">
        <v>129</v>
      </c>
      <c r="BA62" s="128">
        <v>50799</v>
      </c>
      <c r="BB62" s="128">
        <v>1133820</v>
      </c>
      <c r="BC62" s="128">
        <v>0</v>
      </c>
      <c r="BD62" s="128">
        <v>4863648</v>
      </c>
      <c r="BE62" s="128">
        <v>462921</v>
      </c>
      <c r="BF62" s="128">
        <v>7383755.2085449258</v>
      </c>
      <c r="BG62" s="272">
        <v>0</v>
      </c>
      <c r="BH62">
        <v>1544</v>
      </c>
      <c r="BI62">
        <v>1897</v>
      </c>
      <c r="BJ62">
        <v>179</v>
      </c>
      <c r="BK62">
        <v>0</v>
      </c>
      <c r="BL62">
        <v>321</v>
      </c>
      <c r="BM62">
        <v>40</v>
      </c>
      <c r="BN62" s="128">
        <v>20</v>
      </c>
      <c r="BO62" s="128">
        <v>0</v>
      </c>
      <c r="BP62" s="128">
        <v>47</v>
      </c>
      <c r="BQ62" s="128">
        <f t="shared" si="13"/>
        <v>32906855.791455075</v>
      </c>
      <c r="BR62">
        <v>18943</v>
      </c>
      <c r="BS62" s="128">
        <f t="shared" si="0"/>
        <v>1737.1512321942182</v>
      </c>
      <c r="BT62" t="s">
        <v>118</v>
      </c>
      <c r="BU62" s="129">
        <f t="shared" si="14"/>
        <v>1739.6323597875244</v>
      </c>
      <c r="BZ62" t="s">
        <v>423</v>
      </c>
      <c r="CA62">
        <v>1698.5141426690441</v>
      </c>
      <c r="CB62" t="s">
        <v>441</v>
      </c>
    </row>
    <row r="63" spans="1:80" ht="14.5" x14ac:dyDescent="0.25">
      <c r="A63" t="s">
        <v>218</v>
      </c>
      <c r="B63">
        <v>19867</v>
      </c>
      <c r="C63">
        <v>4761</v>
      </c>
      <c r="D63">
        <v>1630</v>
      </c>
      <c r="E63">
        <f t="shared" si="1"/>
        <v>8245</v>
      </c>
      <c r="F63">
        <f t="shared" si="2"/>
        <v>2990</v>
      </c>
      <c r="G63">
        <f t="shared" si="3"/>
        <v>3365</v>
      </c>
      <c r="H63">
        <f t="shared" si="4"/>
        <v>3555</v>
      </c>
      <c r="I63">
        <f t="shared" si="5"/>
        <v>2506</v>
      </c>
      <c r="J63">
        <f t="shared" si="6"/>
        <v>5709</v>
      </c>
      <c r="K63">
        <f t="shared" si="7"/>
        <v>12572</v>
      </c>
      <c r="L63">
        <f t="shared" si="8"/>
        <v>25309</v>
      </c>
      <c r="M63">
        <f t="shared" si="9"/>
        <v>9017</v>
      </c>
      <c r="N63">
        <f t="shared" si="10"/>
        <v>1253</v>
      </c>
      <c r="O63">
        <f t="shared" si="11"/>
        <v>100779</v>
      </c>
      <c r="Q63">
        <v>18692</v>
      </c>
      <c r="R63">
        <v>10014</v>
      </c>
      <c r="S63">
        <v>433</v>
      </c>
      <c r="T63">
        <v>4046</v>
      </c>
      <c r="U63">
        <v>957</v>
      </c>
      <c r="V63">
        <v>99</v>
      </c>
      <c r="W63">
        <v>4541</v>
      </c>
      <c r="X63">
        <v>1013</v>
      </c>
      <c r="Y63">
        <v>163</v>
      </c>
      <c r="Z63" s="271">
        <v>3849</v>
      </c>
      <c r="AA63">
        <v>289</v>
      </c>
      <c r="AB63">
        <v>5</v>
      </c>
      <c r="AC63">
        <v>4167</v>
      </c>
      <c r="AD63">
        <v>325</v>
      </c>
      <c r="AE63">
        <v>1336</v>
      </c>
      <c r="AF63">
        <v>8273</v>
      </c>
      <c r="AG63">
        <v>1609</v>
      </c>
      <c r="AH63">
        <v>955</v>
      </c>
      <c r="AI63">
        <v>12843</v>
      </c>
      <c r="AJ63">
        <v>271</v>
      </c>
      <c r="AK63">
        <v>0</v>
      </c>
      <c r="AL63">
        <v>27590</v>
      </c>
      <c r="AM63">
        <v>1817</v>
      </c>
      <c r="AN63">
        <v>464</v>
      </c>
      <c r="AO63">
        <v>11359</v>
      </c>
      <c r="AP63">
        <v>1040</v>
      </c>
      <c r="AQ63">
        <v>1302</v>
      </c>
      <c r="AR63">
        <v>3517</v>
      </c>
      <c r="AS63">
        <v>2263</v>
      </c>
      <c r="AT63">
        <v>1</v>
      </c>
      <c r="AU63">
        <v>7857</v>
      </c>
      <c r="AV63">
        <v>269</v>
      </c>
      <c r="AW63">
        <v>3</v>
      </c>
      <c r="AX63">
        <f t="shared" si="12"/>
        <v>108364</v>
      </c>
      <c r="AZ63" t="s">
        <v>218</v>
      </c>
      <c r="BA63" s="128">
        <v>94116</v>
      </c>
      <c r="BB63" s="128">
        <v>752225</v>
      </c>
      <c r="BC63" s="128">
        <v>0</v>
      </c>
      <c r="BD63" s="128">
        <v>1224294</v>
      </c>
      <c r="BE63" s="128">
        <v>487522</v>
      </c>
      <c r="BF63" s="128">
        <v>9488106.7124813758</v>
      </c>
      <c r="BG63" s="272">
        <v>250366.96383959427</v>
      </c>
      <c r="BH63">
        <v>4582</v>
      </c>
      <c r="BI63">
        <v>4163</v>
      </c>
      <c r="BJ63">
        <v>558</v>
      </c>
      <c r="BK63">
        <v>490</v>
      </c>
      <c r="BL63">
        <v>1091</v>
      </c>
      <c r="BM63">
        <v>162</v>
      </c>
      <c r="BN63" s="128">
        <v>215</v>
      </c>
      <c r="BO63" s="128">
        <v>0</v>
      </c>
      <c r="BP63" s="128">
        <v>1025</v>
      </c>
      <c r="BQ63" s="128">
        <f t="shared" si="13"/>
        <v>69627485.32367903</v>
      </c>
      <c r="BR63">
        <v>43368</v>
      </c>
      <c r="BS63" s="128">
        <f t="shared" ref="BS63:BS125" si="15">BQ63/BR63</f>
        <v>1605.5037198782288</v>
      </c>
      <c r="BT63" t="s">
        <v>467</v>
      </c>
      <c r="BU63" s="129">
        <f t="shared" si="14"/>
        <v>1629.1386580815124</v>
      </c>
      <c r="BZ63" t="s">
        <v>126</v>
      </c>
      <c r="CA63">
        <v>2286.3937322376187</v>
      </c>
      <c r="CB63" t="s">
        <v>441</v>
      </c>
    </row>
    <row r="64" spans="1:80" ht="14.5" x14ac:dyDescent="0.25">
      <c r="A64" t="s">
        <v>529</v>
      </c>
      <c r="B64">
        <v>34187</v>
      </c>
      <c r="C64">
        <v>6347</v>
      </c>
      <c r="D64">
        <v>2108</v>
      </c>
      <c r="E64">
        <f t="shared" ref="E64:E126" si="16">SUM(Q64,-R64,-S64)</f>
        <v>8246</v>
      </c>
      <c r="F64">
        <f t="shared" ref="F64:F126" si="17">SUM(T64,-U64,-V64)</f>
        <v>3513</v>
      </c>
      <c r="G64">
        <f t="shared" ref="G64:G126" si="18">SUM(W64,-X64,-Y64)</f>
        <v>6861</v>
      </c>
      <c r="H64">
        <f t="shared" ref="H64:H126" si="19">SUM(Z64,-AA64,-AB64)</f>
        <v>980</v>
      </c>
      <c r="I64">
        <f t="shared" ref="I64:I126" si="20">SUM(AC64,-AD64,-AE64)</f>
        <v>3759</v>
      </c>
      <c r="J64">
        <f t="shared" ref="J64:J126" si="21">SUM(AF64,-AG64,-AH64)</f>
        <v>8858</v>
      </c>
      <c r="K64">
        <f t="shared" ref="K64:K126" si="22">SUM(AI64,-AJ64,-AK64)</f>
        <v>22671</v>
      </c>
      <c r="L64">
        <f t="shared" ref="L64:L126" si="23">SUM(AL64,-AM64,-AN64)</f>
        <v>26367</v>
      </c>
      <c r="M64">
        <f t="shared" ref="M64:M126" si="24">SUM(AO64,-AP64,-AQ64)</f>
        <v>9831</v>
      </c>
      <c r="N64">
        <f t="shared" ref="N64:N126" si="25">SUM(AR64,-AS64,-AT64)</f>
        <v>1281</v>
      </c>
      <c r="O64">
        <f t="shared" ref="O64:O126" si="26">SUM(B64:N64)</f>
        <v>135009</v>
      </c>
      <c r="Q64">
        <v>28791</v>
      </c>
      <c r="R64">
        <v>19176</v>
      </c>
      <c r="S64">
        <v>1369</v>
      </c>
      <c r="T64">
        <v>4116</v>
      </c>
      <c r="U64">
        <v>603</v>
      </c>
      <c r="V64">
        <v>0</v>
      </c>
      <c r="W64">
        <v>10319</v>
      </c>
      <c r="X64">
        <v>1858</v>
      </c>
      <c r="Y64">
        <v>1600</v>
      </c>
      <c r="Z64" s="271">
        <v>1410</v>
      </c>
      <c r="AA64">
        <v>430</v>
      </c>
      <c r="AB64">
        <v>0</v>
      </c>
      <c r="AC64">
        <v>5599</v>
      </c>
      <c r="AD64">
        <v>490</v>
      </c>
      <c r="AE64">
        <v>1350</v>
      </c>
      <c r="AF64">
        <v>12987</v>
      </c>
      <c r="AG64">
        <v>3230</v>
      </c>
      <c r="AH64">
        <v>899</v>
      </c>
      <c r="AI64">
        <v>23701</v>
      </c>
      <c r="AJ64">
        <v>1030</v>
      </c>
      <c r="AK64">
        <v>0</v>
      </c>
      <c r="AL64">
        <v>28210</v>
      </c>
      <c r="AM64">
        <v>1789</v>
      </c>
      <c r="AN64">
        <v>54</v>
      </c>
      <c r="AO64">
        <v>13501</v>
      </c>
      <c r="AP64">
        <v>2597</v>
      </c>
      <c r="AQ64">
        <v>1073</v>
      </c>
      <c r="AR64">
        <v>3995</v>
      </c>
      <c r="AS64">
        <v>2712</v>
      </c>
      <c r="AT64">
        <v>2</v>
      </c>
      <c r="AU64">
        <v>488</v>
      </c>
      <c r="AV64">
        <v>272</v>
      </c>
      <c r="AW64">
        <v>0</v>
      </c>
      <c r="AX64">
        <f t="shared" ref="AX64:AX126" si="27">SUM(D64,Q64,T64,W64,Z64,AC64,AF64,AI64,AL64,AO64,AR64,AU64)</f>
        <v>135225</v>
      </c>
      <c r="AZ64" t="s">
        <v>529</v>
      </c>
      <c r="BA64" s="128">
        <v>126282</v>
      </c>
      <c r="BB64" s="128">
        <v>1219139</v>
      </c>
      <c r="BC64" s="128">
        <v>0</v>
      </c>
      <c r="BD64" s="128">
        <v>3193220</v>
      </c>
      <c r="BE64" s="128">
        <v>1079480</v>
      </c>
      <c r="BF64" s="128">
        <v>13774488.633419823</v>
      </c>
      <c r="BG64" s="272">
        <v>0</v>
      </c>
      <c r="BH64">
        <v>5076</v>
      </c>
      <c r="BI64">
        <v>5876</v>
      </c>
      <c r="BJ64">
        <v>672</v>
      </c>
      <c r="BK64">
        <v>497</v>
      </c>
      <c r="BL64">
        <v>1116</v>
      </c>
      <c r="BM64">
        <v>658</v>
      </c>
      <c r="BN64" s="128">
        <v>2250</v>
      </c>
      <c r="BO64" s="128">
        <v>0</v>
      </c>
      <c r="BP64" s="128">
        <v>909</v>
      </c>
      <c r="BQ64" s="128">
        <f t="shared" si="13"/>
        <v>89961672.366580173</v>
      </c>
      <c r="BR64">
        <v>51793</v>
      </c>
      <c r="BS64" s="128">
        <f t="shared" si="15"/>
        <v>1736.9465442546323</v>
      </c>
      <c r="BT64" t="s">
        <v>118</v>
      </c>
      <c r="BU64" s="129">
        <f t="shared" si="14"/>
        <v>1754.4971785102268</v>
      </c>
      <c r="BZ64" t="s">
        <v>233</v>
      </c>
      <c r="CA64">
        <v>1821.0289497272545</v>
      </c>
      <c r="CB64" t="s">
        <v>441</v>
      </c>
    </row>
    <row r="65" spans="1:86" ht="14.5" x14ac:dyDescent="0.25">
      <c r="A65" t="s">
        <v>219</v>
      </c>
      <c r="B65">
        <v>27778</v>
      </c>
      <c r="C65">
        <v>4883</v>
      </c>
      <c r="D65">
        <v>1052</v>
      </c>
      <c r="E65">
        <f t="shared" si="16"/>
        <v>8157</v>
      </c>
      <c r="F65">
        <f t="shared" si="17"/>
        <v>3009</v>
      </c>
      <c r="G65">
        <f t="shared" si="18"/>
        <v>5747</v>
      </c>
      <c r="H65">
        <f t="shared" si="19"/>
        <v>222</v>
      </c>
      <c r="I65">
        <f t="shared" si="20"/>
        <v>2607</v>
      </c>
      <c r="J65">
        <f t="shared" si="21"/>
        <v>5440</v>
      </c>
      <c r="K65">
        <f t="shared" si="22"/>
        <v>8915</v>
      </c>
      <c r="L65">
        <f t="shared" si="23"/>
        <v>17970</v>
      </c>
      <c r="M65">
        <f t="shared" si="24"/>
        <v>8749</v>
      </c>
      <c r="N65">
        <f t="shared" si="25"/>
        <v>2147</v>
      </c>
      <c r="O65">
        <f t="shared" si="26"/>
        <v>96676</v>
      </c>
      <c r="Q65">
        <v>20704</v>
      </c>
      <c r="R65">
        <v>11866</v>
      </c>
      <c r="S65">
        <v>681</v>
      </c>
      <c r="T65">
        <v>3547</v>
      </c>
      <c r="U65">
        <v>526</v>
      </c>
      <c r="V65">
        <v>12</v>
      </c>
      <c r="W65">
        <v>8082</v>
      </c>
      <c r="X65">
        <v>1526</v>
      </c>
      <c r="Y65">
        <v>809</v>
      </c>
      <c r="Z65" s="271">
        <v>566</v>
      </c>
      <c r="AA65">
        <v>344</v>
      </c>
      <c r="AB65">
        <v>0</v>
      </c>
      <c r="AC65">
        <v>3865</v>
      </c>
      <c r="AD65">
        <v>502</v>
      </c>
      <c r="AE65">
        <v>756</v>
      </c>
      <c r="AF65">
        <v>8631</v>
      </c>
      <c r="AG65">
        <v>2082</v>
      </c>
      <c r="AH65">
        <v>1109</v>
      </c>
      <c r="AI65">
        <v>12900</v>
      </c>
      <c r="AJ65">
        <v>3985</v>
      </c>
      <c r="AK65">
        <v>0</v>
      </c>
      <c r="AL65">
        <v>20649</v>
      </c>
      <c r="AM65">
        <v>2603</v>
      </c>
      <c r="AN65">
        <v>76</v>
      </c>
      <c r="AO65">
        <v>12130</v>
      </c>
      <c r="AP65">
        <v>1941</v>
      </c>
      <c r="AQ65">
        <v>1440</v>
      </c>
      <c r="AR65">
        <v>4474</v>
      </c>
      <c r="AS65">
        <v>2327</v>
      </c>
      <c r="AT65">
        <v>0</v>
      </c>
      <c r="AU65">
        <v>-677</v>
      </c>
      <c r="AV65">
        <v>76</v>
      </c>
      <c r="AW65">
        <v>0</v>
      </c>
      <c r="AX65">
        <f t="shared" si="27"/>
        <v>95923</v>
      </c>
      <c r="AZ65" t="s">
        <v>219</v>
      </c>
      <c r="BA65" s="128">
        <v>90665</v>
      </c>
      <c r="BB65" s="128">
        <v>1023947</v>
      </c>
      <c r="BC65" s="128">
        <v>0</v>
      </c>
      <c r="BD65" s="128">
        <v>1646668</v>
      </c>
      <c r="BE65" s="128">
        <v>722420.20333333337</v>
      </c>
      <c r="BF65" s="128">
        <v>7564120.3563705608</v>
      </c>
      <c r="BG65" s="272">
        <v>240987.9182382524</v>
      </c>
      <c r="BH65">
        <v>4990</v>
      </c>
      <c r="BI65">
        <v>5792</v>
      </c>
      <c r="BJ65">
        <v>445</v>
      </c>
      <c r="BK65">
        <v>60</v>
      </c>
      <c r="BL65">
        <v>2005</v>
      </c>
      <c r="BM65">
        <v>268</v>
      </c>
      <c r="BN65" s="128">
        <v>763</v>
      </c>
      <c r="BO65" s="128">
        <v>6</v>
      </c>
      <c r="BP65" s="128">
        <v>2336</v>
      </c>
      <c r="BQ65" s="128">
        <f t="shared" si="13"/>
        <v>62801856.522057861</v>
      </c>
      <c r="BR65">
        <v>44727</v>
      </c>
      <c r="BS65" s="128">
        <f t="shared" si="15"/>
        <v>1404.1151099348908</v>
      </c>
      <c r="BT65" t="s">
        <v>467</v>
      </c>
      <c r="BU65" s="129">
        <f t="shared" si="14"/>
        <v>1456.3430706744889</v>
      </c>
      <c r="BZ65" t="s">
        <v>425</v>
      </c>
      <c r="CA65">
        <v>2159.9885574833038</v>
      </c>
      <c r="CB65" t="s">
        <v>441</v>
      </c>
    </row>
    <row r="66" spans="1:86" ht="14.5" x14ac:dyDescent="0.25">
      <c r="A66" t="s">
        <v>117</v>
      </c>
      <c r="B66">
        <v>1593</v>
      </c>
      <c r="C66">
        <v>2663</v>
      </c>
      <c r="D66">
        <v>438</v>
      </c>
      <c r="E66">
        <f t="shared" si="16"/>
        <v>7880</v>
      </c>
      <c r="F66">
        <f t="shared" si="17"/>
        <v>1885</v>
      </c>
      <c r="G66">
        <f t="shared" si="18"/>
        <v>2583</v>
      </c>
      <c r="H66">
        <f t="shared" si="19"/>
        <v>576</v>
      </c>
      <c r="I66">
        <f t="shared" si="20"/>
        <v>1434</v>
      </c>
      <c r="J66">
        <f t="shared" si="21"/>
        <v>5158</v>
      </c>
      <c r="K66">
        <f t="shared" si="22"/>
        <v>7995</v>
      </c>
      <c r="L66">
        <f t="shared" si="23"/>
        <v>14398</v>
      </c>
      <c r="M66">
        <f t="shared" si="24"/>
        <v>5020</v>
      </c>
      <c r="N66">
        <f t="shared" si="25"/>
        <v>1419</v>
      </c>
      <c r="O66">
        <f t="shared" si="26"/>
        <v>53042</v>
      </c>
      <c r="Q66">
        <v>9786</v>
      </c>
      <c r="R66">
        <v>1593</v>
      </c>
      <c r="S66">
        <v>313</v>
      </c>
      <c r="T66">
        <v>1959</v>
      </c>
      <c r="U66">
        <v>0</v>
      </c>
      <c r="V66">
        <v>74</v>
      </c>
      <c r="W66">
        <v>3103</v>
      </c>
      <c r="X66">
        <v>0</v>
      </c>
      <c r="Y66">
        <v>520</v>
      </c>
      <c r="Z66" s="271">
        <v>576</v>
      </c>
      <c r="AA66">
        <v>0</v>
      </c>
      <c r="AB66">
        <v>0</v>
      </c>
      <c r="AC66">
        <v>2072</v>
      </c>
      <c r="AD66">
        <v>0</v>
      </c>
      <c r="AE66">
        <v>638</v>
      </c>
      <c r="AF66">
        <v>5499</v>
      </c>
      <c r="AG66">
        <v>0</v>
      </c>
      <c r="AH66">
        <v>341</v>
      </c>
      <c r="AI66">
        <v>7995</v>
      </c>
      <c r="AJ66">
        <v>0</v>
      </c>
      <c r="AK66">
        <v>0</v>
      </c>
      <c r="AL66">
        <v>14451</v>
      </c>
      <c r="AM66">
        <v>0</v>
      </c>
      <c r="AN66">
        <v>53</v>
      </c>
      <c r="AO66">
        <v>5736</v>
      </c>
      <c r="AP66">
        <v>0</v>
      </c>
      <c r="AQ66">
        <v>716</v>
      </c>
      <c r="AR66">
        <v>1427</v>
      </c>
      <c r="AS66">
        <v>0</v>
      </c>
      <c r="AT66">
        <v>8</v>
      </c>
      <c r="AU66">
        <v>416</v>
      </c>
      <c r="AV66">
        <v>0</v>
      </c>
      <c r="AW66">
        <v>0</v>
      </c>
      <c r="AX66">
        <f t="shared" si="27"/>
        <v>53458</v>
      </c>
      <c r="AZ66" t="s">
        <v>117</v>
      </c>
      <c r="BA66" s="128">
        <v>49941</v>
      </c>
      <c r="BB66" s="128">
        <v>677841</v>
      </c>
      <c r="BC66" s="128">
        <v>0</v>
      </c>
      <c r="BD66" s="128">
        <v>1135318</v>
      </c>
      <c r="BE66" s="128">
        <v>526201</v>
      </c>
      <c r="BF66" s="128">
        <v>3698140.872622258</v>
      </c>
      <c r="BG66" s="272">
        <v>0</v>
      </c>
      <c r="BH66">
        <v>2631</v>
      </c>
      <c r="BI66">
        <v>1974</v>
      </c>
      <c r="BJ66">
        <v>303</v>
      </c>
      <c r="BK66">
        <v>284</v>
      </c>
      <c r="BL66">
        <v>614</v>
      </c>
      <c r="BM66">
        <v>72</v>
      </c>
      <c r="BN66" s="128">
        <v>514</v>
      </c>
      <c r="BO66" s="128">
        <v>0</v>
      </c>
      <c r="BP66" s="128">
        <v>37</v>
      </c>
      <c r="BQ66" s="128">
        <f t="shared" si="13"/>
        <v>37474499.127377741</v>
      </c>
      <c r="BR66">
        <v>24374</v>
      </c>
      <c r="BS66" s="128">
        <f t="shared" si="15"/>
        <v>1537.4784248534397</v>
      </c>
      <c r="BT66" t="s">
        <v>467</v>
      </c>
      <c r="BU66" s="129">
        <f t="shared" si="14"/>
        <v>1538.9964358487628</v>
      </c>
      <c r="BZ66" t="s">
        <v>426</v>
      </c>
      <c r="CA66">
        <v>1795.9404881761391</v>
      </c>
      <c r="CB66" t="s">
        <v>441</v>
      </c>
    </row>
    <row r="67" spans="1:86" ht="14.5" x14ac:dyDescent="0.25">
      <c r="A67" t="s">
        <v>290</v>
      </c>
      <c r="B67">
        <v>76283</v>
      </c>
      <c r="C67">
        <v>15321</v>
      </c>
      <c r="D67">
        <v>7971</v>
      </c>
      <c r="E67">
        <f t="shared" si="16"/>
        <v>26805</v>
      </c>
      <c r="F67">
        <f t="shared" si="17"/>
        <v>9090</v>
      </c>
      <c r="G67">
        <f t="shared" si="18"/>
        <v>10299</v>
      </c>
      <c r="H67">
        <f t="shared" si="19"/>
        <v>3703</v>
      </c>
      <c r="I67">
        <f t="shared" si="20"/>
        <v>7676</v>
      </c>
      <c r="J67">
        <f t="shared" si="21"/>
        <v>16269</v>
      </c>
      <c r="K67">
        <f t="shared" si="22"/>
        <v>78723</v>
      </c>
      <c r="L67">
        <f t="shared" si="23"/>
        <v>91714</v>
      </c>
      <c r="M67">
        <f t="shared" si="24"/>
        <v>29559</v>
      </c>
      <c r="N67">
        <f t="shared" si="25"/>
        <v>5054</v>
      </c>
      <c r="O67">
        <f t="shared" si="26"/>
        <v>378467</v>
      </c>
      <c r="Q67">
        <v>62323</v>
      </c>
      <c r="R67">
        <v>30527</v>
      </c>
      <c r="S67">
        <v>4991</v>
      </c>
      <c r="T67">
        <v>13892</v>
      </c>
      <c r="U67">
        <v>4802</v>
      </c>
      <c r="V67">
        <v>0</v>
      </c>
      <c r="W67">
        <v>18761</v>
      </c>
      <c r="X67">
        <v>3619</v>
      </c>
      <c r="Y67">
        <v>4843</v>
      </c>
      <c r="Z67" s="271">
        <v>4957</v>
      </c>
      <c r="AA67">
        <v>1248</v>
      </c>
      <c r="AB67">
        <v>6</v>
      </c>
      <c r="AC67">
        <v>12504</v>
      </c>
      <c r="AD67">
        <v>1620</v>
      </c>
      <c r="AE67">
        <v>3208</v>
      </c>
      <c r="AF67">
        <v>24463</v>
      </c>
      <c r="AG67">
        <v>6818</v>
      </c>
      <c r="AH67">
        <v>1376</v>
      </c>
      <c r="AI67">
        <v>94325</v>
      </c>
      <c r="AJ67">
        <v>15541</v>
      </c>
      <c r="AK67">
        <v>61</v>
      </c>
      <c r="AL67">
        <v>94911</v>
      </c>
      <c r="AM67">
        <v>3184</v>
      </c>
      <c r="AN67">
        <v>13</v>
      </c>
      <c r="AO67">
        <v>33153</v>
      </c>
      <c r="AP67">
        <v>3144</v>
      </c>
      <c r="AQ67">
        <v>450</v>
      </c>
      <c r="AR67">
        <v>10041</v>
      </c>
      <c r="AS67">
        <v>4634</v>
      </c>
      <c r="AT67">
        <v>353</v>
      </c>
      <c r="AU67">
        <v>14648</v>
      </c>
      <c r="AV67">
        <v>1146</v>
      </c>
      <c r="AW67">
        <v>20</v>
      </c>
      <c r="AX67">
        <f t="shared" si="27"/>
        <v>391949</v>
      </c>
      <c r="AZ67" t="s">
        <v>290</v>
      </c>
      <c r="BA67" s="128">
        <v>354009</v>
      </c>
      <c r="BB67" s="128">
        <v>3434810</v>
      </c>
      <c r="BC67" s="128">
        <v>16173223</v>
      </c>
      <c r="BD67" s="128">
        <v>12141301</v>
      </c>
      <c r="BE67" s="128">
        <v>7531708</v>
      </c>
      <c r="BF67" s="128">
        <v>58240484.750058301</v>
      </c>
      <c r="BG67" s="272">
        <v>0</v>
      </c>
      <c r="BH67">
        <v>11879</v>
      </c>
      <c r="BI67">
        <v>15220</v>
      </c>
      <c r="BJ67">
        <v>1247</v>
      </c>
      <c r="BK67">
        <v>0</v>
      </c>
      <c r="BL67">
        <v>3550</v>
      </c>
      <c r="BM67">
        <v>2694</v>
      </c>
      <c r="BN67" s="128">
        <v>948</v>
      </c>
      <c r="BO67" s="128">
        <v>1682</v>
      </c>
      <c r="BP67" s="128">
        <v>3307</v>
      </c>
      <c r="BQ67" s="128">
        <f t="shared" ref="BQ67:BQ130" si="28">SUM(1000*BA67,-BB67,-BC67,-BD67,-BE67,-BF67,-BG67,-1000*BH67,-1000*BI67,-1000*BJ67,-1000*BK67,-1000*BL67,-1000*BM67,-1000*BN67,-1000*BO67,-1000*BP67)</f>
        <v>215960473.24994171</v>
      </c>
      <c r="BR67">
        <v>103588</v>
      </c>
      <c r="BS67" s="128">
        <f t="shared" si="15"/>
        <v>2084.8020354668661</v>
      </c>
      <c r="BT67" t="s">
        <v>118</v>
      </c>
      <c r="BU67" s="129">
        <f t="shared" ref="BU67:BU130" si="29">SUM(BQ67,1000*BP67)/BR67</f>
        <v>2116.7265827117203</v>
      </c>
      <c r="BZ67" t="s">
        <v>342</v>
      </c>
      <c r="CA67">
        <v>2420.5312256363018</v>
      </c>
      <c r="CB67" t="s">
        <v>441</v>
      </c>
    </row>
    <row r="68" spans="1:86" ht="14.5" x14ac:dyDescent="0.25">
      <c r="A68" t="s">
        <v>247</v>
      </c>
      <c r="B68">
        <v>36770</v>
      </c>
      <c r="C68">
        <v>7487</v>
      </c>
      <c r="D68">
        <v>2904</v>
      </c>
      <c r="E68">
        <f t="shared" si="16"/>
        <v>12065</v>
      </c>
      <c r="F68">
        <f t="shared" si="17"/>
        <v>4604</v>
      </c>
      <c r="G68">
        <f t="shared" si="18"/>
        <v>6095</v>
      </c>
      <c r="H68">
        <f t="shared" si="19"/>
        <v>1369</v>
      </c>
      <c r="I68">
        <f t="shared" si="20"/>
        <v>7102</v>
      </c>
      <c r="J68">
        <f t="shared" si="21"/>
        <v>13634</v>
      </c>
      <c r="K68">
        <f t="shared" si="22"/>
        <v>41271</v>
      </c>
      <c r="L68">
        <f t="shared" si="23"/>
        <v>51645</v>
      </c>
      <c r="M68">
        <f t="shared" si="24"/>
        <v>13248</v>
      </c>
      <c r="N68">
        <f t="shared" si="25"/>
        <v>1364</v>
      </c>
      <c r="O68">
        <f t="shared" si="26"/>
        <v>199558</v>
      </c>
      <c r="Q68">
        <v>34281</v>
      </c>
      <c r="R68">
        <v>20548</v>
      </c>
      <c r="S68">
        <v>1668</v>
      </c>
      <c r="T68">
        <v>5974</v>
      </c>
      <c r="U68">
        <v>1330</v>
      </c>
      <c r="V68">
        <v>40</v>
      </c>
      <c r="W68">
        <v>8830</v>
      </c>
      <c r="X68">
        <v>1516</v>
      </c>
      <c r="Y68">
        <v>1219</v>
      </c>
      <c r="Z68" s="271">
        <v>1854</v>
      </c>
      <c r="AA68">
        <v>473</v>
      </c>
      <c r="AB68">
        <v>12</v>
      </c>
      <c r="AC68">
        <v>8814</v>
      </c>
      <c r="AD68">
        <v>713</v>
      </c>
      <c r="AE68">
        <v>999</v>
      </c>
      <c r="AF68">
        <v>16737</v>
      </c>
      <c r="AG68">
        <v>2004</v>
      </c>
      <c r="AH68">
        <v>1099</v>
      </c>
      <c r="AI68">
        <v>44072</v>
      </c>
      <c r="AJ68">
        <v>2801</v>
      </c>
      <c r="AK68">
        <v>0</v>
      </c>
      <c r="AL68">
        <v>55643</v>
      </c>
      <c r="AM68">
        <v>3998</v>
      </c>
      <c r="AN68">
        <v>0</v>
      </c>
      <c r="AO68">
        <v>15806</v>
      </c>
      <c r="AP68">
        <v>1034</v>
      </c>
      <c r="AQ68">
        <v>1524</v>
      </c>
      <c r="AR68">
        <v>4500</v>
      </c>
      <c r="AS68">
        <v>2210</v>
      </c>
      <c r="AT68">
        <v>926</v>
      </c>
      <c r="AU68">
        <v>3805</v>
      </c>
      <c r="AV68">
        <v>143</v>
      </c>
      <c r="AW68">
        <v>0</v>
      </c>
      <c r="AX68">
        <f t="shared" si="27"/>
        <v>203220</v>
      </c>
      <c r="AZ68" t="s">
        <v>247</v>
      </c>
      <c r="BA68" s="128">
        <v>189024</v>
      </c>
      <c r="BB68" s="128">
        <v>2690775</v>
      </c>
      <c r="BC68" s="128">
        <v>8400829</v>
      </c>
      <c r="BD68" s="128">
        <v>6862427</v>
      </c>
      <c r="BE68" s="128">
        <v>4677108</v>
      </c>
      <c r="BF68" s="128">
        <v>27949147.986422557</v>
      </c>
      <c r="BG68" s="272">
        <v>513986.70771647617</v>
      </c>
      <c r="BH68">
        <v>3936</v>
      </c>
      <c r="BI68">
        <v>10578</v>
      </c>
      <c r="BJ68">
        <v>875</v>
      </c>
      <c r="BK68">
        <v>362</v>
      </c>
      <c r="BL68">
        <v>1038</v>
      </c>
      <c r="BM68">
        <v>104</v>
      </c>
      <c r="BN68" s="128">
        <v>1487</v>
      </c>
      <c r="BO68" s="128">
        <v>63</v>
      </c>
      <c r="BP68" s="128">
        <v>776</v>
      </c>
      <c r="BQ68" s="128">
        <f t="shared" si="28"/>
        <v>118710726.30586097</v>
      </c>
      <c r="BR68">
        <v>56577</v>
      </c>
      <c r="BS68" s="128">
        <f t="shared" si="15"/>
        <v>2098.2152872344054</v>
      </c>
      <c r="BT68" t="s">
        <v>441</v>
      </c>
      <c r="BU68" s="129">
        <f t="shared" si="29"/>
        <v>2111.9311081510327</v>
      </c>
      <c r="BZ68" t="s">
        <v>428</v>
      </c>
      <c r="CA68">
        <v>2054.4822493174033</v>
      </c>
      <c r="CB68" t="s">
        <v>441</v>
      </c>
    </row>
    <row r="69" spans="1:86" ht="14.5" x14ac:dyDescent="0.25">
      <c r="A69" t="s">
        <v>357</v>
      </c>
      <c r="B69">
        <v>16110</v>
      </c>
      <c r="C69">
        <v>3207</v>
      </c>
      <c r="D69">
        <v>2072</v>
      </c>
      <c r="E69">
        <f t="shared" si="16"/>
        <v>5354</v>
      </c>
      <c r="F69">
        <f t="shared" si="17"/>
        <v>2065</v>
      </c>
      <c r="G69">
        <f t="shared" si="18"/>
        <v>3496</v>
      </c>
      <c r="H69">
        <f t="shared" si="19"/>
        <v>3742</v>
      </c>
      <c r="I69">
        <f t="shared" si="20"/>
        <v>2700</v>
      </c>
      <c r="J69">
        <f t="shared" si="21"/>
        <v>4037</v>
      </c>
      <c r="K69">
        <f t="shared" si="22"/>
        <v>13773</v>
      </c>
      <c r="L69">
        <f t="shared" si="23"/>
        <v>21473</v>
      </c>
      <c r="M69">
        <f t="shared" si="24"/>
        <v>6492</v>
      </c>
      <c r="N69">
        <f t="shared" si="25"/>
        <v>1737</v>
      </c>
      <c r="O69">
        <f t="shared" si="26"/>
        <v>86258</v>
      </c>
      <c r="Q69">
        <v>14065</v>
      </c>
      <c r="R69">
        <v>7912</v>
      </c>
      <c r="S69">
        <v>799</v>
      </c>
      <c r="T69">
        <v>2757</v>
      </c>
      <c r="U69">
        <v>692</v>
      </c>
      <c r="V69">
        <v>0</v>
      </c>
      <c r="W69">
        <v>4940</v>
      </c>
      <c r="X69">
        <v>908</v>
      </c>
      <c r="Y69">
        <v>536</v>
      </c>
      <c r="Z69" s="271">
        <v>4070</v>
      </c>
      <c r="AA69">
        <v>328</v>
      </c>
      <c r="AB69">
        <v>0</v>
      </c>
      <c r="AC69">
        <v>3493</v>
      </c>
      <c r="AD69">
        <v>218</v>
      </c>
      <c r="AE69">
        <v>575</v>
      </c>
      <c r="AF69">
        <v>5493</v>
      </c>
      <c r="AG69">
        <v>793</v>
      </c>
      <c r="AH69">
        <v>663</v>
      </c>
      <c r="AI69">
        <v>13939</v>
      </c>
      <c r="AJ69">
        <v>166</v>
      </c>
      <c r="AK69">
        <v>0</v>
      </c>
      <c r="AL69">
        <v>23308</v>
      </c>
      <c r="AM69">
        <v>1600</v>
      </c>
      <c r="AN69">
        <v>235</v>
      </c>
      <c r="AO69">
        <v>7649</v>
      </c>
      <c r="AP69">
        <v>758</v>
      </c>
      <c r="AQ69">
        <v>399</v>
      </c>
      <c r="AR69">
        <v>4182</v>
      </c>
      <c r="AS69">
        <v>2445</v>
      </c>
      <c r="AT69">
        <v>0</v>
      </c>
      <c r="AU69">
        <v>15054</v>
      </c>
      <c r="AV69">
        <v>290</v>
      </c>
      <c r="AW69">
        <v>0</v>
      </c>
      <c r="AX69">
        <f t="shared" si="27"/>
        <v>101022</v>
      </c>
      <c r="AZ69" t="s">
        <v>357</v>
      </c>
      <c r="BA69" s="128">
        <v>80689</v>
      </c>
      <c r="BB69" s="128">
        <v>2457748</v>
      </c>
      <c r="BC69" s="128">
        <v>0</v>
      </c>
      <c r="BD69" s="128">
        <v>4237867</v>
      </c>
      <c r="BE69" s="128">
        <v>453041.99333333335</v>
      </c>
      <c r="BF69" s="128">
        <v>6448703.4863278139</v>
      </c>
      <c r="BG69" s="272">
        <v>154944.77676509134</v>
      </c>
      <c r="BH69">
        <v>4024</v>
      </c>
      <c r="BI69">
        <v>2616</v>
      </c>
      <c r="BJ69">
        <v>360</v>
      </c>
      <c r="BK69">
        <v>75</v>
      </c>
      <c r="BL69">
        <v>1209</v>
      </c>
      <c r="BM69">
        <v>292</v>
      </c>
      <c r="BN69" s="128">
        <v>335</v>
      </c>
      <c r="BO69" s="128">
        <v>283</v>
      </c>
      <c r="BP69" s="128">
        <v>296</v>
      </c>
      <c r="BQ69" s="128">
        <f t="shared" si="28"/>
        <v>57446694.743573755</v>
      </c>
      <c r="BR69">
        <v>32432</v>
      </c>
      <c r="BS69" s="128">
        <f t="shared" si="15"/>
        <v>1771.2967052162603</v>
      </c>
      <c r="BT69" t="s">
        <v>118</v>
      </c>
      <c r="BU69" s="129">
        <f t="shared" si="29"/>
        <v>1780.4234935734385</v>
      </c>
      <c r="BZ69" t="s">
        <v>281</v>
      </c>
      <c r="CA69">
        <v>1845.8708562598408</v>
      </c>
      <c r="CB69" t="s">
        <v>441</v>
      </c>
      <c r="CH69" s="128"/>
    </row>
    <row r="70" spans="1:86" ht="14.5" x14ac:dyDescent="0.25">
      <c r="A70" t="s">
        <v>144</v>
      </c>
      <c r="B70">
        <v>58218</v>
      </c>
      <c r="C70">
        <v>12372</v>
      </c>
      <c r="D70">
        <v>8473</v>
      </c>
      <c r="E70">
        <f t="shared" si="16"/>
        <v>22285</v>
      </c>
      <c r="F70">
        <f t="shared" si="17"/>
        <v>8076</v>
      </c>
      <c r="G70">
        <f t="shared" si="18"/>
        <v>12783</v>
      </c>
      <c r="H70">
        <f t="shared" si="19"/>
        <v>7921</v>
      </c>
      <c r="I70">
        <f t="shared" si="20"/>
        <v>7683</v>
      </c>
      <c r="J70">
        <f t="shared" si="21"/>
        <v>25988</v>
      </c>
      <c r="K70">
        <f t="shared" si="22"/>
        <v>73517</v>
      </c>
      <c r="L70">
        <f t="shared" si="23"/>
        <v>92442</v>
      </c>
      <c r="M70">
        <f t="shared" si="24"/>
        <v>23674</v>
      </c>
      <c r="N70">
        <f t="shared" si="25"/>
        <v>965</v>
      </c>
      <c r="O70">
        <f t="shared" si="26"/>
        <v>354397</v>
      </c>
      <c r="Q70">
        <v>51252</v>
      </c>
      <c r="R70">
        <v>24757</v>
      </c>
      <c r="S70">
        <v>4210</v>
      </c>
      <c r="T70">
        <v>11476</v>
      </c>
      <c r="U70">
        <v>3251</v>
      </c>
      <c r="V70">
        <v>149</v>
      </c>
      <c r="W70">
        <v>18645</v>
      </c>
      <c r="X70">
        <v>3398</v>
      </c>
      <c r="Y70">
        <v>2464</v>
      </c>
      <c r="Z70" s="271">
        <v>10618</v>
      </c>
      <c r="AA70">
        <v>2625</v>
      </c>
      <c r="AB70">
        <v>72</v>
      </c>
      <c r="AC70">
        <v>11450</v>
      </c>
      <c r="AD70">
        <v>923</v>
      </c>
      <c r="AE70">
        <v>2844</v>
      </c>
      <c r="AF70">
        <v>30930</v>
      </c>
      <c r="AG70">
        <v>3935</v>
      </c>
      <c r="AH70">
        <v>1007</v>
      </c>
      <c r="AI70">
        <v>77517</v>
      </c>
      <c r="AJ70">
        <v>4000</v>
      </c>
      <c r="AK70">
        <v>0</v>
      </c>
      <c r="AL70">
        <v>99480</v>
      </c>
      <c r="AM70">
        <v>6790</v>
      </c>
      <c r="AN70">
        <v>248</v>
      </c>
      <c r="AO70">
        <v>27862</v>
      </c>
      <c r="AP70">
        <v>2908</v>
      </c>
      <c r="AQ70">
        <v>1280</v>
      </c>
      <c r="AR70">
        <v>5815</v>
      </c>
      <c r="AS70">
        <v>4752</v>
      </c>
      <c r="AT70">
        <v>98</v>
      </c>
      <c r="AU70">
        <v>4169</v>
      </c>
      <c r="AV70">
        <v>879</v>
      </c>
      <c r="AW70">
        <v>0</v>
      </c>
      <c r="AX70">
        <f t="shared" si="27"/>
        <v>357687</v>
      </c>
      <c r="AZ70" t="s">
        <v>144</v>
      </c>
      <c r="BA70" s="128">
        <v>332673</v>
      </c>
      <c r="BB70" s="128">
        <v>3544828</v>
      </c>
      <c r="BC70" s="128">
        <v>17353569</v>
      </c>
      <c r="BD70" s="128">
        <v>17656943</v>
      </c>
      <c r="BE70" s="128">
        <v>6507926</v>
      </c>
      <c r="BF70" s="128">
        <v>44034431.995553866</v>
      </c>
      <c r="BG70" s="272">
        <v>0</v>
      </c>
      <c r="BH70">
        <v>8402</v>
      </c>
      <c r="BI70">
        <v>14195</v>
      </c>
      <c r="BJ70">
        <v>1265</v>
      </c>
      <c r="BK70">
        <v>158</v>
      </c>
      <c r="BL70">
        <v>3205</v>
      </c>
      <c r="BM70">
        <v>1971</v>
      </c>
      <c r="BN70" s="128">
        <v>238</v>
      </c>
      <c r="BO70" s="128">
        <v>3682</v>
      </c>
      <c r="BP70" s="128">
        <v>1533</v>
      </c>
      <c r="BQ70" s="128">
        <f t="shared" si="28"/>
        <v>208926302.00444615</v>
      </c>
      <c r="BR70">
        <v>101227</v>
      </c>
      <c r="BS70" s="128">
        <f t="shared" si="15"/>
        <v>2063.9384947143167</v>
      </c>
      <c r="BT70" t="s">
        <v>441</v>
      </c>
      <c r="BU70" s="129">
        <f t="shared" si="29"/>
        <v>2079.0826756146694</v>
      </c>
      <c r="BZ70" t="s">
        <v>326</v>
      </c>
      <c r="CA70">
        <v>2099.3188037832097</v>
      </c>
      <c r="CB70" t="s">
        <v>441</v>
      </c>
      <c r="CH70" s="128"/>
    </row>
    <row r="71" spans="1:86" ht="14.5" x14ac:dyDescent="0.25">
      <c r="A71" t="s">
        <v>248</v>
      </c>
      <c r="B71">
        <v>17465</v>
      </c>
      <c r="C71">
        <v>4773</v>
      </c>
      <c r="D71">
        <v>505</v>
      </c>
      <c r="E71">
        <f t="shared" si="16"/>
        <v>9681</v>
      </c>
      <c r="F71">
        <f t="shared" si="17"/>
        <v>2025</v>
      </c>
      <c r="G71">
        <f t="shared" si="18"/>
        <v>4605</v>
      </c>
      <c r="H71">
        <f t="shared" si="19"/>
        <v>337</v>
      </c>
      <c r="I71">
        <f t="shared" si="20"/>
        <v>1832</v>
      </c>
      <c r="J71">
        <f t="shared" si="21"/>
        <v>3604</v>
      </c>
      <c r="K71">
        <f t="shared" si="22"/>
        <v>12099</v>
      </c>
      <c r="L71">
        <f t="shared" si="23"/>
        <v>14146</v>
      </c>
      <c r="M71">
        <f t="shared" si="24"/>
        <v>7432</v>
      </c>
      <c r="N71">
        <f t="shared" si="25"/>
        <v>903</v>
      </c>
      <c r="O71">
        <f t="shared" si="26"/>
        <v>79407</v>
      </c>
      <c r="Q71">
        <v>15170</v>
      </c>
      <c r="R71">
        <v>4704</v>
      </c>
      <c r="S71">
        <v>785</v>
      </c>
      <c r="T71">
        <v>3086</v>
      </c>
      <c r="U71">
        <v>1052</v>
      </c>
      <c r="V71">
        <v>9</v>
      </c>
      <c r="W71">
        <v>8133</v>
      </c>
      <c r="X71">
        <v>2296</v>
      </c>
      <c r="Y71">
        <v>1232</v>
      </c>
      <c r="Z71" s="271">
        <v>601</v>
      </c>
      <c r="AA71">
        <v>264</v>
      </c>
      <c r="AB71">
        <v>0</v>
      </c>
      <c r="AC71">
        <v>2921</v>
      </c>
      <c r="AD71">
        <v>329</v>
      </c>
      <c r="AE71">
        <v>760</v>
      </c>
      <c r="AF71">
        <v>5430</v>
      </c>
      <c r="AG71">
        <v>1400</v>
      </c>
      <c r="AH71">
        <v>426</v>
      </c>
      <c r="AI71">
        <v>14262</v>
      </c>
      <c r="AJ71">
        <v>2145</v>
      </c>
      <c r="AK71">
        <v>18</v>
      </c>
      <c r="AL71">
        <v>15622</v>
      </c>
      <c r="AM71">
        <v>1343</v>
      </c>
      <c r="AN71">
        <v>133</v>
      </c>
      <c r="AO71">
        <v>11351</v>
      </c>
      <c r="AP71">
        <v>2556</v>
      </c>
      <c r="AQ71">
        <v>1363</v>
      </c>
      <c r="AR71">
        <v>1855</v>
      </c>
      <c r="AS71">
        <v>952</v>
      </c>
      <c r="AT71">
        <v>0</v>
      </c>
      <c r="AU71">
        <v>21833</v>
      </c>
      <c r="AV71">
        <v>424</v>
      </c>
      <c r="AW71">
        <v>47</v>
      </c>
      <c r="AX71">
        <f t="shared" si="27"/>
        <v>100769</v>
      </c>
      <c r="AZ71" t="s">
        <v>248</v>
      </c>
      <c r="BA71" s="128">
        <v>73658</v>
      </c>
      <c r="BB71" s="128">
        <v>727727</v>
      </c>
      <c r="BC71" s="128">
        <v>0</v>
      </c>
      <c r="BD71" s="128">
        <v>1901004</v>
      </c>
      <c r="BE71" s="128">
        <v>514689</v>
      </c>
      <c r="BF71" s="128">
        <v>8038303.0213930514</v>
      </c>
      <c r="BG71" s="272">
        <v>2052768.7806548271</v>
      </c>
      <c r="BH71">
        <v>3287</v>
      </c>
      <c r="BI71">
        <v>4419</v>
      </c>
      <c r="BJ71">
        <v>356</v>
      </c>
      <c r="BK71">
        <v>3</v>
      </c>
      <c r="BL71">
        <v>992</v>
      </c>
      <c r="BM71">
        <v>113</v>
      </c>
      <c r="BN71" s="128">
        <v>560</v>
      </c>
      <c r="BO71" s="128">
        <v>778</v>
      </c>
      <c r="BP71" s="128">
        <v>759</v>
      </c>
      <c r="BQ71" s="128">
        <f t="shared" si="28"/>
        <v>49156508.197952121</v>
      </c>
      <c r="BR71">
        <v>31330</v>
      </c>
      <c r="BS71" s="128">
        <f t="shared" si="15"/>
        <v>1568.9916437265281</v>
      </c>
      <c r="BT71" t="s">
        <v>118</v>
      </c>
      <c r="BU71" s="129">
        <f t="shared" si="29"/>
        <v>1593.2176252139202</v>
      </c>
      <c r="BZ71" t="s">
        <v>213</v>
      </c>
      <c r="CA71">
        <v>2003.0188934531052</v>
      </c>
      <c r="CB71" t="s">
        <v>441</v>
      </c>
    </row>
    <row r="72" spans="1:86" ht="14.5" x14ac:dyDescent="0.25">
      <c r="A72" t="s">
        <v>867</v>
      </c>
      <c r="B72">
        <v>2923</v>
      </c>
      <c r="C72">
        <v>10032</v>
      </c>
      <c r="D72">
        <v>2610</v>
      </c>
      <c r="E72">
        <v>39323</v>
      </c>
      <c r="F72">
        <v>8178</v>
      </c>
      <c r="G72">
        <v>14282</v>
      </c>
      <c r="H72">
        <v>2651</v>
      </c>
      <c r="I72">
        <v>5976</v>
      </c>
      <c r="J72">
        <v>19035</v>
      </c>
      <c r="K72">
        <v>31272</v>
      </c>
      <c r="L72">
        <v>61885</v>
      </c>
      <c r="M72">
        <v>20954</v>
      </c>
      <c r="N72">
        <v>7146</v>
      </c>
      <c r="O72">
        <v>226267</v>
      </c>
      <c r="P72">
        <v>0</v>
      </c>
      <c r="Q72">
        <v>44313</v>
      </c>
      <c r="R72">
        <v>3206</v>
      </c>
      <c r="S72">
        <v>1784</v>
      </c>
      <c r="T72">
        <v>8236</v>
      </c>
      <c r="U72">
        <v>0</v>
      </c>
      <c r="V72">
        <v>58</v>
      </c>
      <c r="W72">
        <v>15921</v>
      </c>
      <c r="X72">
        <v>0</v>
      </c>
      <c r="Y72">
        <v>1639</v>
      </c>
      <c r="Z72" s="271">
        <v>2765</v>
      </c>
      <c r="AA72">
        <v>-2</v>
      </c>
      <c r="AB72">
        <v>116</v>
      </c>
      <c r="AC72">
        <v>8828</v>
      </c>
      <c r="AD72">
        <v>0</v>
      </c>
      <c r="AE72">
        <v>2852</v>
      </c>
      <c r="AF72">
        <v>20887</v>
      </c>
      <c r="AG72">
        <v>1</v>
      </c>
      <c r="AH72">
        <v>1851</v>
      </c>
      <c r="AI72">
        <v>31272</v>
      </c>
      <c r="AJ72">
        <v>0</v>
      </c>
      <c r="AK72">
        <v>0</v>
      </c>
      <c r="AL72">
        <v>62268</v>
      </c>
      <c r="AM72">
        <v>0</v>
      </c>
      <c r="AN72">
        <v>383</v>
      </c>
      <c r="AO72">
        <v>22296</v>
      </c>
      <c r="AP72">
        <v>0</v>
      </c>
      <c r="AQ72">
        <v>1342</v>
      </c>
      <c r="AR72">
        <v>7153</v>
      </c>
      <c r="AS72">
        <v>0</v>
      </c>
      <c r="AT72">
        <v>7</v>
      </c>
      <c r="AU72">
        <v>22246</v>
      </c>
      <c r="AV72">
        <v>-282</v>
      </c>
      <c r="AW72">
        <v>0</v>
      </c>
      <c r="AX72">
        <v>248795</v>
      </c>
      <c r="AY72">
        <v>0</v>
      </c>
      <c r="AZ72" t="s">
        <v>867</v>
      </c>
      <c r="BA72" s="128">
        <v>213907</v>
      </c>
      <c r="BB72" s="128">
        <v>4402488</v>
      </c>
      <c r="BC72" s="128">
        <v>0</v>
      </c>
      <c r="BD72" s="128">
        <v>5916304</v>
      </c>
      <c r="BE72" s="128">
        <v>1482607.2866666666</v>
      </c>
      <c r="BF72" s="128">
        <v>19168223.869720068</v>
      </c>
      <c r="BG72" s="272">
        <v>298551.13957280014</v>
      </c>
      <c r="BH72">
        <v>10399</v>
      </c>
      <c r="BI72">
        <v>9629</v>
      </c>
      <c r="BJ72">
        <v>916</v>
      </c>
      <c r="BK72">
        <v>410</v>
      </c>
      <c r="BL72">
        <v>2018</v>
      </c>
      <c r="BM72">
        <v>221</v>
      </c>
      <c r="BN72" s="128">
        <v>89</v>
      </c>
      <c r="BO72" s="128">
        <v>254</v>
      </c>
      <c r="BP72" s="128">
        <v>1932</v>
      </c>
      <c r="BQ72" s="128">
        <f t="shared" si="28"/>
        <v>156770825.70404047</v>
      </c>
      <c r="BR72">
        <v>86716</v>
      </c>
      <c r="BS72" s="128">
        <v>1834.1001165187563</v>
      </c>
      <c r="BT72" t="s">
        <v>118</v>
      </c>
      <c r="BU72" s="129">
        <f t="shared" si="29"/>
        <v>1830.1446757696442</v>
      </c>
      <c r="BZ72" t="s">
        <v>164</v>
      </c>
      <c r="CA72">
        <v>2071.2566332448264</v>
      </c>
      <c r="CB72" t="s">
        <v>441</v>
      </c>
      <c r="CC72">
        <f>_xlfn.QUARTILE.INC(CA2:CA72,3)</f>
        <v>2284.4734084665988</v>
      </c>
    </row>
    <row r="73" spans="1:86" ht="14.5" x14ac:dyDescent="0.25">
      <c r="A73" t="s">
        <v>145</v>
      </c>
      <c r="B73">
        <v>1010</v>
      </c>
      <c r="C73">
        <v>2437</v>
      </c>
      <c r="D73">
        <v>618</v>
      </c>
      <c r="E73">
        <f t="shared" si="16"/>
        <v>9538</v>
      </c>
      <c r="F73">
        <f t="shared" si="17"/>
        <v>3876</v>
      </c>
      <c r="G73">
        <f t="shared" si="18"/>
        <v>3775</v>
      </c>
      <c r="H73">
        <f t="shared" si="19"/>
        <v>1553</v>
      </c>
      <c r="I73">
        <f t="shared" si="20"/>
        <v>1414</v>
      </c>
      <c r="J73">
        <f t="shared" si="21"/>
        <v>6241</v>
      </c>
      <c r="K73">
        <f t="shared" si="22"/>
        <v>7168</v>
      </c>
      <c r="L73">
        <f t="shared" si="23"/>
        <v>15258</v>
      </c>
      <c r="M73">
        <f t="shared" si="24"/>
        <v>4511</v>
      </c>
      <c r="N73">
        <f t="shared" si="25"/>
        <v>2116</v>
      </c>
      <c r="O73">
        <f t="shared" si="26"/>
        <v>59515</v>
      </c>
      <c r="Q73">
        <v>11216</v>
      </c>
      <c r="R73">
        <v>1002</v>
      </c>
      <c r="S73">
        <v>676</v>
      </c>
      <c r="T73">
        <v>3876</v>
      </c>
      <c r="U73">
        <v>0</v>
      </c>
      <c r="V73">
        <v>0</v>
      </c>
      <c r="W73">
        <v>4084</v>
      </c>
      <c r="X73">
        <v>0</v>
      </c>
      <c r="Y73">
        <v>309</v>
      </c>
      <c r="Z73" s="271">
        <v>1556</v>
      </c>
      <c r="AA73">
        <v>0</v>
      </c>
      <c r="AB73">
        <v>3</v>
      </c>
      <c r="AC73">
        <v>1593</v>
      </c>
      <c r="AD73">
        <v>0</v>
      </c>
      <c r="AE73">
        <v>179</v>
      </c>
      <c r="AF73">
        <v>6707</v>
      </c>
      <c r="AG73">
        <v>8</v>
      </c>
      <c r="AH73">
        <v>458</v>
      </c>
      <c r="AI73">
        <v>7168</v>
      </c>
      <c r="AJ73">
        <v>0</v>
      </c>
      <c r="AK73">
        <v>0</v>
      </c>
      <c r="AL73">
        <v>15266</v>
      </c>
      <c r="AM73">
        <v>0</v>
      </c>
      <c r="AN73">
        <v>8</v>
      </c>
      <c r="AO73">
        <v>5315</v>
      </c>
      <c r="AP73">
        <v>0</v>
      </c>
      <c r="AQ73">
        <v>804</v>
      </c>
      <c r="AR73">
        <v>2116</v>
      </c>
      <c r="AS73">
        <v>0</v>
      </c>
      <c r="AT73">
        <v>0</v>
      </c>
      <c r="AU73">
        <v>2827</v>
      </c>
      <c r="AV73">
        <v>0</v>
      </c>
      <c r="AW73">
        <v>0</v>
      </c>
      <c r="AX73">
        <f t="shared" si="27"/>
        <v>62342</v>
      </c>
      <c r="AZ73" t="s">
        <v>145</v>
      </c>
      <c r="BA73" s="128">
        <v>56460</v>
      </c>
      <c r="BB73" s="128">
        <v>1344136</v>
      </c>
      <c r="BC73" s="128">
        <v>0</v>
      </c>
      <c r="BD73" s="128">
        <v>2196043</v>
      </c>
      <c r="BE73" s="128">
        <v>383112</v>
      </c>
      <c r="BF73" s="128">
        <v>3291405.6032092385</v>
      </c>
      <c r="BG73" s="272">
        <v>538460.32935695723</v>
      </c>
      <c r="BH73">
        <v>3121</v>
      </c>
      <c r="BI73">
        <v>1457</v>
      </c>
      <c r="BJ73">
        <v>340</v>
      </c>
      <c r="BK73">
        <v>0</v>
      </c>
      <c r="BL73">
        <v>570</v>
      </c>
      <c r="BM73">
        <v>146</v>
      </c>
      <c r="BN73" s="128">
        <v>488</v>
      </c>
      <c r="BO73" s="128">
        <v>0</v>
      </c>
      <c r="BP73" s="128">
        <v>35</v>
      </c>
      <c r="BQ73" s="128">
        <f t="shared" si="28"/>
        <v>42549843.067433804</v>
      </c>
      <c r="BR73">
        <v>26603</v>
      </c>
      <c r="BS73" s="128">
        <f t="shared" si="15"/>
        <v>1599.4377727111155</v>
      </c>
      <c r="BT73" t="s">
        <v>467</v>
      </c>
      <c r="BU73" s="129">
        <f t="shared" si="29"/>
        <v>1600.7534138042251</v>
      </c>
      <c r="BZ73" t="s">
        <v>238</v>
      </c>
      <c r="CA73">
        <v>2482.4850234477581</v>
      </c>
      <c r="CB73" t="s">
        <v>467</v>
      </c>
    </row>
    <row r="74" spans="1:86" ht="14.5" x14ac:dyDescent="0.25">
      <c r="A74" t="s">
        <v>175</v>
      </c>
      <c r="B74">
        <v>7988</v>
      </c>
      <c r="C74">
        <v>1534</v>
      </c>
      <c r="D74">
        <v>0</v>
      </c>
      <c r="E74">
        <f t="shared" si="16"/>
        <v>1356</v>
      </c>
      <c r="F74">
        <f t="shared" si="17"/>
        <v>893</v>
      </c>
      <c r="G74">
        <f t="shared" si="18"/>
        <v>1243</v>
      </c>
      <c r="H74">
        <f t="shared" si="19"/>
        <v>214</v>
      </c>
      <c r="I74">
        <f t="shared" si="20"/>
        <v>1000</v>
      </c>
      <c r="J74">
        <f t="shared" si="21"/>
        <v>1928</v>
      </c>
      <c r="K74">
        <f t="shared" si="22"/>
        <v>7878</v>
      </c>
      <c r="L74">
        <f t="shared" si="23"/>
        <v>7542</v>
      </c>
      <c r="M74">
        <f t="shared" si="24"/>
        <v>2624</v>
      </c>
      <c r="N74">
        <f t="shared" si="25"/>
        <v>395</v>
      </c>
      <c r="O74">
        <f t="shared" si="26"/>
        <v>34595</v>
      </c>
      <c r="Q74">
        <v>6876</v>
      </c>
      <c r="R74">
        <v>3986</v>
      </c>
      <c r="S74">
        <v>1534</v>
      </c>
      <c r="T74">
        <v>1122</v>
      </c>
      <c r="U74">
        <v>229</v>
      </c>
      <c r="V74">
        <v>0</v>
      </c>
      <c r="W74">
        <v>1793</v>
      </c>
      <c r="X74">
        <v>550</v>
      </c>
      <c r="Y74">
        <v>0</v>
      </c>
      <c r="Z74" s="271">
        <v>376</v>
      </c>
      <c r="AA74">
        <v>162</v>
      </c>
      <c r="AB74">
        <v>0</v>
      </c>
      <c r="AC74">
        <v>1132</v>
      </c>
      <c r="AD74">
        <v>132</v>
      </c>
      <c r="AE74">
        <v>0</v>
      </c>
      <c r="AF74">
        <v>2505</v>
      </c>
      <c r="AG74">
        <v>577</v>
      </c>
      <c r="AH74">
        <v>0</v>
      </c>
      <c r="AI74">
        <v>8652</v>
      </c>
      <c r="AJ74">
        <v>774</v>
      </c>
      <c r="AK74">
        <v>0</v>
      </c>
      <c r="AL74">
        <v>8220</v>
      </c>
      <c r="AM74">
        <v>678</v>
      </c>
      <c r="AN74">
        <v>0</v>
      </c>
      <c r="AO74">
        <v>3081</v>
      </c>
      <c r="AP74">
        <v>457</v>
      </c>
      <c r="AQ74">
        <v>0</v>
      </c>
      <c r="AR74">
        <v>810</v>
      </c>
      <c r="AS74">
        <v>415</v>
      </c>
      <c r="AT74">
        <v>0</v>
      </c>
      <c r="AU74">
        <v>28</v>
      </c>
      <c r="AV74">
        <v>28</v>
      </c>
      <c r="AW74">
        <v>0</v>
      </c>
      <c r="AX74">
        <f t="shared" si="27"/>
        <v>34595</v>
      </c>
      <c r="AZ74" t="s">
        <v>175</v>
      </c>
      <c r="BA74" s="128">
        <v>33033</v>
      </c>
      <c r="BB74" s="128">
        <v>206661</v>
      </c>
      <c r="BC74" s="128">
        <v>0</v>
      </c>
      <c r="BD74" s="128">
        <v>1582336</v>
      </c>
      <c r="BE74" s="128">
        <v>337462</v>
      </c>
      <c r="BF74" s="128">
        <v>4359793</v>
      </c>
      <c r="BG74" s="272">
        <v>462090.1016054675</v>
      </c>
      <c r="BH74">
        <v>1231</v>
      </c>
      <c r="BI74">
        <v>1513</v>
      </c>
      <c r="BJ74">
        <v>135</v>
      </c>
      <c r="BK74">
        <v>66</v>
      </c>
      <c r="BL74">
        <v>330</v>
      </c>
      <c r="BM74">
        <v>27</v>
      </c>
      <c r="BN74" s="128">
        <v>373</v>
      </c>
      <c r="BO74" s="128">
        <v>578</v>
      </c>
      <c r="BP74" s="128">
        <v>653</v>
      </c>
      <c r="BQ74" s="128">
        <f t="shared" si="28"/>
        <v>21178657.898394533</v>
      </c>
      <c r="BR74">
        <v>11064</v>
      </c>
      <c r="BS74" s="128">
        <f t="shared" si="15"/>
        <v>1914.1953993487466</v>
      </c>
      <c r="BT74" t="s">
        <v>441</v>
      </c>
      <c r="BU74" s="129">
        <f t="shared" si="29"/>
        <v>1973.2156451911183</v>
      </c>
      <c r="BZ74" t="s">
        <v>283</v>
      </c>
      <c r="CA74">
        <v>1678.5658352380005</v>
      </c>
      <c r="CB74" t="s">
        <v>467</v>
      </c>
    </row>
    <row r="75" spans="1:86" ht="14.5" x14ac:dyDescent="0.25">
      <c r="A75" t="s">
        <v>176</v>
      </c>
      <c r="B75">
        <v>27461</v>
      </c>
      <c r="C75">
        <v>9195</v>
      </c>
      <c r="D75">
        <v>4458</v>
      </c>
      <c r="E75">
        <f t="shared" si="16"/>
        <v>13043</v>
      </c>
      <c r="F75">
        <f t="shared" si="17"/>
        <v>4201</v>
      </c>
      <c r="G75">
        <f t="shared" si="18"/>
        <v>7460</v>
      </c>
      <c r="H75">
        <f t="shared" si="19"/>
        <v>10035</v>
      </c>
      <c r="I75">
        <f t="shared" si="20"/>
        <v>6023</v>
      </c>
      <c r="J75">
        <f t="shared" si="21"/>
        <v>13798</v>
      </c>
      <c r="K75">
        <f t="shared" si="22"/>
        <v>37300</v>
      </c>
      <c r="L75">
        <f t="shared" si="23"/>
        <v>76785</v>
      </c>
      <c r="M75">
        <f t="shared" si="24"/>
        <v>13156</v>
      </c>
      <c r="N75">
        <f t="shared" si="25"/>
        <v>2048</v>
      </c>
      <c r="O75">
        <f t="shared" si="26"/>
        <v>224963</v>
      </c>
      <c r="Q75">
        <v>32270</v>
      </c>
      <c r="R75">
        <v>17114</v>
      </c>
      <c r="S75">
        <v>2113</v>
      </c>
      <c r="T75">
        <v>4950</v>
      </c>
      <c r="U75">
        <v>735</v>
      </c>
      <c r="V75">
        <v>14</v>
      </c>
      <c r="W75">
        <v>10258</v>
      </c>
      <c r="X75">
        <v>479</v>
      </c>
      <c r="Y75">
        <v>2319</v>
      </c>
      <c r="Z75" s="271">
        <v>10326</v>
      </c>
      <c r="AA75">
        <v>284</v>
      </c>
      <c r="AB75">
        <v>7</v>
      </c>
      <c r="AC75">
        <v>8746</v>
      </c>
      <c r="AD75">
        <v>675</v>
      </c>
      <c r="AE75">
        <v>2048</v>
      </c>
      <c r="AF75">
        <v>15876</v>
      </c>
      <c r="AG75">
        <v>964</v>
      </c>
      <c r="AH75">
        <v>1114</v>
      </c>
      <c r="AI75">
        <v>37754</v>
      </c>
      <c r="AJ75">
        <v>454</v>
      </c>
      <c r="AK75">
        <v>0</v>
      </c>
      <c r="AL75">
        <v>79639</v>
      </c>
      <c r="AM75">
        <v>2808</v>
      </c>
      <c r="AN75">
        <v>46</v>
      </c>
      <c r="AO75">
        <v>14736</v>
      </c>
      <c r="AP75">
        <v>666</v>
      </c>
      <c r="AQ75">
        <v>914</v>
      </c>
      <c r="AR75">
        <v>5597</v>
      </c>
      <c r="AS75">
        <v>2929</v>
      </c>
      <c r="AT75">
        <v>620</v>
      </c>
      <c r="AU75">
        <v>6257</v>
      </c>
      <c r="AV75">
        <v>353</v>
      </c>
      <c r="AW75">
        <v>0</v>
      </c>
      <c r="AX75">
        <f t="shared" si="27"/>
        <v>230867</v>
      </c>
      <c r="AZ75" t="s">
        <v>176</v>
      </c>
      <c r="BA75" s="128">
        <v>210957</v>
      </c>
      <c r="BB75" s="128">
        <v>2734112</v>
      </c>
      <c r="BC75" s="128">
        <v>28058941</v>
      </c>
      <c r="BD75" s="128">
        <v>8611405</v>
      </c>
      <c r="BE75" s="128">
        <v>6242078</v>
      </c>
      <c r="BF75" s="128">
        <v>19139487.231395923</v>
      </c>
      <c r="BG75" s="272">
        <v>0</v>
      </c>
      <c r="BH75">
        <v>5965</v>
      </c>
      <c r="BI75">
        <v>7825</v>
      </c>
      <c r="BJ75">
        <v>1009</v>
      </c>
      <c r="BK75">
        <v>0</v>
      </c>
      <c r="BL75">
        <v>1684</v>
      </c>
      <c r="BM75">
        <v>609</v>
      </c>
      <c r="BN75" s="128">
        <v>73</v>
      </c>
      <c r="BO75" s="128">
        <v>3233</v>
      </c>
      <c r="BP75" s="128">
        <v>87</v>
      </c>
      <c r="BQ75" s="128">
        <f t="shared" si="28"/>
        <v>125685976.76860407</v>
      </c>
      <c r="BR75">
        <v>58263</v>
      </c>
      <c r="BS75" s="128">
        <f t="shared" si="15"/>
        <v>2157.2177328425255</v>
      </c>
      <c r="BT75" t="s">
        <v>441</v>
      </c>
      <c r="BU75" s="129">
        <f t="shared" si="29"/>
        <v>2158.7109618214658</v>
      </c>
      <c r="BZ75" t="s">
        <v>284</v>
      </c>
      <c r="CA75">
        <v>1381.9754543249885</v>
      </c>
      <c r="CB75" t="s">
        <v>467</v>
      </c>
    </row>
    <row r="76" spans="1:86" ht="14.5" x14ac:dyDescent="0.25">
      <c r="A76" t="s">
        <v>358</v>
      </c>
      <c r="B76">
        <v>14769</v>
      </c>
      <c r="C76">
        <v>2630</v>
      </c>
      <c r="D76">
        <v>902</v>
      </c>
      <c r="E76">
        <f t="shared" si="16"/>
        <v>4964</v>
      </c>
      <c r="F76">
        <f t="shared" si="17"/>
        <v>1487</v>
      </c>
      <c r="G76">
        <f t="shared" si="18"/>
        <v>979</v>
      </c>
      <c r="H76">
        <f t="shared" si="19"/>
        <v>3630</v>
      </c>
      <c r="I76">
        <f t="shared" si="20"/>
        <v>2095</v>
      </c>
      <c r="J76">
        <f t="shared" si="21"/>
        <v>3692</v>
      </c>
      <c r="K76">
        <f t="shared" si="22"/>
        <v>6926</v>
      </c>
      <c r="L76">
        <f t="shared" si="23"/>
        <v>13584</v>
      </c>
      <c r="M76">
        <f t="shared" si="24"/>
        <v>4466</v>
      </c>
      <c r="N76">
        <f t="shared" si="25"/>
        <v>758</v>
      </c>
      <c r="O76">
        <f t="shared" si="26"/>
        <v>60882</v>
      </c>
      <c r="Q76">
        <v>11426</v>
      </c>
      <c r="R76">
        <v>6160</v>
      </c>
      <c r="S76">
        <v>302</v>
      </c>
      <c r="T76">
        <v>1897</v>
      </c>
      <c r="U76">
        <v>409</v>
      </c>
      <c r="V76">
        <v>1</v>
      </c>
      <c r="W76">
        <v>2505</v>
      </c>
      <c r="X76">
        <v>609</v>
      </c>
      <c r="Y76">
        <v>917</v>
      </c>
      <c r="Z76" s="271">
        <v>3800</v>
      </c>
      <c r="AA76">
        <v>152</v>
      </c>
      <c r="AB76">
        <v>18</v>
      </c>
      <c r="AC76">
        <v>2633</v>
      </c>
      <c r="AD76">
        <v>255</v>
      </c>
      <c r="AE76">
        <v>283</v>
      </c>
      <c r="AF76">
        <v>5498</v>
      </c>
      <c r="AG76">
        <v>1360</v>
      </c>
      <c r="AH76">
        <v>446</v>
      </c>
      <c r="AI76">
        <v>8349</v>
      </c>
      <c r="AJ76">
        <v>1423</v>
      </c>
      <c r="AK76">
        <v>0</v>
      </c>
      <c r="AL76">
        <v>14862</v>
      </c>
      <c r="AM76">
        <v>1267</v>
      </c>
      <c r="AN76">
        <v>11</v>
      </c>
      <c r="AO76">
        <v>6729</v>
      </c>
      <c r="AP76">
        <v>1617</v>
      </c>
      <c r="AQ76">
        <v>646</v>
      </c>
      <c r="AR76">
        <v>2053</v>
      </c>
      <c r="AS76">
        <v>1289</v>
      </c>
      <c r="AT76">
        <v>6</v>
      </c>
      <c r="AU76">
        <v>3934</v>
      </c>
      <c r="AV76">
        <v>228</v>
      </c>
      <c r="AW76">
        <v>0</v>
      </c>
      <c r="AX76">
        <f t="shared" si="27"/>
        <v>64588</v>
      </c>
      <c r="AZ76" t="s">
        <v>358</v>
      </c>
      <c r="BA76" s="128">
        <v>57122</v>
      </c>
      <c r="BB76" s="128">
        <v>231349</v>
      </c>
      <c r="BC76" s="128">
        <v>0</v>
      </c>
      <c r="BD76" s="128">
        <v>1512564</v>
      </c>
      <c r="BE76" s="128">
        <v>346233.09666666668</v>
      </c>
      <c r="BF76" s="128">
        <v>4757807.9434103472</v>
      </c>
      <c r="BG76" s="272">
        <v>0</v>
      </c>
      <c r="BH76">
        <v>2001</v>
      </c>
      <c r="BI76">
        <v>3741</v>
      </c>
      <c r="BJ76">
        <v>313</v>
      </c>
      <c r="BK76">
        <v>134</v>
      </c>
      <c r="BL76">
        <v>814</v>
      </c>
      <c r="BM76">
        <v>68</v>
      </c>
      <c r="BN76" s="128">
        <v>0</v>
      </c>
      <c r="BO76" s="128">
        <v>0</v>
      </c>
      <c r="BP76" s="128">
        <v>132</v>
      </c>
      <c r="BQ76" s="128">
        <f t="shared" si="28"/>
        <v>43071045.959922992</v>
      </c>
      <c r="BR76">
        <v>26372</v>
      </c>
      <c r="BS76" s="128">
        <f t="shared" si="15"/>
        <v>1633.2112073381993</v>
      </c>
      <c r="BT76" t="s">
        <v>467</v>
      </c>
      <c r="BU76" s="129">
        <f t="shared" si="29"/>
        <v>1638.2165159988999</v>
      </c>
      <c r="BZ76" t="s">
        <v>285</v>
      </c>
      <c r="CA76">
        <v>1776.554269671336</v>
      </c>
      <c r="CB76" t="s">
        <v>467</v>
      </c>
    </row>
    <row r="77" spans="1:86" ht="14.5" x14ac:dyDescent="0.25">
      <c r="A77" t="s">
        <v>291</v>
      </c>
      <c r="B77">
        <v>57281</v>
      </c>
      <c r="C77">
        <v>16437</v>
      </c>
      <c r="D77">
        <v>5421</v>
      </c>
      <c r="E77">
        <f t="shared" si="16"/>
        <v>40594</v>
      </c>
      <c r="F77">
        <f t="shared" si="17"/>
        <v>14645</v>
      </c>
      <c r="G77">
        <f t="shared" si="18"/>
        <v>17771</v>
      </c>
      <c r="H77">
        <f t="shared" si="19"/>
        <v>2028</v>
      </c>
      <c r="I77">
        <f t="shared" si="20"/>
        <v>18964</v>
      </c>
      <c r="J77">
        <f t="shared" si="21"/>
        <v>30725</v>
      </c>
      <c r="K77">
        <f t="shared" si="22"/>
        <v>108904</v>
      </c>
      <c r="L77">
        <f t="shared" si="23"/>
        <v>137744</v>
      </c>
      <c r="M77">
        <f t="shared" si="24"/>
        <v>26124</v>
      </c>
      <c r="N77">
        <f t="shared" si="25"/>
        <v>9826</v>
      </c>
      <c r="O77">
        <f t="shared" si="26"/>
        <v>486464</v>
      </c>
      <c r="Q77">
        <v>72759</v>
      </c>
      <c r="R77">
        <v>28592</v>
      </c>
      <c r="S77">
        <v>3573</v>
      </c>
      <c r="T77">
        <v>16493</v>
      </c>
      <c r="U77">
        <v>1805</v>
      </c>
      <c r="V77">
        <v>43</v>
      </c>
      <c r="W77">
        <v>27046</v>
      </c>
      <c r="X77">
        <v>5031</v>
      </c>
      <c r="Y77">
        <v>4244</v>
      </c>
      <c r="Z77" s="271">
        <v>4007</v>
      </c>
      <c r="AA77">
        <v>1979</v>
      </c>
      <c r="AB77">
        <v>0</v>
      </c>
      <c r="AC77">
        <v>22737</v>
      </c>
      <c r="AD77">
        <v>1897</v>
      </c>
      <c r="AE77">
        <v>1876</v>
      </c>
      <c r="AF77">
        <v>42302</v>
      </c>
      <c r="AG77">
        <v>8282</v>
      </c>
      <c r="AH77">
        <v>3295</v>
      </c>
      <c r="AI77">
        <v>109004</v>
      </c>
      <c r="AJ77">
        <v>53</v>
      </c>
      <c r="AK77">
        <v>47</v>
      </c>
      <c r="AL77">
        <v>141389</v>
      </c>
      <c r="AM77">
        <v>3513</v>
      </c>
      <c r="AN77">
        <v>132</v>
      </c>
      <c r="AO77">
        <v>32359</v>
      </c>
      <c r="AP77">
        <v>3008</v>
      </c>
      <c r="AQ77">
        <v>3227</v>
      </c>
      <c r="AR77">
        <v>11682</v>
      </c>
      <c r="AS77">
        <v>1856</v>
      </c>
      <c r="AT77">
        <v>0</v>
      </c>
      <c r="AU77">
        <v>30976</v>
      </c>
      <c r="AV77">
        <v>1265</v>
      </c>
      <c r="AW77">
        <v>0</v>
      </c>
      <c r="AX77">
        <f t="shared" si="27"/>
        <v>516175</v>
      </c>
      <c r="AZ77" t="s">
        <v>291</v>
      </c>
      <c r="BA77" s="128">
        <v>463341</v>
      </c>
      <c r="BB77" s="128">
        <v>8601614</v>
      </c>
      <c r="BC77" s="128">
        <v>36495034</v>
      </c>
      <c r="BD77" s="128">
        <v>20175319</v>
      </c>
      <c r="BE77" s="128">
        <v>15122360</v>
      </c>
      <c r="BF77" s="128">
        <v>57259501.101194464</v>
      </c>
      <c r="BG77" s="272">
        <v>5942757.4503474608</v>
      </c>
      <c r="BH77">
        <v>12855</v>
      </c>
      <c r="BI77">
        <v>15817</v>
      </c>
      <c r="BJ77">
        <v>1681</v>
      </c>
      <c r="BK77">
        <v>2428</v>
      </c>
      <c r="BL77">
        <v>3129</v>
      </c>
      <c r="BM77">
        <v>1105</v>
      </c>
      <c r="BN77" s="128">
        <v>0</v>
      </c>
      <c r="BO77" s="128">
        <v>5760</v>
      </c>
      <c r="BP77" s="128">
        <v>11199</v>
      </c>
      <c r="BQ77" s="128">
        <f t="shared" si="28"/>
        <v>265770414.44845808</v>
      </c>
      <c r="BR77">
        <v>119111</v>
      </c>
      <c r="BS77" s="128">
        <f t="shared" si="15"/>
        <v>2231.2835460071537</v>
      </c>
      <c r="BT77" t="s">
        <v>441</v>
      </c>
      <c r="BU77" s="129">
        <f t="shared" si="29"/>
        <v>2325.3050889376973</v>
      </c>
      <c r="BZ77" t="s">
        <v>343</v>
      </c>
      <c r="CA77">
        <v>1382.1290870854066</v>
      </c>
      <c r="CB77" t="s">
        <v>467</v>
      </c>
    </row>
    <row r="78" spans="1:86" ht="14.5" x14ac:dyDescent="0.25">
      <c r="A78" t="s">
        <v>249</v>
      </c>
      <c r="B78">
        <v>1301</v>
      </c>
      <c r="C78">
        <v>1812</v>
      </c>
      <c r="D78">
        <v>0</v>
      </c>
      <c r="E78">
        <f t="shared" si="16"/>
        <v>7678</v>
      </c>
      <c r="F78">
        <f t="shared" si="17"/>
        <v>1750</v>
      </c>
      <c r="G78">
        <f t="shared" si="18"/>
        <v>2153</v>
      </c>
      <c r="H78">
        <f t="shared" si="19"/>
        <v>648</v>
      </c>
      <c r="I78">
        <f t="shared" si="20"/>
        <v>974</v>
      </c>
      <c r="J78">
        <f t="shared" si="21"/>
        <v>3429</v>
      </c>
      <c r="K78">
        <f t="shared" si="22"/>
        <v>7912</v>
      </c>
      <c r="L78">
        <f t="shared" si="23"/>
        <v>7286</v>
      </c>
      <c r="M78">
        <f t="shared" si="24"/>
        <v>5251</v>
      </c>
      <c r="N78">
        <f t="shared" si="25"/>
        <v>1383</v>
      </c>
      <c r="O78">
        <f t="shared" si="26"/>
        <v>41577</v>
      </c>
      <c r="Q78">
        <v>8813</v>
      </c>
      <c r="R78">
        <v>894</v>
      </c>
      <c r="S78">
        <v>241</v>
      </c>
      <c r="T78">
        <v>1761</v>
      </c>
      <c r="U78">
        <v>0</v>
      </c>
      <c r="V78">
        <v>11</v>
      </c>
      <c r="W78">
        <v>2845</v>
      </c>
      <c r="X78">
        <v>0</v>
      </c>
      <c r="Y78">
        <v>692</v>
      </c>
      <c r="Z78" s="271">
        <v>648</v>
      </c>
      <c r="AA78">
        <v>0</v>
      </c>
      <c r="AB78">
        <v>0</v>
      </c>
      <c r="AC78">
        <v>1266</v>
      </c>
      <c r="AD78">
        <v>0</v>
      </c>
      <c r="AE78">
        <v>292</v>
      </c>
      <c r="AF78">
        <v>3677</v>
      </c>
      <c r="AG78">
        <v>2</v>
      </c>
      <c r="AH78">
        <v>246</v>
      </c>
      <c r="AI78">
        <v>7912</v>
      </c>
      <c r="AJ78">
        <v>0</v>
      </c>
      <c r="AK78">
        <v>0</v>
      </c>
      <c r="AL78">
        <v>7707</v>
      </c>
      <c r="AM78">
        <v>405</v>
      </c>
      <c r="AN78">
        <v>16</v>
      </c>
      <c r="AO78">
        <v>5561</v>
      </c>
      <c r="AP78">
        <v>0</v>
      </c>
      <c r="AQ78">
        <v>310</v>
      </c>
      <c r="AR78">
        <v>1387</v>
      </c>
      <c r="AS78">
        <v>0</v>
      </c>
      <c r="AT78">
        <v>4</v>
      </c>
      <c r="AU78">
        <v>10784</v>
      </c>
      <c r="AV78">
        <v>0</v>
      </c>
      <c r="AW78">
        <v>0</v>
      </c>
      <c r="AX78">
        <f t="shared" si="27"/>
        <v>52361</v>
      </c>
      <c r="AZ78" t="s">
        <v>249</v>
      </c>
      <c r="BA78" s="128">
        <v>39765</v>
      </c>
      <c r="BB78" s="128">
        <v>558273</v>
      </c>
      <c r="BC78" s="128">
        <v>0</v>
      </c>
      <c r="BD78" s="128">
        <v>1124216</v>
      </c>
      <c r="BE78" s="128">
        <v>377705.54333333333</v>
      </c>
      <c r="BF78" s="128">
        <v>2847329.5767805409</v>
      </c>
      <c r="BG78" s="272">
        <v>0</v>
      </c>
      <c r="BH78">
        <v>1458</v>
      </c>
      <c r="BI78">
        <v>3024</v>
      </c>
      <c r="BJ78">
        <v>253</v>
      </c>
      <c r="BK78">
        <v>35</v>
      </c>
      <c r="BL78">
        <v>367</v>
      </c>
      <c r="BM78">
        <v>69</v>
      </c>
      <c r="BN78" s="128">
        <v>30</v>
      </c>
      <c r="BO78" s="128">
        <v>0</v>
      </c>
      <c r="BP78" s="128">
        <v>26</v>
      </c>
      <c r="BQ78" s="128">
        <f t="shared" si="28"/>
        <v>29595475.879886121</v>
      </c>
      <c r="BR78">
        <v>19835</v>
      </c>
      <c r="BS78" s="128">
        <f t="shared" si="15"/>
        <v>1492.0834827268022</v>
      </c>
      <c r="BT78" t="s">
        <v>467</v>
      </c>
      <c r="BU78" s="129">
        <f t="shared" si="29"/>
        <v>1493.3942969440948</v>
      </c>
      <c r="BZ78" t="s">
        <v>598</v>
      </c>
      <c r="CA78">
        <v>1415.0583078859156</v>
      </c>
      <c r="CB78" t="s">
        <v>467</v>
      </c>
    </row>
    <row r="79" spans="1:86" ht="14.5" x14ac:dyDescent="0.25">
      <c r="A79" t="s">
        <v>359</v>
      </c>
      <c r="B79">
        <v>12923</v>
      </c>
      <c r="C79">
        <v>3669</v>
      </c>
      <c r="D79">
        <v>118</v>
      </c>
      <c r="E79">
        <f t="shared" si="16"/>
        <v>4063</v>
      </c>
      <c r="F79">
        <f t="shared" si="17"/>
        <v>1696</v>
      </c>
      <c r="G79">
        <f t="shared" si="18"/>
        <v>2462</v>
      </c>
      <c r="H79">
        <f t="shared" si="19"/>
        <v>368</v>
      </c>
      <c r="I79">
        <f t="shared" si="20"/>
        <v>1337</v>
      </c>
      <c r="J79">
        <f t="shared" si="21"/>
        <v>3241</v>
      </c>
      <c r="K79">
        <f t="shared" si="22"/>
        <v>5170</v>
      </c>
      <c r="L79">
        <f t="shared" si="23"/>
        <v>12037</v>
      </c>
      <c r="M79">
        <f t="shared" si="24"/>
        <v>6041</v>
      </c>
      <c r="N79">
        <f t="shared" si="25"/>
        <v>2489</v>
      </c>
      <c r="O79">
        <f t="shared" si="26"/>
        <v>55614</v>
      </c>
      <c r="Q79">
        <v>10693</v>
      </c>
      <c r="R79">
        <v>5928</v>
      </c>
      <c r="S79">
        <v>702</v>
      </c>
      <c r="T79">
        <v>2156</v>
      </c>
      <c r="U79">
        <v>413</v>
      </c>
      <c r="V79">
        <v>47</v>
      </c>
      <c r="W79">
        <v>3906</v>
      </c>
      <c r="X79">
        <v>724</v>
      </c>
      <c r="Y79">
        <v>720</v>
      </c>
      <c r="Z79" s="271">
        <v>564</v>
      </c>
      <c r="AA79">
        <v>182</v>
      </c>
      <c r="AB79">
        <v>14</v>
      </c>
      <c r="AC79">
        <v>1954</v>
      </c>
      <c r="AD79">
        <v>89</v>
      </c>
      <c r="AE79">
        <v>528</v>
      </c>
      <c r="AF79">
        <v>4613</v>
      </c>
      <c r="AG79">
        <v>736</v>
      </c>
      <c r="AH79">
        <v>636</v>
      </c>
      <c r="AI79">
        <v>6103</v>
      </c>
      <c r="AJ79">
        <v>933</v>
      </c>
      <c r="AK79">
        <v>0</v>
      </c>
      <c r="AL79">
        <v>13227</v>
      </c>
      <c r="AM79">
        <v>1057</v>
      </c>
      <c r="AN79">
        <v>133</v>
      </c>
      <c r="AO79">
        <v>8374</v>
      </c>
      <c r="AP79">
        <v>1450</v>
      </c>
      <c r="AQ79">
        <v>883</v>
      </c>
      <c r="AR79">
        <v>3900</v>
      </c>
      <c r="AS79">
        <v>1405</v>
      </c>
      <c r="AT79">
        <v>6</v>
      </c>
      <c r="AU79">
        <v>1065</v>
      </c>
      <c r="AV79">
        <v>6</v>
      </c>
      <c r="AW79">
        <v>0</v>
      </c>
      <c r="AX79">
        <f t="shared" si="27"/>
        <v>56673</v>
      </c>
      <c r="AZ79" t="s">
        <v>359</v>
      </c>
      <c r="BA79" s="128">
        <v>51821</v>
      </c>
      <c r="BB79" s="128">
        <v>423423</v>
      </c>
      <c r="BC79" s="128">
        <v>0</v>
      </c>
      <c r="BD79" s="128">
        <v>1446796</v>
      </c>
      <c r="BE79" s="128">
        <v>368528.5</v>
      </c>
      <c r="BF79" s="128">
        <v>3224333.959682324</v>
      </c>
      <c r="BG79" s="272">
        <v>407613.37149374839</v>
      </c>
      <c r="BH79">
        <v>2799</v>
      </c>
      <c r="BI79">
        <v>2677</v>
      </c>
      <c r="BJ79">
        <v>316</v>
      </c>
      <c r="BK79">
        <v>111</v>
      </c>
      <c r="BL79">
        <v>775</v>
      </c>
      <c r="BM79">
        <v>120</v>
      </c>
      <c r="BN79" s="128">
        <v>117</v>
      </c>
      <c r="BO79" s="128">
        <v>0</v>
      </c>
      <c r="BP79" s="128">
        <v>240</v>
      </c>
      <c r="BQ79" s="128">
        <f t="shared" si="28"/>
        <v>38795305.168823928</v>
      </c>
      <c r="BR79">
        <v>27322</v>
      </c>
      <c r="BS79" s="128">
        <f t="shared" si="15"/>
        <v>1419.9291841308809</v>
      </c>
      <c r="BT79" t="s">
        <v>467</v>
      </c>
      <c r="BU79" s="129">
        <f t="shared" si="29"/>
        <v>1428.713314136005</v>
      </c>
      <c r="BZ79" t="s">
        <v>128</v>
      </c>
      <c r="CA79">
        <v>2860.7574423264136</v>
      </c>
      <c r="CB79" t="s">
        <v>467</v>
      </c>
    </row>
    <row r="80" spans="1:86" ht="14.5" x14ac:dyDescent="0.25">
      <c r="A80" t="s">
        <v>430</v>
      </c>
      <c r="B80">
        <v>29359</v>
      </c>
      <c r="C80">
        <v>4480</v>
      </c>
      <c r="D80">
        <v>673</v>
      </c>
      <c r="E80">
        <f t="shared" si="16"/>
        <v>7216</v>
      </c>
      <c r="F80">
        <f t="shared" si="17"/>
        <v>2396</v>
      </c>
      <c r="G80">
        <f t="shared" si="18"/>
        <v>4737</v>
      </c>
      <c r="H80">
        <f t="shared" si="19"/>
        <v>692</v>
      </c>
      <c r="I80">
        <f t="shared" si="20"/>
        <v>2820</v>
      </c>
      <c r="J80">
        <f t="shared" si="21"/>
        <v>12251</v>
      </c>
      <c r="K80">
        <f t="shared" si="22"/>
        <v>14421</v>
      </c>
      <c r="L80">
        <f t="shared" si="23"/>
        <v>22580</v>
      </c>
      <c r="M80">
        <f t="shared" si="24"/>
        <v>7100</v>
      </c>
      <c r="N80">
        <f t="shared" si="25"/>
        <v>1260</v>
      </c>
      <c r="O80">
        <f t="shared" si="26"/>
        <v>109985</v>
      </c>
      <c r="Q80">
        <v>22279</v>
      </c>
      <c r="R80">
        <v>13474</v>
      </c>
      <c r="S80">
        <v>1589</v>
      </c>
      <c r="T80">
        <v>3766</v>
      </c>
      <c r="U80">
        <v>1287</v>
      </c>
      <c r="V80">
        <v>83</v>
      </c>
      <c r="W80">
        <v>6067</v>
      </c>
      <c r="X80">
        <v>999</v>
      </c>
      <c r="Y80">
        <v>331</v>
      </c>
      <c r="Z80" s="271">
        <v>1409</v>
      </c>
      <c r="AA80">
        <v>681</v>
      </c>
      <c r="AB80">
        <v>36</v>
      </c>
      <c r="AC80">
        <v>4328</v>
      </c>
      <c r="AD80">
        <v>495</v>
      </c>
      <c r="AE80">
        <v>1013</v>
      </c>
      <c r="AF80">
        <v>14598</v>
      </c>
      <c r="AG80">
        <v>1412</v>
      </c>
      <c r="AH80">
        <v>935</v>
      </c>
      <c r="AI80">
        <v>16557</v>
      </c>
      <c r="AJ80">
        <v>2136</v>
      </c>
      <c r="AK80">
        <v>0</v>
      </c>
      <c r="AL80">
        <v>26515</v>
      </c>
      <c r="AM80">
        <v>3931</v>
      </c>
      <c r="AN80">
        <v>4</v>
      </c>
      <c r="AO80">
        <v>9342</v>
      </c>
      <c r="AP80">
        <v>1793</v>
      </c>
      <c r="AQ80">
        <v>449</v>
      </c>
      <c r="AR80">
        <v>3435</v>
      </c>
      <c r="AS80">
        <v>2135</v>
      </c>
      <c r="AT80">
        <v>40</v>
      </c>
      <c r="AU80">
        <v>1870</v>
      </c>
      <c r="AV80">
        <v>1016</v>
      </c>
      <c r="AW80">
        <v>0</v>
      </c>
      <c r="AX80">
        <f t="shared" si="27"/>
        <v>110839</v>
      </c>
      <c r="AZ80" t="s">
        <v>430</v>
      </c>
      <c r="BA80" s="128">
        <v>103816</v>
      </c>
      <c r="BB80" s="128">
        <v>1945086</v>
      </c>
      <c r="BC80" s="128">
        <v>0</v>
      </c>
      <c r="BD80" s="128">
        <v>1583371</v>
      </c>
      <c r="BE80" s="128">
        <v>982708</v>
      </c>
      <c r="BF80" s="128">
        <v>10606621.278513689</v>
      </c>
      <c r="BG80" s="272">
        <v>0</v>
      </c>
      <c r="BH80">
        <v>2520</v>
      </c>
      <c r="BI80">
        <v>4722</v>
      </c>
      <c r="BJ80">
        <v>383</v>
      </c>
      <c r="BK80">
        <v>398</v>
      </c>
      <c r="BL80">
        <v>1247</v>
      </c>
      <c r="BM80">
        <v>142</v>
      </c>
      <c r="BN80" s="128">
        <v>1275</v>
      </c>
      <c r="BO80" s="128">
        <v>1</v>
      </c>
      <c r="BP80" s="128">
        <v>1727</v>
      </c>
      <c r="BQ80" s="128">
        <f t="shared" si="28"/>
        <v>76283213.721486315</v>
      </c>
      <c r="BR80">
        <v>42017</v>
      </c>
      <c r="BS80" s="128">
        <f t="shared" si="15"/>
        <v>1815.5321351235527</v>
      </c>
      <c r="BT80" t="s">
        <v>467</v>
      </c>
      <c r="BU80" s="129">
        <f t="shared" si="29"/>
        <v>1856.6345460524624</v>
      </c>
      <c r="BZ80" t="s">
        <v>240</v>
      </c>
      <c r="CA80">
        <v>2010.6391218142896</v>
      </c>
      <c r="CB80" t="s">
        <v>467</v>
      </c>
    </row>
    <row r="81" spans="1:80" ht="14.5" x14ac:dyDescent="0.25">
      <c r="A81" t="s">
        <v>177</v>
      </c>
      <c r="B81">
        <v>1027</v>
      </c>
      <c r="C81">
        <v>1668</v>
      </c>
      <c r="D81">
        <v>412</v>
      </c>
      <c r="E81">
        <f t="shared" si="16"/>
        <v>7394</v>
      </c>
      <c r="F81">
        <f t="shared" si="17"/>
        <v>1640</v>
      </c>
      <c r="G81">
        <f t="shared" si="18"/>
        <v>1927</v>
      </c>
      <c r="H81">
        <f t="shared" si="19"/>
        <v>446</v>
      </c>
      <c r="I81">
        <f t="shared" si="20"/>
        <v>1318</v>
      </c>
      <c r="J81">
        <f t="shared" si="21"/>
        <v>3357</v>
      </c>
      <c r="K81">
        <f t="shared" si="22"/>
        <v>8413</v>
      </c>
      <c r="L81">
        <f t="shared" si="23"/>
        <v>11416</v>
      </c>
      <c r="M81">
        <f t="shared" si="24"/>
        <v>3858</v>
      </c>
      <c r="N81">
        <f t="shared" si="25"/>
        <v>1037</v>
      </c>
      <c r="O81">
        <f t="shared" si="26"/>
        <v>43913</v>
      </c>
      <c r="Q81">
        <v>8008</v>
      </c>
      <c r="R81">
        <v>1027</v>
      </c>
      <c r="S81">
        <v>-413</v>
      </c>
      <c r="T81">
        <v>1651</v>
      </c>
      <c r="U81">
        <v>0</v>
      </c>
      <c r="V81">
        <v>11</v>
      </c>
      <c r="W81">
        <v>2282</v>
      </c>
      <c r="X81">
        <v>0</v>
      </c>
      <c r="Y81">
        <v>355</v>
      </c>
      <c r="Z81" s="271">
        <v>451</v>
      </c>
      <c r="AA81">
        <v>0</v>
      </c>
      <c r="AB81">
        <v>5</v>
      </c>
      <c r="AC81">
        <v>1861</v>
      </c>
      <c r="AD81">
        <v>0</v>
      </c>
      <c r="AE81">
        <v>543</v>
      </c>
      <c r="AF81">
        <v>3673</v>
      </c>
      <c r="AG81">
        <v>0</v>
      </c>
      <c r="AH81">
        <v>316</v>
      </c>
      <c r="AI81">
        <v>8413</v>
      </c>
      <c r="AJ81">
        <v>0</v>
      </c>
      <c r="AK81">
        <v>0</v>
      </c>
      <c r="AL81">
        <v>11630</v>
      </c>
      <c r="AM81">
        <v>0</v>
      </c>
      <c r="AN81">
        <v>214</v>
      </c>
      <c r="AO81">
        <v>4495</v>
      </c>
      <c r="AP81">
        <v>0</v>
      </c>
      <c r="AQ81">
        <v>637</v>
      </c>
      <c r="AR81">
        <v>1037</v>
      </c>
      <c r="AS81">
        <v>0</v>
      </c>
      <c r="AT81">
        <v>0</v>
      </c>
      <c r="AU81">
        <v>241</v>
      </c>
      <c r="AV81">
        <v>0</v>
      </c>
      <c r="AW81">
        <v>0</v>
      </c>
      <c r="AX81">
        <f t="shared" si="27"/>
        <v>44154</v>
      </c>
      <c r="AZ81" t="s">
        <v>177</v>
      </c>
      <c r="BA81" s="128">
        <v>41833</v>
      </c>
      <c r="BB81" s="128">
        <v>393900</v>
      </c>
      <c r="BC81" s="128">
        <v>0</v>
      </c>
      <c r="BD81" s="128">
        <v>2003644</v>
      </c>
      <c r="BE81" s="128">
        <v>471556.87666666671</v>
      </c>
      <c r="BF81" s="128">
        <v>3968281.6332509439</v>
      </c>
      <c r="BG81" s="272">
        <v>97538.32051165821</v>
      </c>
      <c r="BH81">
        <v>1937</v>
      </c>
      <c r="BI81">
        <v>1527</v>
      </c>
      <c r="BJ81">
        <v>233</v>
      </c>
      <c r="BK81">
        <v>26</v>
      </c>
      <c r="BL81">
        <v>473</v>
      </c>
      <c r="BM81">
        <v>108</v>
      </c>
      <c r="BN81" s="128">
        <v>0</v>
      </c>
      <c r="BO81" s="128">
        <v>0</v>
      </c>
      <c r="BP81" s="128">
        <v>103</v>
      </c>
      <c r="BQ81" s="128">
        <f t="shared" si="28"/>
        <v>30491079.169570729</v>
      </c>
      <c r="BR81">
        <v>18994</v>
      </c>
      <c r="BS81" s="128">
        <f t="shared" si="15"/>
        <v>1605.3005775282052</v>
      </c>
      <c r="BT81" t="s">
        <v>118</v>
      </c>
      <c r="BU81" s="129">
        <f t="shared" si="29"/>
        <v>1610.7233426119158</v>
      </c>
      <c r="BZ81" t="s">
        <v>344</v>
      </c>
      <c r="CA81">
        <v>1715.6552058064517</v>
      </c>
      <c r="CB81" t="s">
        <v>467</v>
      </c>
    </row>
    <row r="82" spans="1:80" ht="14.5" x14ac:dyDescent="0.25">
      <c r="A82" t="s">
        <v>178</v>
      </c>
      <c r="B82">
        <v>1078</v>
      </c>
      <c r="C82">
        <v>2544</v>
      </c>
      <c r="D82">
        <v>512</v>
      </c>
      <c r="E82">
        <f t="shared" si="16"/>
        <v>11433</v>
      </c>
      <c r="F82">
        <f t="shared" si="17"/>
        <v>1295</v>
      </c>
      <c r="G82">
        <f t="shared" si="18"/>
        <v>2685</v>
      </c>
      <c r="H82">
        <f t="shared" si="19"/>
        <v>2062</v>
      </c>
      <c r="I82">
        <f t="shared" si="20"/>
        <v>1450</v>
      </c>
      <c r="J82">
        <f t="shared" si="21"/>
        <v>3582</v>
      </c>
      <c r="K82">
        <f t="shared" si="22"/>
        <v>12109</v>
      </c>
      <c r="L82">
        <f t="shared" si="23"/>
        <v>16153</v>
      </c>
      <c r="M82">
        <f t="shared" si="24"/>
        <v>5348</v>
      </c>
      <c r="N82">
        <f t="shared" si="25"/>
        <v>1858</v>
      </c>
      <c r="O82">
        <f t="shared" si="26"/>
        <v>62109</v>
      </c>
      <c r="Q82">
        <v>13025</v>
      </c>
      <c r="R82">
        <v>1078</v>
      </c>
      <c r="S82">
        <v>514</v>
      </c>
      <c r="T82">
        <v>1313</v>
      </c>
      <c r="U82">
        <v>0</v>
      </c>
      <c r="V82">
        <v>18</v>
      </c>
      <c r="W82">
        <v>2946</v>
      </c>
      <c r="X82">
        <v>0</v>
      </c>
      <c r="Y82">
        <v>261</v>
      </c>
      <c r="Z82" s="271">
        <v>2062</v>
      </c>
      <c r="AA82">
        <v>0</v>
      </c>
      <c r="AB82">
        <v>0</v>
      </c>
      <c r="AC82">
        <v>1910</v>
      </c>
      <c r="AD82">
        <v>0</v>
      </c>
      <c r="AE82">
        <v>460</v>
      </c>
      <c r="AF82">
        <v>4171</v>
      </c>
      <c r="AG82">
        <v>0</v>
      </c>
      <c r="AH82">
        <v>589</v>
      </c>
      <c r="AI82">
        <v>12109</v>
      </c>
      <c r="AJ82">
        <v>0</v>
      </c>
      <c r="AK82">
        <v>0</v>
      </c>
      <c r="AL82">
        <v>16241</v>
      </c>
      <c r="AM82">
        <v>0</v>
      </c>
      <c r="AN82">
        <v>88</v>
      </c>
      <c r="AO82">
        <v>5962</v>
      </c>
      <c r="AP82">
        <v>0</v>
      </c>
      <c r="AQ82">
        <v>614</v>
      </c>
      <c r="AR82">
        <v>1858</v>
      </c>
      <c r="AS82">
        <v>0</v>
      </c>
      <c r="AT82">
        <v>0</v>
      </c>
      <c r="AU82">
        <v>595</v>
      </c>
      <c r="AV82">
        <v>0</v>
      </c>
      <c r="AW82">
        <v>0</v>
      </c>
      <c r="AX82">
        <f t="shared" si="27"/>
        <v>62704</v>
      </c>
      <c r="AZ82" t="s">
        <v>178</v>
      </c>
      <c r="BA82" s="128">
        <v>59053</v>
      </c>
      <c r="BB82" s="128">
        <v>683410</v>
      </c>
      <c r="BC82" s="128">
        <v>0</v>
      </c>
      <c r="BD82" s="128">
        <v>1833939</v>
      </c>
      <c r="BE82" s="128">
        <v>353338.76</v>
      </c>
      <c r="BF82" s="128">
        <v>6548177.8270473229</v>
      </c>
      <c r="BG82" s="272">
        <v>597857.86999688577</v>
      </c>
      <c r="BH82">
        <v>2524</v>
      </c>
      <c r="BI82">
        <v>2682</v>
      </c>
      <c r="BJ82">
        <v>289</v>
      </c>
      <c r="BK82">
        <v>57</v>
      </c>
      <c r="BL82">
        <v>766</v>
      </c>
      <c r="BM82">
        <v>129</v>
      </c>
      <c r="BN82" s="128">
        <v>172</v>
      </c>
      <c r="BO82" s="128">
        <v>0</v>
      </c>
      <c r="BP82" s="128">
        <v>312</v>
      </c>
      <c r="BQ82" s="128">
        <f t="shared" si="28"/>
        <v>42105276.542955793</v>
      </c>
      <c r="BR82">
        <v>25067</v>
      </c>
      <c r="BS82" s="128">
        <f t="shared" si="15"/>
        <v>1679.7094404179118</v>
      </c>
      <c r="BT82" t="s">
        <v>467</v>
      </c>
      <c r="BU82" s="129">
        <f t="shared" si="29"/>
        <v>1692.1560834146803</v>
      </c>
      <c r="BZ82" t="s">
        <v>345</v>
      </c>
      <c r="CA82">
        <v>1875.6026643498408</v>
      </c>
      <c r="CB82" t="s">
        <v>467</v>
      </c>
    </row>
    <row r="83" spans="1:80" ht="14.5" x14ac:dyDescent="0.25">
      <c r="A83" t="s">
        <v>403</v>
      </c>
      <c r="B83">
        <v>10334</v>
      </c>
      <c r="C83">
        <v>3370</v>
      </c>
      <c r="D83">
        <v>934</v>
      </c>
      <c r="E83">
        <f t="shared" si="16"/>
        <v>8364</v>
      </c>
      <c r="F83">
        <f t="shared" si="17"/>
        <v>2471</v>
      </c>
      <c r="G83">
        <f t="shared" si="18"/>
        <v>3194</v>
      </c>
      <c r="H83">
        <f t="shared" si="19"/>
        <v>1629</v>
      </c>
      <c r="I83">
        <f t="shared" si="20"/>
        <v>1550</v>
      </c>
      <c r="J83">
        <f t="shared" si="21"/>
        <v>4709</v>
      </c>
      <c r="K83">
        <f t="shared" si="22"/>
        <v>14632</v>
      </c>
      <c r="L83">
        <f t="shared" si="23"/>
        <v>16341</v>
      </c>
      <c r="M83">
        <f t="shared" si="24"/>
        <v>5946</v>
      </c>
      <c r="N83">
        <f t="shared" si="25"/>
        <v>2741</v>
      </c>
      <c r="O83">
        <f t="shared" si="26"/>
        <v>76215</v>
      </c>
      <c r="Q83">
        <v>14831</v>
      </c>
      <c r="R83">
        <v>6379</v>
      </c>
      <c r="S83">
        <v>88</v>
      </c>
      <c r="T83">
        <v>2707</v>
      </c>
      <c r="U83">
        <v>206</v>
      </c>
      <c r="V83">
        <v>30</v>
      </c>
      <c r="W83">
        <v>4834</v>
      </c>
      <c r="X83">
        <v>681</v>
      </c>
      <c r="Y83">
        <v>959</v>
      </c>
      <c r="Z83" s="271">
        <v>2098</v>
      </c>
      <c r="AA83">
        <v>469</v>
      </c>
      <c r="AB83">
        <v>0</v>
      </c>
      <c r="AC83">
        <v>2238</v>
      </c>
      <c r="AD83">
        <v>44</v>
      </c>
      <c r="AE83">
        <v>644</v>
      </c>
      <c r="AF83">
        <v>5855</v>
      </c>
      <c r="AG83">
        <v>607</v>
      </c>
      <c r="AH83">
        <v>539</v>
      </c>
      <c r="AI83">
        <v>14876</v>
      </c>
      <c r="AJ83">
        <v>244</v>
      </c>
      <c r="AK83">
        <v>0</v>
      </c>
      <c r="AL83">
        <v>17010</v>
      </c>
      <c r="AM83">
        <v>439</v>
      </c>
      <c r="AN83">
        <v>230</v>
      </c>
      <c r="AO83">
        <v>7408</v>
      </c>
      <c r="AP83">
        <v>587</v>
      </c>
      <c r="AQ83">
        <v>875</v>
      </c>
      <c r="AR83">
        <v>3415</v>
      </c>
      <c r="AS83">
        <v>669</v>
      </c>
      <c r="AT83">
        <v>5</v>
      </c>
      <c r="AU83">
        <v>47</v>
      </c>
      <c r="AV83">
        <v>9</v>
      </c>
      <c r="AW83">
        <v>0</v>
      </c>
      <c r="AX83">
        <f t="shared" si="27"/>
        <v>76253</v>
      </c>
      <c r="AZ83" t="s">
        <v>403</v>
      </c>
      <c r="BA83" s="128">
        <v>71902</v>
      </c>
      <c r="BB83" s="128">
        <v>876371</v>
      </c>
      <c r="BC83" s="128">
        <v>0</v>
      </c>
      <c r="BD83" s="128">
        <v>3536434</v>
      </c>
      <c r="BE83" s="128">
        <v>628127.34000000008</v>
      </c>
      <c r="BF83" s="128">
        <v>6978611.9568078611</v>
      </c>
      <c r="BG83" s="272">
        <v>0</v>
      </c>
      <c r="BH83">
        <v>4209</v>
      </c>
      <c r="BI83">
        <v>2859</v>
      </c>
      <c r="BJ83">
        <v>523</v>
      </c>
      <c r="BK83">
        <v>51</v>
      </c>
      <c r="BL83">
        <v>717</v>
      </c>
      <c r="BM83">
        <v>128</v>
      </c>
      <c r="BN83" s="128">
        <v>342</v>
      </c>
      <c r="BO83" s="128">
        <v>0</v>
      </c>
      <c r="BP83" s="128">
        <v>599</v>
      </c>
      <c r="BQ83" s="128">
        <f t="shared" si="28"/>
        <v>50454455.703192137</v>
      </c>
      <c r="BR83">
        <v>31744</v>
      </c>
      <c r="BS83" s="128">
        <f t="shared" si="15"/>
        <v>1589.4170773435023</v>
      </c>
      <c r="BT83" t="s">
        <v>118</v>
      </c>
      <c r="BU83" s="129">
        <f t="shared" si="29"/>
        <v>1608.2867850047926</v>
      </c>
      <c r="BZ83" t="s">
        <v>286</v>
      </c>
      <c r="CA83">
        <v>1511.4187575465257</v>
      </c>
      <c r="CB83" t="s">
        <v>467</v>
      </c>
    </row>
    <row r="84" spans="1:80" ht="14.5" x14ac:dyDescent="0.25">
      <c r="A84" t="s">
        <v>250</v>
      </c>
      <c r="B84">
        <v>24288</v>
      </c>
      <c r="C84">
        <v>7796</v>
      </c>
      <c r="D84">
        <v>696</v>
      </c>
      <c r="E84">
        <f t="shared" si="16"/>
        <v>3638</v>
      </c>
      <c r="F84">
        <f t="shared" si="17"/>
        <v>7984</v>
      </c>
      <c r="G84">
        <f t="shared" si="18"/>
        <v>3326</v>
      </c>
      <c r="H84">
        <f t="shared" si="19"/>
        <v>212</v>
      </c>
      <c r="I84">
        <f t="shared" si="20"/>
        <v>1748</v>
      </c>
      <c r="J84">
        <f t="shared" si="21"/>
        <v>5304</v>
      </c>
      <c r="K84">
        <f t="shared" si="22"/>
        <v>7342</v>
      </c>
      <c r="L84">
        <f t="shared" si="23"/>
        <v>13907</v>
      </c>
      <c r="M84">
        <f t="shared" si="24"/>
        <v>5775</v>
      </c>
      <c r="N84">
        <f t="shared" si="25"/>
        <v>1416</v>
      </c>
      <c r="O84">
        <f t="shared" si="26"/>
        <v>83432</v>
      </c>
      <c r="Q84">
        <v>17227</v>
      </c>
      <c r="R84">
        <v>12789</v>
      </c>
      <c r="S84">
        <v>800</v>
      </c>
      <c r="T84">
        <v>9462</v>
      </c>
      <c r="U84">
        <v>503</v>
      </c>
      <c r="V84">
        <v>975</v>
      </c>
      <c r="W84">
        <v>5946</v>
      </c>
      <c r="X84">
        <v>1326</v>
      </c>
      <c r="Y84">
        <v>1294</v>
      </c>
      <c r="Z84" s="271">
        <v>423</v>
      </c>
      <c r="AA84">
        <v>200</v>
      </c>
      <c r="AB84">
        <v>11</v>
      </c>
      <c r="AC84">
        <v>2952</v>
      </c>
      <c r="AD84">
        <v>238</v>
      </c>
      <c r="AE84">
        <v>966</v>
      </c>
      <c r="AF84">
        <v>9564</v>
      </c>
      <c r="AG84">
        <v>2315</v>
      </c>
      <c r="AH84">
        <v>1945</v>
      </c>
      <c r="AI84">
        <v>8592</v>
      </c>
      <c r="AJ84">
        <v>1250</v>
      </c>
      <c r="AK84">
        <v>0</v>
      </c>
      <c r="AL84">
        <v>16180</v>
      </c>
      <c r="AM84">
        <v>1977</v>
      </c>
      <c r="AN84">
        <v>296</v>
      </c>
      <c r="AO84">
        <v>8702</v>
      </c>
      <c r="AP84">
        <v>1764</v>
      </c>
      <c r="AQ84">
        <v>1163</v>
      </c>
      <c r="AR84">
        <v>3358</v>
      </c>
      <c r="AS84">
        <v>1596</v>
      </c>
      <c r="AT84">
        <v>346</v>
      </c>
      <c r="AU84">
        <v>3862</v>
      </c>
      <c r="AV84">
        <v>330</v>
      </c>
      <c r="AW84">
        <v>0</v>
      </c>
      <c r="AX84">
        <f t="shared" si="27"/>
        <v>86964</v>
      </c>
      <c r="AZ84" t="s">
        <v>250</v>
      </c>
      <c r="BA84" s="128">
        <v>74610</v>
      </c>
      <c r="BB84" s="128">
        <v>419008</v>
      </c>
      <c r="BC84" s="128">
        <v>0</v>
      </c>
      <c r="BD84" s="128">
        <v>1811516</v>
      </c>
      <c r="BE84" s="128">
        <v>512119</v>
      </c>
      <c r="BF84" s="128">
        <v>4505292.5429069065</v>
      </c>
      <c r="BG84" s="272">
        <v>711586.35339655355</v>
      </c>
      <c r="BH84">
        <v>3498</v>
      </c>
      <c r="BI84">
        <v>4717</v>
      </c>
      <c r="BJ84">
        <v>315</v>
      </c>
      <c r="BK84">
        <v>98</v>
      </c>
      <c r="BL84">
        <v>956</v>
      </c>
      <c r="BM84">
        <v>1274</v>
      </c>
      <c r="BN84" s="128">
        <v>1029</v>
      </c>
      <c r="BO84" s="128">
        <v>148</v>
      </c>
      <c r="BP84" s="128">
        <v>530</v>
      </c>
      <c r="BQ84" s="128">
        <f t="shared" si="28"/>
        <v>54085478.10369654</v>
      </c>
      <c r="BR84">
        <v>36262</v>
      </c>
      <c r="BS84" s="128">
        <f t="shared" si="15"/>
        <v>1491.5194446995902</v>
      </c>
      <c r="BT84" t="s">
        <v>467</v>
      </c>
      <c r="BU84" s="129">
        <f t="shared" si="29"/>
        <v>1506.135296003986</v>
      </c>
      <c r="BZ84" t="s">
        <v>168</v>
      </c>
      <c r="CA84">
        <v>1483.0817638020415</v>
      </c>
      <c r="CB84" t="s">
        <v>467</v>
      </c>
    </row>
    <row r="85" spans="1:80" ht="14.5" x14ac:dyDescent="0.25">
      <c r="A85" t="s">
        <v>179</v>
      </c>
      <c r="B85">
        <v>59796</v>
      </c>
      <c r="C85">
        <v>13399</v>
      </c>
      <c r="D85">
        <v>6033</v>
      </c>
      <c r="E85">
        <f t="shared" si="16"/>
        <v>25674</v>
      </c>
      <c r="F85">
        <f t="shared" si="17"/>
        <v>7988</v>
      </c>
      <c r="G85">
        <f t="shared" si="18"/>
        <v>7048</v>
      </c>
      <c r="H85">
        <f t="shared" si="19"/>
        <v>8873</v>
      </c>
      <c r="I85">
        <f t="shared" si="20"/>
        <v>8912</v>
      </c>
      <c r="J85">
        <f t="shared" si="21"/>
        <v>23039</v>
      </c>
      <c r="K85">
        <f t="shared" si="22"/>
        <v>44475</v>
      </c>
      <c r="L85">
        <f t="shared" si="23"/>
        <v>89566</v>
      </c>
      <c r="M85">
        <f t="shared" si="24"/>
        <v>25290</v>
      </c>
      <c r="N85">
        <f t="shared" si="25"/>
        <v>15266</v>
      </c>
      <c r="O85">
        <f t="shared" si="26"/>
        <v>335359</v>
      </c>
      <c r="Q85">
        <v>58605</v>
      </c>
      <c r="R85">
        <v>28890</v>
      </c>
      <c r="S85">
        <v>4041</v>
      </c>
      <c r="T85">
        <v>11898</v>
      </c>
      <c r="U85">
        <v>3814</v>
      </c>
      <c r="V85">
        <v>96</v>
      </c>
      <c r="W85">
        <v>12092</v>
      </c>
      <c r="X85">
        <v>3018</v>
      </c>
      <c r="Y85">
        <v>2026</v>
      </c>
      <c r="Z85" s="271">
        <v>10134</v>
      </c>
      <c r="AA85">
        <v>875</v>
      </c>
      <c r="AB85">
        <v>386</v>
      </c>
      <c r="AC85">
        <v>12421</v>
      </c>
      <c r="AD85">
        <v>1118</v>
      </c>
      <c r="AE85">
        <v>2391</v>
      </c>
      <c r="AF85">
        <v>29789</v>
      </c>
      <c r="AG85">
        <v>4143</v>
      </c>
      <c r="AH85">
        <v>2607</v>
      </c>
      <c r="AI85">
        <v>48030</v>
      </c>
      <c r="AJ85">
        <v>3551</v>
      </c>
      <c r="AK85">
        <v>4</v>
      </c>
      <c r="AL85">
        <v>98636</v>
      </c>
      <c r="AM85">
        <v>8949</v>
      </c>
      <c r="AN85">
        <v>121</v>
      </c>
      <c r="AO85">
        <v>28316</v>
      </c>
      <c r="AP85">
        <v>2119</v>
      </c>
      <c r="AQ85">
        <v>907</v>
      </c>
      <c r="AR85">
        <v>19405</v>
      </c>
      <c r="AS85">
        <v>3319</v>
      </c>
      <c r="AT85">
        <v>820</v>
      </c>
      <c r="AU85">
        <v>37655</v>
      </c>
      <c r="AV85">
        <v>0</v>
      </c>
      <c r="AW85">
        <v>0</v>
      </c>
      <c r="AX85">
        <f t="shared" si="27"/>
        <v>373014</v>
      </c>
      <c r="AZ85" t="s">
        <v>179</v>
      </c>
      <c r="BA85" s="128">
        <v>315927</v>
      </c>
      <c r="BB85" s="128">
        <v>8064813</v>
      </c>
      <c r="BC85" s="128">
        <v>18596584</v>
      </c>
      <c r="BD85" s="128">
        <v>9032228</v>
      </c>
      <c r="BE85" s="128">
        <v>14706084</v>
      </c>
      <c r="BF85" s="128">
        <v>25101365.257929638</v>
      </c>
      <c r="BG85" s="272">
        <v>3485568.8209962994</v>
      </c>
      <c r="BH85">
        <v>10951</v>
      </c>
      <c r="BI85">
        <v>10914</v>
      </c>
      <c r="BJ85">
        <v>2005</v>
      </c>
      <c r="BK85">
        <v>1178</v>
      </c>
      <c r="BL85">
        <v>3471</v>
      </c>
      <c r="BM85">
        <v>1082</v>
      </c>
      <c r="BN85" s="128">
        <v>2197</v>
      </c>
      <c r="BO85" s="128">
        <v>1482</v>
      </c>
      <c r="BP85" s="128">
        <v>7325</v>
      </c>
      <c r="BQ85" s="128">
        <f t="shared" si="28"/>
        <v>196335356.92107409</v>
      </c>
      <c r="BR85">
        <v>118538</v>
      </c>
      <c r="BS85" s="128">
        <f t="shared" si="15"/>
        <v>1656.3073185060832</v>
      </c>
      <c r="BT85" t="s">
        <v>441</v>
      </c>
      <c r="BU85" s="129">
        <f t="shared" si="29"/>
        <v>1718.1018485302104</v>
      </c>
      <c r="BZ85" t="s">
        <v>346</v>
      </c>
      <c r="CA85">
        <v>1458.3014899126626</v>
      </c>
      <c r="CB85" t="s">
        <v>467</v>
      </c>
    </row>
    <row r="86" spans="1:80" ht="14.5" x14ac:dyDescent="0.25">
      <c r="A86" t="s">
        <v>220</v>
      </c>
      <c r="B86">
        <v>1254</v>
      </c>
      <c r="C86">
        <v>1448</v>
      </c>
      <c r="D86">
        <v>428</v>
      </c>
      <c r="E86">
        <f t="shared" si="16"/>
        <v>4609</v>
      </c>
      <c r="F86">
        <f t="shared" si="17"/>
        <v>847</v>
      </c>
      <c r="G86">
        <f t="shared" si="18"/>
        <v>4565</v>
      </c>
      <c r="H86">
        <f t="shared" si="19"/>
        <v>378</v>
      </c>
      <c r="I86">
        <f t="shared" si="20"/>
        <v>450</v>
      </c>
      <c r="J86">
        <f t="shared" si="21"/>
        <v>1981</v>
      </c>
      <c r="K86">
        <f t="shared" si="22"/>
        <v>2236</v>
      </c>
      <c r="L86">
        <f t="shared" si="23"/>
        <v>5073</v>
      </c>
      <c r="M86">
        <f t="shared" si="24"/>
        <v>2238</v>
      </c>
      <c r="N86">
        <f t="shared" si="25"/>
        <v>822</v>
      </c>
      <c r="O86">
        <f t="shared" si="26"/>
        <v>26329</v>
      </c>
      <c r="Q86">
        <v>6150</v>
      </c>
      <c r="R86">
        <v>875</v>
      </c>
      <c r="S86">
        <v>666</v>
      </c>
      <c r="T86">
        <v>854</v>
      </c>
      <c r="U86">
        <v>0</v>
      </c>
      <c r="V86">
        <v>7</v>
      </c>
      <c r="W86">
        <v>4732</v>
      </c>
      <c r="X86">
        <v>0</v>
      </c>
      <c r="Y86">
        <v>167</v>
      </c>
      <c r="Z86" s="271">
        <v>378</v>
      </c>
      <c r="AA86">
        <v>0</v>
      </c>
      <c r="AB86">
        <v>0</v>
      </c>
      <c r="AC86">
        <v>450</v>
      </c>
      <c r="AD86">
        <v>0</v>
      </c>
      <c r="AE86">
        <v>0</v>
      </c>
      <c r="AF86">
        <v>2721</v>
      </c>
      <c r="AG86">
        <v>379</v>
      </c>
      <c r="AH86">
        <v>361</v>
      </c>
      <c r="AI86">
        <v>2236</v>
      </c>
      <c r="AJ86">
        <v>0</v>
      </c>
      <c r="AK86">
        <v>0</v>
      </c>
      <c r="AL86">
        <v>5073</v>
      </c>
      <c r="AM86">
        <v>0</v>
      </c>
      <c r="AN86">
        <v>0</v>
      </c>
      <c r="AO86">
        <v>2485</v>
      </c>
      <c r="AP86">
        <v>0</v>
      </c>
      <c r="AQ86">
        <v>247</v>
      </c>
      <c r="AR86">
        <v>822</v>
      </c>
      <c r="AS86">
        <v>0</v>
      </c>
      <c r="AT86">
        <v>0</v>
      </c>
      <c r="AU86">
        <v>2150</v>
      </c>
      <c r="AV86">
        <v>0</v>
      </c>
      <c r="AW86">
        <v>0</v>
      </c>
      <c r="AX86">
        <f t="shared" si="27"/>
        <v>28479</v>
      </c>
      <c r="AZ86" t="s">
        <v>220</v>
      </c>
      <c r="BA86" s="128">
        <v>24453</v>
      </c>
      <c r="BB86" s="128">
        <v>130491</v>
      </c>
      <c r="BC86" s="128">
        <v>0</v>
      </c>
      <c r="BD86" s="128">
        <v>318452</v>
      </c>
      <c r="BE86" s="128">
        <v>300267</v>
      </c>
      <c r="BF86" s="128">
        <v>1187655</v>
      </c>
      <c r="BG86" s="272">
        <v>0</v>
      </c>
      <c r="BH86">
        <v>880</v>
      </c>
      <c r="BI86">
        <v>1205</v>
      </c>
      <c r="BJ86">
        <v>125</v>
      </c>
      <c r="BK86">
        <v>15</v>
      </c>
      <c r="BL86">
        <v>758</v>
      </c>
      <c r="BM86">
        <v>77</v>
      </c>
      <c r="BN86" s="128">
        <v>105</v>
      </c>
      <c r="BO86" s="128">
        <v>0</v>
      </c>
      <c r="BP86" s="128">
        <v>608</v>
      </c>
      <c r="BQ86" s="128">
        <f t="shared" si="28"/>
        <v>18743135</v>
      </c>
      <c r="BR86">
        <v>9361</v>
      </c>
      <c r="BS86" s="128">
        <f t="shared" si="15"/>
        <v>2002.2577716055978</v>
      </c>
      <c r="BT86" t="s">
        <v>467</v>
      </c>
      <c r="BU86" s="129">
        <f t="shared" si="29"/>
        <v>2067.2080974254886</v>
      </c>
      <c r="BZ86" t="s">
        <v>437</v>
      </c>
      <c r="CA86">
        <v>1338.6221582410299</v>
      </c>
      <c r="CB86" t="s">
        <v>467</v>
      </c>
    </row>
    <row r="87" spans="1:80" ht="14.5" x14ac:dyDescent="0.25">
      <c r="A87" t="s">
        <v>754</v>
      </c>
      <c r="B87" s="207">
        <v>33034</v>
      </c>
      <c r="C87" s="207">
        <v>7174</v>
      </c>
      <c r="D87" s="207">
        <v>2225</v>
      </c>
      <c r="E87" s="207">
        <v>18355</v>
      </c>
      <c r="F87" s="207">
        <v>5596</v>
      </c>
      <c r="G87" s="207">
        <v>5324</v>
      </c>
      <c r="H87" s="207">
        <v>1173</v>
      </c>
      <c r="I87" s="207">
        <v>4808</v>
      </c>
      <c r="J87" s="207">
        <v>8954</v>
      </c>
      <c r="K87" s="207">
        <v>47093</v>
      </c>
      <c r="L87" s="207">
        <v>29106</v>
      </c>
      <c r="M87" s="207">
        <v>11246</v>
      </c>
      <c r="N87" s="207">
        <v>5816</v>
      </c>
      <c r="O87">
        <f t="shared" si="26"/>
        <v>179904</v>
      </c>
      <c r="Q87">
        <v>0</v>
      </c>
      <c r="R87">
        <v>0</v>
      </c>
      <c r="S87">
        <v>0</v>
      </c>
      <c r="U87">
        <v>0</v>
      </c>
      <c r="V87">
        <v>0</v>
      </c>
      <c r="X87">
        <v>0</v>
      </c>
      <c r="Y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t="s">
        <v>753</v>
      </c>
      <c r="AW87" t="s">
        <v>753</v>
      </c>
      <c r="AX87">
        <f>SUM(O87)</f>
        <v>179904</v>
      </c>
      <c r="AZ87" t="s">
        <v>754</v>
      </c>
      <c r="BA87" s="128">
        <v>0</v>
      </c>
      <c r="BB87" s="128">
        <v>2191600</v>
      </c>
      <c r="BC87" s="128">
        <v>0</v>
      </c>
      <c r="BD87" s="128">
        <v>9606775</v>
      </c>
      <c r="BE87" s="128">
        <v>4428018</v>
      </c>
      <c r="BF87" s="128">
        <v>24429229.073643602</v>
      </c>
      <c r="BG87" s="272">
        <v>7.4505805969238281E-9</v>
      </c>
      <c r="BH87">
        <v>15155</v>
      </c>
      <c r="BI87">
        <v>16212</v>
      </c>
      <c r="BJ87">
        <v>2467</v>
      </c>
      <c r="BK87">
        <v>1424</v>
      </c>
      <c r="BL87">
        <v>5676</v>
      </c>
      <c r="BM87">
        <v>661</v>
      </c>
      <c r="BN87" s="128">
        <v>112</v>
      </c>
      <c r="BO87" s="128">
        <v>0</v>
      </c>
      <c r="BP87" s="128">
        <v>0</v>
      </c>
      <c r="BQ87" s="128">
        <f t="shared" si="28"/>
        <v>-82362622.07364361</v>
      </c>
      <c r="BR87">
        <v>45528</v>
      </c>
      <c r="BS87" s="128">
        <f t="shared" si="15"/>
        <v>-1809.0542539457831</v>
      </c>
      <c r="BT87" t="s">
        <v>467</v>
      </c>
      <c r="BU87" s="129">
        <f t="shared" si="29"/>
        <v>-1809.0542539457831</v>
      </c>
      <c r="BZ87" t="s">
        <v>348</v>
      </c>
      <c r="CA87">
        <v>1547.251931470789</v>
      </c>
      <c r="CB87" t="s">
        <v>467</v>
      </c>
    </row>
    <row r="88" spans="1:80" ht="14.5" x14ac:dyDescent="0.25">
      <c r="A88" t="s">
        <v>360</v>
      </c>
      <c r="B88">
        <v>7700</v>
      </c>
      <c r="C88">
        <v>2337</v>
      </c>
      <c r="D88">
        <v>332</v>
      </c>
      <c r="E88">
        <f t="shared" si="16"/>
        <v>3902</v>
      </c>
      <c r="F88">
        <f t="shared" si="17"/>
        <v>1545</v>
      </c>
      <c r="G88">
        <f t="shared" si="18"/>
        <v>1896</v>
      </c>
      <c r="H88">
        <f t="shared" si="19"/>
        <v>341</v>
      </c>
      <c r="I88">
        <f t="shared" si="20"/>
        <v>605</v>
      </c>
      <c r="J88">
        <f t="shared" si="21"/>
        <v>2324</v>
      </c>
      <c r="K88">
        <f t="shared" si="22"/>
        <v>6727</v>
      </c>
      <c r="L88">
        <f t="shared" si="23"/>
        <v>9064</v>
      </c>
      <c r="M88">
        <f t="shared" si="24"/>
        <v>3884</v>
      </c>
      <c r="N88">
        <f t="shared" si="25"/>
        <v>1123</v>
      </c>
      <c r="O88">
        <f t="shared" si="26"/>
        <v>41780</v>
      </c>
      <c r="Q88">
        <v>8058</v>
      </c>
      <c r="R88">
        <v>3899</v>
      </c>
      <c r="S88">
        <v>257</v>
      </c>
      <c r="T88">
        <v>1664</v>
      </c>
      <c r="U88">
        <v>92</v>
      </c>
      <c r="V88">
        <v>27</v>
      </c>
      <c r="W88">
        <v>3155</v>
      </c>
      <c r="X88">
        <v>834</v>
      </c>
      <c r="Y88">
        <v>425</v>
      </c>
      <c r="Z88" s="271">
        <v>508</v>
      </c>
      <c r="AA88">
        <v>151</v>
      </c>
      <c r="AB88">
        <v>16</v>
      </c>
      <c r="AC88">
        <v>1298</v>
      </c>
      <c r="AD88">
        <v>175</v>
      </c>
      <c r="AE88">
        <v>518</v>
      </c>
      <c r="AF88">
        <v>3154</v>
      </c>
      <c r="AG88">
        <v>628</v>
      </c>
      <c r="AH88">
        <v>202</v>
      </c>
      <c r="AI88">
        <v>6772</v>
      </c>
      <c r="AJ88">
        <v>45</v>
      </c>
      <c r="AK88">
        <v>0</v>
      </c>
      <c r="AL88">
        <v>10188</v>
      </c>
      <c r="AM88">
        <v>907</v>
      </c>
      <c r="AN88">
        <v>217</v>
      </c>
      <c r="AO88">
        <v>4900</v>
      </c>
      <c r="AP88">
        <v>368</v>
      </c>
      <c r="AQ88">
        <v>648</v>
      </c>
      <c r="AR88">
        <v>1679</v>
      </c>
      <c r="AS88">
        <v>529</v>
      </c>
      <c r="AT88">
        <v>27</v>
      </c>
      <c r="AU88">
        <v>3415</v>
      </c>
      <c r="AV88">
        <v>72</v>
      </c>
      <c r="AW88">
        <v>0</v>
      </c>
      <c r="AX88">
        <f t="shared" si="27"/>
        <v>45123</v>
      </c>
      <c r="AZ88" t="s">
        <v>360</v>
      </c>
      <c r="BA88" s="128">
        <v>39039</v>
      </c>
      <c r="BB88" s="128">
        <v>892708</v>
      </c>
      <c r="BC88" s="128">
        <v>0</v>
      </c>
      <c r="BD88" s="128">
        <v>2643812</v>
      </c>
      <c r="BE88" s="128">
        <v>391095.3</v>
      </c>
      <c r="BF88" s="128">
        <v>2227957.572316695</v>
      </c>
      <c r="BG88" s="272">
        <v>0</v>
      </c>
      <c r="BH88">
        <v>2156</v>
      </c>
      <c r="BI88">
        <v>1108</v>
      </c>
      <c r="BJ88">
        <v>187</v>
      </c>
      <c r="BK88">
        <v>0</v>
      </c>
      <c r="BL88">
        <v>633</v>
      </c>
      <c r="BM88">
        <v>200</v>
      </c>
      <c r="BN88" s="128">
        <v>460</v>
      </c>
      <c r="BO88" s="128">
        <v>0</v>
      </c>
      <c r="BP88" s="128">
        <v>378</v>
      </c>
      <c r="BQ88" s="128">
        <f t="shared" si="28"/>
        <v>27761427.127683308</v>
      </c>
      <c r="BR88">
        <v>19530</v>
      </c>
      <c r="BS88" s="128">
        <f t="shared" si="15"/>
        <v>1421.4760434041632</v>
      </c>
      <c r="BT88" t="s">
        <v>441</v>
      </c>
      <c r="BU88" s="129">
        <f t="shared" si="29"/>
        <v>1440.8308821138407</v>
      </c>
      <c r="BZ88" t="s">
        <v>349</v>
      </c>
      <c r="CA88">
        <v>1565.2874852703858</v>
      </c>
      <c r="CB88" t="s">
        <v>467</v>
      </c>
    </row>
    <row r="89" spans="1:80" ht="14.5" x14ac:dyDescent="0.25">
      <c r="A89" t="s">
        <v>404</v>
      </c>
      <c r="B89">
        <v>13693</v>
      </c>
      <c r="C89">
        <v>3367</v>
      </c>
      <c r="D89">
        <v>831</v>
      </c>
      <c r="E89">
        <f t="shared" si="16"/>
        <v>5341</v>
      </c>
      <c r="F89">
        <f t="shared" si="17"/>
        <v>2017</v>
      </c>
      <c r="G89">
        <f t="shared" si="18"/>
        <v>1832</v>
      </c>
      <c r="H89">
        <f t="shared" si="19"/>
        <v>399</v>
      </c>
      <c r="I89">
        <f t="shared" si="20"/>
        <v>652</v>
      </c>
      <c r="J89">
        <f t="shared" si="21"/>
        <v>2971</v>
      </c>
      <c r="K89">
        <f t="shared" si="22"/>
        <v>7248</v>
      </c>
      <c r="L89">
        <f t="shared" si="23"/>
        <v>11982</v>
      </c>
      <c r="M89">
        <f t="shared" si="24"/>
        <v>5608</v>
      </c>
      <c r="N89">
        <f t="shared" si="25"/>
        <v>1099</v>
      </c>
      <c r="O89">
        <f t="shared" si="26"/>
        <v>57040</v>
      </c>
      <c r="Q89">
        <v>11276</v>
      </c>
      <c r="R89">
        <v>6337</v>
      </c>
      <c r="S89">
        <v>-402</v>
      </c>
      <c r="T89">
        <v>2055</v>
      </c>
      <c r="U89">
        <v>0</v>
      </c>
      <c r="V89">
        <v>38</v>
      </c>
      <c r="W89">
        <v>3207</v>
      </c>
      <c r="X89">
        <v>773</v>
      </c>
      <c r="Y89">
        <v>602</v>
      </c>
      <c r="Z89" s="271">
        <v>874</v>
      </c>
      <c r="AA89">
        <v>469</v>
      </c>
      <c r="AB89">
        <v>6</v>
      </c>
      <c r="AC89">
        <v>1235</v>
      </c>
      <c r="AD89">
        <v>0</v>
      </c>
      <c r="AE89">
        <v>583</v>
      </c>
      <c r="AF89">
        <v>4499</v>
      </c>
      <c r="AG89">
        <v>1220</v>
      </c>
      <c r="AH89">
        <v>308</v>
      </c>
      <c r="AI89">
        <v>7248</v>
      </c>
      <c r="AJ89">
        <v>0</v>
      </c>
      <c r="AK89">
        <v>0</v>
      </c>
      <c r="AL89">
        <v>14063</v>
      </c>
      <c r="AM89">
        <v>1920</v>
      </c>
      <c r="AN89">
        <v>161</v>
      </c>
      <c r="AO89">
        <v>8235</v>
      </c>
      <c r="AP89">
        <v>909</v>
      </c>
      <c r="AQ89">
        <v>1718</v>
      </c>
      <c r="AR89">
        <v>3523</v>
      </c>
      <c r="AS89">
        <v>2065</v>
      </c>
      <c r="AT89">
        <v>359</v>
      </c>
      <c r="AU89">
        <v>1921</v>
      </c>
      <c r="AV89">
        <v>0</v>
      </c>
      <c r="AW89">
        <v>-6</v>
      </c>
      <c r="AX89">
        <f t="shared" si="27"/>
        <v>58967</v>
      </c>
      <c r="AZ89" t="s">
        <v>404</v>
      </c>
      <c r="BA89" s="128">
        <v>52848</v>
      </c>
      <c r="BB89" s="128">
        <v>2029991</v>
      </c>
      <c r="BC89" s="128">
        <v>0</v>
      </c>
      <c r="BD89" s="128">
        <v>1977564</v>
      </c>
      <c r="BE89" s="128">
        <v>280811.60666666669</v>
      </c>
      <c r="BF89" s="128">
        <v>3412812.9574171659</v>
      </c>
      <c r="BG89" s="272">
        <v>874046.60230224021</v>
      </c>
      <c r="BH89">
        <v>3356</v>
      </c>
      <c r="BI89">
        <v>3031</v>
      </c>
      <c r="BJ89">
        <v>306</v>
      </c>
      <c r="BK89">
        <v>97</v>
      </c>
      <c r="BL89">
        <v>665</v>
      </c>
      <c r="BM89">
        <v>34</v>
      </c>
      <c r="BN89" s="128">
        <v>599</v>
      </c>
      <c r="BO89" s="128">
        <v>0</v>
      </c>
      <c r="BP89" s="128">
        <v>32</v>
      </c>
      <c r="BQ89" s="128">
        <f t="shared" si="28"/>
        <v>36152773.833613925</v>
      </c>
      <c r="BR89">
        <v>25898</v>
      </c>
      <c r="BS89" s="128">
        <f t="shared" si="15"/>
        <v>1395.9677903163922</v>
      </c>
      <c r="BT89" t="s">
        <v>467</v>
      </c>
      <c r="BU89" s="129">
        <f t="shared" si="29"/>
        <v>1397.2034069663266</v>
      </c>
      <c r="BZ89" t="s">
        <v>170</v>
      </c>
      <c r="CA89">
        <v>1500.2109191617062</v>
      </c>
      <c r="CB89" t="s">
        <v>467</v>
      </c>
    </row>
    <row r="90" spans="1:80" ht="14.5" x14ac:dyDescent="0.25">
      <c r="A90" t="s">
        <v>361</v>
      </c>
      <c r="B90">
        <v>173067</v>
      </c>
      <c r="C90">
        <v>30510</v>
      </c>
      <c r="D90">
        <v>9153</v>
      </c>
      <c r="E90">
        <f t="shared" si="16"/>
        <v>20770</v>
      </c>
      <c r="F90">
        <f t="shared" si="17"/>
        <v>19648</v>
      </c>
      <c r="G90">
        <f t="shared" si="18"/>
        <v>35249</v>
      </c>
      <c r="H90">
        <f t="shared" si="19"/>
        <v>14313</v>
      </c>
      <c r="I90">
        <f t="shared" si="20"/>
        <v>24029</v>
      </c>
      <c r="J90">
        <f t="shared" si="21"/>
        <v>55738</v>
      </c>
      <c r="K90">
        <f t="shared" si="22"/>
        <v>178014</v>
      </c>
      <c r="L90">
        <f t="shared" si="23"/>
        <v>210810</v>
      </c>
      <c r="M90">
        <f t="shared" si="24"/>
        <v>59235</v>
      </c>
      <c r="N90">
        <f t="shared" si="25"/>
        <v>3392</v>
      </c>
      <c r="O90">
        <f t="shared" si="26"/>
        <v>833928</v>
      </c>
      <c r="Q90">
        <v>106069</v>
      </c>
      <c r="R90">
        <v>77491</v>
      </c>
      <c r="S90">
        <v>7808</v>
      </c>
      <c r="T90">
        <v>33328</v>
      </c>
      <c r="U90">
        <v>13390</v>
      </c>
      <c r="V90">
        <v>290</v>
      </c>
      <c r="W90">
        <v>45952</v>
      </c>
      <c r="X90">
        <v>6363</v>
      </c>
      <c r="Y90">
        <v>4340</v>
      </c>
      <c r="Z90" s="271">
        <v>16812</v>
      </c>
      <c r="AA90">
        <v>2469</v>
      </c>
      <c r="AB90">
        <v>30</v>
      </c>
      <c r="AC90">
        <v>33096</v>
      </c>
      <c r="AD90">
        <v>3257</v>
      </c>
      <c r="AE90">
        <v>5810</v>
      </c>
      <c r="AF90">
        <v>81776</v>
      </c>
      <c r="AG90">
        <v>16984</v>
      </c>
      <c r="AH90">
        <v>9054</v>
      </c>
      <c r="AI90">
        <v>188432</v>
      </c>
      <c r="AJ90">
        <v>10418</v>
      </c>
      <c r="AK90">
        <v>0</v>
      </c>
      <c r="AL90">
        <v>225009</v>
      </c>
      <c r="AM90">
        <v>13708</v>
      </c>
      <c r="AN90">
        <v>491</v>
      </c>
      <c r="AO90">
        <v>66901</v>
      </c>
      <c r="AP90">
        <v>5648</v>
      </c>
      <c r="AQ90">
        <v>2018</v>
      </c>
      <c r="AR90">
        <v>26338</v>
      </c>
      <c r="AS90">
        <v>22292</v>
      </c>
      <c r="AT90">
        <v>654</v>
      </c>
      <c r="AU90">
        <v>90867</v>
      </c>
      <c r="AV90">
        <v>1047</v>
      </c>
      <c r="AW90">
        <v>15</v>
      </c>
      <c r="AX90">
        <f t="shared" si="27"/>
        <v>923733</v>
      </c>
      <c r="AZ90" t="s">
        <v>361</v>
      </c>
      <c r="BA90" s="128">
        <v>793203</v>
      </c>
      <c r="BB90" s="128">
        <v>10690116</v>
      </c>
      <c r="BC90" s="128">
        <v>42797056</v>
      </c>
      <c r="BD90" s="128">
        <v>34800552</v>
      </c>
      <c r="BE90" s="128">
        <v>43930536</v>
      </c>
      <c r="BF90" s="128">
        <v>116861221.19550286</v>
      </c>
      <c r="BG90" s="272">
        <v>0</v>
      </c>
      <c r="BH90">
        <v>19901</v>
      </c>
      <c r="BI90">
        <v>27531</v>
      </c>
      <c r="BJ90">
        <v>2603</v>
      </c>
      <c r="BK90">
        <v>648</v>
      </c>
      <c r="BL90">
        <v>7190</v>
      </c>
      <c r="BM90">
        <v>2397</v>
      </c>
      <c r="BN90" s="128">
        <v>2838</v>
      </c>
      <c r="BO90" s="128">
        <v>15223</v>
      </c>
      <c r="BP90" s="128">
        <v>4097</v>
      </c>
      <c r="BQ90" s="128">
        <f t="shared" si="28"/>
        <v>461695518.80449712</v>
      </c>
      <c r="BR90">
        <v>235707</v>
      </c>
      <c r="BS90" s="128">
        <f t="shared" si="15"/>
        <v>1958.7688053579109</v>
      </c>
      <c r="BT90" t="s">
        <v>441</v>
      </c>
      <c r="BU90" s="129">
        <f t="shared" si="29"/>
        <v>1976.1505547331947</v>
      </c>
      <c r="BZ90" t="s">
        <v>350</v>
      </c>
      <c r="CA90">
        <v>1521.0550112153819</v>
      </c>
      <c r="CB90" t="s">
        <v>467</v>
      </c>
    </row>
    <row r="91" spans="1:80" ht="14.5" x14ac:dyDescent="0.25">
      <c r="A91" t="s">
        <v>180</v>
      </c>
      <c r="B91">
        <v>13676</v>
      </c>
      <c r="C91">
        <v>3146</v>
      </c>
      <c r="D91">
        <v>486</v>
      </c>
      <c r="E91">
        <f t="shared" si="16"/>
        <v>3147</v>
      </c>
      <c r="F91">
        <f t="shared" si="17"/>
        <v>1544</v>
      </c>
      <c r="G91">
        <f t="shared" si="18"/>
        <v>1454</v>
      </c>
      <c r="H91">
        <f t="shared" si="19"/>
        <v>435</v>
      </c>
      <c r="I91">
        <f t="shared" si="20"/>
        <v>1249</v>
      </c>
      <c r="J91">
        <f t="shared" si="21"/>
        <v>2881</v>
      </c>
      <c r="K91">
        <f t="shared" si="22"/>
        <v>8093</v>
      </c>
      <c r="L91">
        <f t="shared" si="23"/>
        <v>14331</v>
      </c>
      <c r="M91">
        <f t="shared" si="24"/>
        <v>4319</v>
      </c>
      <c r="N91">
        <f t="shared" si="25"/>
        <v>416</v>
      </c>
      <c r="O91">
        <f t="shared" si="26"/>
        <v>55177</v>
      </c>
      <c r="Q91">
        <v>9822</v>
      </c>
      <c r="R91">
        <v>6467</v>
      </c>
      <c r="S91">
        <v>208</v>
      </c>
      <c r="T91">
        <v>2044</v>
      </c>
      <c r="U91">
        <v>492</v>
      </c>
      <c r="V91">
        <v>8</v>
      </c>
      <c r="W91">
        <v>3571</v>
      </c>
      <c r="X91">
        <v>1192</v>
      </c>
      <c r="Y91">
        <v>925</v>
      </c>
      <c r="Z91" s="271">
        <v>747</v>
      </c>
      <c r="AA91">
        <v>253</v>
      </c>
      <c r="AB91">
        <v>59</v>
      </c>
      <c r="AC91">
        <v>2153</v>
      </c>
      <c r="AD91">
        <v>52</v>
      </c>
      <c r="AE91">
        <v>852</v>
      </c>
      <c r="AF91">
        <v>3990</v>
      </c>
      <c r="AG91">
        <v>824</v>
      </c>
      <c r="AH91">
        <v>285</v>
      </c>
      <c r="AI91">
        <v>8993</v>
      </c>
      <c r="AJ91">
        <v>900</v>
      </c>
      <c r="AK91">
        <v>0</v>
      </c>
      <c r="AL91">
        <v>15549</v>
      </c>
      <c r="AM91">
        <v>1040</v>
      </c>
      <c r="AN91">
        <v>178</v>
      </c>
      <c r="AO91">
        <v>5729</v>
      </c>
      <c r="AP91">
        <v>847</v>
      </c>
      <c r="AQ91">
        <v>563</v>
      </c>
      <c r="AR91">
        <v>1921</v>
      </c>
      <c r="AS91">
        <v>1437</v>
      </c>
      <c r="AT91">
        <v>68</v>
      </c>
      <c r="AU91">
        <v>296</v>
      </c>
      <c r="AV91">
        <v>172</v>
      </c>
      <c r="AW91">
        <v>0</v>
      </c>
      <c r="AX91">
        <f t="shared" si="27"/>
        <v>55301</v>
      </c>
      <c r="AZ91" t="s">
        <v>180</v>
      </c>
      <c r="BA91" s="128">
        <v>51373</v>
      </c>
      <c r="BB91" s="128">
        <v>909513</v>
      </c>
      <c r="BC91" s="128">
        <v>0</v>
      </c>
      <c r="BD91" s="128">
        <v>3247223</v>
      </c>
      <c r="BE91" s="128">
        <v>412806.31333333335</v>
      </c>
      <c r="BF91" s="128">
        <v>3642075.8229419817</v>
      </c>
      <c r="BG91" s="272">
        <v>0</v>
      </c>
      <c r="BH91">
        <v>2230</v>
      </c>
      <c r="BI91">
        <v>2199</v>
      </c>
      <c r="BJ91">
        <v>305</v>
      </c>
      <c r="BK91">
        <v>498</v>
      </c>
      <c r="BL91">
        <v>552</v>
      </c>
      <c r="BM91">
        <v>149</v>
      </c>
      <c r="BN91" s="128">
        <v>307</v>
      </c>
      <c r="BO91" s="128">
        <v>35</v>
      </c>
      <c r="BP91" s="128">
        <v>1193</v>
      </c>
      <c r="BQ91" s="128">
        <f t="shared" si="28"/>
        <v>35693381.863724686</v>
      </c>
      <c r="BR91">
        <v>23429</v>
      </c>
      <c r="BS91" s="128">
        <f t="shared" si="15"/>
        <v>1523.4701380223094</v>
      </c>
      <c r="BT91" t="s">
        <v>467</v>
      </c>
      <c r="BU91" s="129">
        <f t="shared" si="29"/>
        <v>1574.3899382698658</v>
      </c>
      <c r="BZ91" t="s">
        <v>244</v>
      </c>
      <c r="CA91">
        <v>1510.5825315820296</v>
      </c>
      <c r="CB91" t="s">
        <v>467</v>
      </c>
    </row>
    <row r="92" spans="1:80" ht="14.5" x14ac:dyDescent="0.25">
      <c r="A92" t="s">
        <v>110</v>
      </c>
      <c r="B92">
        <v>87704</v>
      </c>
      <c r="C92">
        <v>21387</v>
      </c>
      <c r="D92">
        <v>9444</v>
      </c>
      <c r="E92">
        <f t="shared" si="16"/>
        <v>17545</v>
      </c>
      <c r="F92">
        <f t="shared" si="17"/>
        <v>8071</v>
      </c>
      <c r="G92">
        <f t="shared" si="18"/>
        <v>9278</v>
      </c>
      <c r="H92">
        <f t="shared" si="19"/>
        <v>2796</v>
      </c>
      <c r="I92">
        <f t="shared" si="20"/>
        <v>18958</v>
      </c>
      <c r="J92">
        <f t="shared" si="21"/>
        <v>17497</v>
      </c>
      <c r="K92">
        <f t="shared" si="22"/>
        <v>96308</v>
      </c>
      <c r="L92">
        <f t="shared" si="23"/>
        <v>98054</v>
      </c>
      <c r="M92">
        <f t="shared" si="24"/>
        <v>30032</v>
      </c>
      <c r="N92">
        <f t="shared" si="25"/>
        <v>1934</v>
      </c>
      <c r="O92">
        <f t="shared" si="26"/>
        <v>419008</v>
      </c>
      <c r="Q92">
        <v>55353</v>
      </c>
      <c r="R92">
        <v>32702</v>
      </c>
      <c r="S92">
        <v>5106</v>
      </c>
      <c r="T92">
        <v>9775</v>
      </c>
      <c r="U92">
        <v>1378</v>
      </c>
      <c r="V92">
        <v>326</v>
      </c>
      <c r="W92">
        <v>17600</v>
      </c>
      <c r="X92">
        <v>2746</v>
      </c>
      <c r="Y92">
        <v>5576</v>
      </c>
      <c r="Z92" s="271">
        <v>6467</v>
      </c>
      <c r="AA92">
        <v>3025</v>
      </c>
      <c r="AB92">
        <v>646</v>
      </c>
      <c r="AC92">
        <v>44752</v>
      </c>
      <c r="AD92">
        <v>22411</v>
      </c>
      <c r="AE92">
        <v>3383</v>
      </c>
      <c r="AF92">
        <v>25793</v>
      </c>
      <c r="AG92">
        <v>5800</v>
      </c>
      <c r="AH92">
        <v>2496</v>
      </c>
      <c r="AI92">
        <v>101177</v>
      </c>
      <c r="AJ92">
        <v>4851</v>
      </c>
      <c r="AK92">
        <v>18</v>
      </c>
      <c r="AL92">
        <v>102385</v>
      </c>
      <c r="AM92">
        <v>4236</v>
      </c>
      <c r="AN92">
        <v>95</v>
      </c>
      <c r="AO92">
        <v>36249</v>
      </c>
      <c r="AP92">
        <v>2845</v>
      </c>
      <c r="AQ92">
        <v>3372</v>
      </c>
      <c r="AR92">
        <v>7394</v>
      </c>
      <c r="AS92">
        <v>5091</v>
      </c>
      <c r="AT92">
        <v>369</v>
      </c>
      <c r="AU92">
        <v>5133</v>
      </c>
      <c r="AV92">
        <v>2619</v>
      </c>
      <c r="AW92">
        <v>0</v>
      </c>
      <c r="AX92">
        <f t="shared" si="27"/>
        <v>421522</v>
      </c>
      <c r="AZ92" t="s">
        <v>110</v>
      </c>
      <c r="BA92" s="128">
        <v>385558</v>
      </c>
      <c r="BB92" s="128">
        <v>5181507</v>
      </c>
      <c r="BC92" s="128">
        <v>19087758</v>
      </c>
      <c r="BD92" s="128">
        <v>24697606</v>
      </c>
      <c r="BE92" s="128">
        <v>11683549</v>
      </c>
      <c r="BF92" s="128">
        <v>53754214.226782441</v>
      </c>
      <c r="BG92" s="272">
        <v>27119531.730335802</v>
      </c>
      <c r="BH92">
        <v>10216</v>
      </c>
      <c r="BI92">
        <v>13777</v>
      </c>
      <c r="BJ92">
        <v>1143</v>
      </c>
      <c r="BK92">
        <v>743</v>
      </c>
      <c r="BL92">
        <v>2991</v>
      </c>
      <c r="BM92">
        <v>546</v>
      </c>
      <c r="BN92" s="128">
        <v>583</v>
      </c>
      <c r="BO92" s="128">
        <v>4194</v>
      </c>
      <c r="BP92" s="128">
        <v>841</v>
      </c>
      <c r="BQ92" s="128">
        <f t="shared" si="28"/>
        <v>208999834.04288176</v>
      </c>
      <c r="BR92">
        <v>107020</v>
      </c>
      <c r="BS92" s="128">
        <f t="shared" si="15"/>
        <v>1952.9044481674619</v>
      </c>
      <c r="BT92" t="s">
        <v>441</v>
      </c>
      <c r="BU92" s="129">
        <f t="shared" si="29"/>
        <v>1960.7627924021842</v>
      </c>
      <c r="BZ92" t="s">
        <v>245</v>
      </c>
      <c r="CA92">
        <v>1470.0291646108615</v>
      </c>
      <c r="CB92" t="s">
        <v>467</v>
      </c>
    </row>
    <row r="93" spans="1:80" ht="14.5" x14ac:dyDescent="0.25">
      <c r="A93" t="s">
        <v>251</v>
      </c>
      <c r="B93">
        <v>1033</v>
      </c>
      <c r="C93">
        <v>1660</v>
      </c>
      <c r="D93">
        <v>821</v>
      </c>
      <c r="E93">
        <f t="shared" si="16"/>
        <v>7760</v>
      </c>
      <c r="F93">
        <f t="shared" si="17"/>
        <v>2130</v>
      </c>
      <c r="G93">
        <f t="shared" si="18"/>
        <v>3712</v>
      </c>
      <c r="H93">
        <f t="shared" si="19"/>
        <v>916</v>
      </c>
      <c r="I93">
        <f t="shared" si="20"/>
        <v>1704</v>
      </c>
      <c r="J93">
        <f t="shared" si="21"/>
        <v>4314</v>
      </c>
      <c r="K93">
        <f t="shared" si="22"/>
        <v>13658</v>
      </c>
      <c r="L93">
        <f t="shared" si="23"/>
        <v>11215</v>
      </c>
      <c r="M93">
        <f t="shared" si="24"/>
        <v>4743</v>
      </c>
      <c r="N93">
        <f t="shared" si="25"/>
        <v>1661</v>
      </c>
      <c r="O93">
        <f t="shared" si="26"/>
        <v>55327</v>
      </c>
      <c r="Q93">
        <v>8755</v>
      </c>
      <c r="R93">
        <v>972</v>
      </c>
      <c r="S93">
        <v>23</v>
      </c>
      <c r="T93">
        <v>2175</v>
      </c>
      <c r="U93">
        <v>0</v>
      </c>
      <c r="V93">
        <v>45</v>
      </c>
      <c r="W93">
        <v>4515</v>
      </c>
      <c r="X93">
        <v>0</v>
      </c>
      <c r="Y93">
        <v>803</v>
      </c>
      <c r="Z93" s="271">
        <v>916</v>
      </c>
      <c r="AA93">
        <v>0</v>
      </c>
      <c r="AB93">
        <v>0</v>
      </c>
      <c r="AC93">
        <v>1990</v>
      </c>
      <c r="AD93">
        <v>0</v>
      </c>
      <c r="AE93">
        <v>286</v>
      </c>
      <c r="AF93">
        <v>4498</v>
      </c>
      <c r="AG93">
        <v>0</v>
      </c>
      <c r="AH93">
        <v>184</v>
      </c>
      <c r="AI93">
        <v>13672</v>
      </c>
      <c r="AJ93">
        <v>0</v>
      </c>
      <c r="AK93">
        <v>14</v>
      </c>
      <c r="AL93">
        <v>11218</v>
      </c>
      <c r="AM93">
        <v>0</v>
      </c>
      <c r="AN93">
        <v>3</v>
      </c>
      <c r="AO93">
        <v>5103</v>
      </c>
      <c r="AP93">
        <v>61</v>
      </c>
      <c r="AQ93">
        <v>299</v>
      </c>
      <c r="AR93">
        <v>1664</v>
      </c>
      <c r="AS93">
        <v>0</v>
      </c>
      <c r="AT93">
        <v>3</v>
      </c>
      <c r="AU93">
        <v>46</v>
      </c>
      <c r="AV93">
        <v>0</v>
      </c>
      <c r="AW93">
        <v>0</v>
      </c>
      <c r="AX93">
        <f t="shared" si="27"/>
        <v>55373</v>
      </c>
      <c r="AZ93" t="s">
        <v>251</v>
      </c>
      <c r="BA93" s="128">
        <v>52846</v>
      </c>
      <c r="BB93" s="128">
        <v>1223203</v>
      </c>
      <c r="BC93" s="128">
        <v>0</v>
      </c>
      <c r="BD93" s="128">
        <v>1728921</v>
      </c>
      <c r="BE93" s="128">
        <v>430255.51</v>
      </c>
      <c r="BF93" s="128">
        <v>5207541.9311181931</v>
      </c>
      <c r="BG93" s="272">
        <v>0</v>
      </c>
      <c r="BH93">
        <v>1765</v>
      </c>
      <c r="BI93">
        <v>3147</v>
      </c>
      <c r="BJ93">
        <v>219</v>
      </c>
      <c r="BK93">
        <v>238</v>
      </c>
      <c r="BL93">
        <v>414</v>
      </c>
      <c r="BM93">
        <v>635</v>
      </c>
      <c r="BN93" s="128">
        <v>651</v>
      </c>
      <c r="BO93" s="128">
        <v>153</v>
      </c>
      <c r="BP93" s="128">
        <v>264</v>
      </c>
      <c r="BQ93" s="128">
        <f t="shared" si="28"/>
        <v>36770078.558881812</v>
      </c>
      <c r="BR93">
        <v>18632</v>
      </c>
      <c r="BS93" s="128">
        <f t="shared" si="15"/>
        <v>1973.4906912237984</v>
      </c>
      <c r="BT93" t="s">
        <v>118</v>
      </c>
      <c r="BU93" s="129">
        <f t="shared" si="29"/>
        <v>1987.6598625419606</v>
      </c>
      <c r="BZ93" t="s">
        <v>287</v>
      </c>
      <c r="CA93">
        <v>1318.4131834138441</v>
      </c>
      <c r="CB93" t="s">
        <v>467</v>
      </c>
    </row>
    <row r="94" spans="1:80" ht="14.5" x14ac:dyDescent="0.25">
      <c r="A94" t="s">
        <v>146</v>
      </c>
      <c r="B94">
        <v>128086</v>
      </c>
      <c r="C94">
        <v>24909</v>
      </c>
      <c r="D94">
        <v>11932</v>
      </c>
      <c r="E94">
        <f t="shared" si="16"/>
        <v>53188</v>
      </c>
      <c r="F94">
        <f t="shared" si="17"/>
        <v>21053</v>
      </c>
      <c r="G94">
        <f t="shared" si="18"/>
        <v>24720</v>
      </c>
      <c r="H94">
        <f t="shared" si="19"/>
        <v>9198</v>
      </c>
      <c r="I94">
        <f t="shared" si="20"/>
        <v>18981</v>
      </c>
      <c r="J94">
        <f t="shared" si="21"/>
        <v>40669</v>
      </c>
      <c r="K94">
        <f t="shared" si="22"/>
        <v>130595</v>
      </c>
      <c r="L94">
        <f t="shared" si="23"/>
        <v>187819</v>
      </c>
      <c r="M94">
        <f t="shared" si="24"/>
        <v>44599</v>
      </c>
      <c r="N94">
        <f t="shared" si="25"/>
        <v>8162</v>
      </c>
      <c r="O94">
        <f t="shared" si="26"/>
        <v>703911</v>
      </c>
      <c r="Q94">
        <v>105617</v>
      </c>
      <c r="R94">
        <v>46903</v>
      </c>
      <c r="S94">
        <v>5526</v>
      </c>
      <c r="T94">
        <v>22841</v>
      </c>
      <c r="U94">
        <v>1776</v>
      </c>
      <c r="V94">
        <v>12</v>
      </c>
      <c r="W94">
        <v>32269</v>
      </c>
      <c r="X94">
        <v>1464</v>
      </c>
      <c r="Y94">
        <v>6085</v>
      </c>
      <c r="Z94" s="271">
        <v>10749</v>
      </c>
      <c r="AA94">
        <v>1531</v>
      </c>
      <c r="AB94">
        <v>20</v>
      </c>
      <c r="AC94">
        <v>26544</v>
      </c>
      <c r="AD94">
        <v>1510</v>
      </c>
      <c r="AE94">
        <v>6053</v>
      </c>
      <c r="AF94">
        <v>47034</v>
      </c>
      <c r="AG94">
        <v>3634</v>
      </c>
      <c r="AH94">
        <v>2731</v>
      </c>
      <c r="AI94">
        <v>179959</v>
      </c>
      <c r="AJ94">
        <v>49244</v>
      </c>
      <c r="AK94">
        <v>120</v>
      </c>
      <c r="AL94">
        <v>199334</v>
      </c>
      <c r="AM94">
        <v>11510</v>
      </c>
      <c r="AN94">
        <v>5</v>
      </c>
      <c r="AO94">
        <v>50198</v>
      </c>
      <c r="AP94">
        <v>1711</v>
      </c>
      <c r="AQ94">
        <v>3888</v>
      </c>
      <c r="AR94">
        <v>17340</v>
      </c>
      <c r="AS94">
        <v>8709</v>
      </c>
      <c r="AT94">
        <v>469</v>
      </c>
      <c r="AU94">
        <v>18625</v>
      </c>
      <c r="AV94">
        <v>94</v>
      </c>
      <c r="AW94">
        <v>0</v>
      </c>
      <c r="AX94">
        <f t="shared" si="27"/>
        <v>722442</v>
      </c>
      <c r="AZ94" t="s">
        <v>146</v>
      </c>
      <c r="BA94" s="128">
        <v>666976</v>
      </c>
      <c r="BB94" s="128">
        <v>5539404</v>
      </c>
      <c r="BC94" s="128">
        <v>39902828</v>
      </c>
      <c r="BD94" s="128">
        <v>27263622</v>
      </c>
      <c r="BE94" s="128">
        <v>22417640</v>
      </c>
      <c r="BF94" s="128">
        <v>97938755.437171042</v>
      </c>
      <c r="BG94" s="272">
        <v>17451267.130589128</v>
      </c>
      <c r="BH94">
        <v>20463</v>
      </c>
      <c r="BI94">
        <v>18645</v>
      </c>
      <c r="BJ94">
        <v>2034</v>
      </c>
      <c r="BK94">
        <v>555</v>
      </c>
      <c r="BL94">
        <v>3525</v>
      </c>
      <c r="BM94">
        <v>295</v>
      </c>
      <c r="BN94" s="128">
        <v>600</v>
      </c>
      <c r="BO94" s="128">
        <v>4696</v>
      </c>
      <c r="BP94" s="128">
        <v>900</v>
      </c>
      <c r="BQ94" s="128">
        <f t="shared" si="28"/>
        <v>404749483.43223983</v>
      </c>
      <c r="BR94">
        <v>159703</v>
      </c>
      <c r="BS94" s="128">
        <f t="shared" si="15"/>
        <v>2534.3887305325502</v>
      </c>
      <c r="BT94" t="s">
        <v>441</v>
      </c>
      <c r="BU94" s="129">
        <f t="shared" si="29"/>
        <v>2540.0241913567047</v>
      </c>
      <c r="BZ94" t="s">
        <v>351</v>
      </c>
      <c r="CA94">
        <v>1516.2335067068163</v>
      </c>
      <c r="CB94" t="s">
        <v>467</v>
      </c>
    </row>
    <row r="95" spans="1:80" ht="14.5" x14ac:dyDescent="0.25">
      <c r="A95" t="s">
        <v>181</v>
      </c>
      <c r="B95">
        <v>14559</v>
      </c>
      <c r="C95">
        <v>4015</v>
      </c>
      <c r="D95">
        <v>5</v>
      </c>
      <c r="E95">
        <f t="shared" si="16"/>
        <v>4686</v>
      </c>
      <c r="F95">
        <f t="shared" si="17"/>
        <v>2211</v>
      </c>
      <c r="G95">
        <f t="shared" si="18"/>
        <v>3299</v>
      </c>
      <c r="H95">
        <f t="shared" si="19"/>
        <v>219</v>
      </c>
      <c r="I95">
        <f t="shared" si="20"/>
        <v>2228</v>
      </c>
      <c r="J95">
        <f t="shared" si="21"/>
        <v>4846</v>
      </c>
      <c r="K95">
        <f t="shared" si="22"/>
        <v>15353</v>
      </c>
      <c r="L95">
        <f t="shared" si="23"/>
        <v>18316</v>
      </c>
      <c r="M95">
        <f t="shared" si="24"/>
        <v>7316</v>
      </c>
      <c r="N95">
        <f t="shared" si="25"/>
        <v>328</v>
      </c>
      <c r="O95">
        <f t="shared" si="26"/>
        <v>77381</v>
      </c>
      <c r="Q95">
        <v>14000</v>
      </c>
      <c r="R95">
        <v>8134</v>
      </c>
      <c r="S95">
        <v>1180</v>
      </c>
      <c r="T95">
        <v>2748</v>
      </c>
      <c r="U95">
        <v>457</v>
      </c>
      <c r="V95">
        <v>80</v>
      </c>
      <c r="W95">
        <v>4155</v>
      </c>
      <c r="X95">
        <v>375</v>
      </c>
      <c r="Y95">
        <v>481</v>
      </c>
      <c r="Z95" s="271">
        <v>454</v>
      </c>
      <c r="AA95">
        <v>233</v>
      </c>
      <c r="AB95">
        <v>2</v>
      </c>
      <c r="AC95">
        <v>3537</v>
      </c>
      <c r="AD95">
        <v>154</v>
      </c>
      <c r="AE95">
        <v>1155</v>
      </c>
      <c r="AF95">
        <v>5486</v>
      </c>
      <c r="AG95">
        <v>549</v>
      </c>
      <c r="AH95">
        <v>91</v>
      </c>
      <c r="AI95">
        <v>15586</v>
      </c>
      <c r="AJ95">
        <v>233</v>
      </c>
      <c r="AK95">
        <v>0</v>
      </c>
      <c r="AL95">
        <v>20330</v>
      </c>
      <c r="AM95">
        <v>1909</v>
      </c>
      <c r="AN95">
        <v>105</v>
      </c>
      <c r="AO95">
        <v>8786</v>
      </c>
      <c r="AP95">
        <v>633</v>
      </c>
      <c r="AQ95">
        <v>837</v>
      </c>
      <c r="AR95">
        <v>2245</v>
      </c>
      <c r="AS95">
        <v>1845</v>
      </c>
      <c r="AT95">
        <v>72</v>
      </c>
      <c r="AU95">
        <v>1083</v>
      </c>
      <c r="AV95">
        <v>37</v>
      </c>
      <c r="AW95">
        <v>12</v>
      </c>
      <c r="AX95">
        <f t="shared" si="27"/>
        <v>78415</v>
      </c>
      <c r="AZ95" t="s">
        <v>181</v>
      </c>
      <c r="BA95" s="128">
        <v>73312</v>
      </c>
      <c r="BB95" s="128">
        <v>976187</v>
      </c>
      <c r="BC95" s="128">
        <v>0</v>
      </c>
      <c r="BD95" s="128">
        <v>4149171</v>
      </c>
      <c r="BE95" s="128">
        <v>491987</v>
      </c>
      <c r="BF95" s="128">
        <v>6919067.5222783703</v>
      </c>
      <c r="BG95" s="272">
        <v>260046.72145610116</v>
      </c>
      <c r="BH95">
        <v>2846</v>
      </c>
      <c r="BI95">
        <v>4180</v>
      </c>
      <c r="BJ95">
        <v>404</v>
      </c>
      <c r="BK95">
        <v>792</v>
      </c>
      <c r="BL95">
        <v>707</v>
      </c>
      <c r="BM95">
        <v>163</v>
      </c>
      <c r="BN95" s="128">
        <v>1091</v>
      </c>
      <c r="BO95" s="128">
        <v>0</v>
      </c>
      <c r="BP95" s="128">
        <v>2308</v>
      </c>
      <c r="BQ95" s="128">
        <f t="shared" si="28"/>
        <v>48024540.756265529</v>
      </c>
      <c r="BR95">
        <v>33197</v>
      </c>
      <c r="BS95" s="128">
        <f t="shared" si="15"/>
        <v>1446.653033595371</v>
      </c>
      <c r="BT95" t="s">
        <v>118</v>
      </c>
      <c r="BU95" s="129">
        <f t="shared" si="29"/>
        <v>1516.1773882057273</v>
      </c>
      <c r="BZ95" t="s">
        <v>330</v>
      </c>
      <c r="CA95">
        <v>1731.9774040068717</v>
      </c>
      <c r="CB95" t="s">
        <v>467</v>
      </c>
    </row>
    <row r="96" spans="1:80" ht="14.5" x14ac:dyDescent="0.25">
      <c r="A96" t="s">
        <v>182</v>
      </c>
      <c r="B96">
        <v>11072</v>
      </c>
      <c r="C96">
        <v>2663</v>
      </c>
      <c r="D96">
        <v>241</v>
      </c>
      <c r="E96">
        <f t="shared" si="16"/>
        <v>12408</v>
      </c>
      <c r="F96">
        <f t="shared" si="17"/>
        <v>1821</v>
      </c>
      <c r="G96">
        <f t="shared" si="18"/>
        <v>2108</v>
      </c>
      <c r="H96">
        <f t="shared" si="19"/>
        <v>377</v>
      </c>
      <c r="I96">
        <f t="shared" si="20"/>
        <v>1684</v>
      </c>
      <c r="J96">
        <f t="shared" si="21"/>
        <v>5118</v>
      </c>
      <c r="K96">
        <f t="shared" si="22"/>
        <v>11939</v>
      </c>
      <c r="L96">
        <f t="shared" si="23"/>
        <v>21390</v>
      </c>
      <c r="M96">
        <f t="shared" si="24"/>
        <v>6716</v>
      </c>
      <c r="N96">
        <f t="shared" si="25"/>
        <v>726</v>
      </c>
      <c r="O96">
        <f t="shared" si="26"/>
        <v>78263</v>
      </c>
      <c r="Q96">
        <v>16474</v>
      </c>
      <c r="R96">
        <v>3892</v>
      </c>
      <c r="S96">
        <v>174</v>
      </c>
      <c r="T96">
        <v>2458</v>
      </c>
      <c r="U96">
        <v>629</v>
      </c>
      <c r="V96">
        <v>8</v>
      </c>
      <c r="W96">
        <v>3632</v>
      </c>
      <c r="X96">
        <v>898</v>
      </c>
      <c r="Y96">
        <v>626</v>
      </c>
      <c r="Z96" s="271">
        <v>809</v>
      </c>
      <c r="AA96">
        <v>430</v>
      </c>
      <c r="AB96">
        <v>2</v>
      </c>
      <c r="AC96">
        <v>2755</v>
      </c>
      <c r="AD96">
        <v>157</v>
      </c>
      <c r="AE96">
        <v>914</v>
      </c>
      <c r="AF96">
        <v>6786</v>
      </c>
      <c r="AG96">
        <v>1272</v>
      </c>
      <c r="AH96">
        <v>396</v>
      </c>
      <c r="AI96">
        <v>12075</v>
      </c>
      <c r="AJ96">
        <v>134</v>
      </c>
      <c r="AK96">
        <v>2</v>
      </c>
      <c r="AL96">
        <v>22198</v>
      </c>
      <c r="AM96">
        <v>701</v>
      </c>
      <c r="AN96">
        <v>107</v>
      </c>
      <c r="AO96">
        <v>7957</v>
      </c>
      <c r="AP96">
        <v>855</v>
      </c>
      <c r="AQ96">
        <v>386</v>
      </c>
      <c r="AR96">
        <v>2827</v>
      </c>
      <c r="AS96">
        <v>2053</v>
      </c>
      <c r="AT96">
        <v>48</v>
      </c>
      <c r="AU96">
        <v>95</v>
      </c>
      <c r="AV96">
        <v>51</v>
      </c>
      <c r="AW96">
        <v>0</v>
      </c>
      <c r="AX96">
        <f t="shared" si="27"/>
        <v>78307</v>
      </c>
      <c r="AZ96" t="s">
        <v>182</v>
      </c>
      <c r="BA96" s="128">
        <v>75308</v>
      </c>
      <c r="BB96" s="128">
        <v>4469034</v>
      </c>
      <c r="BC96" s="128">
        <v>0</v>
      </c>
      <c r="BD96" s="128">
        <v>3481825</v>
      </c>
      <c r="BE96" s="128">
        <v>365718.60666666669</v>
      </c>
      <c r="BF96" s="128">
        <v>5383662.1901527476</v>
      </c>
      <c r="BG96" s="272">
        <v>0</v>
      </c>
      <c r="BH96">
        <v>2937</v>
      </c>
      <c r="BI96">
        <v>2083</v>
      </c>
      <c r="BJ96">
        <v>474</v>
      </c>
      <c r="BK96">
        <v>398</v>
      </c>
      <c r="BL96">
        <v>771</v>
      </c>
      <c r="BM96">
        <v>54</v>
      </c>
      <c r="BN96" s="128">
        <v>1969</v>
      </c>
      <c r="BO96" s="128">
        <v>0</v>
      </c>
      <c r="BP96" s="128">
        <v>1711</v>
      </c>
      <c r="BQ96" s="128">
        <f t="shared" si="28"/>
        <v>51210760.203180581</v>
      </c>
      <c r="BR96">
        <v>27017</v>
      </c>
      <c r="BS96" s="128">
        <f t="shared" si="15"/>
        <v>1895.501358521693</v>
      </c>
      <c r="BT96" t="s">
        <v>118</v>
      </c>
      <c r="BU96" s="129">
        <f t="shared" si="29"/>
        <v>1958.8318541355659</v>
      </c>
      <c r="BZ96" t="s">
        <v>288</v>
      </c>
      <c r="CA96">
        <v>2150.4365445737981</v>
      </c>
      <c r="CB96" t="s">
        <v>467</v>
      </c>
    </row>
    <row r="97" spans="1:80" ht="14.5" x14ac:dyDescent="0.25">
      <c r="A97" t="s">
        <v>362</v>
      </c>
      <c r="B97">
        <v>23800</v>
      </c>
      <c r="C97">
        <v>5775</v>
      </c>
      <c r="D97">
        <v>968</v>
      </c>
      <c r="E97">
        <f t="shared" si="16"/>
        <v>5410</v>
      </c>
      <c r="F97">
        <f t="shared" si="17"/>
        <v>2597</v>
      </c>
      <c r="G97">
        <f t="shared" si="18"/>
        <v>5193</v>
      </c>
      <c r="H97">
        <f t="shared" si="19"/>
        <v>106</v>
      </c>
      <c r="I97">
        <f t="shared" si="20"/>
        <v>5014</v>
      </c>
      <c r="J97">
        <f t="shared" si="21"/>
        <v>7815</v>
      </c>
      <c r="K97">
        <f t="shared" si="22"/>
        <v>23204</v>
      </c>
      <c r="L97">
        <f t="shared" si="23"/>
        <v>25016</v>
      </c>
      <c r="M97">
        <f t="shared" si="24"/>
        <v>10629</v>
      </c>
      <c r="N97">
        <f t="shared" si="25"/>
        <v>668</v>
      </c>
      <c r="O97">
        <f t="shared" si="26"/>
        <v>116195</v>
      </c>
      <c r="Q97">
        <v>19271</v>
      </c>
      <c r="R97">
        <v>12702</v>
      </c>
      <c r="S97">
        <v>1159</v>
      </c>
      <c r="T97">
        <v>3632</v>
      </c>
      <c r="U97">
        <v>930</v>
      </c>
      <c r="V97">
        <v>105</v>
      </c>
      <c r="W97">
        <v>7021</v>
      </c>
      <c r="X97">
        <v>976</v>
      </c>
      <c r="Y97">
        <v>852</v>
      </c>
      <c r="Z97" s="271">
        <v>355</v>
      </c>
      <c r="AA97">
        <v>249</v>
      </c>
      <c r="AB97">
        <v>0</v>
      </c>
      <c r="AC97">
        <v>6957</v>
      </c>
      <c r="AD97">
        <v>419</v>
      </c>
      <c r="AE97">
        <v>1524</v>
      </c>
      <c r="AF97">
        <v>10309</v>
      </c>
      <c r="AG97">
        <v>1789</v>
      </c>
      <c r="AH97">
        <v>705</v>
      </c>
      <c r="AI97">
        <v>23439</v>
      </c>
      <c r="AJ97">
        <v>235</v>
      </c>
      <c r="AK97">
        <v>0</v>
      </c>
      <c r="AL97">
        <v>27689</v>
      </c>
      <c r="AM97">
        <v>2517</v>
      </c>
      <c r="AN97">
        <v>156</v>
      </c>
      <c r="AO97">
        <v>13126</v>
      </c>
      <c r="AP97">
        <v>1233</v>
      </c>
      <c r="AQ97">
        <v>1264</v>
      </c>
      <c r="AR97">
        <v>2837</v>
      </c>
      <c r="AS97">
        <v>2159</v>
      </c>
      <c r="AT97">
        <v>10</v>
      </c>
      <c r="AU97">
        <v>7868</v>
      </c>
      <c r="AV97">
        <v>591</v>
      </c>
      <c r="AW97">
        <v>0</v>
      </c>
      <c r="AX97">
        <f t="shared" si="27"/>
        <v>123472</v>
      </c>
      <c r="AZ97" t="s">
        <v>362</v>
      </c>
      <c r="BA97" s="128">
        <v>108861</v>
      </c>
      <c r="BB97" s="128">
        <v>760121</v>
      </c>
      <c r="BC97" s="128">
        <v>0</v>
      </c>
      <c r="BD97" s="128">
        <v>5782381</v>
      </c>
      <c r="BE97" s="128">
        <v>627135.15333333332</v>
      </c>
      <c r="BF97" s="128">
        <v>11310151.289323892</v>
      </c>
      <c r="BG97" s="272">
        <v>2584544.6946060993</v>
      </c>
      <c r="BH97">
        <v>4064</v>
      </c>
      <c r="BI97">
        <v>6453</v>
      </c>
      <c r="BJ97">
        <v>617</v>
      </c>
      <c r="BK97">
        <v>92</v>
      </c>
      <c r="BL97">
        <v>899</v>
      </c>
      <c r="BM97">
        <v>2212</v>
      </c>
      <c r="BN97" s="128">
        <v>0</v>
      </c>
      <c r="BO97" s="128">
        <v>1122</v>
      </c>
      <c r="BP97" s="128">
        <v>271</v>
      </c>
      <c r="BQ97" s="128">
        <f t="shared" si="28"/>
        <v>72066666.862736672</v>
      </c>
      <c r="BR97">
        <v>43875</v>
      </c>
      <c r="BS97" s="128">
        <f t="shared" si="15"/>
        <v>1642.545113680608</v>
      </c>
      <c r="BT97" t="s">
        <v>118</v>
      </c>
      <c r="BU97" s="129">
        <f t="shared" si="29"/>
        <v>1648.7217518572461</v>
      </c>
      <c r="BZ97" t="s">
        <v>171</v>
      </c>
      <c r="CA97">
        <v>1570.9605937326853</v>
      </c>
      <c r="CB97" t="s">
        <v>467</v>
      </c>
    </row>
    <row r="98" spans="1:80" ht="14.5" x14ac:dyDescent="0.25">
      <c r="A98" t="s">
        <v>363</v>
      </c>
      <c r="B98">
        <v>12741</v>
      </c>
      <c r="C98">
        <v>2760</v>
      </c>
      <c r="D98">
        <v>490</v>
      </c>
      <c r="E98">
        <f t="shared" si="16"/>
        <v>3087</v>
      </c>
      <c r="F98">
        <f t="shared" si="17"/>
        <v>1548</v>
      </c>
      <c r="G98">
        <f t="shared" si="18"/>
        <v>2165</v>
      </c>
      <c r="H98">
        <f t="shared" si="19"/>
        <v>267</v>
      </c>
      <c r="I98">
        <f t="shared" si="20"/>
        <v>1099</v>
      </c>
      <c r="J98">
        <f t="shared" si="21"/>
        <v>3111</v>
      </c>
      <c r="K98">
        <f t="shared" si="22"/>
        <v>7849</v>
      </c>
      <c r="L98">
        <f t="shared" si="23"/>
        <v>12468</v>
      </c>
      <c r="M98">
        <f t="shared" si="24"/>
        <v>4088</v>
      </c>
      <c r="N98">
        <f t="shared" si="25"/>
        <v>279</v>
      </c>
      <c r="O98">
        <f t="shared" si="26"/>
        <v>51952</v>
      </c>
      <c r="Q98">
        <v>9411</v>
      </c>
      <c r="R98">
        <v>5848</v>
      </c>
      <c r="S98">
        <v>476</v>
      </c>
      <c r="T98">
        <v>2518</v>
      </c>
      <c r="U98">
        <v>910</v>
      </c>
      <c r="V98">
        <v>60</v>
      </c>
      <c r="W98">
        <v>3074</v>
      </c>
      <c r="X98">
        <v>620</v>
      </c>
      <c r="Y98">
        <v>289</v>
      </c>
      <c r="Z98" s="271">
        <v>426</v>
      </c>
      <c r="AA98">
        <v>159</v>
      </c>
      <c r="AB98">
        <v>0</v>
      </c>
      <c r="AC98">
        <v>1954</v>
      </c>
      <c r="AD98">
        <v>124</v>
      </c>
      <c r="AE98">
        <v>731</v>
      </c>
      <c r="AF98">
        <v>4300</v>
      </c>
      <c r="AG98">
        <v>705</v>
      </c>
      <c r="AH98">
        <v>484</v>
      </c>
      <c r="AI98">
        <v>8787</v>
      </c>
      <c r="AJ98">
        <v>938</v>
      </c>
      <c r="AK98">
        <v>0</v>
      </c>
      <c r="AL98">
        <v>13473</v>
      </c>
      <c r="AM98">
        <v>995</v>
      </c>
      <c r="AN98">
        <v>10</v>
      </c>
      <c r="AO98">
        <v>5790</v>
      </c>
      <c r="AP98">
        <v>1032</v>
      </c>
      <c r="AQ98">
        <v>670</v>
      </c>
      <c r="AR98">
        <v>1710</v>
      </c>
      <c r="AS98">
        <v>1391</v>
      </c>
      <c r="AT98">
        <v>40</v>
      </c>
      <c r="AU98">
        <v>-51</v>
      </c>
      <c r="AV98">
        <v>19</v>
      </c>
      <c r="AW98">
        <v>0</v>
      </c>
      <c r="AX98">
        <f t="shared" si="27"/>
        <v>51882</v>
      </c>
      <c r="AZ98" t="s">
        <v>363</v>
      </c>
      <c r="BA98" s="128">
        <v>48683</v>
      </c>
      <c r="BB98" s="128">
        <v>274563</v>
      </c>
      <c r="BC98" s="128">
        <v>0</v>
      </c>
      <c r="BD98" s="128">
        <v>1973570</v>
      </c>
      <c r="BE98" s="128">
        <v>493720</v>
      </c>
      <c r="BF98" s="128">
        <v>4975177.0208182409</v>
      </c>
      <c r="BG98" s="272">
        <v>0</v>
      </c>
      <c r="BH98">
        <v>2330</v>
      </c>
      <c r="BI98">
        <v>2234</v>
      </c>
      <c r="BJ98">
        <v>225</v>
      </c>
      <c r="BK98">
        <v>48</v>
      </c>
      <c r="BL98">
        <v>405</v>
      </c>
      <c r="BM98">
        <v>22</v>
      </c>
      <c r="BN98" s="128">
        <v>38</v>
      </c>
      <c r="BO98" s="128">
        <v>0</v>
      </c>
      <c r="BP98" s="128">
        <v>741</v>
      </c>
      <c r="BQ98" s="128">
        <f t="shared" si="28"/>
        <v>34922969.979181759</v>
      </c>
      <c r="BR98">
        <v>21779</v>
      </c>
      <c r="BS98" s="128">
        <f t="shared" si="15"/>
        <v>1603.5157711181303</v>
      </c>
      <c r="BT98" t="s">
        <v>118</v>
      </c>
      <c r="BU98" s="129">
        <f t="shared" si="29"/>
        <v>1637.5393718344167</v>
      </c>
      <c r="BZ98" t="s">
        <v>216</v>
      </c>
      <c r="CA98">
        <v>1475.7427941514686</v>
      </c>
      <c r="CB98" t="s">
        <v>467</v>
      </c>
    </row>
    <row r="99" spans="1:80" ht="14.5" x14ac:dyDescent="0.25">
      <c r="A99" t="s">
        <v>364</v>
      </c>
      <c r="B99">
        <v>17262</v>
      </c>
      <c r="C99">
        <v>4861</v>
      </c>
      <c r="D99">
        <v>189</v>
      </c>
      <c r="E99">
        <f t="shared" si="16"/>
        <v>10719</v>
      </c>
      <c r="F99">
        <f t="shared" si="17"/>
        <v>2284</v>
      </c>
      <c r="G99">
        <f t="shared" si="18"/>
        <v>2323</v>
      </c>
      <c r="H99">
        <f t="shared" si="19"/>
        <v>461</v>
      </c>
      <c r="I99">
        <f t="shared" si="20"/>
        <v>2152</v>
      </c>
      <c r="J99">
        <f t="shared" si="21"/>
        <v>5808</v>
      </c>
      <c r="K99">
        <f t="shared" si="22"/>
        <v>17745</v>
      </c>
      <c r="L99">
        <f t="shared" si="23"/>
        <v>22573</v>
      </c>
      <c r="M99">
        <f t="shared" si="24"/>
        <v>6585</v>
      </c>
      <c r="N99">
        <f t="shared" si="25"/>
        <v>692</v>
      </c>
      <c r="O99">
        <f t="shared" si="26"/>
        <v>93654</v>
      </c>
      <c r="Q99">
        <v>18846</v>
      </c>
      <c r="R99">
        <v>6894</v>
      </c>
      <c r="S99">
        <v>1233</v>
      </c>
      <c r="T99">
        <v>3198</v>
      </c>
      <c r="U99">
        <v>879</v>
      </c>
      <c r="V99">
        <v>35</v>
      </c>
      <c r="W99">
        <v>3954</v>
      </c>
      <c r="X99">
        <v>775</v>
      </c>
      <c r="Y99">
        <v>856</v>
      </c>
      <c r="Z99" s="271">
        <v>927</v>
      </c>
      <c r="AA99">
        <v>328</v>
      </c>
      <c r="AB99">
        <v>138</v>
      </c>
      <c r="AC99">
        <v>3112</v>
      </c>
      <c r="AD99">
        <v>355</v>
      </c>
      <c r="AE99">
        <v>605</v>
      </c>
      <c r="AF99">
        <v>8038</v>
      </c>
      <c r="AG99">
        <v>1493</v>
      </c>
      <c r="AH99">
        <v>737</v>
      </c>
      <c r="AI99">
        <v>18195</v>
      </c>
      <c r="AJ99">
        <v>450</v>
      </c>
      <c r="AK99">
        <v>0</v>
      </c>
      <c r="AL99">
        <v>26043</v>
      </c>
      <c r="AM99">
        <v>3287</v>
      </c>
      <c r="AN99">
        <v>183</v>
      </c>
      <c r="AO99">
        <v>8380</v>
      </c>
      <c r="AP99">
        <v>787</v>
      </c>
      <c r="AQ99">
        <v>1008</v>
      </c>
      <c r="AR99">
        <v>2181</v>
      </c>
      <c r="AS99">
        <v>1423</v>
      </c>
      <c r="AT99">
        <v>66</v>
      </c>
      <c r="AU99">
        <v>21257</v>
      </c>
      <c r="AV99">
        <v>591</v>
      </c>
      <c r="AW99">
        <v>0</v>
      </c>
      <c r="AX99">
        <f t="shared" si="27"/>
        <v>114320</v>
      </c>
      <c r="AZ99" t="s">
        <v>364</v>
      </c>
      <c r="BA99" s="128">
        <v>88013</v>
      </c>
      <c r="BB99" s="128">
        <v>1137587</v>
      </c>
      <c r="BC99" s="128">
        <v>0</v>
      </c>
      <c r="BD99" s="128">
        <v>1800357</v>
      </c>
      <c r="BE99" s="128">
        <v>580816</v>
      </c>
      <c r="BF99" s="128">
        <v>10930388.026217975</v>
      </c>
      <c r="BG99" s="272">
        <v>1227107.4104726762</v>
      </c>
      <c r="BH99">
        <v>4023</v>
      </c>
      <c r="BI99">
        <v>4234</v>
      </c>
      <c r="BJ99">
        <v>511</v>
      </c>
      <c r="BK99">
        <v>0</v>
      </c>
      <c r="BL99">
        <v>835</v>
      </c>
      <c r="BM99">
        <v>61</v>
      </c>
      <c r="BN99" s="128">
        <v>470</v>
      </c>
      <c r="BO99" s="128">
        <v>398</v>
      </c>
      <c r="BP99" s="128">
        <v>74</v>
      </c>
      <c r="BQ99" s="128">
        <f t="shared" si="28"/>
        <v>61730744.563309357</v>
      </c>
      <c r="BR99">
        <v>40059</v>
      </c>
      <c r="BS99" s="128">
        <f t="shared" si="15"/>
        <v>1540.9956455056131</v>
      </c>
      <c r="BT99" t="s">
        <v>118</v>
      </c>
      <c r="BU99" s="129">
        <f t="shared" si="29"/>
        <v>1542.8429207745914</v>
      </c>
      <c r="BZ99" t="s">
        <v>217</v>
      </c>
      <c r="CA99">
        <v>1293.4868213884213</v>
      </c>
      <c r="CB99" t="s">
        <v>467</v>
      </c>
    </row>
    <row r="100" spans="1:80" ht="14.5" x14ac:dyDescent="0.25">
      <c r="A100" t="s">
        <v>365</v>
      </c>
      <c r="B100">
        <v>14650</v>
      </c>
      <c r="C100">
        <v>3460</v>
      </c>
      <c r="D100">
        <v>3409</v>
      </c>
      <c r="E100">
        <f t="shared" si="16"/>
        <v>3387</v>
      </c>
      <c r="F100">
        <f t="shared" si="17"/>
        <v>2087</v>
      </c>
      <c r="G100">
        <f t="shared" si="18"/>
        <v>2646</v>
      </c>
      <c r="H100">
        <f t="shared" si="19"/>
        <v>727</v>
      </c>
      <c r="I100">
        <f t="shared" si="20"/>
        <v>2030</v>
      </c>
      <c r="J100">
        <f t="shared" si="21"/>
        <v>4934</v>
      </c>
      <c r="K100">
        <f t="shared" si="22"/>
        <v>11568</v>
      </c>
      <c r="L100">
        <f t="shared" si="23"/>
        <v>18048</v>
      </c>
      <c r="M100">
        <f t="shared" si="24"/>
        <v>6480</v>
      </c>
      <c r="N100">
        <f t="shared" si="25"/>
        <v>1029</v>
      </c>
      <c r="O100">
        <f t="shared" si="26"/>
        <v>74455</v>
      </c>
      <c r="Q100">
        <v>10996</v>
      </c>
      <c r="R100">
        <v>7129</v>
      </c>
      <c r="S100">
        <v>480</v>
      </c>
      <c r="T100">
        <v>2572</v>
      </c>
      <c r="U100">
        <v>452</v>
      </c>
      <c r="V100">
        <v>33</v>
      </c>
      <c r="W100">
        <v>4042</v>
      </c>
      <c r="X100">
        <v>892</v>
      </c>
      <c r="Y100">
        <v>504</v>
      </c>
      <c r="Z100" s="271">
        <v>1309</v>
      </c>
      <c r="AA100">
        <v>578</v>
      </c>
      <c r="AB100">
        <v>4</v>
      </c>
      <c r="AC100">
        <v>3139</v>
      </c>
      <c r="AD100">
        <v>109</v>
      </c>
      <c r="AE100">
        <v>1000</v>
      </c>
      <c r="AF100">
        <v>7345</v>
      </c>
      <c r="AG100">
        <v>1454</v>
      </c>
      <c r="AH100">
        <v>957</v>
      </c>
      <c r="AI100">
        <v>11613</v>
      </c>
      <c r="AJ100">
        <v>45</v>
      </c>
      <c r="AK100">
        <v>0</v>
      </c>
      <c r="AL100">
        <v>19482</v>
      </c>
      <c r="AM100">
        <v>1367</v>
      </c>
      <c r="AN100">
        <v>67</v>
      </c>
      <c r="AO100">
        <v>7625</v>
      </c>
      <c r="AP100">
        <v>846</v>
      </c>
      <c r="AQ100">
        <v>299</v>
      </c>
      <c r="AR100">
        <v>2662</v>
      </c>
      <c r="AS100">
        <v>1517</v>
      </c>
      <c r="AT100">
        <v>116</v>
      </c>
      <c r="AU100">
        <v>1049</v>
      </c>
      <c r="AV100">
        <v>261</v>
      </c>
      <c r="AW100">
        <v>0</v>
      </c>
      <c r="AX100">
        <f t="shared" si="27"/>
        <v>75243</v>
      </c>
      <c r="AZ100" t="s">
        <v>365</v>
      </c>
      <c r="BA100" s="128">
        <v>67325</v>
      </c>
      <c r="BB100" s="128">
        <v>537080</v>
      </c>
      <c r="BC100" s="128">
        <v>0</v>
      </c>
      <c r="BD100" s="128">
        <v>4643167</v>
      </c>
      <c r="BE100" s="128">
        <v>460689.98666666669</v>
      </c>
      <c r="BF100" s="128">
        <v>5896397.2161214082</v>
      </c>
      <c r="BG100" s="272">
        <v>0</v>
      </c>
      <c r="BH100">
        <v>2503</v>
      </c>
      <c r="BI100">
        <v>3034</v>
      </c>
      <c r="BJ100">
        <v>352</v>
      </c>
      <c r="BK100">
        <v>0</v>
      </c>
      <c r="BL100">
        <v>996</v>
      </c>
      <c r="BM100">
        <v>248</v>
      </c>
      <c r="BN100" s="128">
        <v>151</v>
      </c>
      <c r="BO100" s="128">
        <v>0</v>
      </c>
      <c r="BP100" s="128">
        <v>35</v>
      </c>
      <c r="BQ100" s="128">
        <f t="shared" si="28"/>
        <v>48468665.79721193</v>
      </c>
      <c r="BR100">
        <v>30766</v>
      </c>
      <c r="BS100" s="128">
        <f t="shared" si="15"/>
        <v>1575.3970551001732</v>
      </c>
      <c r="BT100" t="s">
        <v>118</v>
      </c>
      <c r="BU100" s="129">
        <f t="shared" si="29"/>
        <v>1576.5346745502154</v>
      </c>
      <c r="BZ100" t="s">
        <v>173</v>
      </c>
      <c r="CA100">
        <v>1601.3023293808499</v>
      </c>
      <c r="CB100" t="s">
        <v>467</v>
      </c>
    </row>
    <row r="101" spans="1:80" ht="14.5" x14ac:dyDescent="0.25">
      <c r="A101" t="s">
        <v>405</v>
      </c>
      <c r="B101">
        <v>10118</v>
      </c>
      <c r="C101">
        <v>1870</v>
      </c>
      <c r="D101">
        <v>641</v>
      </c>
      <c r="E101">
        <f t="shared" si="16"/>
        <v>3094</v>
      </c>
      <c r="F101">
        <f t="shared" si="17"/>
        <v>1424</v>
      </c>
      <c r="G101">
        <f t="shared" si="18"/>
        <v>1107</v>
      </c>
      <c r="H101">
        <f t="shared" si="19"/>
        <v>849</v>
      </c>
      <c r="I101">
        <f t="shared" si="20"/>
        <v>2320</v>
      </c>
      <c r="J101">
        <f t="shared" si="21"/>
        <v>3017</v>
      </c>
      <c r="K101">
        <f t="shared" si="22"/>
        <v>11122</v>
      </c>
      <c r="L101">
        <f t="shared" si="23"/>
        <v>9260</v>
      </c>
      <c r="M101">
        <f t="shared" si="24"/>
        <v>3324</v>
      </c>
      <c r="N101">
        <f t="shared" si="25"/>
        <v>874</v>
      </c>
      <c r="O101">
        <f t="shared" si="26"/>
        <v>49020</v>
      </c>
      <c r="Q101">
        <v>8733</v>
      </c>
      <c r="R101">
        <v>5078</v>
      </c>
      <c r="S101">
        <v>561</v>
      </c>
      <c r="T101">
        <v>1642</v>
      </c>
      <c r="U101">
        <v>218</v>
      </c>
      <c r="V101">
        <v>0</v>
      </c>
      <c r="W101">
        <v>1641</v>
      </c>
      <c r="X101">
        <v>371</v>
      </c>
      <c r="Y101">
        <v>163</v>
      </c>
      <c r="Z101" s="271">
        <v>1106</v>
      </c>
      <c r="AA101">
        <v>257</v>
      </c>
      <c r="AB101">
        <v>0</v>
      </c>
      <c r="AC101">
        <v>2885</v>
      </c>
      <c r="AD101">
        <v>108</v>
      </c>
      <c r="AE101">
        <v>457</v>
      </c>
      <c r="AF101">
        <v>3804</v>
      </c>
      <c r="AG101">
        <v>686</v>
      </c>
      <c r="AH101">
        <v>101</v>
      </c>
      <c r="AI101">
        <v>11695</v>
      </c>
      <c r="AJ101">
        <v>573</v>
      </c>
      <c r="AK101">
        <v>0</v>
      </c>
      <c r="AL101">
        <v>10857</v>
      </c>
      <c r="AM101">
        <v>1476</v>
      </c>
      <c r="AN101">
        <v>121</v>
      </c>
      <c r="AO101">
        <v>4264</v>
      </c>
      <c r="AP101">
        <v>473</v>
      </c>
      <c r="AQ101">
        <v>467</v>
      </c>
      <c r="AR101">
        <v>1703</v>
      </c>
      <c r="AS101">
        <v>829</v>
      </c>
      <c r="AT101">
        <v>0</v>
      </c>
      <c r="AU101">
        <v>1735</v>
      </c>
      <c r="AV101">
        <v>49</v>
      </c>
      <c r="AW101">
        <v>0</v>
      </c>
      <c r="AX101">
        <f t="shared" si="27"/>
        <v>50706</v>
      </c>
      <c r="AZ101" t="s">
        <v>405</v>
      </c>
      <c r="BA101" s="128">
        <v>46460</v>
      </c>
      <c r="BB101" s="128">
        <v>568404</v>
      </c>
      <c r="BC101" s="128">
        <v>0</v>
      </c>
      <c r="BD101" s="128">
        <v>5100312</v>
      </c>
      <c r="BE101" s="128">
        <v>373471</v>
      </c>
      <c r="BF101" s="128">
        <v>3936309.9338579993</v>
      </c>
      <c r="BG101" s="272">
        <v>0</v>
      </c>
      <c r="BH101">
        <v>1931</v>
      </c>
      <c r="BI101">
        <v>1238</v>
      </c>
      <c r="BJ101">
        <v>175</v>
      </c>
      <c r="BK101">
        <v>45</v>
      </c>
      <c r="BL101">
        <v>300</v>
      </c>
      <c r="BM101">
        <v>100</v>
      </c>
      <c r="BN101" s="128">
        <v>1548</v>
      </c>
      <c r="BO101" s="128">
        <v>0</v>
      </c>
      <c r="BP101" s="128">
        <v>30</v>
      </c>
      <c r="BQ101" s="128">
        <f t="shared" si="28"/>
        <v>31114503.066142</v>
      </c>
      <c r="BR101">
        <v>17038</v>
      </c>
      <c r="BS101" s="128">
        <f t="shared" si="15"/>
        <v>1826.1828305048714</v>
      </c>
      <c r="BT101" t="s">
        <v>118</v>
      </c>
      <c r="BU101" s="129">
        <f t="shared" si="29"/>
        <v>1827.9436005483037</v>
      </c>
      <c r="BZ101" t="s">
        <v>246</v>
      </c>
      <c r="CA101">
        <v>1401.2138889442001</v>
      </c>
      <c r="CB101" t="s">
        <v>467</v>
      </c>
    </row>
    <row r="102" spans="1:80" ht="14.5" x14ac:dyDescent="0.25">
      <c r="A102" t="s">
        <v>366</v>
      </c>
      <c r="B102">
        <v>1151</v>
      </c>
      <c r="C102">
        <v>3638</v>
      </c>
      <c r="D102">
        <v>173</v>
      </c>
      <c r="E102">
        <f t="shared" si="16"/>
        <v>9537</v>
      </c>
      <c r="F102">
        <f t="shared" si="17"/>
        <v>2682</v>
      </c>
      <c r="G102">
        <f t="shared" si="18"/>
        <v>2200</v>
      </c>
      <c r="H102">
        <f t="shared" si="19"/>
        <v>1977</v>
      </c>
      <c r="I102">
        <f t="shared" si="20"/>
        <v>1689</v>
      </c>
      <c r="J102">
        <f t="shared" si="21"/>
        <v>5193</v>
      </c>
      <c r="K102">
        <f t="shared" si="22"/>
        <v>11726</v>
      </c>
      <c r="L102">
        <f t="shared" si="23"/>
        <v>17241</v>
      </c>
      <c r="M102">
        <f t="shared" si="24"/>
        <v>5088</v>
      </c>
      <c r="N102">
        <f t="shared" si="25"/>
        <v>2113</v>
      </c>
      <c r="O102">
        <f t="shared" si="26"/>
        <v>64408</v>
      </c>
      <c r="Q102">
        <v>11042</v>
      </c>
      <c r="R102">
        <v>1151</v>
      </c>
      <c r="S102">
        <v>354</v>
      </c>
      <c r="T102">
        <v>2701</v>
      </c>
      <c r="U102">
        <v>0</v>
      </c>
      <c r="V102">
        <v>19</v>
      </c>
      <c r="W102">
        <v>2417</v>
      </c>
      <c r="X102">
        <v>0</v>
      </c>
      <c r="Y102">
        <v>217</v>
      </c>
      <c r="Z102" s="271">
        <v>1978</v>
      </c>
      <c r="AA102">
        <v>0</v>
      </c>
      <c r="AB102">
        <v>1</v>
      </c>
      <c r="AC102">
        <v>2383</v>
      </c>
      <c r="AD102">
        <v>0</v>
      </c>
      <c r="AE102">
        <v>694</v>
      </c>
      <c r="AF102">
        <v>6413</v>
      </c>
      <c r="AG102">
        <v>0</v>
      </c>
      <c r="AH102">
        <v>1220</v>
      </c>
      <c r="AI102">
        <v>11726</v>
      </c>
      <c r="AJ102">
        <v>0</v>
      </c>
      <c r="AK102">
        <v>0</v>
      </c>
      <c r="AL102">
        <v>17354</v>
      </c>
      <c r="AM102">
        <v>0</v>
      </c>
      <c r="AN102">
        <v>113</v>
      </c>
      <c r="AO102">
        <v>5275</v>
      </c>
      <c r="AP102">
        <v>0</v>
      </c>
      <c r="AQ102">
        <v>187</v>
      </c>
      <c r="AR102">
        <v>2946</v>
      </c>
      <c r="AS102">
        <v>0</v>
      </c>
      <c r="AT102">
        <v>833</v>
      </c>
      <c r="AU102">
        <v>3078</v>
      </c>
      <c r="AV102">
        <v>0</v>
      </c>
      <c r="AW102">
        <v>0</v>
      </c>
      <c r="AX102">
        <f t="shared" si="27"/>
        <v>67486</v>
      </c>
      <c r="AZ102" t="s">
        <v>366</v>
      </c>
      <c r="BA102" s="128">
        <v>60597</v>
      </c>
      <c r="BB102" s="128">
        <v>499008</v>
      </c>
      <c r="BC102" s="128">
        <v>0</v>
      </c>
      <c r="BD102" s="128">
        <v>1769793</v>
      </c>
      <c r="BE102" s="128">
        <v>1171144</v>
      </c>
      <c r="BF102" s="128">
        <v>6466507.6588717774</v>
      </c>
      <c r="BG102" s="272">
        <v>935640.77016063035</v>
      </c>
      <c r="BH102">
        <v>1300</v>
      </c>
      <c r="BI102">
        <v>2280</v>
      </c>
      <c r="BJ102">
        <v>256</v>
      </c>
      <c r="BK102">
        <v>0</v>
      </c>
      <c r="BL102">
        <v>618</v>
      </c>
      <c r="BM102">
        <v>122</v>
      </c>
      <c r="BN102" s="128">
        <v>0</v>
      </c>
      <c r="BO102" s="128">
        <v>0</v>
      </c>
      <c r="BP102" s="128">
        <v>2</v>
      </c>
      <c r="BQ102" s="128">
        <f t="shared" si="28"/>
        <v>45176906.570967592</v>
      </c>
      <c r="BR102">
        <v>26742</v>
      </c>
      <c r="BS102" s="128">
        <f t="shared" si="15"/>
        <v>1689.3615500324431</v>
      </c>
      <c r="BT102" t="s">
        <v>118</v>
      </c>
      <c r="BU102" s="129">
        <f t="shared" si="29"/>
        <v>1689.4363387543037</v>
      </c>
      <c r="BZ102" t="s">
        <v>355</v>
      </c>
      <c r="CA102">
        <v>1932.117686992264</v>
      </c>
      <c r="CB102" t="s">
        <v>467</v>
      </c>
    </row>
    <row r="103" spans="1:80" ht="14.5" x14ac:dyDescent="0.25">
      <c r="A103" t="s">
        <v>292</v>
      </c>
      <c r="B103">
        <v>35932</v>
      </c>
      <c r="C103">
        <v>6786</v>
      </c>
      <c r="D103">
        <v>1509</v>
      </c>
      <c r="E103">
        <f t="shared" si="16"/>
        <v>7409</v>
      </c>
      <c r="F103">
        <f t="shared" si="17"/>
        <v>3505</v>
      </c>
      <c r="G103">
        <f t="shared" si="18"/>
        <v>8015</v>
      </c>
      <c r="H103">
        <f t="shared" si="19"/>
        <v>3120</v>
      </c>
      <c r="I103">
        <f t="shared" si="20"/>
        <v>2317</v>
      </c>
      <c r="J103">
        <f t="shared" si="21"/>
        <v>8547</v>
      </c>
      <c r="K103">
        <f t="shared" si="22"/>
        <v>10149</v>
      </c>
      <c r="L103">
        <f t="shared" si="23"/>
        <v>26981</v>
      </c>
      <c r="M103">
        <f t="shared" si="24"/>
        <v>13149</v>
      </c>
      <c r="N103">
        <f t="shared" si="25"/>
        <v>981</v>
      </c>
      <c r="O103">
        <f t="shared" si="26"/>
        <v>128400</v>
      </c>
      <c r="Q103">
        <v>21341</v>
      </c>
      <c r="R103">
        <v>13032</v>
      </c>
      <c r="S103">
        <v>900</v>
      </c>
      <c r="T103">
        <v>4644</v>
      </c>
      <c r="U103">
        <v>1079</v>
      </c>
      <c r="V103">
        <v>60</v>
      </c>
      <c r="W103">
        <v>11029</v>
      </c>
      <c r="X103">
        <v>2151</v>
      </c>
      <c r="Y103">
        <v>863</v>
      </c>
      <c r="Z103" s="271">
        <v>3892</v>
      </c>
      <c r="AA103">
        <v>695</v>
      </c>
      <c r="AB103">
        <v>77</v>
      </c>
      <c r="AC103">
        <v>4558</v>
      </c>
      <c r="AD103">
        <v>494</v>
      </c>
      <c r="AE103">
        <v>1747</v>
      </c>
      <c r="AF103">
        <v>13687</v>
      </c>
      <c r="AG103">
        <v>3541</v>
      </c>
      <c r="AH103">
        <v>1599</v>
      </c>
      <c r="AI103">
        <v>17228</v>
      </c>
      <c r="AJ103">
        <v>7073</v>
      </c>
      <c r="AK103">
        <v>6</v>
      </c>
      <c r="AL103">
        <v>30661</v>
      </c>
      <c r="AM103">
        <v>3515</v>
      </c>
      <c r="AN103">
        <v>165</v>
      </c>
      <c r="AO103">
        <v>16333</v>
      </c>
      <c r="AP103">
        <v>1858</v>
      </c>
      <c r="AQ103">
        <v>1326</v>
      </c>
      <c r="AR103">
        <v>3188</v>
      </c>
      <c r="AS103">
        <v>2164</v>
      </c>
      <c r="AT103">
        <v>43</v>
      </c>
      <c r="AU103">
        <v>2553</v>
      </c>
      <c r="AV103">
        <v>330</v>
      </c>
      <c r="AW103">
        <v>0</v>
      </c>
      <c r="AX103">
        <f t="shared" si="27"/>
        <v>130623</v>
      </c>
      <c r="AZ103" t="s">
        <v>292</v>
      </c>
      <c r="BA103" s="128">
        <v>119775</v>
      </c>
      <c r="BB103" s="128">
        <v>1461858</v>
      </c>
      <c r="BC103" s="128">
        <v>0</v>
      </c>
      <c r="BD103" s="128">
        <v>5119340</v>
      </c>
      <c r="BE103" s="128">
        <v>962627</v>
      </c>
      <c r="BF103" s="128">
        <v>8622389.54759112</v>
      </c>
      <c r="BG103" s="272">
        <v>1252138.7342306376</v>
      </c>
      <c r="BH103">
        <v>5932</v>
      </c>
      <c r="BI103">
        <v>5881</v>
      </c>
      <c r="BJ103">
        <v>462</v>
      </c>
      <c r="BK103">
        <v>997</v>
      </c>
      <c r="BL103">
        <v>1406</v>
      </c>
      <c r="BM103">
        <v>322</v>
      </c>
      <c r="BN103" s="128">
        <v>3106</v>
      </c>
      <c r="BO103" s="128">
        <v>12</v>
      </c>
      <c r="BP103" s="128">
        <v>537</v>
      </c>
      <c r="BQ103" s="128">
        <f t="shared" si="28"/>
        <v>83701646.718178242</v>
      </c>
      <c r="BR103">
        <v>50588</v>
      </c>
      <c r="BS103" s="128">
        <f t="shared" si="15"/>
        <v>1654.5751308250622</v>
      </c>
      <c r="BT103" t="s">
        <v>467</v>
      </c>
      <c r="BU103" s="129">
        <f t="shared" si="29"/>
        <v>1665.1902964769954</v>
      </c>
      <c r="BZ103" t="s">
        <v>143</v>
      </c>
      <c r="CA103">
        <v>1588.6868427729598</v>
      </c>
      <c r="CB103" t="s">
        <v>467</v>
      </c>
    </row>
    <row r="104" spans="1:80" ht="14.5" x14ac:dyDescent="0.25">
      <c r="A104" t="s">
        <v>331</v>
      </c>
      <c r="B104">
        <v>19946</v>
      </c>
      <c r="C104">
        <v>6089</v>
      </c>
      <c r="D104">
        <v>3329</v>
      </c>
      <c r="E104">
        <f t="shared" si="16"/>
        <v>7448</v>
      </c>
      <c r="F104">
        <f t="shared" si="17"/>
        <v>3070</v>
      </c>
      <c r="G104">
        <f t="shared" si="18"/>
        <v>6272</v>
      </c>
      <c r="H104">
        <f t="shared" si="19"/>
        <v>810</v>
      </c>
      <c r="I104">
        <f t="shared" si="20"/>
        <v>4147</v>
      </c>
      <c r="J104">
        <f t="shared" si="21"/>
        <v>7720</v>
      </c>
      <c r="K104">
        <f t="shared" si="22"/>
        <v>23558</v>
      </c>
      <c r="L104">
        <f t="shared" si="23"/>
        <v>29595</v>
      </c>
      <c r="M104">
        <f t="shared" si="24"/>
        <v>8110</v>
      </c>
      <c r="N104">
        <f t="shared" si="25"/>
        <v>648</v>
      </c>
      <c r="O104">
        <f t="shared" si="26"/>
        <v>120742</v>
      </c>
      <c r="Q104">
        <v>18004</v>
      </c>
      <c r="R104">
        <v>9689</v>
      </c>
      <c r="S104">
        <v>867</v>
      </c>
      <c r="T104">
        <v>3599</v>
      </c>
      <c r="U104">
        <v>489</v>
      </c>
      <c r="V104">
        <v>40</v>
      </c>
      <c r="W104">
        <v>9838</v>
      </c>
      <c r="X104">
        <v>1642</v>
      </c>
      <c r="Y104">
        <v>1924</v>
      </c>
      <c r="Z104" s="271">
        <v>1093</v>
      </c>
      <c r="AA104">
        <v>281</v>
      </c>
      <c r="AB104">
        <v>2</v>
      </c>
      <c r="AC104">
        <v>7744</v>
      </c>
      <c r="AD104">
        <v>1702</v>
      </c>
      <c r="AE104">
        <v>1895</v>
      </c>
      <c r="AF104">
        <v>10298</v>
      </c>
      <c r="AG104">
        <v>1974</v>
      </c>
      <c r="AH104">
        <v>604</v>
      </c>
      <c r="AI104">
        <v>24275</v>
      </c>
      <c r="AJ104">
        <v>717</v>
      </c>
      <c r="AK104">
        <v>0</v>
      </c>
      <c r="AL104">
        <v>30487</v>
      </c>
      <c r="AM104">
        <v>788</v>
      </c>
      <c r="AN104">
        <v>104</v>
      </c>
      <c r="AO104">
        <v>10215</v>
      </c>
      <c r="AP104">
        <v>1543</v>
      </c>
      <c r="AQ104">
        <v>562</v>
      </c>
      <c r="AR104">
        <v>1837</v>
      </c>
      <c r="AS104">
        <v>1098</v>
      </c>
      <c r="AT104">
        <v>91</v>
      </c>
      <c r="AU104">
        <v>8493</v>
      </c>
      <c r="AV104">
        <v>23</v>
      </c>
      <c r="AW104">
        <v>0</v>
      </c>
      <c r="AX104">
        <f t="shared" si="27"/>
        <v>129212</v>
      </c>
      <c r="AZ104" t="s">
        <v>331</v>
      </c>
      <c r="BA104" s="128">
        <v>111301</v>
      </c>
      <c r="BB104" s="128">
        <v>1187317</v>
      </c>
      <c r="BC104" s="128">
        <v>0</v>
      </c>
      <c r="BD104" s="128">
        <v>5620059</v>
      </c>
      <c r="BE104" s="128">
        <v>1369147</v>
      </c>
      <c r="BF104" s="128">
        <v>12151431.646658082</v>
      </c>
      <c r="BG104" s="272">
        <v>0</v>
      </c>
      <c r="BH104">
        <v>4019</v>
      </c>
      <c r="BI104">
        <v>4156</v>
      </c>
      <c r="BJ104">
        <v>54</v>
      </c>
      <c r="BK104">
        <v>500</v>
      </c>
      <c r="BL104">
        <v>1512</v>
      </c>
      <c r="BM104">
        <v>81</v>
      </c>
      <c r="BN104" s="128">
        <v>417</v>
      </c>
      <c r="BO104" s="128">
        <v>3874</v>
      </c>
      <c r="BP104" s="128">
        <v>2348</v>
      </c>
      <c r="BQ104" s="128">
        <f t="shared" si="28"/>
        <v>74012045.353341922</v>
      </c>
      <c r="BR104">
        <v>38594</v>
      </c>
      <c r="BS104" s="128">
        <f t="shared" si="15"/>
        <v>1917.7085908001741</v>
      </c>
      <c r="BT104" t="s">
        <v>441</v>
      </c>
      <c r="BU104" s="129">
        <f t="shared" si="29"/>
        <v>1978.5470631015683</v>
      </c>
      <c r="BZ104" t="s">
        <v>218</v>
      </c>
      <c r="CA104">
        <v>1605.5037198782288</v>
      </c>
      <c r="CB104" t="s">
        <v>467</v>
      </c>
    </row>
    <row r="105" spans="1:80" ht="14.5" x14ac:dyDescent="0.25">
      <c r="A105" t="s">
        <v>367</v>
      </c>
      <c r="B105">
        <v>12310</v>
      </c>
      <c r="C105">
        <v>3348</v>
      </c>
      <c r="D105">
        <v>377</v>
      </c>
      <c r="E105">
        <f t="shared" si="16"/>
        <v>3084</v>
      </c>
      <c r="F105">
        <f t="shared" si="17"/>
        <v>1372</v>
      </c>
      <c r="G105">
        <f t="shared" si="18"/>
        <v>1849</v>
      </c>
      <c r="H105">
        <f t="shared" si="19"/>
        <v>563</v>
      </c>
      <c r="I105">
        <f t="shared" si="20"/>
        <v>1739</v>
      </c>
      <c r="J105">
        <f t="shared" si="21"/>
        <v>3711</v>
      </c>
      <c r="K105">
        <f t="shared" si="22"/>
        <v>8045</v>
      </c>
      <c r="L105">
        <f t="shared" si="23"/>
        <v>15952</v>
      </c>
      <c r="M105">
        <f t="shared" si="24"/>
        <v>4109</v>
      </c>
      <c r="N105">
        <f t="shared" si="25"/>
        <v>584</v>
      </c>
      <c r="O105">
        <f t="shared" si="26"/>
        <v>57043</v>
      </c>
      <c r="Q105">
        <v>9192</v>
      </c>
      <c r="R105">
        <v>5940</v>
      </c>
      <c r="S105">
        <v>168</v>
      </c>
      <c r="T105">
        <v>1734</v>
      </c>
      <c r="U105">
        <v>334</v>
      </c>
      <c r="V105">
        <v>28</v>
      </c>
      <c r="W105">
        <v>3106</v>
      </c>
      <c r="X105">
        <v>456</v>
      </c>
      <c r="Y105">
        <v>801</v>
      </c>
      <c r="Z105" s="271">
        <v>724</v>
      </c>
      <c r="AA105">
        <v>160</v>
      </c>
      <c r="AB105">
        <v>1</v>
      </c>
      <c r="AC105">
        <v>2462</v>
      </c>
      <c r="AD105">
        <v>239</v>
      </c>
      <c r="AE105">
        <v>484</v>
      </c>
      <c r="AF105">
        <v>4994</v>
      </c>
      <c r="AG105">
        <v>304</v>
      </c>
      <c r="AH105">
        <v>979</v>
      </c>
      <c r="AI105">
        <v>8878</v>
      </c>
      <c r="AJ105">
        <v>833</v>
      </c>
      <c r="AK105">
        <v>0</v>
      </c>
      <c r="AL105">
        <v>17684</v>
      </c>
      <c r="AM105">
        <v>1601</v>
      </c>
      <c r="AN105">
        <v>131</v>
      </c>
      <c r="AO105">
        <v>5466</v>
      </c>
      <c r="AP105">
        <v>604</v>
      </c>
      <c r="AQ105">
        <v>753</v>
      </c>
      <c r="AR105">
        <v>2144</v>
      </c>
      <c r="AS105">
        <v>1557</v>
      </c>
      <c r="AT105">
        <v>3</v>
      </c>
      <c r="AU105">
        <v>4313</v>
      </c>
      <c r="AV105">
        <v>282</v>
      </c>
      <c r="AW105">
        <v>0</v>
      </c>
      <c r="AX105">
        <f t="shared" si="27"/>
        <v>61074</v>
      </c>
      <c r="AZ105" t="s">
        <v>367</v>
      </c>
      <c r="BA105" s="128">
        <v>53036</v>
      </c>
      <c r="BB105" s="128">
        <v>1840840</v>
      </c>
      <c r="BC105" s="128">
        <v>0</v>
      </c>
      <c r="BD105" s="128">
        <v>2684971</v>
      </c>
      <c r="BE105" s="128">
        <v>413073</v>
      </c>
      <c r="BF105" s="128">
        <v>4310652.2216840647</v>
      </c>
      <c r="BG105" s="272">
        <v>0</v>
      </c>
      <c r="BH105">
        <v>2191</v>
      </c>
      <c r="BI105">
        <v>2322</v>
      </c>
      <c r="BJ105">
        <v>253</v>
      </c>
      <c r="BK105">
        <v>0</v>
      </c>
      <c r="BL105">
        <v>867</v>
      </c>
      <c r="BM105">
        <v>222</v>
      </c>
      <c r="BN105" s="128">
        <v>65</v>
      </c>
      <c r="BO105" s="128">
        <v>0</v>
      </c>
      <c r="BP105" s="128">
        <v>67</v>
      </c>
      <c r="BQ105" s="128">
        <f t="shared" si="28"/>
        <v>37799463.778315932</v>
      </c>
      <c r="BR105">
        <v>23948</v>
      </c>
      <c r="BS105" s="128">
        <f t="shared" si="15"/>
        <v>1578.3975187203914</v>
      </c>
      <c r="BT105" t="s">
        <v>467</v>
      </c>
      <c r="BU105" s="129">
        <f t="shared" si="29"/>
        <v>1581.1952471319496</v>
      </c>
      <c r="BZ105" t="s">
        <v>219</v>
      </c>
      <c r="CA105">
        <v>1404.1151099348908</v>
      </c>
      <c r="CB105" t="s">
        <v>467</v>
      </c>
    </row>
    <row r="106" spans="1:80" ht="14.5" x14ac:dyDescent="0.25">
      <c r="A106" t="s">
        <v>490</v>
      </c>
      <c r="B106">
        <v>32222</v>
      </c>
      <c r="C106">
        <v>10212</v>
      </c>
      <c r="D106">
        <v>2964</v>
      </c>
      <c r="E106">
        <f t="shared" si="16"/>
        <v>10458</v>
      </c>
      <c r="F106">
        <f t="shared" si="17"/>
        <v>4942</v>
      </c>
      <c r="G106">
        <f t="shared" si="18"/>
        <v>5033</v>
      </c>
      <c r="H106">
        <f t="shared" si="19"/>
        <v>1134</v>
      </c>
      <c r="I106">
        <f t="shared" si="20"/>
        <v>3628</v>
      </c>
      <c r="J106">
        <f t="shared" si="21"/>
        <v>10258</v>
      </c>
      <c r="K106">
        <f t="shared" si="22"/>
        <v>17366</v>
      </c>
      <c r="L106">
        <f t="shared" si="23"/>
        <v>27784</v>
      </c>
      <c r="M106">
        <f t="shared" si="24"/>
        <v>12253</v>
      </c>
      <c r="N106">
        <f t="shared" si="25"/>
        <v>1013</v>
      </c>
      <c r="O106">
        <f t="shared" si="26"/>
        <v>139267</v>
      </c>
      <c r="Q106">
        <v>26829</v>
      </c>
      <c r="R106">
        <v>15053</v>
      </c>
      <c r="S106">
        <v>1318</v>
      </c>
      <c r="T106">
        <v>5871</v>
      </c>
      <c r="U106">
        <v>790</v>
      </c>
      <c r="V106">
        <v>139</v>
      </c>
      <c r="W106">
        <v>9307</v>
      </c>
      <c r="X106">
        <v>2714</v>
      </c>
      <c r="Y106">
        <v>1560</v>
      </c>
      <c r="Z106" s="271">
        <v>1412</v>
      </c>
      <c r="AA106">
        <v>278</v>
      </c>
      <c r="AB106">
        <v>0</v>
      </c>
      <c r="AC106">
        <v>7666</v>
      </c>
      <c r="AD106">
        <v>193</v>
      </c>
      <c r="AE106">
        <v>3845</v>
      </c>
      <c r="AF106">
        <v>15193</v>
      </c>
      <c r="AG106">
        <v>3134</v>
      </c>
      <c r="AH106">
        <v>1801</v>
      </c>
      <c r="AI106">
        <v>20380</v>
      </c>
      <c r="AJ106">
        <v>3014</v>
      </c>
      <c r="AK106">
        <v>0</v>
      </c>
      <c r="AL106">
        <v>31193</v>
      </c>
      <c r="AM106">
        <v>3408</v>
      </c>
      <c r="AN106">
        <v>1</v>
      </c>
      <c r="AO106">
        <v>15099</v>
      </c>
      <c r="AP106">
        <v>1379</v>
      </c>
      <c r="AQ106">
        <v>1467</v>
      </c>
      <c r="AR106">
        <v>3289</v>
      </c>
      <c r="AS106">
        <v>2195</v>
      </c>
      <c r="AT106">
        <v>81</v>
      </c>
      <c r="AU106">
        <v>3097</v>
      </c>
      <c r="AV106">
        <v>64</v>
      </c>
      <c r="AW106">
        <v>0</v>
      </c>
      <c r="AX106">
        <f t="shared" si="27"/>
        <v>142300</v>
      </c>
      <c r="AZ106" t="s">
        <v>490</v>
      </c>
      <c r="BA106" s="128">
        <v>126027</v>
      </c>
      <c r="BB106" s="128">
        <v>1366965</v>
      </c>
      <c r="BC106" s="128">
        <v>0</v>
      </c>
      <c r="BD106" s="128">
        <v>1978193</v>
      </c>
      <c r="BE106" s="128">
        <v>709589</v>
      </c>
      <c r="BF106" s="128">
        <v>13062305.655059151</v>
      </c>
      <c r="BG106" s="272">
        <v>0</v>
      </c>
      <c r="BH106">
        <v>5771</v>
      </c>
      <c r="BI106">
        <v>6709</v>
      </c>
      <c r="BJ106">
        <v>685</v>
      </c>
      <c r="BK106">
        <v>669</v>
      </c>
      <c r="BL106">
        <v>1429</v>
      </c>
      <c r="BM106">
        <v>1308</v>
      </c>
      <c r="BN106" s="128">
        <v>228</v>
      </c>
      <c r="BO106" s="128">
        <v>2167</v>
      </c>
      <c r="BP106" s="128">
        <v>2513</v>
      </c>
      <c r="BQ106" s="128">
        <f t="shared" si="28"/>
        <v>87430947.344940841</v>
      </c>
      <c r="BR106">
        <v>58520</v>
      </c>
      <c r="BS106" s="128">
        <f t="shared" si="15"/>
        <v>1494.0353271520992</v>
      </c>
      <c r="BT106" t="s">
        <v>467</v>
      </c>
      <c r="BU106" s="129">
        <f t="shared" si="29"/>
        <v>1536.9779108841565</v>
      </c>
      <c r="BZ106" t="s">
        <v>117</v>
      </c>
      <c r="CA106">
        <v>1537.4784248534397</v>
      </c>
      <c r="CB106" t="s">
        <v>467</v>
      </c>
    </row>
    <row r="107" spans="1:80" ht="14.5" x14ac:dyDescent="0.25">
      <c r="A107" t="s">
        <v>293</v>
      </c>
      <c r="B107">
        <v>24696</v>
      </c>
      <c r="C107">
        <v>6792</v>
      </c>
      <c r="D107">
        <v>2297</v>
      </c>
      <c r="E107">
        <f t="shared" si="16"/>
        <v>5565</v>
      </c>
      <c r="F107">
        <f t="shared" si="17"/>
        <v>3823</v>
      </c>
      <c r="G107">
        <f t="shared" si="18"/>
        <v>4520</v>
      </c>
      <c r="H107">
        <f t="shared" si="19"/>
        <v>13055</v>
      </c>
      <c r="I107">
        <f t="shared" si="20"/>
        <v>4749</v>
      </c>
      <c r="J107">
        <f t="shared" si="21"/>
        <v>7400</v>
      </c>
      <c r="K107">
        <f t="shared" si="22"/>
        <v>28063</v>
      </c>
      <c r="L107">
        <f t="shared" si="23"/>
        <v>22704</v>
      </c>
      <c r="M107">
        <f t="shared" si="24"/>
        <v>9511</v>
      </c>
      <c r="N107">
        <f t="shared" si="25"/>
        <v>837</v>
      </c>
      <c r="O107">
        <f t="shared" si="26"/>
        <v>134012</v>
      </c>
      <c r="Q107">
        <v>17121</v>
      </c>
      <c r="R107">
        <v>10454</v>
      </c>
      <c r="S107">
        <v>1102</v>
      </c>
      <c r="T107">
        <v>5009</v>
      </c>
      <c r="U107">
        <v>1154</v>
      </c>
      <c r="V107">
        <v>32</v>
      </c>
      <c r="W107">
        <v>8696</v>
      </c>
      <c r="X107">
        <v>3033</v>
      </c>
      <c r="Y107">
        <v>1143</v>
      </c>
      <c r="Z107" s="271">
        <v>13744</v>
      </c>
      <c r="AA107">
        <v>549</v>
      </c>
      <c r="AB107">
        <v>140</v>
      </c>
      <c r="AC107">
        <v>7406</v>
      </c>
      <c r="AD107">
        <v>512</v>
      </c>
      <c r="AE107">
        <v>2145</v>
      </c>
      <c r="AF107">
        <v>12016</v>
      </c>
      <c r="AG107">
        <v>3301</v>
      </c>
      <c r="AH107">
        <v>1315</v>
      </c>
      <c r="AI107">
        <v>28229</v>
      </c>
      <c r="AJ107">
        <v>166</v>
      </c>
      <c r="AK107">
        <v>0</v>
      </c>
      <c r="AL107">
        <v>24774</v>
      </c>
      <c r="AM107">
        <v>2017</v>
      </c>
      <c r="AN107">
        <v>53</v>
      </c>
      <c r="AO107">
        <v>11642</v>
      </c>
      <c r="AP107">
        <v>1322</v>
      </c>
      <c r="AQ107">
        <v>809</v>
      </c>
      <c r="AR107">
        <v>2821</v>
      </c>
      <c r="AS107">
        <v>1931</v>
      </c>
      <c r="AT107">
        <v>53</v>
      </c>
      <c r="AU107">
        <v>6442</v>
      </c>
      <c r="AV107">
        <v>257</v>
      </c>
      <c r="AW107">
        <v>0</v>
      </c>
      <c r="AX107">
        <f t="shared" si="27"/>
        <v>140197</v>
      </c>
      <c r="AZ107" t="s">
        <v>293</v>
      </c>
      <c r="BA107" s="128">
        <v>124666</v>
      </c>
      <c r="BB107" s="128">
        <v>970665</v>
      </c>
      <c r="BC107" s="128">
        <v>0</v>
      </c>
      <c r="BD107" s="128">
        <v>7489296</v>
      </c>
      <c r="BE107" s="128">
        <v>1172759</v>
      </c>
      <c r="BF107" s="128">
        <v>14006183.235664599</v>
      </c>
      <c r="BG107" s="272">
        <v>0</v>
      </c>
      <c r="BH107">
        <v>4016</v>
      </c>
      <c r="BI107">
        <v>4820</v>
      </c>
      <c r="BJ107">
        <v>430</v>
      </c>
      <c r="BK107">
        <v>132</v>
      </c>
      <c r="BL107">
        <v>1076</v>
      </c>
      <c r="BM107">
        <v>2098</v>
      </c>
      <c r="BN107" s="128">
        <v>0</v>
      </c>
      <c r="BO107" s="128">
        <v>1734</v>
      </c>
      <c r="BP107" s="128">
        <v>1052</v>
      </c>
      <c r="BQ107" s="128">
        <f t="shared" si="28"/>
        <v>85669096.764335394</v>
      </c>
      <c r="BR107">
        <v>37416</v>
      </c>
      <c r="BS107" s="128">
        <f t="shared" si="15"/>
        <v>2289.6380362501441</v>
      </c>
      <c r="BT107" t="s">
        <v>441</v>
      </c>
      <c r="BU107" s="129">
        <f t="shared" si="29"/>
        <v>2317.7543501265609</v>
      </c>
      <c r="BZ107" t="s">
        <v>145</v>
      </c>
      <c r="CA107">
        <v>1599.4377727111155</v>
      </c>
      <c r="CB107" t="s">
        <v>467</v>
      </c>
    </row>
    <row r="108" spans="1:80" ht="14.5" x14ac:dyDescent="0.25">
      <c r="A108" t="s">
        <v>294</v>
      </c>
      <c r="B108">
        <v>41042</v>
      </c>
      <c r="C108">
        <v>16972</v>
      </c>
      <c r="D108">
        <v>7238</v>
      </c>
      <c r="E108">
        <f t="shared" si="16"/>
        <v>13239</v>
      </c>
      <c r="F108">
        <f t="shared" si="17"/>
        <v>6887</v>
      </c>
      <c r="G108">
        <f t="shared" si="18"/>
        <v>10153</v>
      </c>
      <c r="H108">
        <f t="shared" si="19"/>
        <v>3391</v>
      </c>
      <c r="I108">
        <f t="shared" si="20"/>
        <v>10072</v>
      </c>
      <c r="J108">
        <f t="shared" si="21"/>
        <v>18875</v>
      </c>
      <c r="K108">
        <f t="shared" si="22"/>
        <v>43797</v>
      </c>
      <c r="L108">
        <f t="shared" si="23"/>
        <v>77553</v>
      </c>
      <c r="M108">
        <f t="shared" si="24"/>
        <v>24223</v>
      </c>
      <c r="N108">
        <f t="shared" si="25"/>
        <v>4320</v>
      </c>
      <c r="O108">
        <f t="shared" si="26"/>
        <v>277762</v>
      </c>
      <c r="Q108">
        <v>35001</v>
      </c>
      <c r="R108">
        <v>18929</v>
      </c>
      <c r="S108">
        <v>2833</v>
      </c>
      <c r="T108">
        <v>10232</v>
      </c>
      <c r="U108">
        <v>3183</v>
      </c>
      <c r="V108">
        <v>162</v>
      </c>
      <c r="W108">
        <v>15823</v>
      </c>
      <c r="X108">
        <v>1375</v>
      </c>
      <c r="Y108">
        <v>4295</v>
      </c>
      <c r="Z108" s="271">
        <v>4302</v>
      </c>
      <c r="AA108">
        <v>868</v>
      </c>
      <c r="AB108">
        <v>43</v>
      </c>
      <c r="AC108">
        <v>14693</v>
      </c>
      <c r="AD108">
        <v>1655</v>
      </c>
      <c r="AE108">
        <v>2966</v>
      </c>
      <c r="AF108">
        <v>22584</v>
      </c>
      <c r="AG108">
        <v>1154</v>
      </c>
      <c r="AH108">
        <v>2555</v>
      </c>
      <c r="AI108">
        <v>49043</v>
      </c>
      <c r="AJ108">
        <v>5246</v>
      </c>
      <c r="AK108">
        <v>0</v>
      </c>
      <c r="AL108">
        <v>83195</v>
      </c>
      <c r="AM108">
        <v>5532</v>
      </c>
      <c r="AN108">
        <v>110</v>
      </c>
      <c r="AO108">
        <v>28937</v>
      </c>
      <c r="AP108">
        <v>878</v>
      </c>
      <c r="AQ108">
        <v>3836</v>
      </c>
      <c r="AR108">
        <v>6632</v>
      </c>
      <c r="AS108">
        <v>2140</v>
      </c>
      <c r="AT108">
        <v>172</v>
      </c>
      <c r="AU108">
        <v>16689</v>
      </c>
      <c r="AV108">
        <v>82</v>
      </c>
      <c r="AW108">
        <v>0</v>
      </c>
      <c r="AX108">
        <f t="shared" si="27"/>
        <v>294369</v>
      </c>
      <c r="AZ108" t="s">
        <v>294</v>
      </c>
      <c r="BA108" s="128">
        <v>253470</v>
      </c>
      <c r="BB108" s="128">
        <v>3292475</v>
      </c>
      <c r="BC108" s="128">
        <v>14644445</v>
      </c>
      <c r="BD108" s="128">
        <v>10124821</v>
      </c>
      <c r="BE108" s="128">
        <v>6223639</v>
      </c>
      <c r="BF108" s="128">
        <v>26595775.668717977</v>
      </c>
      <c r="BG108" s="272">
        <v>820200.8424638547</v>
      </c>
      <c r="BH108">
        <v>18853</v>
      </c>
      <c r="BI108">
        <v>10060</v>
      </c>
      <c r="BJ108">
        <v>878</v>
      </c>
      <c r="BK108">
        <v>0</v>
      </c>
      <c r="BL108">
        <v>1486</v>
      </c>
      <c r="BM108">
        <v>282</v>
      </c>
      <c r="BN108" s="128">
        <v>2</v>
      </c>
      <c r="BO108" s="128">
        <v>3836</v>
      </c>
      <c r="BP108" s="128">
        <v>3057</v>
      </c>
      <c r="BQ108" s="128">
        <f t="shared" si="28"/>
        <v>153314643.48881817</v>
      </c>
      <c r="BR108">
        <v>73678</v>
      </c>
      <c r="BS108" s="128">
        <f t="shared" si="15"/>
        <v>2080.8741210241615</v>
      </c>
      <c r="BT108" t="s">
        <v>441</v>
      </c>
      <c r="BU108" s="129">
        <f t="shared" si="29"/>
        <v>2122.3654752954499</v>
      </c>
      <c r="BZ108" t="s">
        <v>358</v>
      </c>
      <c r="CA108">
        <v>1633.2112073381993</v>
      </c>
      <c r="CB108" t="s">
        <v>467</v>
      </c>
    </row>
    <row r="109" spans="1:80" ht="14.5" x14ac:dyDescent="0.25">
      <c r="A109" t="s">
        <v>121</v>
      </c>
      <c r="B109">
        <v>230537</v>
      </c>
      <c r="C109">
        <v>44177</v>
      </c>
      <c r="D109">
        <v>33376</v>
      </c>
      <c r="E109">
        <f t="shared" si="16"/>
        <v>59381</v>
      </c>
      <c r="F109">
        <f t="shared" si="17"/>
        <v>22626</v>
      </c>
      <c r="G109">
        <f t="shared" si="18"/>
        <v>26744</v>
      </c>
      <c r="H109">
        <f t="shared" si="19"/>
        <v>7864</v>
      </c>
      <c r="I109">
        <f t="shared" si="20"/>
        <v>23444</v>
      </c>
      <c r="J109">
        <f t="shared" si="21"/>
        <v>74118</v>
      </c>
      <c r="K109">
        <f t="shared" si="22"/>
        <v>205885</v>
      </c>
      <c r="L109">
        <f t="shared" si="23"/>
        <v>249777</v>
      </c>
      <c r="M109">
        <f t="shared" si="24"/>
        <v>42090</v>
      </c>
      <c r="N109">
        <f t="shared" si="25"/>
        <v>17758</v>
      </c>
      <c r="O109">
        <f t="shared" si="26"/>
        <v>1037777</v>
      </c>
      <c r="Q109">
        <v>150905</v>
      </c>
      <c r="R109">
        <v>87260</v>
      </c>
      <c r="S109">
        <v>4264</v>
      </c>
      <c r="T109">
        <v>25143</v>
      </c>
      <c r="U109">
        <v>2514</v>
      </c>
      <c r="V109">
        <v>3</v>
      </c>
      <c r="W109">
        <v>47779</v>
      </c>
      <c r="X109">
        <v>11318</v>
      </c>
      <c r="Y109">
        <v>9717</v>
      </c>
      <c r="Z109" s="271">
        <v>17901</v>
      </c>
      <c r="AA109">
        <v>3139</v>
      </c>
      <c r="AB109">
        <v>6898</v>
      </c>
      <c r="AC109">
        <v>32528</v>
      </c>
      <c r="AD109">
        <v>3102</v>
      </c>
      <c r="AE109">
        <v>5982</v>
      </c>
      <c r="AF109">
        <v>104203</v>
      </c>
      <c r="AG109">
        <v>24144</v>
      </c>
      <c r="AH109">
        <v>5941</v>
      </c>
      <c r="AI109">
        <v>257499</v>
      </c>
      <c r="AJ109">
        <v>51399</v>
      </c>
      <c r="AK109">
        <v>215</v>
      </c>
      <c r="AL109">
        <v>266462</v>
      </c>
      <c r="AM109">
        <v>15677</v>
      </c>
      <c r="AN109">
        <v>1008</v>
      </c>
      <c r="AO109">
        <v>66441</v>
      </c>
      <c r="AP109">
        <v>17087</v>
      </c>
      <c r="AQ109">
        <v>7264</v>
      </c>
      <c r="AR109">
        <v>33070</v>
      </c>
      <c r="AS109">
        <v>12457</v>
      </c>
      <c r="AT109">
        <v>2855</v>
      </c>
      <c r="AU109">
        <v>3183</v>
      </c>
      <c r="AV109">
        <v>2440</v>
      </c>
      <c r="AW109">
        <v>30</v>
      </c>
      <c r="AX109">
        <f t="shared" si="27"/>
        <v>1038490</v>
      </c>
      <c r="AZ109" t="s">
        <v>121</v>
      </c>
      <c r="BA109" s="128">
        <v>957754</v>
      </c>
      <c r="BB109" s="128">
        <v>14246457</v>
      </c>
      <c r="BC109" s="128">
        <v>61381443</v>
      </c>
      <c r="BD109" s="128">
        <v>29470016</v>
      </c>
      <c r="BE109" s="128">
        <v>34975792</v>
      </c>
      <c r="BF109" s="128">
        <v>159158217.45999289</v>
      </c>
      <c r="BG109" s="272">
        <v>0</v>
      </c>
      <c r="BH109">
        <v>18274</v>
      </c>
      <c r="BI109">
        <v>33237</v>
      </c>
      <c r="BJ109">
        <v>2456</v>
      </c>
      <c r="BK109">
        <v>1454</v>
      </c>
      <c r="BL109">
        <v>12934</v>
      </c>
      <c r="BM109">
        <v>8399</v>
      </c>
      <c r="BN109" s="128">
        <v>2276</v>
      </c>
      <c r="BO109" s="128">
        <v>13430</v>
      </c>
      <c r="BP109" s="128">
        <v>1784</v>
      </c>
      <c r="BQ109" s="128">
        <f t="shared" si="28"/>
        <v>564278074.54000711</v>
      </c>
      <c r="BR109">
        <v>233218</v>
      </c>
      <c r="BS109" s="128">
        <f t="shared" si="15"/>
        <v>2419.5305445549106</v>
      </c>
      <c r="BT109" t="s">
        <v>441</v>
      </c>
      <c r="BU109" s="129">
        <f t="shared" si="29"/>
        <v>2427.1800398768837</v>
      </c>
      <c r="BZ109" t="s">
        <v>249</v>
      </c>
      <c r="CA109">
        <v>1492.0834827268022</v>
      </c>
      <c r="CB109" t="s">
        <v>467</v>
      </c>
    </row>
    <row r="110" spans="1:80" ht="14.5" x14ac:dyDescent="0.25">
      <c r="A110" t="s">
        <v>406</v>
      </c>
      <c r="B110">
        <v>9350</v>
      </c>
      <c r="C110">
        <v>1683</v>
      </c>
      <c r="D110">
        <v>781</v>
      </c>
      <c r="E110">
        <f t="shared" si="16"/>
        <v>3774</v>
      </c>
      <c r="F110">
        <f t="shared" si="17"/>
        <v>1372</v>
      </c>
      <c r="G110">
        <f t="shared" si="18"/>
        <v>1073</v>
      </c>
      <c r="H110">
        <f t="shared" si="19"/>
        <v>269</v>
      </c>
      <c r="I110">
        <f t="shared" si="20"/>
        <v>1377</v>
      </c>
      <c r="J110">
        <f t="shared" si="21"/>
        <v>1773</v>
      </c>
      <c r="K110">
        <f t="shared" si="22"/>
        <v>5852</v>
      </c>
      <c r="L110">
        <f t="shared" si="23"/>
        <v>6446</v>
      </c>
      <c r="M110">
        <f t="shared" si="24"/>
        <v>2606</v>
      </c>
      <c r="N110">
        <f t="shared" si="25"/>
        <v>392</v>
      </c>
      <c r="O110">
        <f t="shared" si="26"/>
        <v>36748</v>
      </c>
      <c r="Q110">
        <v>10548</v>
      </c>
      <c r="R110">
        <v>6472</v>
      </c>
      <c r="S110">
        <v>302</v>
      </c>
      <c r="T110">
        <v>1627</v>
      </c>
      <c r="U110">
        <v>216</v>
      </c>
      <c r="V110">
        <v>39</v>
      </c>
      <c r="W110">
        <v>1761</v>
      </c>
      <c r="X110">
        <v>350</v>
      </c>
      <c r="Y110">
        <v>338</v>
      </c>
      <c r="Z110" s="271">
        <v>503</v>
      </c>
      <c r="AA110">
        <v>195</v>
      </c>
      <c r="AB110">
        <v>39</v>
      </c>
      <c r="AC110">
        <v>1617</v>
      </c>
      <c r="AD110">
        <v>38</v>
      </c>
      <c r="AE110">
        <v>202</v>
      </c>
      <c r="AF110">
        <v>2171</v>
      </c>
      <c r="AG110">
        <v>314</v>
      </c>
      <c r="AH110">
        <v>84</v>
      </c>
      <c r="AI110">
        <v>5890</v>
      </c>
      <c r="AJ110">
        <v>38</v>
      </c>
      <c r="AK110">
        <v>0</v>
      </c>
      <c r="AL110">
        <v>7177</v>
      </c>
      <c r="AM110">
        <v>604</v>
      </c>
      <c r="AN110">
        <v>127</v>
      </c>
      <c r="AO110">
        <v>3449</v>
      </c>
      <c r="AP110">
        <v>322</v>
      </c>
      <c r="AQ110">
        <v>521</v>
      </c>
      <c r="AR110">
        <v>1153</v>
      </c>
      <c r="AS110">
        <v>730</v>
      </c>
      <c r="AT110">
        <v>31</v>
      </c>
      <c r="AU110">
        <v>71</v>
      </c>
      <c r="AV110">
        <v>71</v>
      </c>
      <c r="AW110">
        <v>0</v>
      </c>
      <c r="AX110">
        <f t="shared" si="27"/>
        <v>36748</v>
      </c>
      <c r="AZ110" t="s">
        <v>406</v>
      </c>
      <c r="BA110" s="128">
        <v>34213</v>
      </c>
      <c r="BB110" s="128">
        <v>296641</v>
      </c>
      <c r="BC110" s="128">
        <v>0</v>
      </c>
      <c r="BD110" s="128">
        <v>2023665</v>
      </c>
      <c r="BE110" s="128">
        <v>258181</v>
      </c>
      <c r="BF110" s="128">
        <v>2279054</v>
      </c>
      <c r="BG110" s="272">
        <v>144697.59251946956</v>
      </c>
      <c r="BH110">
        <v>2050</v>
      </c>
      <c r="BI110">
        <v>1295</v>
      </c>
      <c r="BJ110">
        <v>200</v>
      </c>
      <c r="BK110">
        <v>20</v>
      </c>
      <c r="BL110">
        <v>214</v>
      </c>
      <c r="BM110">
        <v>68</v>
      </c>
      <c r="BN110" s="128">
        <v>1305</v>
      </c>
      <c r="BO110" s="128">
        <v>0</v>
      </c>
      <c r="BP110" s="128">
        <v>4</v>
      </c>
      <c r="BQ110" s="128">
        <f t="shared" si="28"/>
        <v>24054761.40748053</v>
      </c>
      <c r="BR110">
        <v>14204</v>
      </c>
      <c r="BS110" s="128">
        <f t="shared" si="15"/>
        <v>1693.5202342636251</v>
      </c>
      <c r="BT110" t="s">
        <v>118</v>
      </c>
      <c r="BU110" s="129">
        <f t="shared" si="29"/>
        <v>1693.8018450774803</v>
      </c>
      <c r="BZ110" t="s">
        <v>359</v>
      </c>
      <c r="CA110">
        <v>1419.9291841308809</v>
      </c>
      <c r="CB110" t="s">
        <v>467</v>
      </c>
    </row>
    <row r="111" spans="1:80" ht="14.5" x14ac:dyDescent="0.25">
      <c r="A111" t="s">
        <v>147</v>
      </c>
      <c r="B111">
        <v>11835</v>
      </c>
      <c r="C111">
        <v>3783</v>
      </c>
      <c r="D111">
        <v>1222</v>
      </c>
      <c r="E111">
        <f t="shared" si="16"/>
        <v>3056</v>
      </c>
      <c r="F111">
        <f t="shared" si="17"/>
        <v>2028</v>
      </c>
      <c r="G111">
        <f t="shared" si="18"/>
        <v>1871</v>
      </c>
      <c r="H111">
        <f t="shared" si="19"/>
        <v>410</v>
      </c>
      <c r="I111">
        <f t="shared" si="20"/>
        <v>1050</v>
      </c>
      <c r="J111">
        <f t="shared" si="21"/>
        <v>3486</v>
      </c>
      <c r="K111">
        <f t="shared" si="22"/>
        <v>11749</v>
      </c>
      <c r="L111">
        <f t="shared" si="23"/>
        <v>12998</v>
      </c>
      <c r="M111">
        <f t="shared" si="24"/>
        <v>4693</v>
      </c>
      <c r="N111">
        <f t="shared" si="25"/>
        <v>784</v>
      </c>
      <c r="O111">
        <f t="shared" si="26"/>
        <v>58965</v>
      </c>
      <c r="Q111">
        <v>10963</v>
      </c>
      <c r="R111">
        <v>7184</v>
      </c>
      <c r="S111">
        <v>723</v>
      </c>
      <c r="T111">
        <v>2598</v>
      </c>
      <c r="U111">
        <v>570</v>
      </c>
      <c r="V111">
        <v>0</v>
      </c>
      <c r="W111">
        <v>3327</v>
      </c>
      <c r="X111">
        <v>261</v>
      </c>
      <c r="Y111">
        <v>1195</v>
      </c>
      <c r="Z111" s="271">
        <v>513</v>
      </c>
      <c r="AA111">
        <v>103</v>
      </c>
      <c r="AB111">
        <v>0</v>
      </c>
      <c r="AC111">
        <v>2011</v>
      </c>
      <c r="AD111">
        <v>182</v>
      </c>
      <c r="AE111">
        <v>779</v>
      </c>
      <c r="AF111">
        <v>4077</v>
      </c>
      <c r="AG111">
        <v>377</v>
      </c>
      <c r="AH111">
        <v>214</v>
      </c>
      <c r="AI111">
        <v>11815</v>
      </c>
      <c r="AJ111">
        <v>66</v>
      </c>
      <c r="AK111">
        <v>0</v>
      </c>
      <c r="AL111">
        <v>14360</v>
      </c>
      <c r="AM111">
        <v>1279</v>
      </c>
      <c r="AN111">
        <v>83</v>
      </c>
      <c r="AO111">
        <v>5725</v>
      </c>
      <c r="AP111">
        <v>358</v>
      </c>
      <c r="AQ111">
        <v>674</v>
      </c>
      <c r="AR111">
        <v>2124</v>
      </c>
      <c r="AS111">
        <v>1225</v>
      </c>
      <c r="AT111">
        <v>115</v>
      </c>
      <c r="AU111">
        <v>249</v>
      </c>
      <c r="AV111">
        <v>230</v>
      </c>
      <c r="AW111">
        <v>0</v>
      </c>
      <c r="AX111">
        <f t="shared" si="27"/>
        <v>58984</v>
      </c>
      <c r="AZ111" t="s">
        <v>147</v>
      </c>
      <c r="BA111" s="128">
        <v>53730</v>
      </c>
      <c r="BB111" s="128">
        <v>371486</v>
      </c>
      <c r="BC111" s="128">
        <v>0</v>
      </c>
      <c r="BD111" s="128">
        <v>2179446</v>
      </c>
      <c r="BE111" s="128">
        <v>305856</v>
      </c>
      <c r="BF111" s="128">
        <v>5196550.5028738882</v>
      </c>
      <c r="BG111" s="272">
        <v>372565.25594812818</v>
      </c>
      <c r="BH111">
        <v>3642</v>
      </c>
      <c r="BI111">
        <v>2382</v>
      </c>
      <c r="BJ111">
        <v>298</v>
      </c>
      <c r="BK111">
        <v>42</v>
      </c>
      <c r="BL111">
        <v>621</v>
      </c>
      <c r="BM111">
        <v>56</v>
      </c>
      <c r="BN111" s="128">
        <v>199</v>
      </c>
      <c r="BO111" s="128">
        <v>0</v>
      </c>
      <c r="BP111" s="128">
        <v>11</v>
      </c>
      <c r="BQ111" s="128">
        <f t="shared" si="28"/>
        <v>38053096.241177984</v>
      </c>
      <c r="BR111">
        <v>24228</v>
      </c>
      <c r="BS111" s="128">
        <f t="shared" si="15"/>
        <v>1570.6247416698855</v>
      </c>
      <c r="BT111" t="s">
        <v>118</v>
      </c>
      <c r="BU111" s="129">
        <f t="shared" si="29"/>
        <v>1571.07876181187</v>
      </c>
      <c r="BZ111" t="s">
        <v>430</v>
      </c>
      <c r="CA111">
        <v>1815.5321351235527</v>
      </c>
      <c r="CB111" t="s">
        <v>467</v>
      </c>
    </row>
    <row r="112" spans="1:80" ht="14.5" x14ac:dyDescent="0.25">
      <c r="A112" t="s">
        <v>252</v>
      </c>
      <c r="B112">
        <v>103608</v>
      </c>
      <c r="C112">
        <v>29152</v>
      </c>
      <c r="D112">
        <v>10801</v>
      </c>
      <c r="E112">
        <f t="shared" si="16"/>
        <v>28068</v>
      </c>
      <c r="F112">
        <f t="shared" si="17"/>
        <v>19779</v>
      </c>
      <c r="G112">
        <f t="shared" si="18"/>
        <v>32361</v>
      </c>
      <c r="H112">
        <f t="shared" si="19"/>
        <v>2911</v>
      </c>
      <c r="I112">
        <f t="shared" si="20"/>
        <v>15468</v>
      </c>
      <c r="J112">
        <f t="shared" si="21"/>
        <v>48587</v>
      </c>
      <c r="K112">
        <f t="shared" si="22"/>
        <v>105432</v>
      </c>
      <c r="L112">
        <f t="shared" si="23"/>
        <v>132312</v>
      </c>
      <c r="M112">
        <f t="shared" si="24"/>
        <v>40688</v>
      </c>
      <c r="N112">
        <f t="shared" si="25"/>
        <v>6742</v>
      </c>
      <c r="O112">
        <f t="shared" si="26"/>
        <v>575909</v>
      </c>
      <c r="Q112">
        <v>86910</v>
      </c>
      <c r="R112">
        <v>53700</v>
      </c>
      <c r="S112">
        <v>5142</v>
      </c>
      <c r="T112">
        <v>26784</v>
      </c>
      <c r="U112">
        <v>7005</v>
      </c>
      <c r="V112">
        <v>0</v>
      </c>
      <c r="W112">
        <v>45564</v>
      </c>
      <c r="X112">
        <v>5483</v>
      </c>
      <c r="Y112">
        <v>7720</v>
      </c>
      <c r="Z112" s="271">
        <v>3748</v>
      </c>
      <c r="AA112">
        <v>837</v>
      </c>
      <c r="AB112">
        <v>0</v>
      </c>
      <c r="AC112">
        <v>22963</v>
      </c>
      <c r="AD112">
        <v>1693</v>
      </c>
      <c r="AE112">
        <v>5802</v>
      </c>
      <c r="AF112">
        <v>57862</v>
      </c>
      <c r="AG112">
        <v>2899</v>
      </c>
      <c r="AH112">
        <v>6376</v>
      </c>
      <c r="AI112">
        <v>113484</v>
      </c>
      <c r="AJ112">
        <v>8052</v>
      </c>
      <c r="AK112">
        <v>0</v>
      </c>
      <c r="AL112">
        <v>142395</v>
      </c>
      <c r="AM112">
        <v>9805</v>
      </c>
      <c r="AN112">
        <v>278</v>
      </c>
      <c r="AO112">
        <v>47709</v>
      </c>
      <c r="AP112">
        <v>3270</v>
      </c>
      <c r="AQ112">
        <v>3751</v>
      </c>
      <c r="AR112">
        <v>16735</v>
      </c>
      <c r="AS112">
        <v>9947</v>
      </c>
      <c r="AT112">
        <v>46</v>
      </c>
      <c r="AU112">
        <v>10431</v>
      </c>
      <c r="AV112">
        <v>917</v>
      </c>
      <c r="AW112">
        <v>37</v>
      </c>
      <c r="AX112">
        <f t="shared" si="27"/>
        <v>585386</v>
      </c>
      <c r="AZ112" t="s">
        <v>252</v>
      </c>
      <c r="BA112" s="128">
        <v>535002</v>
      </c>
      <c r="BB112" s="128">
        <v>4599648</v>
      </c>
      <c r="BC112" s="128">
        <v>38161525</v>
      </c>
      <c r="BD112" s="128">
        <v>16329425</v>
      </c>
      <c r="BE112" s="128">
        <v>20520882</v>
      </c>
      <c r="BF112" s="128">
        <v>59751670.862643093</v>
      </c>
      <c r="BG112" s="272">
        <v>6921796.4746747911</v>
      </c>
      <c r="BH112">
        <v>12325</v>
      </c>
      <c r="BI112">
        <v>26324</v>
      </c>
      <c r="BJ112">
        <v>2443</v>
      </c>
      <c r="BK112">
        <v>982</v>
      </c>
      <c r="BL112">
        <v>5943</v>
      </c>
      <c r="BM112">
        <v>21247</v>
      </c>
      <c r="BN112" s="128">
        <v>1901</v>
      </c>
      <c r="BO112" s="128">
        <v>1405</v>
      </c>
      <c r="BP112" s="128">
        <v>8764</v>
      </c>
      <c r="BQ112" s="128">
        <f t="shared" si="28"/>
        <v>307383052.66268206</v>
      </c>
      <c r="BR112">
        <v>162549</v>
      </c>
      <c r="BS112" s="128">
        <f t="shared" si="15"/>
        <v>1891.017801787043</v>
      </c>
      <c r="BT112" t="s">
        <v>467</v>
      </c>
      <c r="BU112" s="129">
        <f t="shared" si="29"/>
        <v>1944.9338517166027</v>
      </c>
      <c r="BZ112" t="s">
        <v>178</v>
      </c>
      <c r="CA112">
        <v>1679.7094404179118</v>
      </c>
      <c r="CB112" t="s">
        <v>467</v>
      </c>
    </row>
    <row r="113" spans="1:80" ht="14.5" x14ac:dyDescent="0.25">
      <c r="A113" t="s">
        <v>253</v>
      </c>
      <c r="B113">
        <v>90991</v>
      </c>
      <c r="C113">
        <v>28013</v>
      </c>
      <c r="D113">
        <v>9936</v>
      </c>
      <c r="E113">
        <f t="shared" si="16"/>
        <v>-11464</v>
      </c>
      <c r="F113">
        <f t="shared" si="17"/>
        <v>18016</v>
      </c>
      <c r="G113">
        <f t="shared" si="18"/>
        <v>21879</v>
      </c>
      <c r="H113">
        <f t="shared" si="19"/>
        <v>4086</v>
      </c>
      <c r="I113">
        <f t="shared" si="20"/>
        <v>14424</v>
      </c>
      <c r="J113">
        <f t="shared" si="21"/>
        <v>47865</v>
      </c>
      <c r="K113">
        <f t="shared" si="22"/>
        <v>53179</v>
      </c>
      <c r="L113">
        <f t="shared" si="23"/>
        <v>76041</v>
      </c>
      <c r="M113">
        <f t="shared" si="24"/>
        <v>41877</v>
      </c>
      <c r="N113">
        <f t="shared" si="25"/>
        <v>7539</v>
      </c>
      <c r="O113">
        <f t="shared" si="26"/>
        <v>402382</v>
      </c>
      <c r="Q113">
        <v>83200</v>
      </c>
      <c r="R113">
        <v>89719</v>
      </c>
      <c r="S113">
        <v>4945</v>
      </c>
      <c r="T113">
        <v>19312</v>
      </c>
      <c r="U113">
        <v>1087</v>
      </c>
      <c r="V113">
        <v>209</v>
      </c>
      <c r="W113">
        <v>29619</v>
      </c>
      <c r="X113">
        <v>0</v>
      </c>
      <c r="Y113">
        <v>7740</v>
      </c>
      <c r="Z113" s="271">
        <v>4321</v>
      </c>
      <c r="AA113">
        <v>35</v>
      </c>
      <c r="AB113">
        <v>200</v>
      </c>
      <c r="AC113">
        <v>20471</v>
      </c>
      <c r="AD113">
        <v>150</v>
      </c>
      <c r="AE113">
        <v>5897</v>
      </c>
      <c r="AF113">
        <v>54609</v>
      </c>
      <c r="AG113">
        <v>0</v>
      </c>
      <c r="AH113">
        <v>6744</v>
      </c>
      <c r="AI113">
        <v>53179</v>
      </c>
      <c r="AJ113">
        <v>0</v>
      </c>
      <c r="AK113">
        <v>0</v>
      </c>
      <c r="AL113">
        <v>76417</v>
      </c>
      <c r="AM113">
        <v>0</v>
      </c>
      <c r="AN113">
        <v>376</v>
      </c>
      <c r="AO113">
        <v>43602</v>
      </c>
      <c r="AP113">
        <v>0</v>
      </c>
      <c r="AQ113">
        <v>1725</v>
      </c>
      <c r="AR113">
        <v>7716</v>
      </c>
      <c r="AS113">
        <v>0</v>
      </c>
      <c r="AT113">
        <v>177</v>
      </c>
      <c r="AU113">
        <v>58997</v>
      </c>
      <c r="AV113">
        <v>0</v>
      </c>
      <c r="AW113">
        <v>0</v>
      </c>
      <c r="AX113">
        <f t="shared" si="27"/>
        <v>461379</v>
      </c>
      <c r="AZ113" t="s">
        <v>253</v>
      </c>
      <c r="BA113" s="128">
        <v>364433</v>
      </c>
      <c r="BB113" s="128">
        <v>3835053</v>
      </c>
      <c r="BC113" s="128">
        <v>0</v>
      </c>
      <c r="BD113" s="128">
        <v>5875147</v>
      </c>
      <c r="BE113" s="128">
        <v>3159940</v>
      </c>
      <c r="BF113" s="128">
        <v>30323885.281746678</v>
      </c>
      <c r="BG113" s="272">
        <v>550555.07965696603</v>
      </c>
      <c r="BH113">
        <v>10100</v>
      </c>
      <c r="BI113">
        <v>19377</v>
      </c>
      <c r="BJ113">
        <v>2551</v>
      </c>
      <c r="BK113">
        <v>751</v>
      </c>
      <c r="BL113">
        <v>10004</v>
      </c>
      <c r="BM113">
        <v>655</v>
      </c>
      <c r="BN113" s="128">
        <v>12781</v>
      </c>
      <c r="BO113" s="128">
        <v>3314</v>
      </c>
      <c r="BP113" s="128">
        <v>7818</v>
      </c>
      <c r="BQ113" s="128">
        <f t="shared" si="28"/>
        <v>253337419.63859636</v>
      </c>
      <c r="BR113">
        <v>157778</v>
      </c>
      <c r="BS113" s="128">
        <f t="shared" si="15"/>
        <v>1605.6574404454129</v>
      </c>
      <c r="BT113" t="s">
        <v>467</v>
      </c>
      <c r="BU113" s="129">
        <f t="shared" si="29"/>
        <v>1655.2080748811391</v>
      </c>
      <c r="BZ113" t="s">
        <v>250</v>
      </c>
      <c r="CA113">
        <v>1491.5194446995902</v>
      </c>
      <c r="CB113" t="s">
        <v>467</v>
      </c>
    </row>
    <row r="114" spans="1:80" ht="14.5" x14ac:dyDescent="0.25">
      <c r="A114" t="s">
        <v>370</v>
      </c>
      <c r="B114">
        <v>15014</v>
      </c>
      <c r="C114">
        <v>3094</v>
      </c>
      <c r="D114">
        <v>907</v>
      </c>
      <c r="E114">
        <f t="shared" si="16"/>
        <v>5050</v>
      </c>
      <c r="F114">
        <f t="shared" si="17"/>
        <v>1983</v>
      </c>
      <c r="G114">
        <f t="shared" si="18"/>
        <v>2125</v>
      </c>
      <c r="H114">
        <f t="shared" si="19"/>
        <v>740</v>
      </c>
      <c r="I114">
        <f t="shared" si="20"/>
        <v>2499</v>
      </c>
      <c r="J114">
        <f t="shared" si="21"/>
        <v>3269</v>
      </c>
      <c r="K114">
        <f t="shared" si="22"/>
        <v>16428</v>
      </c>
      <c r="L114">
        <f t="shared" si="23"/>
        <v>15458</v>
      </c>
      <c r="M114">
        <f t="shared" si="24"/>
        <v>6469</v>
      </c>
      <c r="N114">
        <f t="shared" si="25"/>
        <v>705</v>
      </c>
      <c r="O114">
        <f t="shared" si="26"/>
        <v>73741</v>
      </c>
      <c r="Q114">
        <v>12134</v>
      </c>
      <c r="R114">
        <v>6745</v>
      </c>
      <c r="S114">
        <v>339</v>
      </c>
      <c r="T114">
        <v>2744</v>
      </c>
      <c r="U114">
        <v>728</v>
      </c>
      <c r="V114">
        <v>33</v>
      </c>
      <c r="W114">
        <v>4269</v>
      </c>
      <c r="X114">
        <v>1096</v>
      </c>
      <c r="Y114">
        <v>1048</v>
      </c>
      <c r="Z114" s="271">
        <v>1066</v>
      </c>
      <c r="AA114">
        <v>318</v>
      </c>
      <c r="AB114">
        <v>8</v>
      </c>
      <c r="AC114">
        <v>3477</v>
      </c>
      <c r="AD114">
        <v>259</v>
      </c>
      <c r="AE114">
        <v>719</v>
      </c>
      <c r="AF114">
        <v>4624</v>
      </c>
      <c r="AG114">
        <v>1057</v>
      </c>
      <c r="AH114">
        <v>298</v>
      </c>
      <c r="AI114">
        <v>16520</v>
      </c>
      <c r="AJ114">
        <v>92</v>
      </c>
      <c r="AK114">
        <v>0</v>
      </c>
      <c r="AL114">
        <v>17420</v>
      </c>
      <c r="AM114">
        <v>1924</v>
      </c>
      <c r="AN114">
        <v>38</v>
      </c>
      <c r="AO114">
        <v>7728</v>
      </c>
      <c r="AP114">
        <v>652</v>
      </c>
      <c r="AQ114">
        <v>607</v>
      </c>
      <c r="AR114">
        <v>2684</v>
      </c>
      <c r="AS114">
        <v>1975</v>
      </c>
      <c r="AT114">
        <v>4</v>
      </c>
      <c r="AU114">
        <v>8039</v>
      </c>
      <c r="AV114">
        <v>168</v>
      </c>
      <c r="AW114">
        <v>0</v>
      </c>
      <c r="AX114">
        <f t="shared" si="27"/>
        <v>81612</v>
      </c>
      <c r="AZ114" t="s">
        <v>370</v>
      </c>
      <c r="BA114" s="128">
        <v>69572</v>
      </c>
      <c r="BB114" s="128">
        <v>462380</v>
      </c>
      <c r="BC114" s="128">
        <v>0</v>
      </c>
      <c r="BD114" s="128">
        <v>5053395</v>
      </c>
      <c r="BE114" s="128">
        <v>521753.08666666667</v>
      </c>
      <c r="BF114" s="128">
        <v>7085341.2955162609</v>
      </c>
      <c r="BG114" s="272">
        <v>1075546.0494327238</v>
      </c>
      <c r="BH114">
        <v>2942</v>
      </c>
      <c r="BI114">
        <v>3960</v>
      </c>
      <c r="BJ114">
        <v>325</v>
      </c>
      <c r="BK114">
        <v>30</v>
      </c>
      <c r="BL114">
        <v>514</v>
      </c>
      <c r="BM114">
        <v>125</v>
      </c>
      <c r="BN114" s="128">
        <v>534</v>
      </c>
      <c r="BO114" s="128">
        <v>0</v>
      </c>
      <c r="BP114" s="128">
        <v>23</v>
      </c>
      <c r="BQ114" s="128">
        <f t="shared" si="28"/>
        <v>46920584.568384349</v>
      </c>
      <c r="BR114">
        <v>30430</v>
      </c>
      <c r="BS114" s="128">
        <f t="shared" si="15"/>
        <v>1541.9186516064524</v>
      </c>
      <c r="BT114" t="s">
        <v>118</v>
      </c>
      <c r="BU114" s="129">
        <f t="shared" si="29"/>
        <v>1542.6744846659333</v>
      </c>
      <c r="BZ114" t="s">
        <v>220</v>
      </c>
      <c r="CA114">
        <v>2002.2577716055978</v>
      </c>
      <c r="CB114" t="s">
        <v>467</v>
      </c>
    </row>
    <row r="115" spans="1:80" ht="14.5" x14ac:dyDescent="0.25">
      <c r="A115" t="s">
        <v>148</v>
      </c>
      <c r="B115">
        <v>49891</v>
      </c>
      <c r="C115">
        <v>10620</v>
      </c>
      <c r="D115">
        <v>4883</v>
      </c>
      <c r="E115">
        <f t="shared" si="16"/>
        <v>14029</v>
      </c>
      <c r="F115">
        <f t="shared" si="17"/>
        <v>4247</v>
      </c>
      <c r="G115">
        <f t="shared" si="18"/>
        <v>4594</v>
      </c>
      <c r="H115">
        <f t="shared" si="19"/>
        <v>4041</v>
      </c>
      <c r="I115">
        <f t="shared" si="20"/>
        <v>3387</v>
      </c>
      <c r="J115">
        <f t="shared" si="21"/>
        <v>9020</v>
      </c>
      <c r="K115">
        <f t="shared" si="22"/>
        <v>19310</v>
      </c>
      <c r="L115">
        <f t="shared" si="23"/>
        <v>39021</v>
      </c>
      <c r="M115">
        <f t="shared" si="24"/>
        <v>13367</v>
      </c>
      <c r="N115">
        <f t="shared" si="25"/>
        <v>1337</v>
      </c>
      <c r="O115">
        <f t="shared" si="26"/>
        <v>177747</v>
      </c>
      <c r="Q115">
        <v>36284</v>
      </c>
      <c r="R115">
        <v>19820</v>
      </c>
      <c r="S115">
        <v>2435</v>
      </c>
      <c r="T115">
        <v>5390</v>
      </c>
      <c r="U115">
        <v>1048</v>
      </c>
      <c r="V115">
        <v>95</v>
      </c>
      <c r="W115">
        <v>9323</v>
      </c>
      <c r="X115">
        <v>2555</v>
      </c>
      <c r="Y115">
        <v>2174</v>
      </c>
      <c r="Z115" s="271">
        <v>4850</v>
      </c>
      <c r="AA115">
        <v>782</v>
      </c>
      <c r="AB115">
        <v>27</v>
      </c>
      <c r="AC115">
        <v>6388</v>
      </c>
      <c r="AD115">
        <v>817</v>
      </c>
      <c r="AE115">
        <v>2184</v>
      </c>
      <c r="AF115">
        <v>15366</v>
      </c>
      <c r="AG115">
        <v>4416</v>
      </c>
      <c r="AH115">
        <v>1930</v>
      </c>
      <c r="AI115">
        <v>32174</v>
      </c>
      <c r="AJ115">
        <v>12864</v>
      </c>
      <c r="AK115">
        <v>0</v>
      </c>
      <c r="AL115">
        <v>41496</v>
      </c>
      <c r="AM115">
        <v>2378</v>
      </c>
      <c r="AN115">
        <v>97</v>
      </c>
      <c r="AO115">
        <v>16498</v>
      </c>
      <c r="AP115">
        <v>1453</v>
      </c>
      <c r="AQ115">
        <v>1678</v>
      </c>
      <c r="AR115">
        <v>3926</v>
      </c>
      <c r="AS115">
        <v>2589</v>
      </c>
      <c r="AT115">
        <v>0</v>
      </c>
      <c r="AU115">
        <v>10687</v>
      </c>
      <c r="AV115">
        <v>1169</v>
      </c>
      <c r="AW115">
        <v>0</v>
      </c>
      <c r="AX115">
        <f t="shared" si="27"/>
        <v>187265</v>
      </c>
      <c r="AZ115" t="s">
        <v>148</v>
      </c>
      <c r="BA115" s="128">
        <v>161075</v>
      </c>
      <c r="BB115" s="128">
        <v>4156762</v>
      </c>
      <c r="BC115" s="128">
        <v>0</v>
      </c>
      <c r="BD115" s="128">
        <v>8815248</v>
      </c>
      <c r="BE115" s="128">
        <v>1171386</v>
      </c>
      <c r="BF115" s="128">
        <v>12888972.279345712</v>
      </c>
      <c r="BG115" s="272">
        <v>594027.61763157882</v>
      </c>
      <c r="BH115">
        <v>7187</v>
      </c>
      <c r="BI115">
        <v>5470</v>
      </c>
      <c r="BJ115">
        <v>780</v>
      </c>
      <c r="BK115">
        <v>491</v>
      </c>
      <c r="BL115">
        <v>1650</v>
      </c>
      <c r="BM115">
        <v>238</v>
      </c>
      <c r="BN115" s="128">
        <v>1598</v>
      </c>
      <c r="BO115" s="128">
        <v>1452</v>
      </c>
      <c r="BP115" s="128">
        <v>114</v>
      </c>
      <c r="BQ115" s="128">
        <f t="shared" si="28"/>
        <v>114468604.10302271</v>
      </c>
      <c r="BR115">
        <v>61346</v>
      </c>
      <c r="BS115" s="128">
        <f t="shared" si="15"/>
        <v>1865.9505771040119</v>
      </c>
      <c r="BT115" t="s">
        <v>118</v>
      </c>
      <c r="BU115" s="129">
        <f t="shared" si="29"/>
        <v>1867.8088889743865</v>
      </c>
      <c r="BZ115" t="s">
        <v>360</v>
      </c>
      <c r="CA115">
        <v>1421.4760434041632</v>
      </c>
      <c r="CB115" t="s">
        <v>467</v>
      </c>
    </row>
    <row r="116" spans="1:80" ht="14.5" x14ac:dyDescent="0.25">
      <c r="A116" t="s">
        <v>183</v>
      </c>
      <c r="B116">
        <v>20923</v>
      </c>
      <c r="C116">
        <v>4996</v>
      </c>
      <c r="D116">
        <v>201</v>
      </c>
      <c r="E116">
        <f t="shared" si="16"/>
        <v>19860</v>
      </c>
      <c r="F116">
        <f t="shared" si="17"/>
        <v>3412</v>
      </c>
      <c r="G116">
        <f t="shared" si="18"/>
        <v>5650</v>
      </c>
      <c r="H116">
        <f t="shared" si="19"/>
        <v>-337</v>
      </c>
      <c r="I116">
        <f t="shared" si="20"/>
        <v>6653</v>
      </c>
      <c r="J116">
        <f t="shared" si="21"/>
        <v>8515</v>
      </c>
      <c r="K116">
        <f t="shared" si="22"/>
        <v>24195</v>
      </c>
      <c r="L116">
        <f t="shared" si="23"/>
        <v>56655</v>
      </c>
      <c r="M116">
        <f t="shared" si="24"/>
        <v>9665</v>
      </c>
      <c r="N116">
        <f t="shared" si="25"/>
        <v>1043</v>
      </c>
      <c r="O116">
        <f t="shared" si="26"/>
        <v>161431</v>
      </c>
      <c r="Q116">
        <v>28363</v>
      </c>
      <c r="R116">
        <v>7452</v>
      </c>
      <c r="S116">
        <v>1051</v>
      </c>
      <c r="T116">
        <v>4548</v>
      </c>
      <c r="U116">
        <v>1098</v>
      </c>
      <c r="V116">
        <v>38</v>
      </c>
      <c r="W116">
        <v>8682</v>
      </c>
      <c r="X116">
        <v>2213</v>
      </c>
      <c r="Y116">
        <v>819</v>
      </c>
      <c r="Z116" s="271">
        <v>1059</v>
      </c>
      <c r="AA116">
        <v>1390</v>
      </c>
      <c r="AB116">
        <v>6</v>
      </c>
      <c r="AC116">
        <v>7868</v>
      </c>
      <c r="AD116">
        <v>355</v>
      </c>
      <c r="AE116">
        <v>860</v>
      </c>
      <c r="AF116">
        <v>13338</v>
      </c>
      <c r="AG116">
        <v>3159</v>
      </c>
      <c r="AH116">
        <v>1664</v>
      </c>
      <c r="AI116">
        <v>24195</v>
      </c>
      <c r="AJ116">
        <v>0</v>
      </c>
      <c r="AK116">
        <v>0</v>
      </c>
      <c r="AL116">
        <v>57864</v>
      </c>
      <c r="AM116">
        <v>941</v>
      </c>
      <c r="AN116">
        <v>268</v>
      </c>
      <c r="AO116">
        <v>11910</v>
      </c>
      <c r="AP116">
        <v>1988</v>
      </c>
      <c r="AQ116">
        <v>257</v>
      </c>
      <c r="AR116">
        <v>3403</v>
      </c>
      <c r="AS116">
        <v>2327</v>
      </c>
      <c r="AT116">
        <v>33</v>
      </c>
      <c r="AU116">
        <v>0</v>
      </c>
      <c r="AV116">
        <v>0</v>
      </c>
      <c r="AW116">
        <v>0</v>
      </c>
      <c r="AX116">
        <f t="shared" si="27"/>
        <v>161431</v>
      </c>
      <c r="AZ116" t="s">
        <v>183</v>
      </c>
      <c r="BA116" s="128">
        <v>156234</v>
      </c>
      <c r="BB116" s="128">
        <v>862756</v>
      </c>
      <c r="BC116" s="128">
        <v>0</v>
      </c>
      <c r="BD116" s="128">
        <v>5058989</v>
      </c>
      <c r="BE116" s="128">
        <v>999443</v>
      </c>
      <c r="BF116" s="128">
        <v>12965208.244383303</v>
      </c>
      <c r="BG116" s="272">
        <v>3253695.4113546181</v>
      </c>
      <c r="BH116">
        <v>3567</v>
      </c>
      <c r="BI116">
        <v>4307</v>
      </c>
      <c r="BJ116">
        <v>711</v>
      </c>
      <c r="BK116">
        <v>892</v>
      </c>
      <c r="BL116">
        <v>851</v>
      </c>
      <c r="BM116">
        <v>688</v>
      </c>
      <c r="BN116" s="128">
        <v>472</v>
      </c>
      <c r="BO116" s="128">
        <v>2040</v>
      </c>
      <c r="BP116" s="128">
        <v>2447</v>
      </c>
      <c r="BQ116" s="128">
        <f t="shared" si="28"/>
        <v>117118908.34426208</v>
      </c>
      <c r="BR116">
        <v>48722</v>
      </c>
      <c r="BS116" s="128">
        <f t="shared" si="15"/>
        <v>2403.81980099877</v>
      </c>
      <c r="BT116" t="s">
        <v>441</v>
      </c>
      <c r="BU116" s="129">
        <f t="shared" si="29"/>
        <v>2454.0435192369378</v>
      </c>
      <c r="BZ116" t="s">
        <v>404</v>
      </c>
      <c r="CA116">
        <v>1395.9677903163922</v>
      </c>
      <c r="CB116" t="s">
        <v>467</v>
      </c>
    </row>
    <row r="117" spans="1:80" ht="14.5" x14ac:dyDescent="0.25">
      <c r="A117" t="s">
        <v>295</v>
      </c>
      <c r="B117">
        <v>8097</v>
      </c>
      <c r="C117">
        <v>1689</v>
      </c>
      <c r="D117">
        <v>671</v>
      </c>
      <c r="E117">
        <f t="shared" si="16"/>
        <v>5201</v>
      </c>
      <c r="F117">
        <f t="shared" si="17"/>
        <v>1440</v>
      </c>
      <c r="G117">
        <f t="shared" si="18"/>
        <v>1238</v>
      </c>
      <c r="H117">
        <f t="shared" si="19"/>
        <v>172</v>
      </c>
      <c r="I117">
        <f t="shared" si="20"/>
        <v>878</v>
      </c>
      <c r="J117">
        <f t="shared" si="21"/>
        <v>1853</v>
      </c>
      <c r="K117">
        <f t="shared" si="22"/>
        <v>3793</v>
      </c>
      <c r="L117">
        <f t="shared" si="23"/>
        <v>10188</v>
      </c>
      <c r="M117">
        <f t="shared" si="24"/>
        <v>3563</v>
      </c>
      <c r="N117">
        <f t="shared" si="25"/>
        <v>349</v>
      </c>
      <c r="O117">
        <f t="shared" si="26"/>
        <v>39132</v>
      </c>
      <c r="Q117">
        <v>8414</v>
      </c>
      <c r="R117">
        <v>3197</v>
      </c>
      <c r="S117">
        <v>16</v>
      </c>
      <c r="T117">
        <v>1912</v>
      </c>
      <c r="U117">
        <v>465</v>
      </c>
      <c r="V117">
        <v>7</v>
      </c>
      <c r="W117">
        <v>2224</v>
      </c>
      <c r="X117">
        <v>530</v>
      </c>
      <c r="Y117">
        <v>456</v>
      </c>
      <c r="Z117" s="271">
        <v>271</v>
      </c>
      <c r="AA117">
        <v>95</v>
      </c>
      <c r="AB117">
        <v>4</v>
      </c>
      <c r="AC117">
        <v>1265</v>
      </c>
      <c r="AD117">
        <v>44</v>
      </c>
      <c r="AE117">
        <v>343</v>
      </c>
      <c r="AF117">
        <v>3619</v>
      </c>
      <c r="AG117">
        <v>1358</v>
      </c>
      <c r="AH117">
        <v>408</v>
      </c>
      <c r="AI117">
        <v>3869</v>
      </c>
      <c r="AJ117">
        <v>76</v>
      </c>
      <c r="AK117">
        <v>0</v>
      </c>
      <c r="AL117">
        <v>10843</v>
      </c>
      <c r="AM117">
        <v>650</v>
      </c>
      <c r="AN117">
        <v>5</v>
      </c>
      <c r="AO117">
        <v>4686</v>
      </c>
      <c r="AP117">
        <v>674</v>
      </c>
      <c r="AQ117">
        <v>449</v>
      </c>
      <c r="AR117">
        <v>1358</v>
      </c>
      <c r="AS117">
        <v>1008</v>
      </c>
      <c r="AT117">
        <v>1</v>
      </c>
      <c r="AU117">
        <v>2902</v>
      </c>
      <c r="AV117">
        <v>0</v>
      </c>
      <c r="AW117">
        <v>0</v>
      </c>
      <c r="AX117">
        <f t="shared" si="27"/>
        <v>42034</v>
      </c>
      <c r="AZ117" t="s">
        <v>295</v>
      </c>
      <c r="BA117" s="128">
        <v>36772</v>
      </c>
      <c r="BB117" s="128">
        <v>1294884</v>
      </c>
      <c r="BC117" s="128">
        <v>0</v>
      </c>
      <c r="BD117" s="128">
        <v>130777</v>
      </c>
      <c r="BE117" s="128">
        <v>450474</v>
      </c>
      <c r="BF117" s="128">
        <v>2365627.6967273196</v>
      </c>
      <c r="BG117" s="272">
        <v>0</v>
      </c>
      <c r="BH117">
        <v>1821</v>
      </c>
      <c r="BI117">
        <v>2086</v>
      </c>
      <c r="BJ117">
        <v>236</v>
      </c>
      <c r="BK117">
        <v>382</v>
      </c>
      <c r="BL117">
        <v>607</v>
      </c>
      <c r="BM117">
        <v>38</v>
      </c>
      <c r="BN117" s="128">
        <v>0</v>
      </c>
      <c r="BO117" s="128">
        <v>0</v>
      </c>
      <c r="BP117" s="128">
        <v>215</v>
      </c>
      <c r="BQ117" s="128">
        <f t="shared" si="28"/>
        <v>27145237.303272679</v>
      </c>
      <c r="BR117">
        <v>18410</v>
      </c>
      <c r="BS117" s="128">
        <f t="shared" si="15"/>
        <v>1474.4832864352352</v>
      </c>
      <c r="BT117" t="s">
        <v>467</v>
      </c>
      <c r="BU117" s="129">
        <f t="shared" si="29"/>
        <v>1486.1617220680434</v>
      </c>
      <c r="BZ117" t="s">
        <v>180</v>
      </c>
      <c r="CA117">
        <v>1523.4701380223094</v>
      </c>
      <c r="CB117" t="s">
        <v>467</v>
      </c>
    </row>
    <row r="118" spans="1:80" ht="14.5" x14ac:dyDescent="0.25">
      <c r="A118" t="s">
        <v>130</v>
      </c>
      <c r="B118">
        <v>10460</v>
      </c>
      <c r="C118">
        <v>2864</v>
      </c>
      <c r="D118">
        <v>409</v>
      </c>
      <c r="E118">
        <f t="shared" si="16"/>
        <v>4589</v>
      </c>
      <c r="F118">
        <f t="shared" si="17"/>
        <v>1097</v>
      </c>
      <c r="G118">
        <f t="shared" si="18"/>
        <v>3976</v>
      </c>
      <c r="H118">
        <f t="shared" si="19"/>
        <v>314</v>
      </c>
      <c r="I118">
        <f t="shared" si="20"/>
        <v>1546</v>
      </c>
      <c r="J118">
        <f t="shared" si="21"/>
        <v>2817</v>
      </c>
      <c r="K118">
        <f t="shared" si="22"/>
        <v>13450</v>
      </c>
      <c r="L118">
        <f t="shared" si="23"/>
        <v>10310</v>
      </c>
      <c r="M118">
        <f t="shared" si="24"/>
        <v>3524</v>
      </c>
      <c r="N118">
        <f t="shared" si="25"/>
        <v>377</v>
      </c>
      <c r="O118">
        <f t="shared" si="26"/>
        <v>55733</v>
      </c>
      <c r="Q118">
        <v>10035</v>
      </c>
      <c r="R118">
        <v>5117</v>
      </c>
      <c r="S118">
        <v>329</v>
      </c>
      <c r="T118">
        <v>1580</v>
      </c>
      <c r="U118">
        <v>478</v>
      </c>
      <c r="V118">
        <v>5</v>
      </c>
      <c r="W118">
        <v>5862</v>
      </c>
      <c r="X118">
        <v>1025</v>
      </c>
      <c r="Y118">
        <v>861</v>
      </c>
      <c r="Z118" s="271">
        <v>517</v>
      </c>
      <c r="AA118">
        <v>203</v>
      </c>
      <c r="AB118">
        <v>0</v>
      </c>
      <c r="AC118">
        <v>2244</v>
      </c>
      <c r="AD118">
        <v>156</v>
      </c>
      <c r="AE118">
        <v>542</v>
      </c>
      <c r="AF118">
        <v>4642</v>
      </c>
      <c r="AG118">
        <v>1143</v>
      </c>
      <c r="AH118">
        <v>682</v>
      </c>
      <c r="AI118">
        <v>13514</v>
      </c>
      <c r="AJ118">
        <v>64</v>
      </c>
      <c r="AK118">
        <v>0</v>
      </c>
      <c r="AL118">
        <v>11662</v>
      </c>
      <c r="AM118">
        <v>1333</v>
      </c>
      <c r="AN118">
        <v>19</v>
      </c>
      <c r="AO118">
        <v>4253</v>
      </c>
      <c r="AP118">
        <v>320</v>
      </c>
      <c r="AQ118">
        <v>409</v>
      </c>
      <c r="AR118">
        <v>1015</v>
      </c>
      <c r="AS118">
        <v>621</v>
      </c>
      <c r="AT118">
        <v>17</v>
      </c>
      <c r="AU118">
        <v>0</v>
      </c>
      <c r="AV118">
        <v>0</v>
      </c>
      <c r="AW118">
        <v>0</v>
      </c>
      <c r="AX118">
        <f t="shared" si="27"/>
        <v>55733</v>
      </c>
      <c r="AZ118" t="s">
        <v>130</v>
      </c>
      <c r="BA118" s="128">
        <v>52460</v>
      </c>
      <c r="BB118" s="128">
        <v>437862</v>
      </c>
      <c r="BC118" s="128">
        <v>0</v>
      </c>
      <c r="BD118" s="128">
        <v>2080930</v>
      </c>
      <c r="BE118" s="128">
        <v>678562</v>
      </c>
      <c r="BF118" s="128">
        <v>8024432.7754429877</v>
      </c>
      <c r="BG118" s="272">
        <v>0</v>
      </c>
      <c r="BH118">
        <v>1560</v>
      </c>
      <c r="BI118">
        <v>1785</v>
      </c>
      <c r="BJ118">
        <v>194</v>
      </c>
      <c r="BK118">
        <v>89</v>
      </c>
      <c r="BL118">
        <v>246</v>
      </c>
      <c r="BM118">
        <v>391</v>
      </c>
      <c r="BN118" s="128">
        <v>192</v>
      </c>
      <c r="BO118" s="128">
        <v>735</v>
      </c>
      <c r="BP118" s="128">
        <v>1281</v>
      </c>
      <c r="BQ118" s="128">
        <f t="shared" si="28"/>
        <v>34765213.224557012</v>
      </c>
      <c r="BR118">
        <v>15804</v>
      </c>
      <c r="BS118" s="128">
        <f t="shared" si="15"/>
        <v>2199.7730463526332</v>
      </c>
      <c r="BT118" t="s">
        <v>441</v>
      </c>
      <c r="BU118" s="129">
        <f t="shared" si="29"/>
        <v>2280.8284753579483</v>
      </c>
      <c r="BZ118" t="s">
        <v>292</v>
      </c>
      <c r="CA118">
        <v>1654.5751308250622</v>
      </c>
      <c r="CB118" t="s">
        <v>467</v>
      </c>
    </row>
    <row r="119" spans="1:80" ht="14.5" x14ac:dyDescent="0.25">
      <c r="A119" t="s">
        <v>184</v>
      </c>
      <c r="B119">
        <v>7835</v>
      </c>
      <c r="C119">
        <v>1447</v>
      </c>
      <c r="D119">
        <v>567</v>
      </c>
      <c r="E119">
        <f t="shared" si="16"/>
        <v>2259</v>
      </c>
      <c r="F119">
        <f t="shared" si="17"/>
        <v>717</v>
      </c>
      <c r="G119">
        <f t="shared" si="18"/>
        <v>566</v>
      </c>
      <c r="H119">
        <f t="shared" si="19"/>
        <v>167</v>
      </c>
      <c r="I119">
        <f t="shared" si="20"/>
        <v>647</v>
      </c>
      <c r="J119">
        <f t="shared" si="21"/>
        <v>1689</v>
      </c>
      <c r="K119">
        <f t="shared" si="22"/>
        <v>3182</v>
      </c>
      <c r="L119">
        <f t="shared" si="23"/>
        <v>5682</v>
      </c>
      <c r="M119">
        <f t="shared" si="24"/>
        <v>2457</v>
      </c>
      <c r="N119">
        <f t="shared" si="25"/>
        <v>492</v>
      </c>
      <c r="O119">
        <f t="shared" si="26"/>
        <v>27707</v>
      </c>
      <c r="Q119">
        <v>6838</v>
      </c>
      <c r="R119">
        <v>4237</v>
      </c>
      <c r="S119">
        <v>342</v>
      </c>
      <c r="T119">
        <v>1087</v>
      </c>
      <c r="U119">
        <v>340</v>
      </c>
      <c r="V119">
        <v>30</v>
      </c>
      <c r="W119">
        <v>1214</v>
      </c>
      <c r="X119">
        <v>276</v>
      </c>
      <c r="Y119">
        <v>372</v>
      </c>
      <c r="Z119" s="271">
        <v>229</v>
      </c>
      <c r="AA119">
        <v>62</v>
      </c>
      <c r="AB119">
        <v>0</v>
      </c>
      <c r="AC119">
        <v>988</v>
      </c>
      <c r="AD119">
        <v>137</v>
      </c>
      <c r="AE119">
        <v>204</v>
      </c>
      <c r="AF119">
        <v>2377</v>
      </c>
      <c r="AG119">
        <v>498</v>
      </c>
      <c r="AH119">
        <v>190</v>
      </c>
      <c r="AI119">
        <v>3550</v>
      </c>
      <c r="AJ119">
        <v>368</v>
      </c>
      <c r="AK119">
        <v>0</v>
      </c>
      <c r="AL119">
        <v>6301</v>
      </c>
      <c r="AM119">
        <v>619</v>
      </c>
      <c r="AN119">
        <v>0</v>
      </c>
      <c r="AO119">
        <v>3497</v>
      </c>
      <c r="AP119">
        <v>731</v>
      </c>
      <c r="AQ119">
        <v>309</v>
      </c>
      <c r="AR119">
        <v>1023</v>
      </c>
      <c r="AS119">
        <v>531</v>
      </c>
      <c r="AT119">
        <v>0</v>
      </c>
      <c r="AU119">
        <v>36</v>
      </c>
      <c r="AV119">
        <v>36</v>
      </c>
      <c r="AW119">
        <v>0</v>
      </c>
      <c r="AX119">
        <f t="shared" si="27"/>
        <v>27707</v>
      </c>
      <c r="AZ119" t="s">
        <v>184</v>
      </c>
      <c r="BA119" s="128">
        <v>25657</v>
      </c>
      <c r="BB119" s="128">
        <v>406655</v>
      </c>
      <c r="BC119" s="128">
        <v>0</v>
      </c>
      <c r="BD119" s="128">
        <v>801569</v>
      </c>
      <c r="BE119" s="128">
        <v>311784</v>
      </c>
      <c r="BF119" s="128">
        <v>1703548</v>
      </c>
      <c r="BG119" s="272">
        <v>21101.148184744641</v>
      </c>
      <c r="BH119">
        <v>1102</v>
      </c>
      <c r="BI119">
        <v>1236</v>
      </c>
      <c r="BJ119">
        <v>164</v>
      </c>
      <c r="BK119">
        <v>268</v>
      </c>
      <c r="BL119">
        <v>1131</v>
      </c>
      <c r="BM119">
        <v>17</v>
      </c>
      <c r="BN119" s="128">
        <v>229</v>
      </c>
      <c r="BO119" s="128">
        <v>0</v>
      </c>
      <c r="BP119" s="128">
        <v>567</v>
      </c>
      <c r="BQ119" s="128">
        <f t="shared" si="28"/>
        <v>17698342.851815253</v>
      </c>
      <c r="BR119">
        <v>12226</v>
      </c>
      <c r="BS119" s="128">
        <f t="shared" si="15"/>
        <v>1447.5987937031944</v>
      </c>
      <c r="BT119" t="s">
        <v>467</v>
      </c>
      <c r="BU119" s="129">
        <f t="shared" si="29"/>
        <v>1493.9753682165265</v>
      </c>
      <c r="BZ119" t="s">
        <v>367</v>
      </c>
      <c r="CA119">
        <v>1578.3975187203914</v>
      </c>
      <c r="CB119" t="s">
        <v>467</v>
      </c>
    </row>
    <row r="120" spans="1:80" ht="14.5" x14ac:dyDescent="0.25">
      <c r="A120" t="s">
        <v>254</v>
      </c>
      <c r="B120">
        <v>19665</v>
      </c>
      <c r="C120">
        <v>3796</v>
      </c>
      <c r="D120">
        <v>893</v>
      </c>
      <c r="E120">
        <f t="shared" si="16"/>
        <v>7887</v>
      </c>
      <c r="F120">
        <f t="shared" si="17"/>
        <v>2940</v>
      </c>
      <c r="G120">
        <f t="shared" si="18"/>
        <v>3387</v>
      </c>
      <c r="H120">
        <f t="shared" si="19"/>
        <v>1580</v>
      </c>
      <c r="I120">
        <f t="shared" si="20"/>
        <v>3386</v>
      </c>
      <c r="J120">
        <f t="shared" si="21"/>
        <v>6237</v>
      </c>
      <c r="K120">
        <f t="shared" si="22"/>
        <v>19355</v>
      </c>
      <c r="L120">
        <f t="shared" si="23"/>
        <v>21432</v>
      </c>
      <c r="M120">
        <f t="shared" si="24"/>
        <v>8647</v>
      </c>
      <c r="N120">
        <f t="shared" si="25"/>
        <v>880</v>
      </c>
      <c r="O120">
        <f t="shared" si="26"/>
        <v>100085</v>
      </c>
      <c r="Q120">
        <v>18521</v>
      </c>
      <c r="R120">
        <v>9350</v>
      </c>
      <c r="S120">
        <v>1284</v>
      </c>
      <c r="T120">
        <v>3682</v>
      </c>
      <c r="U120">
        <v>716</v>
      </c>
      <c r="V120">
        <v>26</v>
      </c>
      <c r="W120">
        <v>4948</v>
      </c>
      <c r="X120">
        <v>1230</v>
      </c>
      <c r="Y120">
        <v>331</v>
      </c>
      <c r="Z120" s="271">
        <v>1778</v>
      </c>
      <c r="AA120">
        <v>193</v>
      </c>
      <c r="AB120">
        <v>5</v>
      </c>
      <c r="AC120">
        <v>4881</v>
      </c>
      <c r="AD120">
        <v>294</v>
      </c>
      <c r="AE120">
        <v>1201</v>
      </c>
      <c r="AF120">
        <v>8182</v>
      </c>
      <c r="AG120">
        <v>1537</v>
      </c>
      <c r="AH120">
        <v>408</v>
      </c>
      <c r="AI120">
        <v>21435</v>
      </c>
      <c r="AJ120">
        <v>2080</v>
      </c>
      <c r="AK120">
        <v>0</v>
      </c>
      <c r="AL120">
        <v>23208</v>
      </c>
      <c r="AM120">
        <v>1732</v>
      </c>
      <c r="AN120">
        <v>44</v>
      </c>
      <c r="AO120">
        <v>10114</v>
      </c>
      <c r="AP120">
        <v>1020</v>
      </c>
      <c r="AQ120">
        <v>447</v>
      </c>
      <c r="AR120">
        <v>2373</v>
      </c>
      <c r="AS120">
        <v>1443</v>
      </c>
      <c r="AT120">
        <v>50</v>
      </c>
      <c r="AU120">
        <v>2830</v>
      </c>
      <c r="AV120">
        <v>70</v>
      </c>
      <c r="AW120">
        <v>0</v>
      </c>
      <c r="AX120">
        <f t="shared" si="27"/>
        <v>102845</v>
      </c>
      <c r="AZ120" t="s">
        <v>254</v>
      </c>
      <c r="BA120" s="128">
        <v>95326</v>
      </c>
      <c r="BB120" s="128">
        <v>692471</v>
      </c>
      <c r="BC120" s="128">
        <v>0</v>
      </c>
      <c r="BD120" s="128">
        <v>3956512</v>
      </c>
      <c r="BE120" s="128">
        <v>609241</v>
      </c>
      <c r="BF120" s="128">
        <v>12213349.303483769</v>
      </c>
      <c r="BG120" s="272">
        <v>82861.765211634338</v>
      </c>
      <c r="BH120">
        <v>3352</v>
      </c>
      <c r="BI120">
        <v>5868</v>
      </c>
      <c r="BJ120">
        <v>577</v>
      </c>
      <c r="BK120">
        <v>225</v>
      </c>
      <c r="BL120">
        <v>442</v>
      </c>
      <c r="BM120">
        <v>493</v>
      </c>
      <c r="BN120" s="128">
        <v>0</v>
      </c>
      <c r="BO120" s="128">
        <v>0</v>
      </c>
      <c r="BP120" s="128">
        <v>253</v>
      </c>
      <c r="BQ120" s="128">
        <f t="shared" si="28"/>
        <v>66561564.931304604</v>
      </c>
      <c r="BR120">
        <v>39206</v>
      </c>
      <c r="BS120" s="128">
        <f t="shared" si="15"/>
        <v>1697.7392473423611</v>
      </c>
      <c r="BT120" t="s">
        <v>118</v>
      </c>
      <c r="BU120" s="129">
        <f t="shared" si="29"/>
        <v>1704.1923412565577</v>
      </c>
      <c r="BZ120" t="s">
        <v>490</v>
      </c>
      <c r="CA120">
        <v>1494.0353271520992</v>
      </c>
      <c r="CB120" t="s">
        <v>467</v>
      </c>
    </row>
    <row r="121" spans="1:80" ht="14.5" x14ac:dyDescent="0.25">
      <c r="A121" t="s">
        <v>255</v>
      </c>
      <c r="B121">
        <v>14542</v>
      </c>
      <c r="C121">
        <v>3966</v>
      </c>
      <c r="D121">
        <v>2</v>
      </c>
      <c r="E121">
        <f t="shared" si="16"/>
        <v>5423</v>
      </c>
      <c r="F121">
        <f t="shared" si="17"/>
        <v>1883</v>
      </c>
      <c r="G121">
        <f t="shared" si="18"/>
        <v>3174</v>
      </c>
      <c r="H121">
        <f t="shared" si="19"/>
        <v>74</v>
      </c>
      <c r="I121">
        <f t="shared" si="20"/>
        <v>2209</v>
      </c>
      <c r="J121">
        <f t="shared" si="21"/>
        <v>2918</v>
      </c>
      <c r="K121">
        <f t="shared" si="22"/>
        <v>6848</v>
      </c>
      <c r="L121">
        <f t="shared" si="23"/>
        <v>11324</v>
      </c>
      <c r="M121">
        <f t="shared" si="24"/>
        <v>6045</v>
      </c>
      <c r="N121">
        <f t="shared" si="25"/>
        <v>517</v>
      </c>
      <c r="O121">
        <f t="shared" si="26"/>
        <v>58925</v>
      </c>
      <c r="Q121">
        <v>13455</v>
      </c>
      <c r="R121">
        <v>7343</v>
      </c>
      <c r="S121">
        <v>689</v>
      </c>
      <c r="T121">
        <v>2225</v>
      </c>
      <c r="U121">
        <v>342</v>
      </c>
      <c r="V121">
        <v>0</v>
      </c>
      <c r="W121">
        <v>5327</v>
      </c>
      <c r="X121">
        <v>932</v>
      </c>
      <c r="Y121">
        <v>1221</v>
      </c>
      <c r="Z121" s="271">
        <v>194</v>
      </c>
      <c r="AA121">
        <v>105</v>
      </c>
      <c r="AB121">
        <v>15</v>
      </c>
      <c r="AC121">
        <v>2516</v>
      </c>
      <c r="AD121">
        <v>163</v>
      </c>
      <c r="AE121">
        <v>144</v>
      </c>
      <c r="AF121">
        <v>5134</v>
      </c>
      <c r="AG121">
        <v>1216</v>
      </c>
      <c r="AH121">
        <v>1000</v>
      </c>
      <c r="AI121">
        <v>8044</v>
      </c>
      <c r="AJ121">
        <v>1196</v>
      </c>
      <c r="AK121">
        <v>0</v>
      </c>
      <c r="AL121">
        <v>12693</v>
      </c>
      <c r="AM121">
        <v>1242</v>
      </c>
      <c r="AN121">
        <v>127</v>
      </c>
      <c r="AO121">
        <v>7701</v>
      </c>
      <c r="AP121">
        <v>910</v>
      </c>
      <c r="AQ121">
        <v>746</v>
      </c>
      <c r="AR121">
        <v>1634</v>
      </c>
      <c r="AS121">
        <v>1093</v>
      </c>
      <c r="AT121">
        <v>24</v>
      </c>
      <c r="AU121">
        <v>0</v>
      </c>
      <c r="AV121">
        <v>0</v>
      </c>
      <c r="AW121">
        <v>0</v>
      </c>
      <c r="AX121">
        <f t="shared" si="27"/>
        <v>58925</v>
      </c>
      <c r="AZ121" t="s">
        <v>255</v>
      </c>
      <c r="BA121" s="128">
        <v>54957</v>
      </c>
      <c r="BB121" s="128">
        <v>507573</v>
      </c>
      <c r="BC121" s="128">
        <v>0</v>
      </c>
      <c r="BD121" s="128">
        <v>1468994</v>
      </c>
      <c r="BE121" s="128">
        <v>301237.31333333335</v>
      </c>
      <c r="BF121" s="128">
        <v>3736399.2313538343</v>
      </c>
      <c r="BG121" s="272">
        <v>0</v>
      </c>
      <c r="BH121">
        <v>2982</v>
      </c>
      <c r="BI121">
        <v>3938</v>
      </c>
      <c r="BJ121">
        <v>365</v>
      </c>
      <c r="BK121">
        <v>412</v>
      </c>
      <c r="BL121">
        <v>232</v>
      </c>
      <c r="BM121">
        <v>59</v>
      </c>
      <c r="BN121" s="128">
        <v>0</v>
      </c>
      <c r="BO121" s="128">
        <v>700</v>
      </c>
      <c r="BP121" s="128">
        <v>300</v>
      </c>
      <c r="BQ121" s="128">
        <f t="shared" si="28"/>
        <v>39954796.455312833</v>
      </c>
      <c r="BR121">
        <v>27531</v>
      </c>
      <c r="BS121" s="128">
        <f t="shared" si="15"/>
        <v>1451.265717021279</v>
      </c>
      <c r="BT121" t="s">
        <v>467</v>
      </c>
      <c r="BU121" s="129">
        <f t="shared" si="29"/>
        <v>1462.1625242567591</v>
      </c>
      <c r="BZ121" t="s">
        <v>253</v>
      </c>
      <c r="CA121">
        <v>1605.6574404454129</v>
      </c>
      <c r="CB121" t="s">
        <v>467</v>
      </c>
    </row>
    <row r="122" spans="1:80" ht="14.5" x14ac:dyDescent="0.25">
      <c r="A122" t="s">
        <v>185</v>
      </c>
      <c r="B122">
        <v>11961</v>
      </c>
      <c r="C122">
        <v>2039</v>
      </c>
      <c r="D122">
        <v>543</v>
      </c>
      <c r="E122">
        <f t="shared" si="16"/>
        <v>4107</v>
      </c>
      <c r="F122">
        <f t="shared" si="17"/>
        <v>1151</v>
      </c>
      <c r="G122">
        <f t="shared" si="18"/>
        <v>1595</v>
      </c>
      <c r="H122">
        <f t="shared" si="19"/>
        <v>499</v>
      </c>
      <c r="I122">
        <f t="shared" si="20"/>
        <v>1729</v>
      </c>
      <c r="J122">
        <f t="shared" si="21"/>
        <v>2319</v>
      </c>
      <c r="K122">
        <f t="shared" si="22"/>
        <v>5700</v>
      </c>
      <c r="L122">
        <f t="shared" si="23"/>
        <v>11607</v>
      </c>
      <c r="M122">
        <f t="shared" si="24"/>
        <v>3182</v>
      </c>
      <c r="N122">
        <f t="shared" si="25"/>
        <v>405</v>
      </c>
      <c r="O122">
        <f t="shared" si="26"/>
        <v>46837</v>
      </c>
      <c r="Q122">
        <v>10069</v>
      </c>
      <c r="R122">
        <v>5758</v>
      </c>
      <c r="S122">
        <v>204</v>
      </c>
      <c r="T122">
        <v>1448</v>
      </c>
      <c r="U122">
        <v>280</v>
      </c>
      <c r="V122">
        <v>17</v>
      </c>
      <c r="W122">
        <v>2504</v>
      </c>
      <c r="X122">
        <v>497</v>
      </c>
      <c r="Y122">
        <v>412</v>
      </c>
      <c r="Z122" s="271">
        <v>763</v>
      </c>
      <c r="AA122">
        <v>178</v>
      </c>
      <c r="AB122">
        <v>86</v>
      </c>
      <c r="AC122">
        <v>2357</v>
      </c>
      <c r="AD122">
        <v>186</v>
      </c>
      <c r="AE122">
        <v>442</v>
      </c>
      <c r="AF122">
        <v>3282</v>
      </c>
      <c r="AG122">
        <v>605</v>
      </c>
      <c r="AH122">
        <v>358</v>
      </c>
      <c r="AI122">
        <v>6475</v>
      </c>
      <c r="AJ122">
        <v>775</v>
      </c>
      <c r="AK122">
        <v>0</v>
      </c>
      <c r="AL122">
        <v>13257</v>
      </c>
      <c r="AM122">
        <v>1650</v>
      </c>
      <c r="AN122">
        <v>0</v>
      </c>
      <c r="AO122">
        <v>4322</v>
      </c>
      <c r="AP122">
        <v>686</v>
      </c>
      <c r="AQ122">
        <v>454</v>
      </c>
      <c r="AR122">
        <v>1670</v>
      </c>
      <c r="AS122">
        <v>1199</v>
      </c>
      <c r="AT122">
        <v>66</v>
      </c>
      <c r="AU122">
        <v>198</v>
      </c>
      <c r="AV122">
        <v>147</v>
      </c>
      <c r="AW122">
        <v>0</v>
      </c>
      <c r="AX122">
        <f t="shared" si="27"/>
        <v>46888</v>
      </c>
      <c r="AZ122" t="s">
        <v>185</v>
      </c>
      <c r="BA122" s="128">
        <v>44108</v>
      </c>
      <c r="BB122" s="128">
        <v>3313060</v>
      </c>
      <c r="BC122" s="128">
        <v>0</v>
      </c>
      <c r="BD122" s="128">
        <v>2188661</v>
      </c>
      <c r="BE122" s="128">
        <v>344471</v>
      </c>
      <c r="BF122" s="128">
        <v>2700483.0314436862</v>
      </c>
      <c r="BG122" s="272">
        <v>456759.35203460138</v>
      </c>
      <c r="BH122">
        <v>1447</v>
      </c>
      <c r="BI122">
        <v>1846</v>
      </c>
      <c r="BJ122">
        <v>153</v>
      </c>
      <c r="BK122">
        <v>292</v>
      </c>
      <c r="BL122">
        <v>403</v>
      </c>
      <c r="BM122">
        <v>287</v>
      </c>
      <c r="BN122" s="128">
        <v>225</v>
      </c>
      <c r="BO122" s="128">
        <v>0</v>
      </c>
      <c r="BP122" s="128">
        <v>1226</v>
      </c>
      <c r="BQ122" s="128">
        <f t="shared" si="28"/>
        <v>29225565.616521716</v>
      </c>
      <c r="BR122">
        <v>18774</v>
      </c>
      <c r="BS122" s="128">
        <f t="shared" si="15"/>
        <v>1556.7042514393158</v>
      </c>
      <c r="BT122" t="s">
        <v>467</v>
      </c>
      <c r="BU122" s="129">
        <f t="shared" si="29"/>
        <v>1622.0073301652135</v>
      </c>
      <c r="BZ122" t="s">
        <v>295</v>
      </c>
      <c r="CA122">
        <v>1474.4832864352352</v>
      </c>
      <c r="CB122" t="s">
        <v>467</v>
      </c>
    </row>
    <row r="123" spans="1:80" ht="14.5" x14ac:dyDescent="0.25">
      <c r="A123" t="s">
        <v>131</v>
      </c>
      <c r="B123">
        <v>36312</v>
      </c>
      <c r="C123">
        <v>7025</v>
      </c>
      <c r="D123">
        <v>3007</v>
      </c>
      <c r="E123">
        <f t="shared" si="16"/>
        <v>10030</v>
      </c>
      <c r="F123">
        <f t="shared" si="17"/>
        <v>3555</v>
      </c>
      <c r="G123">
        <f t="shared" si="18"/>
        <v>3389</v>
      </c>
      <c r="H123">
        <f t="shared" si="19"/>
        <v>1763</v>
      </c>
      <c r="I123">
        <f t="shared" si="20"/>
        <v>4118</v>
      </c>
      <c r="J123">
        <f t="shared" si="21"/>
        <v>8764</v>
      </c>
      <c r="K123">
        <f t="shared" si="22"/>
        <v>30953</v>
      </c>
      <c r="L123">
        <f t="shared" si="23"/>
        <v>31955</v>
      </c>
      <c r="M123">
        <f t="shared" si="24"/>
        <v>12908</v>
      </c>
      <c r="N123">
        <f t="shared" si="25"/>
        <v>762</v>
      </c>
      <c r="O123">
        <f t="shared" si="26"/>
        <v>154541</v>
      </c>
      <c r="Q123">
        <v>26913</v>
      </c>
      <c r="R123">
        <v>14877</v>
      </c>
      <c r="S123">
        <v>2006</v>
      </c>
      <c r="T123">
        <v>4185</v>
      </c>
      <c r="U123">
        <v>622</v>
      </c>
      <c r="V123">
        <v>8</v>
      </c>
      <c r="W123">
        <v>6526</v>
      </c>
      <c r="X123">
        <v>1499</v>
      </c>
      <c r="Y123">
        <v>1638</v>
      </c>
      <c r="Z123" s="271">
        <v>2277</v>
      </c>
      <c r="AA123">
        <v>511</v>
      </c>
      <c r="AB123">
        <v>3</v>
      </c>
      <c r="AC123">
        <v>6029</v>
      </c>
      <c r="AD123">
        <v>285</v>
      </c>
      <c r="AE123">
        <v>1626</v>
      </c>
      <c r="AF123">
        <v>13979</v>
      </c>
      <c r="AG123">
        <v>4235</v>
      </c>
      <c r="AH123">
        <v>980</v>
      </c>
      <c r="AI123">
        <v>33882</v>
      </c>
      <c r="AJ123">
        <v>2929</v>
      </c>
      <c r="AK123">
        <v>0</v>
      </c>
      <c r="AL123">
        <v>37419</v>
      </c>
      <c r="AM123">
        <v>5462</v>
      </c>
      <c r="AN123">
        <v>2</v>
      </c>
      <c r="AO123">
        <v>16486</v>
      </c>
      <c r="AP123">
        <v>2824</v>
      </c>
      <c r="AQ123">
        <v>754</v>
      </c>
      <c r="AR123">
        <v>3185</v>
      </c>
      <c r="AS123">
        <v>2416</v>
      </c>
      <c r="AT123">
        <v>7</v>
      </c>
      <c r="AU123">
        <v>4760</v>
      </c>
      <c r="AV123">
        <v>652</v>
      </c>
      <c r="AW123">
        <v>1</v>
      </c>
      <c r="AX123">
        <f t="shared" si="27"/>
        <v>158648</v>
      </c>
      <c r="AZ123" t="s">
        <v>131</v>
      </c>
      <c r="BA123" s="128">
        <v>143856</v>
      </c>
      <c r="BB123" s="128">
        <v>1943632</v>
      </c>
      <c r="BC123" s="128">
        <v>0</v>
      </c>
      <c r="BD123" s="128">
        <v>7936211</v>
      </c>
      <c r="BE123" s="128">
        <v>848674</v>
      </c>
      <c r="BF123" s="128">
        <v>21322626.012118448</v>
      </c>
      <c r="BG123" s="272">
        <v>0</v>
      </c>
      <c r="BH123">
        <v>6083</v>
      </c>
      <c r="BI123">
        <v>6526</v>
      </c>
      <c r="BJ123">
        <v>706</v>
      </c>
      <c r="BK123">
        <v>213</v>
      </c>
      <c r="BL123">
        <v>1623</v>
      </c>
      <c r="BM123">
        <v>263</v>
      </c>
      <c r="BN123" s="128">
        <v>151</v>
      </c>
      <c r="BO123" s="128">
        <v>2373</v>
      </c>
      <c r="BP123" s="128">
        <v>3596</v>
      </c>
      <c r="BQ123" s="128">
        <f t="shared" si="28"/>
        <v>90270856.987881556</v>
      </c>
      <c r="BR123">
        <v>50649</v>
      </c>
      <c r="BS123" s="128">
        <f t="shared" si="15"/>
        <v>1782.2831050540299</v>
      </c>
      <c r="BT123" t="s">
        <v>441</v>
      </c>
      <c r="BU123" s="129">
        <f t="shared" si="29"/>
        <v>1853.2815452996417</v>
      </c>
      <c r="BZ123" t="s">
        <v>184</v>
      </c>
      <c r="CA123">
        <v>1447.5987937031944</v>
      </c>
      <c r="CB123" t="s">
        <v>467</v>
      </c>
    </row>
    <row r="124" spans="1:80" ht="14.5" x14ac:dyDescent="0.25">
      <c r="A124" t="s">
        <v>407</v>
      </c>
      <c r="B124">
        <v>69694</v>
      </c>
      <c r="C124">
        <v>15525</v>
      </c>
      <c r="D124">
        <v>3973</v>
      </c>
      <c r="E124">
        <f t="shared" si="16"/>
        <v>30223</v>
      </c>
      <c r="F124">
        <f t="shared" si="17"/>
        <v>8374</v>
      </c>
      <c r="G124">
        <f t="shared" si="18"/>
        <v>6909</v>
      </c>
      <c r="H124">
        <f t="shared" si="19"/>
        <v>3383</v>
      </c>
      <c r="I124">
        <f t="shared" si="20"/>
        <v>6873</v>
      </c>
      <c r="J124">
        <f t="shared" si="21"/>
        <v>22474</v>
      </c>
      <c r="K124">
        <f t="shared" si="22"/>
        <v>97977</v>
      </c>
      <c r="L124">
        <f t="shared" si="23"/>
        <v>108595</v>
      </c>
      <c r="M124">
        <f t="shared" si="24"/>
        <v>20287</v>
      </c>
      <c r="N124">
        <f t="shared" si="25"/>
        <v>3324</v>
      </c>
      <c r="O124">
        <f t="shared" si="26"/>
        <v>397611</v>
      </c>
      <c r="Q124">
        <v>68615</v>
      </c>
      <c r="R124">
        <v>35272</v>
      </c>
      <c r="S124">
        <v>3120</v>
      </c>
      <c r="T124">
        <v>12276</v>
      </c>
      <c r="U124">
        <v>3806</v>
      </c>
      <c r="V124">
        <v>96</v>
      </c>
      <c r="W124">
        <v>10843</v>
      </c>
      <c r="X124">
        <v>1107</v>
      </c>
      <c r="Y124">
        <v>2827</v>
      </c>
      <c r="Z124" s="271">
        <v>7066</v>
      </c>
      <c r="AA124">
        <v>3683</v>
      </c>
      <c r="AB124">
        <v>0</v>
      </c>
      <c r="AC124">
        <v>12489</v>
      </c>
      <c r="AD124">
        <v>1433</v>
      </c>
      <c r="AE124">
        <v>4183</v>
      </c>
      <c r="AF124">
        <v>29148</v>
      </c>
      <c r="AG124">
        <v>3458</v>
      </c>
      <c r="AH124">
        <v>3216</v>
      </c>
      <c r="AI124">
        <v>105123</v>
      </c>
      <c r="AJ124">
        <v>7146</v>
      </c>
      <c r="AK124">
        <v>0</v>
      </c>
      <c r="AL124">
        <v>118129</v>
      </c>
      <c r="AM124">
        <v>9341</v>
      </c>
      <c r="AN124">
        <v>193</v>
      </c>
      <c r="AO124">
        <v>23270</v>
      </c>
      <c r="AP124">
        <v>1910</v>
      </c>
      <c r="AQ124">
        <v>1073</v>
      </c>
      <c r="AR124">
        <v>6452</v>
      </c>
      <c r="AS124">
        <v>2311</v>
      </c>
      <c r="AT124">
        <v>817</v>
      </c>
      <c r="AU124">
        <v>226</v>
      </c>
      <c r="AV124">
        <v>227</v>
      </c>
      <c r="AW124">
        <v>0</v>
      </c>
      <c r="AX124">
        <f t="shared" si="27"/>
        <v>397610</v>
      </c>
      <c r="AZ124" t="s">
        <v>407</v>
      </c>
      <c r="BA124" s="128">
        <v>377886</v>
      </c>
      <c r="BB124" s="128">
        <v>2805000</v>
      </c>
      <c r="BC124" s="128">
        <v>32838623</v>
      </c>
      <c r="BD124" s="128">
        <v>28784717</v>
      </c>
      <c r="BE124" s="128">
        <v>15981678</v>
      </c>
      <c r="BF124" s="128">
        <v>68048748.995729282</v>
      </c>
      <c r="BG124" s="272">
        <v>0</v>
      </c>
      <c r="BH124">
        <v>8646</v>
      </c>
      <c r="BI124">
        <v>11294</v>
      </c>
      <c r="BJ124">
        <v>1204</v>
      </c>
      <c r="BK124">
        <v>421</v>
      </c>
      <c r="BL124">
        <v>1511</v>
      </c>
      <c r="BM124">
        <v>429</v>
      </c>
      <c r="BN124" s="128">
        <v>317</v>
      </c>
      <c r="BO124" s="128">
        <v>2069</v>
      </c>
      <c r="BP124" s="128">
        <v>116</v>
      </c>
      <c r="BQ124" s="128">
        <f t="shared" si="28"/>
        <v>203420233.00427073</v>
      </c>
      <c r="BR124">
        <v>86935</v>
      </c>
      <c r="BS124" s="128">
        <f t="shared" si="15"/>
        <v>2339.9118077215244</v>
      </c>
      <c r="BT124" t="s">
        <v>441</v>
      </c>
      <c r="BU124" s="129">
        <f t="shared" si="29"/>
        <v>2341.2461379682604</v>
      </c>
      <c r="BZ124" t="s">
        <v>255</v>
      </c>
      <c r="CA124">
        <v>1451.265717021279</v>
      </c>
      <c r="CB124" t="s">
        <v>467</v>
      </c>
    </row>
    <row r="125" spans="1:80" ht="14.5" x14ac:dyDescent="0.25">
      <c r="A125" t="s">
        <v>371</v>
      </c>
      <c r="B125">
        <v>6394</v>
      </c>
      <c r="C125">
        <v>1440</v>
      </c>
      <c r="D125">
        <v>628</v>
      </c>
      <c r="E125">
        <f t="shared" si="16"/>
        <v>5599</v>
      </c>
      <c r="F125">
        <f t="shared" si="17"/>
        <v>1107</v>
      </c>
      <c r="G125">
        <f t="shared" si="18"/>
        <v>1683</v>
      </c>
      <c r="H125">
        <f t="shared" si="19"/>
        <v>1077</v>
      </c>
      <c r="I125">
        <f t="shared" si="20"/>
        <v>860</v>
      </c>
      <c r="J125">
        <f t="shared" si="21"/>
        <v>1607</v>
      </c>
      <c r="K125">
        <f t="shared" si="22"/>
        <v>3905</v>
      </c>
      <c r="L125">
        <f t="shared" si="23"/>
        <v>6924</v>
      </c>
      <c r="M125">
        <f t="shared" si="24"/>
        <v>3353</v>
      </c>
      <c r="N125">
        <f t="shared" si="25"/>
        <v>552</v>
      </c>
      <c r="O125">
        <f t="shared" si="26"/>
        <v>35129</v>
      </c>
      <c r="Q125">
        <v>8132</v>
      </c>
      <c r="R125">
        <v>2355</v>
      </c>
      <c r="S125">
        <v>178</v>
      </c>
      <c r="T125">
        <v>1310</v>
      </c>
      <c r="U125">
        <v>121</v>
      </c>
      <c r="V125">
        <v>82</v>
      </c>
      <c r="W125">
        <v>2607</v>
      </c>
      <c r="X125">
        <v>602</v>
      </c>
      <c r="Y125">
        <v>322</v>
      </c>
      <c r="Z125" s="271">
        <v>1214</v>
      </c>
      <c r="AA125">
        <v>125</v>
      </c>
      <c r="AB125">
        <v>12</v>
      </c>
      <c r="AC125">
        <v>1378</v>
      </c>
      <c r="AD125">
        <v>237</v>
      </c>
      <c r="AE125">
        <v>281</v>
      </c>
      <c r="AF125">
        <v>2508</v>
      </c>
      <c r="AG125">
        <v>815</v>
      </c>
      <c r="AH125">
        <v>86</v>
      </c>
      <c r="AI125">
        <v>3905</v>
      </c>
      <c r="AJ125">
        <v>0</v>
      </c>
      <c r="AK125">
        <v>0</v>
      </c>
      <c r="AL125">
        <v>8031</v>
      </c>
      <c r="AM125">
        <v>780</v>
      </c>
      <c r="AN125">
        <v>327</v>
      </c>
      <c r="AO125">
        <v>3952</v>
      </c>
      <c r="AP125">
        <v>449</v>
      </c>
      <c r="AQ125">
        <v>150</v>
      </c>
      <c r="AR125">
        <v>1412</v>
      </c>
      <c r="AS125">
        <v>858</v>
      </c>
      <c r="AT125">
        <v>2</v>
      </c>
      <c r="AU125">
        <v>372</v>
      </c>
      <c r="AV125">
        <v>52</v>
      </c>
      <c r="AW125">
        <v>0</v>
      </c>
      <c r="AX125">
        <f t="shared" si="27"/>
        <v>35449</v>
      </c>
      <c r="AZ125" t="s">
        <v>371</v>
      </c>
      <c r="BA125" s="128">
        <v>33009</v>
      </c>
      <c r="BB125" s="128">
        <v>187650</v>
      </c>
      <c r="BC125" s="128">
        <v>0</v>
      </c>
      <c r="BD125" s="128">
        <v>1005487</v>
      </c>
      <c r="BE125" s="128">
        <v>364246</v>
      </c>
      <c r="BF125" s="128">
        <v>2027793.4714783733</v>
      </c>
      <c r="BG125" s="272">
        <v>0</v>
      </c>
      <c r="BH125">
        <v>2012</v>
      </c>
      <c r="BI125">
        <v>1415</v>
      </c>
      <c r="BJ125">
        <v>177</v>
      </c>
      <c r="BK125">
        <v>2</v>
      </c>
      <c r="BL125">
        <v>471</v>
      </c>
      <c r="BM125">
        <v>55</v>
      </c>
      <c r="BN125" s="128">
        <v>175</v>
      </c>
      <c r="BO125" s="128">
        <v>0</v>
      </c>
      <c r="BP125" s="128">
        <v>15</v>
      </c>
      <c r="BQ125" s="128">
        <f t="shared" si="28"/>
        <v>25101823.528521627</v>
      </c>
      <c r="BR125">
        <v>16238</v>
      </c>
      <c r="BS125" s="128">
        <f t="shared" si="15"/>
        <v>1545.8691666782624</v>
      </c>
      <c r="BT125" t="s">
        <v>467</v>
      </c>
      <c r="BU125" s="129">
        <f t="shared" si="29"/>
        <v>1546.7929257618935</v>
      </c>
      <c r="BZ125" t="s">
        <v>185</v>
      </c>
      <c r="CA125">
        <v>1556.7042514393158</v>
      </c>
      <c r="CB125" t="s">
        <v>467</v>
      </c>
    </row>
    <row r="126" spans="1:80" ht="14.5" x14ac:dyDescent="0.25">
      <c r="A126" t="s">
        <v>257</v>
      </c>
      <c r="B126">
        <v>1268</v>
      </c>
      <c r="C126">
        <v>2116</v>
      </c>
      <c r="D126">
        <v>1541</v>
      </c>
      <c r="E126">
        <f t="shared" si="16"/>
        <v>9064</v>
      </c>
      <c r="F126">
        <f t="shared" si="17"/>
        <v>1588</v>
      </c>
      <c r="G126">
        <f t="shared" si="18"/>
        <v>2560</v>
      </c>
      <c r="H126">
        <f t="shared" si="19"/>
        <v>1271</v>
      </c>
      <c r="I126">
        <f t="shared" si="20"/>
        <v>1422</v>
      </c>
      <c r="J126">
        <f t="shared" si="21"/>
        <v>4311</v>
      </c>
      <c r="K126">
        <f t="shared" si="22"/>
        <v>6361</v>
      </c>
      <c r="L126">
        <f t="shared" si="23"/>
        <v>10306</v>
      </c>
      <c r="M126">
        <f t="shared" si="24"/>
        <v>4831</v>
      </c>
      <c r="N126">
        <f t="shared" si="25"/>
        <v>7197</v>
      </c>
      <c r="O126">
        <f t="shared" si="26"/>
        <v>53836</v>
      </c>
      <c r="Q126">
        <v>10402</v>
      </c>
      <c r="R126">
        <v>1268</v>
      </c>
      <c r="S126">
        <v>70</v>
      </c>
      <c r="T126">
        <v>1590</v>
      </c>
      <c r="U126">
        <v>0</v>
      </c>
      <c r="V126">
        <v>2</v>
      </c>
      <c r="W126">
        <v>3262</v>
      </c>
      <c r="X126">
        <v>0</v>
      </c>
      <c r="Y126">
        <v>702</v>
      </c>
      <c r="Z126" s="271">
        <v>1271</v>
      </c>
      <c r="AA126">
        <v>0</v>
      </c>
      <c r="AB126">
        <v>0</v>
      </c>
      <c r="AC126">
        <v>1833</v>
      </c>
      <c r="AD126">
        <v>0</v>
      </c>
      <c r="AE126">
        <v>411</v>
      </c>
      <c r="AF126">
        <v>4738</v>
      </c>
      <c r="AG126">
        <v>0</v>
      </c>
      <c r="AH126">
        <v>427</v>
      </c>
      <c r="AI126">
        <v>6361</v>
      </c>
      <c r="AJ126">
        <v>0</v>
      </c>
      <c r="AK126">
        <v>0</v>
      </c>
      <c r="AL126">
        <v>10314</v>
      </c>
      <c r="AM126">
        <v>0</v>
      </c>
      <c r="AN126">
        <v>8</v>
      </c>
      <c r="AO126">
        <v>5325</v>
      </c>
      <c r="AP126">
        <v>0</v>
      </c>
      <c r="AQ126">
        <v>494</v>
      </c>
      <c r="AR126">
        <v>7199</v>
      </c>
      <c r="AS126">
        <v>0</v>
      </c>
      <c r="AT126">
        <v>2</v>
      </c>
      <c r="AU126">
        <v>2958</v>
      </c>
      <c r="AV126">
        <v>0</v>
      </c>
      <c r="AW126">
        <v>0</v>
      </c>
      <c r="AX126">
        <f t="shared" si="27"/>
        <v>56794</v>
      </c>
      <c r="AZ126" t="s">
        <v>257</v>
      </c>
      <c r="BA126" s="128">
        <v>50179</v>
      </c>
      <c r="BB126" s="128">
        <v>470718</v>
      </c>
      <c r="BC126" s="128">
        <v>0</v>
      </c>
      <c r="BD126" s="128">
        <v>1146486</v>
      </c>
      <c r="BE126" s="128">
        <v>337819.85333333333</v>
      </c>
      <c r="BF126" s="128">
        <v>3871831.5489496347</v>
      </c>
      <c r="BG126" s="272">
        <v>0</v>
      </c>
      <c r="BH126">
        <v>2043</v>
      </c>
      <c r="BI126">
        <v>3133</v>
      </c>
      <c r="BJ126">
        <v>255</v>
      </c>
      <c r="BK126">
        <v>151</v>
      </c>
      <c r="BL126">
        <v>1917</v>
      </c>
      <c r="BM126">
        <v>64</v>
      </c>
      <c r="BN126" s="128">
        <v>40</v>
      </c>
      <c r="BO126" s="128">
        <v>0</v>
      </c>
      <c r="BP126" s="128">
        <v>16</v>
      </c>
      <c r="BQ126" s="128">
        <f t="shared" si="28"/>
        <v>36733144.597717032</v>
      </c>
      <c r="BR126">
        <v>24146</v>
      </c>
      <c r="BS126" s="128">
        <f t="shared" ref="BS126:BS188" si="30">BQ126/BR126</f>
        <v>1521.2931581925384</v>
      </c>
      <c r="BT126" t="s">
        <v>467</v>
      </c>
      <c r="BU126" s="129">
        <f t="shared" si="29"/>
        <v>1521.9557938257697</v>
      </c>
      <c r="BZ126" t="s">
        <v>371</v>
      </c>
      <c r="CA126">
        <v>1545.8691666782624</v>
      </c>
      <c r="CB126" t="s">
        <v>467</v>
      </c>
    </row>
    <row r="127" spans="1:80" ht="14.5" x14ac:dyDescent="0.25">
      <c r="A127" t="s">
        <v>149</v>
      </c>
      <c r="B127">
        <v>26801</v>
      </c>
      <c r="C127">
        <v>6759</v>
      </c>
      <c r="D127">
        <v>2482</v>
      </c>
      <c r="E127">
        <f t="shared" ref="E127:E189" si="31">SUM(Q127,-R127,-S127)</f>
        <v>4670</v>
      </c>
      <c r="F127">
        <f t="shared" ref="F127:F189" si="32">SUM(T127,-U127,-V127)</f>
        <v>2472</v>
      </c>
      <c r="G127">
        <f t="shared" ref="G127:G189" si="33">SUM(W127,-X127,-Y127)</f>
        <v>3100</v>
      </c>
      <c r="H127">
        <f t="shared" ref="H127:H189" si="34">SUM(Z127,-AA127,-AB127)</f>
        <v>5057</v>
      </c>
      <c r="I127">
        <f t="shared" ref="I127:I189" si="35">SUM(AC127,-AD127,-AE127)</f>
        <v>1478</v>
      </c>
      <c r="J127">
        <f t="shared" ref="J127:J189" si="36">SUM(AF127,-AG127,-AH127)</f>
        <v>5951</v>
      </c>
      <c r="K127">
        <f t="shared" ref="K127:K189" si="37">SUM(AI127,-AJ127,-AK127)</f>
        <v>8910</v>
      </c>
      <c r="L127">
        <f t="shared" ref="L127:L189" si="38">SUM(AL127,-AM127,-AN127)</f>
        <v>19588</v>
      </c>
      <c r="M127">
        <f t="shared" ref="M127:M189" si="39">SUM(AO127,-AP127,-AQ127)</f>
        <v>5243</v>
      </c>
      <c r="N127">
        <f t="shared" ref="N127:N189" si="40">SUM(AR127,-AS127,-AT127)</f>
        <v>713</v>
      </c>
      <c r="O127">
        <f t="shared" ref="O127:O189" si="41">SUM(B127:N127)</f>
        <v>93224</v>
      </c>
      <c r="Q127">
        <v>15216</v>
      </c>
      <c r="R127">
        <v>9104</v>
      </c>
      <c r="S127">
        <v>1442</v>
      </c>
      <c r="T127">
        <v>3129</v>
      </c>
      <c r="U127">
        <v>653</v>
      </c>
      <c r="V127">
        <v>4</v>
      </c>
      <c r="W127">
        <v>6684</v>
      </c>
      <c r="X127">
        <v>1918</v>
      </c>
      <c r="Y127">
        <v>1666</v>
      </c>
      <c r="Z127" s="271">
        <v>5608</v>
      </c>
      <c r="AA127">
        <v>484</v>
      </c>
      <c r="AB127">
        <v>67</v>
      </c>
      <c r="AC127">
        <v>2180</v>
      </c>
      <c r="AD127">
        <v>261</v>
      </c>
      <c r="AE127">
        <v>441</v>
      </c>
      <c r="AF127">
        <v>9706</v>
      </c>
      <c r="AG127">
        <v>2170</v>
      </c>
      <c r="AH127">
        <v>1585</v>
      </c>
      <c r="AI127">
        <v>14176</v>
      </c>
      <c r="AJ127">
        <v>5240</v>
      </c>
      <c r="AK127">
        <v>26</v>
      </c>
      <c r="AL127">
        <v>22534</v>
      </c>
      <c r="AM127">
        <v>2883</v>
      </c>
      <c r="AN127">
        <v>63</v>
      </c>
      <c r="AO127">
        <v>9273</v>
      </c>
      <c r="AP127">
        <v>2589</v>
      </c>
      <c r="AQ127">
        <v>1441</v>
      </c>
      <c r="AR127">
        <v>2188</v>
      </c>
      <c r="AS127">
        <v>1451</v>
      </c>
      <c r="AT127">
        <v>24</v>
      </c>
      <c r="AU127">
        <v>1223</v>
      </c>
      <c r="AV127">
        <v>48</v>
      </c>
      <c r="AW127">
        <v>0</v>
      </c>
      <c r="AX127">
        <f t="shared" ref="AX127:AX189" si="42">SUM(D127,Q127,T127,W127,Z127,AC127,AF127,AI127,AL127,AO127,AR127,AU127)</f>
        <v>94399</v>
      </c>
      <c r="AZ127" t="s">
        <v>149</v>
      </c>
      <c r="BA127" s="128">
        <v>83935</v>
      </c>
      <c r="BB127" s="128">
        <v>1683858</v>
      </c>
      <c r="BC127" s="128">
        <v>0</v>
      </c>
      <c r="BD127" s="128">
        <v>3543507</v>
      </c>
      <c r="BE127" s="128">
        <v>590090</v>
      </c>
      <c r="BF127" s="128">
        <v>6314036.3838672377</v>
      </c>
      <c r="BG127" s="272">
        <v>0</v>
      </c>
      <c r="BH127">
        <v>4368</v>
      </c>
      <c r="BI127">
        <v>3577</v>
      </c>
      <c r="BJ127">
        <v>366</v>
      </c>
      <c r="BK127">
        <v>419</v>
      </c>
      <c r="BL127">
        <v>662</v>
      </c>
      <c r="BM127">
        <v>174</v>
      </c>
      <c r="BN127" s="128">
        <v>510</v>
      </c>
      <c r="BO127" s="128">
        <v>0</v>
      </c>
      <c r="BP127" s="128">
        <v>209</v>
      </c>
      <c r="BQ127" s="128">
        <f t="shared" si="28"/>
        <v>61518508.616132766</v>
      </c>
      <c r="BR127">
        <v>35929</v>
      </c>
      <c r="BS127" s="128">
        <f t="shared" si="30"/>
        <v>1712.2243484687235</v>
      </c>
      <c r="BT127" t="s">
        <v>118</v>
      </c>
      <c r="BU127" s="129">
        <f t="shared" si="29"/>
        <v>1718.0413764962223</v>
      </c>
      <c r="BZ127" t="s">
        <v>257</v>
      </c>
      <c r="CA127">
        <v>1521.2931581925384</v>
      </c>
      <c r="CB127" t="s">
        <v>467</v>
      </c>
    </row>
    <row r="128" spans="1:80" ht="14.5" x14ac:dyDescent="0.25">
      <c r="A128" t="s">
        <v>296</v>
      </c>
      <c r="B128">
        <v>20147</v>
      </c>
      <c r="C128">
        <v>5725</v>
      </c>
      <c r="D128">
        <v>2054</v>
      </c>
      <c r="E128">
        <f t="shared" si="31"/>
        <v>8712</v>
      </c>
      <c r="F128">
        <f t="shared" si="32"/>
        <v>2204</v>
      </c>
      <c r="G128">
        <f t="shared" si="33"/>
        <v>4409</v>
      </c>
      <c r="H128">
        <f t="shared" si="34"/>
        <v>1585</v>
      </c>
      <c r="I128">
        <f t="shared" si="35"/>
        <v>4412</v>
      </c>
      <c r="J128">
        <f t="shared" si="36"/>
        <v>4857</v>
      </c>
      <c r="K128">
        <f t="shared" si="37"/>
        <v>25340</v>
      </c>
      <c r="L128">
        <f t="shared" si="38"/>
        <v>10841</v>
      </c>
      <c r="M128">
        <f t="shared" si="39"/>
        <v>7864</v>
      </c>
      <c r="N128">
        <f t="shared" si="40"/>
        <v>1408</v>
      </c>
      <c r="O128">
        <f t="shared" si="41"/>
        <v>99558</v>
      </c>
      <c r="Q128">
        <v>28148</v>
      </c>
      <c r="R128">
        <v>19018</v>
      </c>
      <c r="S128">
        <v>418</v>
      </c>
      <c r="T128">
        <v>2558</v>
      </c>
      <c r="U128">
        <v>333</v>
      </c>
      <c r="V128">
        <v>21</v>
      </c>
      <c r="W128">
        <v>5985</v>
      </c>
      <c r="X128">
        <v>229</v>
      </c>
      <c r="Y128">
        <v>1347</v>
      </c>
      <c r="Z128" s="271">
        <v>1882</v>
      </c>
      <c r="AA128">
        <v>16</v>
      </c>
      <c r="AB128">
        <v>281</v>
      </c>
      <c r="AC128">
        <v>5871</v>
      </c>
      <c r="AD128">
        <v>0</v>
      </c>
      <c r="AE128">
        <v>1459</v>
      </c>
      <c r="AF128">
        <v>6245</v>
      </c>
      <c r="AG128">
        <v>0</v>
      </c>
      <c r="AH128">
        <v>1388</v>
      </c>
      <c r="AI128">
        <v>25873</v>
      </c>
      <c r="AJ128">
        <v>533</v>
      </c>
      <c r="AK128">
        <v>0</v>
      </c>
      <c r="AL128">
        <v>10872</v>
      </c>
      <c r="AM128">
        <v>0</v>
      </c>
      <c r="AN128">
        <v>31</v>
      </c>
      <c r="AO128">
        <v>8661</v>
      </c>
      <c r="AP128">
        <v>18</v>
      </c>
      <c r="AQ128">
        <v>779</v>
      </c>
      <c r="AR128">
        <v>1409</v>
      </c>
      <c r="AS128">
        <v>0</v>
      </c>
      <c r="AT128">
        <v>1</v>
      </c>
      <c r="AU128">
        <v>25358</v>
      </c>
      <c r="AV128">
        <v>0</v>
      </c>
      <c r="AW128">
        <v>0</v>
      </c>
      <c r="AX128">
        <f t="shared" si="42"/>
        <v>124916</v>
      </c>
      <c r="AZ128" t="s">
        <v>296</v>
      </c>
      <c r="BA128" s="128">
        <v>91779</v>
      </c>
      <c r="BB128" s="128">
        <v>1445037</v>
      </c>
      <c r="BC128" s="128">
        <v>0</v>
      </c>
      <c r="BD128" s="128">
        <v>281881</v>
      </c>
      <c r="BE128" s="128">
        <v>495957.23666666669</v>
      </c>
      <c r="BF128" s="128">
        <v>13044083.461768964</v>
      </c>
      <c r="BG128" s="272">
        <v>2580678.9003517684</v>
      </c>
      <c r="BH128">
        <v>2923</v>
      </c>
      <c r="BI128">
        <v>4157</v>
      </c>
      <c r="BJ128">
        <v>470</v>
      </c>
      <c r="BK128">
        <v>76</v>
      </c>
      <c r="BL128">
        <v>215</v>
      </c>
      <c r="BM128">
        <v>108</v>
      </c>
      <c r="BN128" s="128">
        <v>544</v>
      </c>
      <c r="BO128" s="128">
        <v>0</v>
      </c>
      <c r="BP128" s="128">
        <v>172</v>
      </c>
      <c r="BQ128" s="128">
        <f t="shared" si="28"/>
        <v>65266362.401212603</v>
      </c>
      <c r="BR128">
        <v>40296</v>
      </c>
      <c r="BS128" s="128">
        <f t="shared" si="30"/>
        <v>1619.6734763056531</v>
      </c>
      <c r="BT128" t="s">
        <v>118</v>
      </c>
      <c r="BU128" s="129">
        <f t="shared" si="29"/>
        <v>1623.9418900439896</v>
      </c>
      <c r="BZ128" t="s">
        <v>297</v>
      </c>
      <c r="CA128">
        <v>1636.1919417262257</v>
      </c>
      <c r="CB128" t="s">
        <v>467</v>
      </c>
    </row>
    <row r="129" spans="1:80" ht="14.5" x14ac:dyDescent="0.25">
      <c r="A129" t="s">
        <v>372</v>
      </c>
      <c r="B129">
        <v>52838</v>
      </c>
      <c r="C129">
        <v>8975</v>
      </c>
      <c r="D129">
        <v>4120</v>
      </c>
      <c r="E129">
        <f t="shared" si="31"/>
        <v>-3360</v>
      </c>
      <c r="F129">
        <f t="shared" si="32"/>
        <v>8068</v>
      </c>
      <c r="G129">
        <f t="shared" si="33"/>
        <v>12896</v>
      </c>
      <c r="H129">
        <f t="shared" si="34"/>
        <v>12040</v>
      </c>
      <c r="I129">
        <f t="shared" si="35"/>
        <v>6416</v>
      </c>
      <c r="J129">
        <f t="shared" si="36"/>
        <v>23461</v>
      </c>
      <c r="K129">
        <f t="shared" si="37"/>
        <v>77005</v>
      </c>
      <c r="L129">
        <f t="shared" si="38"/>
        <v>98946</v>
      </c>
      <c r="M129">
        <f t="shared" si="39"/>
        <v>18540</v>
      </c>
      <c r="N129">
        <f t="shared" si="40"/>
        <v>6077</v>
      </c>
      <c r="O129">
        <f t="shared" si="41"/>
        <v>326022</v>
      </c>
      <c r="Q129">
        <v>45585</v>
      </c>
      <c r="R129">
        <v>51314</v>
      </c>
      <c r="S129">
        <v>-2369</v>
      </c>
      <c r="T129">
        <v>8179</v>
      </c>
      <c r="U129">
        <v>0</v>
      </c>
      <c r="V129">
        <v>111</v>
      </c>
      <c r="W129">
        <v>15971</v>
      </c>
      <c r="X129">
        <v>0</v>
      </c>
      <c r="Y129">
        <v>3075</v>
      </c>
      <c r="Z129" s="271">
        <v>13047</v>
      </c>
      <c r="AA129">
        <v>179</v>
      </c>
      <c r="AB129">
        <v>828</v>
      </c>
      <c r="AC129">
        <v>8590</v>
      </c>
      <c r="AD129">
        <v>0</v>
      </c>
      <c r="AE129">
        <v>2174</v>
      </c>
      <c r="AF129">
        <v>25297</v>
      </c>
      <c r="AG129">
        <v>0</v>
      </c>
      <c r="AH129">
        <v>1836</v>
      </c>
      <c r="AI129">
        <v>77005</v>
      </c>
      <c r="AJ129">
        <v>0</v>
      </c>
      <c r="AK129">
        <v>0</v>
      </c>
      <c r="AL129">
        <v>99947</v>
      </c>
      <c r="AM129">
        <v>0</v>
      </c>
      <c r="AN129">
        <v>1001</v>
      </c>
      <c r="AO129">
        <v>19671</v>
      </c>
      <c r="AP129">
        <v>0</v>
      </c>
      <c r="AQ129">
        <v>1131</v>
      </c>
      <c r="AR129">
        <v>7265</v>
      </c>
      <c r="AS129">
        <v>0</v>
      </c>
      <c r="AT129">
        <v>1188</v>
      </c>
      <c r="AU129">
        <v>23010</v>
      </c>
      <c r="AV129">
        <v>1345</v>
      </c>
      <c r="AW129">
        <v>0</v>
      </c>
      <c r="AX129">
        <f t="shared" si="42"/>
        <v>347687</v>
      </c>
      <c r="AZ129" t="s">
        <v>372</v>
      </c>
      <c r="BA129" s="128">
        <v>311582</v>
      </c>
      <c r="BB129" s="128">
        <v>2892498</v>
      </c>
      <c r="BC129" s="128">
        <v>18284867</v>
      </c>
      <c r="BD129" s="128">
        <v>17728387</v>
      </c>
      <c r="BE129" s="128">
        <v>7695366</v>
      </c>
      <c r="BF129" s="128">
        <v>41407431.415448427</v>
      </c>
      <c r="BG129" s="272">
        <v>816310.94189175963</v>
      </c>
      <c r="BH129">
        <v>8910</v>
      </c>
      <c r="BI129">
        <v>10746</v>
      </c>
      <c r="BJ129">
        <v>1466</v>
      </c>
      <c r="BK129">
        <v>0</v>
      </c>
      <c r="BL129">
        <v>3122</v>
      </c>
      <c r="BM129">
        <v>219</v>
      </c>
      <c r="BN129" s="128">
        <v>102</v>
      </c>
      <c r="BO129" s="128">
        <v>-11</v>
      </c>
      <c r="BP129" s="128">
        <v>1011</v>
      </c>
      <c r="BQ129" s="128">
        <f t="shared" si="28"/>
        <v>197192139.64265981</v>
      </c>
      <c r="BR129">
        <v>92624</v>
      </c>
      <c r="BS129" s="128">
        <f t="shared" si="30"/>
        <v>2128.9529672942199</v>
      </c>
      <c r="BT129" t="s">
        <v>441</v>
      </c>
      <c r="BU129" s="129">
        <f t="shared" si="29"/>
        <v>2139.868064893114</v>
      </c>
      <c r="BZ129" t="s">
        <v>186</v>
      </c>
      <c r="CA129">
        <v>1703.0410125151586</v>
      </c>
      <c r="CB129" t="s">
        <v>467</v>
      </c>
    </row>
    <row r="130" spans="1:80" ht="14.5" x14ac:dyDescent="0.25">
      <c r="A130" t="s">
        <v>297</v>
      </c>
      <c r="B130">
        <v>8169</v>
      </c>
      <c r="C130">
        <v>2677</v>
      </c>
      <c r="D130">
        <v>1059</v>
      </c>
      <c r="E130">
        <f t="shared" si="31"/>
        <v>6868</v>
      </c>
      <c r="F130">
        <f t="shared" si="32"/>
        <v>2283</v>
      </c>
      <c r="G130">
        <f t="shared" si="33"/>
        <v>3086</v>
      </c>
      <c r="H130">
        <f t="shared" si="34"/>
        <v>7558</v>
      </c>
      <c r="I130">
        <f t="shared" si="35"/>
        <v>1842</v>
      </c>
      <c r="J130">
        <f t="shared" si="36"/>
        <v>5902</v>
      </c>
      <c r="K130">
        <f t="shared" si="37"/>
        <v>8210</v>
      </c>
      <c r="L130">
        <f t="shared" si="38"/>
        <v>15009</v>
      </c>
      <c r="M130">
        <f t="shared" si="39"/>
        <v>7760</v>
      </c>
      <c r="N130">
        <f t="shared" si="40"/>
        <v>363</v>
      </c>
      <c r="O130">
        <f t="shared" si="41"/>
        <v>70786</v>
      </c>
      <c r="Q130">
        <v>10723</v>
      </c>
      <c r="R130">
        <v>3641</v>
      </c>
      <c r="S130">
        <v>214</v>
      </c>
      <c r="T130">
        <v>2467</v>
      </c>
      <c r="U130">
        <v>183</v>
      </c>
      <c r="V130">
        <v>1</v>
      </c>
      <c r="W130">
        <v>3902</v>
      </c>
      <c r="X130">
        <v>485</v>
      </c>
      <c r="Y130">
        <v>331</v>
      </c>
      <c r="Z130" s="271">
        <v>7764</v>
      </c>
      <c r="AA130">
        <v>206</v>
      </c>
      <c r="AB130">
        <v>0</v>
      </c>
      <c r="AC130">
        <v>2783</v>
      </c>
      <c r="AD130">
        <v>184</v>
      </c>
      <c r="AE130">
        <v>757</v>
      </c>
      <c r="AF130">
        <v>6827</v>
      </c>
      <c r="AG130">
        <v>516</v>
      </c>
      <c r="AH130">
        <v>409</v>
      </c>
      <c r="AI130">
        <v>8224</v>
      </c>
      <c r="AJ130">
        <v>14</v>
      </c>
      <c r="AK130">
        <v>0</v>
      </c>
      <c r="AL130">
        <v>15575</v>
      </c>
      <c r="AM130">
        <v>516</v>
      </c>
      <c r="AN130">
        <v>50</v>
      </c>
      <c r="AO130">
        <v>9465</v>
      </c>
      <c r="AP130">
        <v>790</v>
      </c>
      <c r="AQ130">
        <v>915</v>
      </c>
      <c r="AR130">
        <v>1582</v>
      </c>
      <c r="AS130">
        <v>1219</v>
      </c>
      <c r="AT130">
        <v>0</v>
      </c>
      <c r="AU130">
        <v>16883</v>
      </c>
      <c r="AV130">
        <v>415</v>
      </c>
      <c r="AW130">
        <v>0</v>
      </c>
      <c r="AX130">
        <f t="shared" si="42"/>
        <v>87254</v>
      </c>
      <c r="AZ130" t="s">
        <v>297</v>
      </c>
      <c r="BA130" s="128">
        <v>66635</v>
      </c>
      <c r="BB130" s="128">
        <v>516459</v>
      </c>
      <c r="BC130" s="128">
        <v>0</v>
      </c>
      <c r="BD130" s="128">
        <v>1050159</v>
      </c>
      <c r="BE130" s="128">
        <v>554117.38</v>
      </c>
      <c r="BF130" s="128">
        <v>5010175.0168806249</v>
      </c>
      <c r="BG130" s="272">
        <v>0</v>
      </c>
      <c r="BH130">
        <v>2343</v>
      </c>
      <c r="BI130">
        <v>3936</v>
      </c>
      <c r="BJ130">
        <v>460</v>
      </c>
      <c r="BK130">
        <v>308</v>
      </c>
      <c r="BL130">
        <v>671</v>
      </c>
      <c r="BM130">
        <v>137</v>
      </c>
      <c r="BN130" s="128">
        <v>0</v>
      </c>
      <c r="BO130" s="128">
        <v>0</v>
      </c>
      <c r="BP130" s="128">
        <v>523</v>
      </c>
      <c r="BQ130" s="128">
        <f t="shared" si="28"/>
        <v>51126089.603119373</v>
      </c>
      <c r="BR130">
        <v>31247</v>
      </c>
      <c r="BS130" s="128">
        <f t="shared" si="30"/>
        <v>1636.1919417262257</v>
      </c>
      <c r="BT130" t="s">
        <v>467</v>
      </c>
      <c r="BU130" s="129">
        <f t="shared" si="29"/>
        <v>1652.9295485364794</v>
      </c>
      <c r="BZ130" t="s">
        <v>373</v>
      </c>
      <c r="CA130">
        <v>1584.9514695386463</v>
      </c>
      <c r="CB130" t="s">
        <v>467</v>
      </c>
    </row>
    <row r="131" spans="1:80" ht="14.5" x14ac:dyDescent="0.25">
      <c r="A131" t="s">
        <v>444</v>
      </c>
      <c r="B131">
        <v>53094</v>
      </c>
      <c r="C131">
        <v>11928</v>
      </c>
      <c r="D131">
        <v>17385</v>
      </c>
      <c r="E131">
        <f t="shared" si="31"/>
        <v>14264</v>
      </c>
      <c r="F131">
        <f t="shared" si="32"/>
        <v>7033</v>
      </c>
      <c r="G131">
        <f t="shared" si="33"/>
        <v>7313</v>
      </c>
      <c r="H131">
        <f t="shared" si="34"/>
        <v>3807</v>
      </c>
      <c r="I131">
        <f t="shared" si="35"/>
        <v>8235</v>
      </c>
      <c r="J131">
        <f t="shared" si="36"/>
        <v>19057</v>
      </c>
      <c r="K131">
        <f t="shared" si="37"/>
        <v>60714</v>
      </c>
      <c r="L131">
        <f t="shared" si="38"/>
        <v>60659</v>
      </c>
      <c r="M131">
        <f t="shared" si="39"/>
        <v>18709</v>
      </c>
      <c r="N131">
        <f t="shared" si="40"/>
        <v>577</v>
      </c>
      <c r="O131">
        <f t="shared" si="41"/>
        <v>282775</v>
      </c>
      <c r="Q131">
        <v>38671</v>
      </c>
      <c r="R131">
        <v>20360</v>
      </c>
      <c r="S131">
        <v>4047</v>
      </c>
      <c r="T131">
        <v>9220</v>
      </c>
      <c r="U131">
        <v>2173</v>
      </c>
      <c r="V131">
        <v>14</v>
      </c>
      <c r="W131">
        <v>9852</v>
      </c>
      <c r="X131">
        <v>1155</v>
      </c>
      <c r="Y131">
        <v>1384</v>
      </c>
      <c r="Z131" s="271">
        <v>4459</v>
      </c>
      <c r="AA131">
        <v>627</v>
      </c>
      <c r="AB131">
        <v>25</v>
      </c>
      <c r="AC131">
        <v>11326</v>
      </c>
      <c r="AD131">
        <v>839</v>
      </c>
      <c r="AE131">
        <v>2252</v>
      </c>
      <c r="AF131">
        <v>24603</v>
      </c>
      <c r="AG131">
        <v>3095</v>
      </c>
      <c r="AH131">
        <v>2451</v>
      </c>
      <c r="AI131">
        <v>70597</v>
      </c>
      <c r="AJ131">
        <v>9883</v>
      </c>
      <c r="AK131">
        <v>0</v>
      </c>
      <c r="AL131">
        <v>68930</v>
      </c>
      <c r="AM131">
        <v>8090</v>
      </c>
      <c r="AN131">
        <v>181</v>
      </c>
      <c r="AO131">
        <v>21449</v>
      </c>
      <c r="AP131">
        <v>1924</v>
      </c>
      <c r="AQ131">
        <v>816</v>
      </c>
      <c r="AR131">
        <v>4064</v>
      </c>
      <c r="AS131">
        <v>3242</v>
      </c>
      <c r="AT131">
        <v>245</v>
      </c>
      <c r="AU131">
        <v>29976</v>
      </c>
      <c r="AV131">
        <v>1706</v>
      </c>
      <c r="AW131">
        <v>513</v>
      </c>
      <c r="AX131">
        <f t="shared" si="42"/>
        <v>310532</v>
      </c>
      <c r="AZ131" t="s">
        <v>444</v>
      </c>
      <c r="BA131" s="128">
        <v>251243</v>
      </c>
      <c r="BB131" s="128">
        <v>3876404</v>
      </c>
      <c r="BC131" s="128">
        <v>0</v>
      </c>
      <c r="BD131" s="128">
        <v>12643395</v>
      </c>
      <c r="BE131" s="128">
        <v>1748804</v>
      </c>
      <c r="BF131" s="128">
        <v>35754054.595510162</v>
      </c>
      <c r="BG131" s="272">
        <v>10946889.28801202</v>
      </c>
      <c r="BH131">
        <v>9994</v>
      </c>
      <c r="BI131">
        <v>8027</v>
      </c>
      <c r="BJ131">
        <v>903</v>
      </c>
      <c r="BK131">
        <v>523</v>
      </c>
      <c r="BL131">
        <v>1900</v>
      </c>
      <c r="BM131">
        <v>1275</v>
      </c>
      <c r="BN131" s="128">
        <v>143</v>
      </c>
      <c r="BO131" s="128">
        <v>1799</v>
      </c>
      <c r="BP131" s="128">
        <v>1646</v>
      </c>
      <c r="BQ131" s="128">
        <f t="shared" ref="BQ131:BQ194" si="43">SUM(1000*BA131,-BB131,-BC131,-BD131,-BE131,-BF131,-BG131,-1000*BH131,-1000*BI131,-1000*BJ131,-1000*BK131,-1000*BL131,-1000*BM131,-1000*BN131,-1000*BO131,-1000*BP131)</f>
        <v>160063453.11647782</v>
      </c>
      <c r="BR131">
        <v>81057</v>
      </c>
      <c r="BS131" s="128">
        <f t="shared" si="30"/>
        <v>1974.7024083851834</v>
      </c>
      <c r="BT131" t="s">
        <v>441</v>
      </c>
      <c r="BU131" s="129">
        <f t="shared" ref="BU131:BU194" si="44">SUM(BQ131,1000*BP131)/BR131</f>
        <v>1995.0091061410837</v>
      </c>
      <c r="BZ131" t="s">
        <v>374</v>
      </c>
      <c r="CA131">
        <v>1447.9974316201092</v>
      </c>
      <c r="CB131" t="s">
        <v>467</v>
      </c>
    </row>
    <row r="132" spans="1:80" ht="14.5" x14ac:dyDescent="0.25">
      <c r="A132" t="s">
        <v>600</v>
      </c>
      <c r="B132">
        <v>48655</v>
      </c>
      <c r="C132">
        <v>8860</v>
      </c>
      <c r="D132">
        <v>2115</v>
      </c>
      <c r="E132">
        <f t="shared" si="31"/>
        <v>11923</v>
      </c>
      <c r="F132">
        <f t="shared" si="32"/>
        <v>4266</v>
      </c>
      <c r="G132">
        <f t="shared" si="33"/>
        <v>4755</v>
      </c>
      <c r="H132">
        <f t="shared" si="34"/>
        <v>528</v>
      </c>
      <c r="I132">
        <f t="shared" si="35"/>
        <v>3358</v>
      </c>
      <c r="J132">
        <f t="shared" si="36"/>
        <v>4940</v>
      </c>
      <c r="K132">
        <f t="shared" si="37"/>
        <v>24545</v>
      </c>
      <c r="L132">
        <f t="shared" si="38"/>
        <v>35143</v>
      </c>
      <c r="M132">
        <f t="shared" si="39"/>
        <v>7661</v>
      </c>
      <c r="N132">
        <f t="shared" si="40"/>
        <v>2617</v>
      </c>
      <c r="O132">
        <f t="shared" si="41"/>
        <v>159366</v>
      </c>
      <c r="Q132">
        <v>32623</v>
      </c>
      <c r="R132">
        <v>18960</v>
      </c>
      <c r="S132">
        <v>1740</v>
      </c>
      <c r="T132">
        <v>4914</v>
      </c>
      <c r="U132">
        <v>645</v>
      </c>
      <c r="V132">
        <v>3</v>
      </c>
      <c r="W132">
        <v>8876</v>
      </c>
      <c r="X132">
        <v>1673</v>
      </c>
      <c r="Y132">
        <v>2448</v>
      </c>
      <c r="Z132" s="271">
        <v>1305</v>
      </c>
      <c r="AA132">
        <v>773</v>
      </c>
      <c r="AB132">
        <v>4</v>
      </c>
      <c r="AC132">
        <v>5776</v>
      </c>
      <c r="AD132">
        <v>595</v>
      </c>
      <c r="AE132">
        <v>1823</v>
      </c>
      <c r="AF132">
        <v>7377</v>
      </c>
      <c r="AG132">
        <v>1477</v>
      </c>
      <c r="AH132">
        <v>960</v>
      </c>
      <c r="AI132">
        <v>39309</v>
      </c>
      <c r="AJ132">
        <v>14622</v>
      </c>
      <c r="AK132">
        <v>142</v>
      </c>
      <c r="AL132">
        <v>39632</v>
      </c>
      <c r="AM132">
        <v>4419</v>
      </c>
      <c r="AN132">
        <v>70</v>
      </c>
      <c r="AO132">
        <v>11163</v>
      </c>
      <c r="AP132">
        <v>2017</v>
      </c>
      <c r="AQ132">
        <v>1485</v>
      </c>
      <c r="AR132">
        <v>6175</v>
      </c>
      <c r="AS132">
        <v>3474</v>
      </c>
      <c r="AT132">
        <v>84</v>
      </c>
      <c r="AU132">
        <v>101</v>
      </c>
      <c r="AV132">
        <v>0</v>
      </c>
      <c r="AW132">
        <v>101</v>
      </c>
      <c r="AX132">
        <f t="shared" si="42"/>
        <v>159366</v>
      </c>
      <c r="AZ132" t="s">
        <v>600</v>
      </c>
      <c r="BA132" s="128">
        <v>148290</v>
      </c>
      <c r="BB132" s="128">
        <v>2787000</v>
      </c>
      <c r="BC132" s="128">
        <v>0</v>
      </c>
      <c r="BD132" s="128">
        <v>8270346</v>
      </c>
      <c r="BE132" s="128">
        <v>3166350</v>
      </c>
      <c r="BF132" s="128">
        <v>16965283.800822902</v>
      </c>
      <c r="BG132" s="272">
        <v>3115744.3768058084</v>
      </c>
      <c r="BH132">
        <v>5224</v>
      </c>
      <c r="BI132">
        <v>5954</v>
      </c>
      <c r="BJ132">
        <v>683</v>
      </c>
      <c r="BK132">
        <v>716</v>
      </c>
      <c r="BL132">
        <v>1357</v>
      </c>
      <c r="BM132">
        <v>41</v>
      </c>
      <c r="BN132" s="128">
        <v>578</v>
      </c>
      <c r="BO132" s="128">
        <v>0</v>
      </c>
      <c r="BP132" s="128">
        <v>91</v>
      </c>
      <c r="BQ132" s="128">
        <f t="shared" si="43"/>
        <v>99341275.822371289</v>
      </c>
      <c r="BR132">
        <v>47843</v>
      </c>
      <c r="BS132" s="128">
        <f t="shared" si="30"/>
        <v>2076.4014761275689</v>
      </c>
      <c r="BT132" t="s">
        <v>118</v>
      </c>
      <c r="BU132" s="129">
        <f t="shared" si="44"/>
        <v>2078.303530764611</v>
      </c>
      <c r="BZ132" t="s">
        <v>601</v>
      </c>
      <c r="CA132">
        <v>1558.8062720850098</v>
      </c>
      <c r="CB132" t="s">
        <v>467</v>
      </c>
    </row>
    <row r="133" spans="1:80" ht="14.5" x14ac:dyDescent="0.25">
      <c r="A133" t="s">
        <v>186</v>
      </c>
      <c r="B133">
        <v>9300</v>
      </c>
      <c r="C133">
        <v>1351</v>
      </c>
      <c r="D133">
        <v>645</v>
      </c>
      <c r="E133">
        <f t="shared" si="31"/>
        <v>4082</v>
      </c>
      <c r="F133">
        <f t="shared" si="32"/>
        <v>1430</v>
      </c>
      <c r="G133">
        <f t="shared" si="33"/>
        <v>1245</v>
      </c>
      <c r="H133">
        <f t="shared" si="34"/>
        <v>204</v>
      </c>
      <c r="I133">
        <f t="shared" si="35"/>
        <v>897</v>
      </c>
      <c r="J133">
        <f t="shared" si="36"/>
        <v>2513</v>
      </c>
      <c r="K133">
        <f t="shared" si="37"/>
        <v>6487</v>
      </c>
      <c r="L133">
        <f t="shared" si="38"/>
        <v>7152</v>
      </c>
      <c r="M133">
        <f t="shared" si="39"/>
        <v>3388</v>
      </c>
      <c r="N133">
        <f t="shared" si="40"/>
        <v>1093</v>
      </c>
      <c r="O133">
        <f t="shared" si="41"/>
        <v>39787</v>
      </c>
      <c r="Q133">
        <v>9824</v>
      </c>
      <c r="R133">
        <v>4391</v>
      </c>
      <c r="S133">
        <v>1351</v>
      </c>
      <c r="T133">
        <v>1915</v>
      </c>
      <c r="U133">
        <v>485</v>
      </c>
      <c r="V133">
        <v>0</v>
      </c>
      <c r="W133">
        <v>1770</v>
      </c>
      <c r="X133">
        <v>525</v>
      </c>
      <c r="Y133">
        <v>0</v>
      </c>
      <c r="Z133" s="271">
        <v>422</v>
      </c>
      <c r="AA133">
        <v>218</v>
      </c>
      <c r="AB133">
        <v>0</v>
      </c>
      <c r="AC133">
        <v>1013</v>
      </c>
      <c r="AD133">
        <v>116</v>
      </c>
      <c r="AE133">
        <v>0</v>
      </c>
      <c r="AF133">
        <v>2989</v>
      </c>
      <c r="AG133">
        <v>476</v>
      </c>
      <c r="AH133">
        <v>0</v>
      </c>
      <c r="AI133">
        <v>7111</v>
      </c>
      <c r="AJ133">
        <v>624</v>
      </c>
      <c r="AK133">
        <v>0</v>
      </c>
      <c r="AL133">
        <v>8622</v>
      </c>
      <c r="AM133">
        <v>1470</v>
      </c>
      <c r="AN133">
        <v>0</v>
      </c>
      <c r="AO133">
        <v>3811</v>
      </c>
      <c r="AP133">
        <v>423</v>
      </c>
      <c r="AQ133">
        <v>0</v>
      </c>
      <c r="AR133">
        <v>1665</v>
      </c>
      <c r="AS133">
        <v>572</v>
      </c>
      <c r="AT133">
        <v>0</v>
      </c>
      <c r="AU133">
        <v>3402</v>
      </c>
      <c r="AV133">
        <v>0</v>
      </c>
      <c r="AW133">
        <v>0</v>
      </c>
      <c r="AX133">
        <f t="shared" si="42"/>
        <v>43189</v>
      </c>
      <c r="AZ133" t="s">
        <v>186</v>
      </c>
      <c r="BA133" s="128">
        <v>37791</v>
      </c>
      <c r="BB133" s="128">
        <v>94610</v>
      </c>
      <c r="BC133" s="128">
        <v>0</v>
      </c>
      <c r="BD133" s="128">
        <v>1361993</v>
      </c>
      <c r="BE133" s="128">
        <v>343939</v>
      </c>
      <c r="BF133" s="128">
        <v>3871451.6170183336</v>
      </c>
      <c r="BG133" s="272">
        <v>286319.84661800135</v>
      </c>
      <c r="BH133">
        <v>1251</v>
      </c>
      <c r="BI133">
        <v>1480</v>
      </c>
      <c r="BJ133">
        <v>260</v>
      </c>
      <c r="BK133">
        <v>76</v>
      </c>
      <c r="BL133">
        <v>424</v>
      </c>
      <c r="BM133">
        <v>39</v>
      </c>
      <c r="BN133" s="128">
        <v>0</v>
      </c>
      <c r="BO133" s="128">
        <v>0</v>
      </c>
      <c r="BP133" s="128">
        <v>85</v>
      </c>
      <c r="BQ133" s="128">
        <f t="shared" si="43"/>
        <v>28217686.536363665</v>
      </c>
      <c r="BR133">
        <v>16569</v>
      </c>
      <c r="BS133" s="128">
        <f t="shared" si="30"/>
        <v>1703.0410125151586</v>
      </c>
      <c r="BT133" t="s">
        <v>467</v>
      </c>
      <c r="BU133" s="129">
        <f t="shared" si="44"/>
        <v>1708.1710746794415</v>
      </c>
      <c r="BZ133" t="s">
        <v>150</v>
      </c>
      <c r="CA133">
        <v>1667.3370580647006</v>
      </c>
      <c r="CB133" t="s">
        <v>467</v>
      </c>
    </row>
    <row r="134" spans="1:80" ht="14.5" x14ac:dyDescent="0.25">
      <c r="A134" t="s">
        <v>373</v>
      </c>
      <c r="B134">
        <v>23968</v>
      </c>
      <c r="C134">
        <v>3100</v>
      </c>
      <c r="D134">
        <v>1447</v>
      </c>
      <c r="E134">
        <f t="shared" si="31"/>
        <v>5323</v>
      </c>
      <c r="F134">
        <f t="shared" si="32"/>
        <v>2978</v>
      </c>
      <c r="G134">
        <f t="shared" si="33"/>
        <v>3278</v>
      </c>
      <c r="H134">
        <f t="shared" si="34"/>
        <v>3945</v>
      </c>
      <c r="I134">
        <f t="shared" si="35"/>
        <v>2241</v>
      </c>
      <c r="J134">
        <f t="shared" si="36"/>
        <v>6747</v>
      </c>
      <c r="K134">
        <f t="shared" si="37"/>
        <v>15861</v>
      </c>
      <c r="L134">
        <f t="shared" si="38"/>
        <v>22780</v>
      </c>
      <c r="M134">
        <f t="shared" si="39"/>
        <v>9356</v>
      </c>
      <c r="N134">
        <f t="shared" si="40"/>
        <v>720</v>
      </c>
      <c r="O134">
        <f t="shared" si="41"/>
        <v>101744</v>
      </c>
      <c r="Q134">
        <v>15790</v>
      </c>
      <c r="R134">
        <v>10083</v>
      </c>
      <c r="S134">
        <v>384</v>
      </c>
      <c r="T134">
        <v>4024</v>
      </c>
      <c r="U134">
        <v>1037</v>
      </c>
      <c r="V134">
        <v>9</v>
      </c>
      <c r="W134">
        <v>4826</v>
      </c>
      <c r="X134">
        <v>1311</v>
      </c>
      <c r="Y134">
        <v>237</v>
      </c>
      <c r="Z134" s="271">
        <v>4515</v>
      </c>
      <c r="AA134">
        <v>495</v>
      </c>
      <c r="AB134">
        <v>75</v>
      </c>
      <c r="AC134">
        <v>3071</v>
      </c>
      <c r="AD134">
        <v>385</v>
      </c>
      <c r="AE134">
        <v>445</v>
      </c>
      <c r="AF134">
        <v>12037</v>
      </c>
      <c r="AG134">
        <v>3945</v>
      </c>
      <c r="AH134">
        <v>1345</v>
      </c>
      <c r="AI134">
        <v>15981</v>
      </c>
      <c r="AJ134">
        <v>120</v>
      </c>
      <c r="AK134">
        <v>0</v>
      </c>
      <c r="AL134">
        <v>24792</v>
      </c>
      <c r="AM134">
        <v>2010</v>
      </c>
      <c r="AN134">
        <v>2</v>
      </c>
      <c r="AO134">
        <v>11760</v>
      </c>
      <c r="AP134">
        <v>1805</v>
      </c>
      <c r="AQ134">
        <v>599</v>
      </c>
      <c r="AR134">
        <v>2488</v>
      </c>
      <c r="AS134">
        <v>1764</v>
      </c>
      <c r="AT134">
        <v>4</v>
      </c>
      <c r="AU134">
        <v>7544</v>
      </c>
      <c r="AV134">
        <v>1013</v>
      </c>
      <c r="AW134">
        <v>0</v>
      </c>
      <c r="AX134">
        <f t="shared" si="42"/>
        <v>108275</v>
      </c>
      <c r="AZ134" t="s">
        <v>373</v>
      </c>
      <c r="BA134" s="128">
        <v>96184</v>
      </c>
      <c r="BB134" s="128">
        <v>988322</v>
      </c>
      <c r="BC134" s="128">
        <v>0</v>
      </c>
      <c r="BD134" s="128">
        <v>3659024</v>
      </c>
      <c r="BE134" s="128">
        <v>600003.21666666667</v>
      </c>
      <c r="BF134" s="128">
        <v>9041155.0423379336</v>
      </c>
      <c r="BG134" s="272">
        <v>0</v>
      </c>
      <c r="BH134">
        <v>4226</v>
      </c>
      <c r="BI134">
        <v>3593</v>
      </c>
      <c r="BJ134">
        <v>447</v>
      </c>
      <c r="BK134">
        <v>160</v>
      </c>
      <c r="BL134">
        <v>1100</v>
      </c>
      <c r="BM134">
        <v>161</v>
      </c>
      <c r="BN134" s="128">
        <v>91</v>
      </c>
      <c r="BO134" s="128">
        <v>66</v>
      </c>
      <c r="BP134" s="128">
        <v>716</v>
      </c>
      <c r="BQ134" s="128">
        <f t="shared" si="43"/>
        <v>71335495.740995392</v>
      </c>
      <c r="BR134">
        <v>45008</v>
      </c>
      <c r="BS134" s="128">
        <f t="shared" si="30"/>
        <v>1584.9514695386463</v>
      </c>
      <c r="BT134" t="s">
        <v>467</v>
      </c>
      <c r="BU134" s="129">
        <f t="shared" si="44"/>
        <v>1600.8597525105624</v>
      </c>
      <c r="BZ134" t="s">
        <v>259</v>
      </c>
      <c r="CA134">
        <v>1493.4853536446885</v>
      </c>
      <c r="CB134" t="s">
        <v>467</v>
      </c>
    </row>
    <row r="135" spans="1:80" ht="14.5" x14ac:dyDescent="0.25">
      <c r="A135" t="s">
        <v>298</v>
      </c>
      <c r="B135">
        <v>1179</v>
      </c>
      <c r="C135">
        <v>3352</v>
      </c>
      <c r="D135">
        <v>117</v>
      </c>
      <c r="E135">
        <f t="shared" si="31"/>
        <v>9296</v>
      </c>
      <c r="F135">
        <f t="shared" si="32"/>
        <v>2147</v>
      </c>
      <c r="G135">
        <f t="shared" si="33"/>
        <v>2596</v>
      </c>
      <c r="H135">
        <f t="shared" si="34"/>
        <v>970</v>
      </c>
      <c r="I135">
        <f t="shared" si="35"/>
        <v>1148</v>
      </c>
      <c r="J135">
        <f t="shared" si="36"/>
        <v>4183</v>
      </c>
      <c r="K135">
        <f t="shared" si="37"/>
        <v>6977</v>
      </c>
      <c r="L135">
        <f t="shared" si="38"/>
        <v>12936</v>
      </c>
      <c r="M135">
        <f t="shared" si="39"/>
        <v>6218</v>
      </c>
      <c r="N135">
        <f t="shared" si="40"/>
        <v>1067</v>
      </c>
      <c r="O135">
        <f t="shared" si="41"/>
        <v>52186</v>
      </c>
      <c r="Q135">
        <v>10668</v>
      </c>
      <c r="R135">
        <v>1176</v>
      </c>
      <c r="S135">
        <v>196</v>
      </c>
      <c r="T135">
        <v>2153</v>
      </c>
      <c r="U135">
        <v>3</v>
      </c>
      <c r="V135">
        <v>3</v>
      </c>
      <c r="W135">
        <v>4037</v>
      </c>
      <c r="X135">
        <v>0</v>
      </c>
      <c r="Y135">
        <v>1441</v>
      </c>
      <c r="Z135" s="271">
        <v>970</v>
      </c>
      <c r="AA135">
        <v>0</v>
      </c>
      <c r="AB135">
        <v>0</v>
      </c>
      <c r="AC135">
        <v>1955</v>
      </c>
      <c r="AD135">
        <v>0</v>
      </c>
      <c r="AE135">
        <v>807</v>
      </c>
      <c r="AF135">
        <v>4245</v>
      </c>
      <c r="AG135">
        <v>0</v>
      </c>
      <c r="AH135">
        <v>62</v>
      </c>
      <c r="AI135">
        <v>6977</v>
      </c>
      <c r="AJ135">
        <v>0</v>
      </c>
      <c r="AK135">
        <v>0</v>
      </c>
      <c r="AL135">
        <v>13004</v>
      </c>
      <c r="AM135">
        <v>0</v>
      </c>
      <c r="AN135">
        <v>68</v>
      </c>
      <c r="AO135">
        <v>6710</v>
      </c>
      <c r="AP135">
        <v>0</v>
      </c>
      <c r="AQ135">
        <v>492</v>
      </c>
      <c r="AR135">
        <v>1350</v>
      </c>
      <c r="AS135">
        <v>0</v>
      </c>
      <c r="AT135">
        <v>283</v>
      </c>
      <c r="AU135">
        <v>4573</v>
      </c>
      <c r="AV135">
        <v>0</v>
      </c>
      <c r="AW135">
        <v>0</v>
      </c>
      <c r="AX135">
        <f t="shared" si="42"/>
        <v>56759</v>
      </c>
      <c r="AZ135" t="s">
        <v>298</v>
      </c>
      <c r="BA135" s="128">
        <v>48717</v>
      </c>
      <c r="BB135" s="128">
        <v>359626</v>
      </c>
      <c r="BC135" s="128">
        <v>0</v>
      </c>
      <c r="BD135" s="128">
        <v>1739025</v>
      </c>
      <c r="BE135" s="128">
        <v>390054.38</v>
      </c>
      <c r="BF135" s="128">
        <v>4091034.2116071321</v>
      </c>
      <c r="BG135" s="272">
        <v>0</v>
      </c>
      <c r="BH135">
        <v>2384</v>
      </c>
      <c r="BI135">
        <v>3099</v>
      </c>
      <c r="BJ135">
        <v>298</v>
      </c>
      <c r="BK135">
        <v>81</v>
      </c>
      <c r="BL135">
        <v>352</v>
      </c>
      <c r="BM135">
        <v>85</v>
      </c>
      <c r="BN135" s="128">
        <v>0</v>
      </c>
      <c r="BO135" s="128">
        <v>0</v>
      </c>
      <c r="BP135" s="128">
        <v>1934</v>
      </c>
      <c r="BQ135" s="128">
        <f t="shared" si="43"/>
        <v>33904260.408392861</v>
      </c>
      <c r="BR135">
        <v>22204</v>
      </c>
      <c r="BS135" s="128">
        <f t="shared" si="30"/>
        <v>1526.9438123037678</v>
      </c>
      <c r="BT135" t="s">
        <v>118</v>
      </c>
      <c r="BU135" s="129">
        <f t="shared" si="44"/>
        <v>1614.0452354707647</v>
      </c>
      <c r="BZ135" t="s">
        <v>408</v>
      </c>
      <c r="CA135">
        <v>1661.8657343332168</v>
      </c>
      <c r="CB135" t="s">
        <v>467</v>
      </c>
    </row>
    <row r="136" spans="1:80" ht="14.5" x14ac:dyDescent="0.25">
      <c r="A136" t="s">
        <v>374</v>
      </c>
      <c r="B136">
        <v>9593</v>
      </c>
      <c r="C136">
        <v>1713</v>
      </c>
      <c r="D136">
        <v>400</v>
      </c>
      <c r="E136">
        <f t="shared" si="31"/>
        <v>3014</v>
      </c>
      <c r="F136">
        <f t="shared" si="32"/>
        <v>1090</v>
      </c>
      <c r="G136">
        <f t="shared" si="33"/>
        <v>1011</v>
      </c>
      <c r="H136">
        <f t="shared" si="34"/>
        <v>226</v>
      </c>
      <c r="I136">
        <f t="shared" si="35"/>
        <v>1203</v>
      </c>
      <c r="J136">
        <f t="shared" si="36"/>
        <v>2842</v>
      </c>
      <c r="K136">
        <f t="shared" si="37"/>
        <v>3651</v>
      </c>
      <c r="L136">
        <f t="shared" si="38"/>
        <v>7139</v>
      </c>
      <c r="M136">
        <f t="shared" si="39"/>
        <v>2892</v>
      </c>
      <c r="N136">
        <f t="shared" si="40"/>
        <v>385</v>
      </c>
      <c r="O136">
        <f t="shared" si="41"/>
        <v>35159</v>
      </c>
      <c r="Q136">
        <v>8151</v>
      </c>
      <c r="R136">
        <v>4950</v>
      </c>
      <c r="S136">
        <v>187</v>
      </c>
      <c r="T136">
        <v>1429</v>
      </c>
      <c r="U136">
        <v>330</v>
      </c>
      <c r="V136">
        <v>9</v>
      </c>
      <c r="W136">
        <v>1612</v>
      </c>
      <c r="X136">
        <v>429</v>
      </c>
      <c r="Y136">
        <v>172</v>
      </c>
      <c r="Z136" s="271">
        <v>349</v>
      </c>
      <c r="AA136">
        <v>122</v>
      </c>
      <c r="AB136">
        <v>1</v>
      </c>
      <c r="AC136">
        <v>1507</v>
      </c>
      <c r="AD136">
        <v>72</v>
      </c>
      <c r="AE136">
        <v>232</v>
      </c>
      <c r="AF136">
        <v>3625</v>
      </c>
      <c r="AG136">
        <v>266</v>
      </c>
      <c r="AH136">
        <v>517</v>
      </c>
      <c r="AI136">
        <v>4195</v>
      </c>
      <c r="AJ136">
        <v>544</v>
      </c>
      <c r="AK136">
        <v>0</v>
      </c>
      <c r="AL136">
        <v>8218</v>
      </c>
      <c r="AM136">
        <v>1075</v>
      </c>
      <c r="AN136">
        <v>4</v>
      </c>
      <c r="AO136">
        <v>3962</v>
      </c>
      <c r="AP136">
        <v>479</v>
      </c>
      <c r="AQ136">
        <v>591</v>
      </c>
      <c r="AR136">
        <v>1572</v>
      </c>
      <c r="AS136">
        <v>1187</v>
      </c>
      <c r="AT136">
        <v>0</v>
      </c>
      <c r="AU136">
        <v>3038</v>
      </c>
      <c r="AV136">
        <v>139</v>
      </c>
      <c r="AW136">
        <v>0</v>
      </c>
      <c r="AX136">
        <f t="shared" si="42"/>
        <v>38058</v>
      </c>
      <c r="AZ136" t="s">
        <v>374</v>
      </c>
      <c r="BA136" s="128">
        <v>32907</v>
      </c>
      <c r="BB136" s="128">
        <v>254170</v>
      </c>
      <c r="BC136" s="128">
        <v>0</v>
      </c>
      <c r="BD136" s="128">
        <v>1320004</v>
      </c>
      <c r="BE136" s="128">
        <v>374493</v>
      </c>
      <c r="BF136" s="128">
        <v>1706099.8310252829</v>
      </c>
      <c r="BG136" s="272">
        <v>61569.487402242608</v>
      </c>
      <c r="BH136">
        <v>1463</v>
      </c>
      <c r="BI136">
        <v>1156</v>
      </c>
      <c r="BJ136">
        <v>191</v>
      </c>
      <c r="BK136">
        <v>0</v>
      </c>
      <c r="BL136">
        <v>678</v>
      </c>
      <c r="BM136">
        <v>455</v>
      </c>
      <c r="BN136" s="128">
        <v>1338</v>
      </c>
      <c r="BO136" s="128">
        <v>0</v>
      </c>
      <c r="BP136" s="128">
        <v>1179</v>
      </c>
      <c r="BQ136" s="128">
        <f t="shared" si="43"/>
        <v>22730663.681572475</v>
      </c>
      <c r="BR136">
        <v>15698</v>
      </c>
      <c r="BS136" s="128">
        <f t="shared" si="30"/>
        <v>1447.9974316201092</v>
      </c>
      <c r="BT136" t="s">
        <v>467</v>
      </c>
      <c r="BU136" s="129">
        <f t="shared" si="44"/>
        <v>1523.1025405511832</v>
      </c>
      <c r="BZ136" t="s">
        <v>221</v>
      </c>
      <c r="CA136">
        <v>1627.4064946295368</v>
      </c>
      <c r="CB136" t="s">
        <v>467</v>
      </c>
    </row>
    <row r="137" spans="1:80" ht="14.5" x14ac:dyDescent="0.25">
      <c r="A137" t="s">
        <v>258</v>
      </c>
      <c r="B137">
        <v>57141</v>
      </c>
      <c r="C137">
        <v>10221</v>
      </c>
      <c r="D137">
        <v>3683</v>
      </c>
      <c r="E137">
        <f t="shared" si="31"/>
        <v>13723</v>
      </c>
      <c r="F137">
        <f t="shared" si="32"/>
        <v>9525</v>
      </c>
      <c r="G137">
        <f t="shared" si="33"/>
        <v>10953</v>
      </c>
      <c r="H137">
        <f t="shared" si="34"/>
        <v>2702</v>
      </c>
      <c r="I137">
        <f t="shared" si="35"/>
        <v>8449</v>
      </c>
      <c r="J137">
        <f t="shared" si="36"/>
        <v>14048</v>
      </c>
      <c r="K137">
        <f t="shared" si="37"/>
        <v>45590</v>
      </c>
      <c r="L137">
        <f t="shared" si="38"/>
        <v>69490</v>
      </c>
      <c r="M137">
        <f t="shared" si="39"/>
        <v>17097</v>
      </c>
      <c r="N137">
        <f t="shared" si="40"/>
        <v>1808</v>
      </c>
      <c r="O137">
        <f t="shared" si="41"/>
        <v>264430</v>
      </c>
      <c r="Q137">
        <v>43412</v>
      </c>
      <c r="R137">
        <v>28390</v>
      </c>
      <c r="S137">
        <v>1299</v>
      </c>
      <c r="T137">
        <v>12321</v>
      </c>
      <c r="U137">
        <v>2796</v>
      </c>
      <c r="V137">
        <v>0</v>
      </c>
      <c r="W137">
        <v>17149</v>
      </c>
      <c r="X137">
        <v>3172</v>
      </c>
      <c r="Y137">
        <v>3024</v>
      </c>
      <c r="Z137" s="271">
        <v>3495</v>
      </c>
      <c r="AA137">
        <v>753</v>
      </c>
      <c r="AB137">
        <v>40</v>
      </c>
      <c r="AC137">
        <v>12628</v>
      </c>
      <c r="AD137">
        <v>752</v>
      </c>
      <c r="AE137">
        <v>3427</v>
      </c>
      <c r="AF137">
        <v>17709</v>
      </c>
      <c r="AG137">
        <v>2392</v>
      </c>
      <c r="AH137">
        <v>1269</v>
      </c>
      <c r="AI137">
        <v>50966</v>
      </c>
      <c r="AJ137">
        <v>5376</v>
      </c>
      <c r="AK137">
        <v>0</v>
      </c>
      <c r="AL137">
        <v>75800</v>
      </c>
      <c r="AM137">
        <v>6289</v>
      </c>
      <c r="AN137">
        <v>21</v>
      </c>
      <c r="AO137">
        <v>20177</v>
      </c>
      <c r="AP137">
        <v>1953</v>
      </c>
      <c r="AQ137">
        <v>1127</v>
      </c>
      <c r="AR137">
        <v>6499</v>
      </c>
      <c r="AS137">
        <v>4677</v>
      </c>
      <c r="AT137">
        <v>14</v>
      </c>
      <c r="AU137">
        <v>806</v>
      </c>
      <c r="AV137">
        <v>591</v>
      </c>
      <c r="AW137">
        <v>0</v>
      </c>
      <c r="AX137">
        <f t="shared" si="42"/>
        <v>264645</v>
      </c>
      <c r="AZ137" t="s">
        <v>258</v>
      </c>
      <c r="BA137" s="128">
        <v>249935</v>
      </c>
      <c r="BB137" s="128">
        <v>1795772</v>
      </c>
      <c r="BC137" s="128">
        <v>13929986</v>
      </c>
      <c r="BD137" s="128">
        <v>6971121</v>
      </c>
      <c r="BE137" s="128">
        <v>7205542</v>
      </c>
      <c r="BF137" s="128">
        <v>32311637.85770515</v>
      </c>
      <c r="BG137" s="272">
        <v>0</v>
      </c>
      <c r="BH137">
        <v>7950</v>
      </c>
      <c r="BI137">
        <v>11194</v>
      </c>
      <c r="BJ137">
        <v>1265</v>
      </c>
      <c r="BK137">
        <v>0</v>
      </c>
      <c r="BL137">
        <v>2656</v>
      </c>
      <c r="BM137">
        <v>1852</v>
      </c>
      <c r="BN137" s="128">
        <v>0</v>
      </c>
      <c r="BO137" s="128">
        <v>4435</v>
      </c>
      <c r="BP137" s="128">
        <v>890</v>
      </c>
      <c r="BQ137" s="128">
        <f t="shared" si="43"/>
        <v>157478941.14229485</v>
      </c>
      <c r="BR137">
        <v>91180</v>
      </c>
      <c r="BS137" s="128">
        <f t="shared" si="30"/>
        <v>1727.1215304046375</v>
      </c>
      <c r="BT137" t="s">
        <v>441</v>
      </c>
      <c r="BU137" s="129">
        <f t="shared" si="44"/>
        <v>1736.8824428854448</v>
      </c>
      <c r="BZ137" t="s">
        <v>222</v>
      </c>
      <c r="CA137">
        <v>1535.8970415346123</v>
      </c>
      <c r="CB137" t="s">
        <v>467</v>
      </c>
    </row>
    <row r="138" spans="1:80" ht="14.5" x14ac:dyDescent="0.25">
      <c r="A138" t="s">
        <v>601</v>
      </c>
      <c r="B138">
        <v>52813</v>
      </c>
      <c r="C138">
        <v>10135</v>
      </c>
      <c r="D138">
        <v>349</v>
      </c>
      <c r="E138">
        <f t="shared" si="31"/>
        <v>19634</v>
      </c>
      <c r="F138">
        <f t="shared" si="32"/>
        <v>7589</v>
      </c>
      <c r="G138">
        <f t="shared" si="33"/>
        <v>10265</v>
      </c>
      <c r="H138">
        <f t="shared" si="34"/>
        <v>3142</v>
      </c>
      <c r="I138">
        <f t="shared" si="35"/>
        <v>4178</v>
      </c>
      <c r="J138">
        <f t="shared" si="36"/>
        <v>14275</v>
      </c>
      <c r="K138">
        <f t="shared" si="37"/>
        <v>17606</v>
      </c>
      <c r="L138">
        <f t="shared" si="38"/>
        <v>39817</v>
      </c>
      <c r="M138">
        <f t="shared" si="39"/>
        <v>18148</v>
      </c>
      <c r="N138">
        <f t="shared" si="40"/>
        <v>2048</v>
      </c>
      <c r="O138">
        <f t="shared" si="41"/>
        <v>199999</v>
      </c>
      <c r="Q138">
        <v>44642</v>
      </c>
      <c r="R138">
        <v>22091</v>
      </c>
      <c r="S138">
        <v>2917</v>
      </c>
      <c r="T138">
        <v>9173</v>
      </c>
      <c r="U138">
        <v>1576</v>
      </c>
      <c r="V138">
        <v>8</v>
      </c>
      <c r="W138">
        <v>15941</v>
      </c>
      <c r="X138">
        <v>4136</v>
      </c>
      <c r="Y138">
        <v>1540</v>
      </c>
      <c r="Z138" s="271">
        <v>4131</v>
      </c>
      <c r="AA138">
        <v>944</v>
      </c>
      <c r="AB138">
        <v>45</v>
      </c>
      <c r="AC138">
        <v>5936</v>
      </c>
      <c r="AD138">
        <v>527</v>
      </c>
      <c r="AE138">
        <v>1231</v>
      </c>
      <c r="AF138">
        <v>22472</v>
      </c>
      <c r="AG138">
        <v>5952</v>
      </c>
      <c r="AH138">
        <v>2245</v>
      </c>
      <c r="AI138">
        <v>22694</v>
      </c>
      <c r="AJ138">
        <v>4863</v>
      </c>
      <c r="AK138">
        <v>225</v>
      </c>
      <c r="AL138">
        <v>43530</v>
      </c>
      <c r="AM138">
        <v>3293</v>
      </c>
      <c r="AN138">
        <v>420</v>
      </c>
      <c r="AO138">
        <v>22760</v>
      </c>
      <c r="AP138">
        <v>3108</v>
      </c>
      <c r="AQ138">
        <v>1504</v>
      </c>
      <c r="AR138">
        <v>8235</v>
      </c>
      <c r="AS138">
        <v>6187</v>
      </c>
      <c r="AT138">
        <v>0</v>
      </c>
      <c r="AU138">
        <v>2679</v>
      </c>
      <c r="AV138">
        <v>136</v>
      </c>
      <c r="AW138">
        <v>0</v>
      </c>
      <c r="AX138">
        <f t="shared" si="42"/>
        <v>202542</v>
      </c>
      <c r="AZ138" t="s">
        <v>601</v>
      </c>
      <c r="BA138" s="128">
        <v>189379</v>
      </c>
      <c r="BB138" s="128">
        <v>2081084</v>
      </c>
      <c r="BC138" s="128">
        <v>0</v>
      </c>
      <c r="BD138" s="128">
        <v>4445141</v>
      </c>
      <c r="BE138" s="128">
        <v>1320444.4133333333</v>
      </c>
      <c r="BF138" s="128">
        <v>13812573.09549986</v>
      </c>
      <c r="BG138" s="272">
        <v>2938394.197155891</v>
      </c>
      <c r="BH138">
        <v>8174</v>
      </c>
      <c r="BI138">
        <v>8501</v>
      </c>
      <c r="BJ138">
        <v>1050</v>
      </c>
      <c r="BK138">
        <v>1262</v>
      </c>
      <c r="BL138">
        <v>2799</v>
      </c>
      <c r="BM138">
        <v>422</v>
      </c>
      <c r="BN138" s="128">
        <v>134</v>
      </c>
      <c r="BO138" s="128">
        <v>0</v>
      </c>
      <c r="BP138" s="128">
        <v>5227</v>
      </c>
      <c r="BQ138" s="128">
        <f t="shared" si="43"/>
        <v>137212363.29401091</v>
      </c>
      <c r="BR138">
        <v>88024</v>
      </c>
      <c r="BS138" s="128">
        <f t="shared" si="30"/>
        <v>1558.8062720850098</v>
      </c>
      <c r="BT138" t="s">
        <v>467</v>
      </c>
      <c r="BU138" s="129">
        <f t="shared" si="44"/>
        <v>1618.18780439438</v>
      </c>
      <c r="BZ138" t="s">
        <v>299</v>
      </c>
      <c r="CA138">
        <v>1353.5109712085225</v>
      </c>
      <c r="CB138" t="s">
        <v>467</v>
      </c>
    </row>
    <row r="139" spans="1:80" ht="14.5" x14ac:dyDescent="0.25">
      <c r="A139" t="s">
        <v>150</v>
      </c>
      <c r="B139">
        <v>17795</v>
      </c>
      <c r="C139">
        <v>4938</v>
      </c>
      <c r="D139">
        <v>1347</v>
      </c>
      <c r="E139">
        <f t="shared" si="31"/>
        <v>6198</v>
      </c>
      <c r="F139">
        <f t="shared" si="32"/>
        <v>2780</v>
      </c>
      <c r="G139">
        <f t="shared" si="33"/>
        <v>3170</v>
      </c>
      <c r="H139">
        <f t="shared" si="34"/>
        <v>602</v>
      </c>
      <c r="I139">
        <f t="shared" si="35"/>
        <v>1551</v>
      </c>
      <c r="J139">
        <f t="shared" si="36"/>
        <v>7103</v>
      </c>
      <c r="K139">
        <f t="shared" si="37"/>
        <v>11548</v>
      </c>
      <c r="L139">
        <f t="shared" si="38"/>
        <v>20572</v>
      </c>
      <c r="M139">
        <f t="shared" si="39"/>
        <v>6866</v>
      </c>
      <c r="N139">
        <f t="shared" si="40"/>
        <v>423</v>
      </c>
      <c r="O139">
        <f t="shared" si="41"/>
        <v>84893</v>
      </c>
      <c r="Q139">
        <v>14821</v>
      </c>
      <c r="R139">
        <v>7952</v>
      </c>
      <c r="S139">
        <v>671</v>
      </c>
      <c r="T139">
        <v>3279</v>
      </c>
      <c r="U139">
        <v>499</v>
      </c>
      <c r="V139">
        <v>0</v>
      </c>
      <c r="W139">
        <v>4569</v>
      </c>
      <c r="X139">
        <v>742</v>
      </c>
      <c r="Y139">
        <v>657</v>
      </c>
      <c r="Z139" s="271">
        <v>1035</v>
      </c>
      <c r="AA139">
        <v>383</v>
      </c>
      <c r="AB139">
        <v>50</v>
      </c>
      <c r="AC139">
        <v>2723</v>
      </c>
      <c r="AD139">
        <v>337</v>
      </c>
      <c r="AE139">
        <v>835</v>
      </c>
      <c r="AF139">
        <v>8958</v>
      </c>
      <c r="AG139">
        <v>724</v>
      </c>
      <c r="AH139">
        <v>1131</v>
      </c>
      <c r="AI139">
        <v>13126</v>
      </c>
      <c r="AJ139">
        <v>1578</v>
      </c>
      <c r="AK139">
        <v>0</v>
      </c>
      <c r="AL139">
        <v>23099</v>
      </c>
      <c r="AM139">
        <v>2452</v>
      </c>
      <c r="AN139">
        <v>75</v>
      </c>
      <c r="AO139">
        <v>9674</v>
      </c>
      <c r="AP139">
        <v>1289</v>
      </c>
      <c r="AQ139">
        <v>1519</v>
      </c>
      <c r="AR139">
        <v>2129</v>
      </c>
      <c r="AS139">
        <v>1706</v>
      </c>
      <c r="AT139">
        <v>0</v>
      </c>
      <c r="AU139">
        <v>200</v>
      </c>
      <c r="AV139">
        <v>133</v>
      </c>
      <c r="AW139">
        <v>0</v>
      </c>
      <c r="AX139">
        <f t="shared" si="42"/>
        <v>84960</v>
      </c>
      <c r="AZ139" t="s">
        <v>150</v>
      </c>
      <c r="BA139" s="128">
        <v>78475</v>
      </c>
      <c r="BB139" s="128">
        <v>784917</v>
      </c>
      <c r="BC139" s="128">
        <v>0</v>
      </c>
      <c r="BD139" s="128">
        <v>2551682</v>
      </c>
      <c r="BE139" s="128">
        <v>539663.8666666667</v>
      </c>
      <c r="BF139" s="128">
        <v>6078583.3040365614</v>
      </c>
      <c r="BG139" s="272">
        <v>0</v>
      </c>
      <c r="BH139">
        <v>4560</v>
      </c>
      <c r="BI139">
        <v>3169</v>
      </c>
      <c r="BJ139">
        <v>395</v>
      </c>
      <c r="BK139">
        <v>229</v>
      </c>
      <c r="BL139">
        <v>856</v>
      </c>
      <c r="BM139">
        <v>384</v>
      </c>
      <c r="BN139" s="128">
        <v>494</v>
      </c>
      <c r="BO139" s="128">
        <v>0</v>
      </c>
      <c r="BP139" s="128">
        <v>18</v>
      </c>
      <c r="BQ139" s="128">
        <f t="shared" si="43"/>
        <v>58415153.829296783</v>
      </c>
      <c r="BR139">
        <v>35035</v>
      </c>
      <c r="BS139" s="128">
        <f t="shared" si="30"/>
        <v>1667.3370580647006</v>
      </c>
      <c r="BT139" t="s">
        <v>467</v>
      </c>
      <c r="BU139" s="129">
        <f t="shared" si="44"/>
        <v>1667.8508300070439</v>
      </c>
      <c r="BZ139" t="s">
        <v>333</v>
      </c>
      <c r="CA139">
        <v>1755.4291853486645</v>
      </c>
      <c r="CB139" t="s">
        <v>467</v>
      </c>
    </row>
    <row r="140" spans="1:80" ht="14.5" x14ac:dyDescent="0.25">
      <c r="A140" t="s">
        <v>259</v>
      </c>
      <c r="B140">
        <v>26460</v>
      </c>
      <c r="C140">
        <v>5049</v>
      </c>
      <c r="D140">
        <v>1550</v>
      </c>
      <c r="E140">
        <f t="shared" si="31"/>
        <v>8428</v>
      </c>
      <c r="F140">
        <f t="shared" si="32"/>
        <v>4090</v>
      </c>
      <c r="G140">
        <f t="shared" si="33"/>
        <v>2734</v>
      </c>
      <c r="H140">
        <f t="shared" si="34"/>
        <v>1400</v>
      </c>
      <c r="I140">
        <f t="shared" si="35"/>
        <v>2109</v>
      </c>
      <c r="J140">
        <f t="shared" si="36"/>
        <v>7071</v>
      </c>
      <c r="K140">
        <f t="shared" si="37"/>
        <v>13498</v>
      </c>
      <c r="L140">
        <f t="shared" si="38"/>
        <v>23419</v>
      </c>
      <c r="M140">
        <f t="shared" si="39"/>
        <v>12023</v>
      </c>
      <c r="N140">
        <f t="shared" si="40"/>
        <v>58</v>
      </c>
      <c r="O140">
        <f t="shared" si="41"/>
        <v>107889</v>
      </c>
      <c r="Q140">
        <v>35874</v>
      </c>
      <c r="R140">
        <v>25862</v>
      </c>
      <c r="S140">
        <v>1584</v>
      </c>
      <c r="T140">
        <v>4155</v>
      </c>
      <c r="U140">
        <v>0</v>
      </c>
      <c r="V140">
        <v>65</v>
      </c>
      <c r="W140">
        <v>4204</v>
      </c>
      <c r="X140">
        <v>0</v>
      </c>
      <c r="Y140">
        <v>1470</v>
      </c>
      <c r="Z140" s="271">
        <v>1402</v>
      </c>
      <c r="AA140">
        <v>0</v>
      </c>
      <c r="AB140">
        <v>2</v>
      </c>
      <c r="AC140">
        <v>3418</v>
      </c>
      <c r="AD140">
        <v>150</v>
      </c>
      <c r="AE140">
        <v>1159</v>
      </c>
      <c r="AF140">
        <v>7314</v>
      </c>
      <c r="AG140">
        <v>0</v>
      </c>
      <c r="AH140">
        <v>243</v>
      </c>
      <c r="AI140">
        <v>13498</v>
      </c>
      <c r="AJ140">
        <v>0</v>
      </c>
      <c r="AK140">
        <v>0</v>
      </c>
      <c r="AL140">
        <v>23465</v>
      </c>
      <c r="AM140">
        <v>0</v>
      </c>
      <c r="AN140">
        <v>46</v>
      </c>
      <c r="AO140">
        <v>12490</v>
      </c>
      <c r="AP140">
        <v>0</v>
      </c>
      <c r="AQ140">
        <v>467</v>
      </c>
      <c r="AR140">
        <v>506</v>
      </c>
      <c r="AS140">
        <v>448</v>
      </c>
      <c r="AT140">
        <v>0</v>
      </c>
      <c r="AU140">
        <v>63</v>
      </c>
      <c r="AV140">
        <v>0</v>
      </c>
      <c r="AW140">
        <v>13</v>
      </c>
      <c r="AX140">
        <f t="shared" si="42"/>
        <v>107939</v>
      </c>
      <c r="AZ140" t="s">
        <v>259</v>
      </c>
      <c r="BA140" s="128">
        <v>101277</v>
      </c>
      <c r="BB140" s="128">
        <v>1645165</v>
      </c>
      <c r="BC140" s="128">
        <v>0</v>
      </c>
      <c r="BD140" s="128">
        <v>2969776</v>
      </c>
      <c r="BE140" s="128">
        <v>1148611.2833333332</v>
      </c>
      <c r="BF140" s="128">
        <v>10209903.178022277</v>
      </c>
      <c r="BG140" s="272">
        <v>0</v>
      </c>
      <c r="BH140">
        <v>3865</v>
      </c>
      <c r="BI140">
        <v>6140</v>
      </c>
      <c r="BJ140">
        <v>559</v>
      </c>
      <c r="BK140">
        <v>337</v>
      </c>
      <c r="BL140">
        <v>1218</v>
      </c>
      <c r="BM140">
        <v>271</v>
      </c>
      <c r="BN140" s="128">
        <v>313</v>
      </c>
      <c r="BO140" s="128">
        <v>0</v>
      </c>
      <c r="BP140" s="128">
        <v>53</v>
      </c>
      <c r="BQ140" s="128">
        <f t="shared" si="43"/>
        <v>72547544.538644388</v>
      </c>
      <c r="BR140">
        <v>48576</v>
      </c>
      <c r="BS140" s="128">
        <f t="shared" si="30"/>
        <v>1493.4853536446885</v>
      </c>
      <c r="BT140" t="s">
        <v>467</v>
      </c>
      <c r="BU140" s="129">
        <f t="shared" si="44"/>
        <v>1494.5764274259798</v>
      </c>
      <c r="BZ140" t="s">
        <v>300</v>
      </c>
      <c r="CA140">
        <v>1535.6123237071004</v>
      </c>
      <c r="CB140" t="s">
        <v>467</v>
      </c>
    </row>
    <row r="141" spans="1:80" ht="14.5" x14ac:dyDescent="0.25">
      <c r="A141" t="s">
        <v>111</v>
      </c>
      <c r="B141">
        <v>2437</v>
      </c>
      <c r="C141">
        <v>7298</v>
      </c>
      <c r="D141">
        <v>3066</v>
      </c>
      <c r="E141">
        <f t="shared" si="31"/>
        <v>19801</v>
      </c>
      <c r="F141">
        <f t="shared" si="32"/>
        <v>3919</v>
      </c>
      <c r="G141">
        <f t="shared" si="33"/>
        <v>7022</v>
      </c>
      <c r="H141">
        <f t="shared" si="34"/>
        <v>4380</v>
      </c>
      <c r="I141">
        <f t="shared" si="35"/>
        <v>8367</v>
      </c>
      <c r="J141">
        <f t="shared" si="36"/>
        <v>15049</v>
      </c>
      <c r="K141">
        <f t="shared" si="37"/>
        <v>46914</v>
      </c>
      <c r="L141">
        <f t="shared" si="38"/>
        <v>48161</v>
      </c>
      <c r="M141">
        <f t="shared" si="39"/>
        <v>12473</v>
      </c>
      <c r="N141">
        <f t="shared" si="40"/>
        <v>3357</v>
      </c>
      <c r="O141">
        <f t="shared" si="41"/>
        <v>182244</v>
      </c>
      <c r="Q141">
        <v>22743</v>
      </c>
      <c r="R141">
        <v>2437</v>
      </c>
      <c r="S141">
        <v>505</v>
      </c>
      <c r="T141">
        <v>3927</v>
      </c>
      <c r="U141">
        <v>0</v>
      </c>
      <c r="V141">
        <v>8</v>
      </c>
      <c r="W141">
        <v>8366</v>
      </c>
      <c r="X141">
        <v>0</v>
      </c>
      <c r="Y141">
        <v>1344</v>
      </c>
      <c r="Z141" s="271">
        <v>4426</v>
      </c>
      <c r="AA141">
        <v>0</v>
      </c>
      <c r="AB141">
        <v>46</v>
      </c>
      <c r="AC141">
        <v>10118</v>
      </c>
      <c r="AD141">
        <v>0</v>
      </c>
      <c r="AE141">
        <v>1751</v>
      </c>
      <c r="AF141">
        <v>16924</v>
      </c>
      <c r="AG141">
        <v>0</v>
      </c>
      <c r="AH141">
        <v>1875</v>
      </c>
      <c r="AI141">
        <v>46914</v>
      </c>
      <c r="AJ141">
        <v>0</v>
      </c>
      <c r="AK141">
        <v>0</v>
      </c>
      <c r="AL141">
        <v>48296</v>
      </c>
      <c r="AM141">
        <v>0</v>
      </c>
      <c r="AN141">
        <v>135</v>
      </c>
      <c r="AO141">
        <v>13566</v>
      </c>
      <c r="AP141">
        <v>0</v>
      </c>
      <c r="AQ141">
        <v>1093</v>
      </c>
      <c r="AR141">
        <v>3898</v>
      </c>
      <c r="AS141">
        <v>0</v>
      </c>
      <c r="AT141">
        <v>541</v>
      </c>
      <c r="AU141">
        <v>4153</v>
      </c>
      <c r="AV141">
        <v>0</v>
      </c>
      <c r="AW141">
        <v>0</v>
      </c>
      <c r="AX141">
        <f t="shared" si="42"/>
        <v>186397</v>
      </c>
      <c r="AZ141" t="s">
        <v>111</v>
      </c>
      <c r="BA141" s="128">
        <v>171880</v>
      </c>
      <c r="BB141" s="128">
        <v>3878369</v>
      </c>
      <c r="BC141" s="128">
        <v>0</v>
      </c>
      <c r="BD141" s="128">
        <v>18689052</v>
      </c>
      <c r="BE141" s="128">
        <v>1275666</v>
      </c>
      <c r="BF141" s="128">
        <v>19656833.601474568</v>
      </c>
      <c r="BG141" s="272">
        <v>3521405.658087343</v>
      </c>
      <c r="BH141">
        <v>4550</v>
      </c>
      <c r="BI141">
        <v>6392</v>
      </c>
      <c r="BJ141">
        <v>619</v>
      </c>
      <c r="BK141">
        <v>910</v>
      </c>
      <c r="BL141">
        <v>947</v>
      </c>
      <c r="BM141">
        <v>206</v>
      </c>
      <c r="BN141" s="128">
        <v>127</v>
      </c>
      <c r="BO141" s="128">
        <v>2747</v>
      </c>
      <c r="BP141" s="128">
        <v>240</v>
      </c>
      <c r="BQ141" s="128">
        <f t="shared" si="43"/>
        <v>108120673.74043809</v>
      </c>
      <c r="BR141">
        <v>55600</v>
      </c>
      <c r="BS141" s="128">
        <f t="shared" si="30"/>
        <v>1944.6164341805411</v>
      </c>
      <c r="BT141" t="s">
        <v>441</v>
      </c>
      <c r="BU141" s="129">
        <f t="shared" si="44"/>
        <v>1948.932980943131</v>
      </c>
      <c r="BZ141" t="s">
        <v>262</v>
      </c>
      <c r="CA141">
        <v>2395.9457253550559</v>
      </c>
      <c r="CB141" t="s">
        <v>467</v>
      </c>
    </row>
    <row r="142" spans="1:80" ht="14.5" x14ac:dyDescent="0.25">
      <c r="A142" t="s">
        <v>260</v>
      </c>
      <c r="B142">
        <v>48241</v>
      </c>
      <c r="C142">
        <v>10847</v>
      </c>
      <c r="D142">
        <v>3240</v>
      </c>
      <c r="E142">
        <f t="shared" si="31"/>
        <v>7334</v>
      </c>
      <c r="F142">
        <f t="shared" si="32"/>
        <v>5604</v>
      </c>
      <c r="G142">
        <f t="shared" si="33"/>
        <v>4607</v>
      </c>
      <c r="H142">
        <f t="shared" si="34"/>
        <v>1977</v>
      </c>
      <c r="I142">
        <f t="shared" si="35"/>
        <v>11971</v>
      </c>
      <c r="J142">
        <f t="shared" si="36"/>
        <v>14709</v>
      </c>
      <c r="K142">
        <f t="shared" si="37"/>
        <v>40324</v>
      </c>
      <c r="L142">
        <f t="shared" si="38"/>
        <v>62635</v>
      </c>
      <c r="M142">
        <f t="shared" si="39"/>
        <v>17592</v>
      </c>
      <c r="N142">
        <f t="shared" si="40"/>
        <v>3109</v>
      </c>
      <c r="O142">
        <f t="shared" si="41"/>
        <v>232190</v>
      </c>
      <c r="Q142">
        <v>31934</v>
      </c>
      <c r="R142">
        <v>23506</v>
      </c>
      <c r="S142">
        <v>1094</v>
      </c>
      <c r="T142">
        <v>7935</v>
      </c>
      <c r="U142">
        <v>2179</v>
      </c>
      <c r="V142">
        <v>152</v>
      </c>
      <c r="W142">
        <v>10597</v>
      </c>
      <c r="X142">
        <v>2725</v>
      </c>
      <c r="Y142">
        <v>3265</v>
      </c>
      <c r="Z142" s="271">
        <v>3103</v>
      </c>
      <c r="AA142">
        <v>1096</v>
      </c>
      <c r="AB142">
        <v>30</v>
      </c>
      <c r="AC142">
        <v>15169</v>
      </c>
      <c r="AD142">
        <v>1227</v>
      </c>
      <c r="AE142">
        <v>1971</v>
      </c>
      <c r="AF142">
        <v>23942</v>
      </c>
      <c r="AG142">
        <v>6527</v>
      </c>
      <c r="AH142">
        <v>2706</v>
      </c>
      <c r="AI142">
        <v>41122</v>
      </c>
      <c r="AJ142">
        <v>798</v>
      </c>
      <c r="AK142">
        <v>0</v>
      </c>
      <c r="AL142">
        <v>66532</v>
      </c>
      <c r="AM142">
        <v>3705</v>
      </c>
      <c r="AN142">
        <v>192</v>
      </c>
      <c r="AO142">
        <v>19539</v>
      </c>
      <c r="AP142">
        <v>1293</v>
      </c>
      <c r="AQ142">
        <v>654</v>
      </c>
      <c r="AR142">
        <v>8252</v>
      </c>
      <c r="AS142">
        <v>4360</v>
      </c>
      <c r="AT142">
        <v>783</v>
      </c>
      <c r="AU142">
        <v>13299</v>
      </c>
      <c r="AV142">
        <v>825</v>
      </c>
      <c r="AW142">
        <v>0</v>
      </c>
      <c r="AX142">
        <f t="shared" si="42"/>
        <v>244664</v>
      </c>
      <c r="AZ142" t="s">
        <v>260</v>
      </c>
      <c r="BA142" s="128">
        <v>217278</v>
      </c>
      <c r="BB142" s="128">
        <v>3175950</v>
      </c>
      <c r="BC142" s="128">
        <v>10040089</v>
      </c>
      <c r="BD142" s="128">
        <v>6143901</v>
      </c>
      <c r="BE142" s="128">
        <v>3431415</v>
      </c>
      <c r="BF142" s="128">
        <v>26737103.219023012</v>
      </c>
      <c r="BG142" s="272">
        <v>0</v>
      </c>
      <c r="BH142">
        <v>5692</v>
      </c>
      <c r="BI142">
        <v>10179</v>
      </c>
      <c r="BJ142">
        <v>914</v>
      </c>
      <c r="BK142">
        <v>275</v>
      </c>
      <c r="BL142">
        <v>847</v>
      </c>
      <c r="BM142">
        <v>327</v>
      </c>
      <c r="BN142" s="128">
        <v>434</v>
      </c>
      <c r="BO142" s="128">
        <v>3956</v>
      </c>
      <c r="BP142" s="128">
        <v>927</v>
      </c>
      <c r="BQ142" s="128">
        <f t="shared" si="43"/>
        <v>144198541.78097698</v>
      </c>
      <c r="BR142">
        <v>73602</v>
      </c>
      <c r="BS142" s="128">
        <f t="shared" si="30"/>
        <v>1959.1660794676366</v>
      </c>
      <c r="BT142" t="s">
        <v>441</v>
      </c>
      <c r="BU142" s="129">
        <f t="shared" si="44"/>
        <v>1971.7608459142004</v>
      </c>
      <c r="BZ142" t="s">
        <v>301</v>
      </c>
      <c r="CA142">
        <v>1608.922774055671</v>
      </c>
      <c r="CB142" t="s">
        <v>467</v>
      </c>
    </row>
    <row r="143" spans="1:80" ht="14.5" x14ac:dyDescent="0.25">
      <c r="A143" t="s">
        <v>408</v>
      </c>
      <c r="B143">
        <v>25162</v>
      </c>
      <c r="C143">
        <v>5543</v>
      </c>
      <c r="D143">
        <v>1863</v>
      </c>
      <c r="E143">
        <f t="shared" si="31"/>
        <v>8370</v>
      </c>
      <c r="F143">
        <f t="shared" si="32"/>
        <v>3850</v>
      </c>
      <c r="G143">
        <f t="shared" si="33"/>
        <v>3331</v>
      </c>
      <c r="H143">
        <f t="shared" si="34"/>
        <v>2423</v>
      </c>
      <c r="I143">
        <f t="shared" si="35"/>
        <v>2216</v>
      </c>
      <c r="J143">
        <f t="shared" si="36"/>
        <v>6013</v>
      </c>
      <c r="K143">
        <f t="shared" si="37"/>
        <v>13165</v>
      </c>
      <c r="L143">
        <f t="shared" si="38"/>
        <v>22312</v>
      </c>
      <c r="M143">
        <f t="shared" si="39"/>
        <v>10316</v>
      </c>
      <c r="N143">
        <f t="shared" si="40"/>
        <v>172</v>
      </c>
      <c r="O143">
        <f t="shared" si="41"/>
        <v>104736</v>
      </c>
      <c r="Q143">
        <v>22036</v>
      </c>
      <c r="R143">
        <v>12770</v>
      </c>
      <c r="S143">
        <v>896</v>
      </c>
      <c r="T143">
        <v>4522</v>
      </c>
      <c r="U143">
        <v>650</v>
      </c>
      <c r="V143">
        <v>22</v>
      </c>
      <c r="W143">
        <v>5352</v>
      </c>
      <c r="X143">
        <v>958</v>
      </c>
      <c r="Y143">
        <v>1063</v>
      </c>
      <c r="Z143" s="271">
        <v>3120</v>
      </c>
      <c r="AA143">
        <v>684</v>
      </c>
      <c r="AB143">
        <v>13</v>
      </c>
      <c r="AC143">
        <v>3370</v>
      </c>
      <c r="AD143">
        <v>112</v>
      </c>
      <c r="AE143">
        <v>1042</v>
      </c>
      <c r="AF143">
        <v>8621</v>
      </c>
      <c r="AG143">
        <v>2008</v>
      </c>
      <c r="AH143">
        <v>600</v>
      </c>
      <c r="AI143">
        <v>14458</v>
      </c>
      <c r="AJ143">
        <v>1293</v>
      </c>
      <c r="AK143">
        <v>0</v>
      </c>
      <c r="AL143">
        <v>26784</v>
      </c>
      <c r="AM143">
        <v>3683</v>
      </c>
      <c r="AN143">
        <v>789</v>
      </c>
      <c r="AO143">
        <v>12554</v>
      </c>
      <c r="AP143">
        <v>1309</v>
      </c>
      <c r="AQ143">
        <v>929</v>
      </c>
      <c r="AR143">
        <v>1813</v>
      </c>
      <c r="AS143">
        <v>1452</v>
      </c>
      <c r="AT143">
        <v>189</v>
      </c>
      <c r="AU143">
        <v>3103</v>
      </c>
      <c r="AV143">
        <v>243</v>
      </c>
      <c r="AW143">
        <v>0</v>
      </c>
      <c r="AX143">
        <f t="shared" si="42"/>
        <v>107596</v>
      </c>
      <c r="AZ143" t="s">
        <v>408</v>
      </c>
      <c r="BA143" s="128">
        <v>97087</v>
      </c>
      <c r="BB143" s="128">
        <v>1718196</v>
      </c>
      <c r="BC143" s="128">
        <v>0</v>
      </c>
      <c r="BD143" s="128">
        <v>4195968</v>
      </c>
      <c r="BE143" s="128">
        <v>622023.63</v>
      </c>
      <c r="BF143" s="128">
        <v>6250483.209231657</v>
      </c>
      <c r="BG143" s="272">
        <v>598021.04880963545</v>
      </c>
      <c r="BH143">
        <v>4223</v>
      </c>
      <c r="BI143">
        <v>3454</v>
      </c>
      <c r="BJ143">
        <v>451</v>
      </c>
      <c r="BK143">
        <v>18</v>
      </c>
      <c r="BL143">
        <v>1450</v>
      </c>
      <c r="BM143">
        <v>16</v>
      </c>
      <c r="BN143" s="128">
        <v>3015</v>
      </c>
      <c r="BO143" s="128">
        <v>0</v>
      </c>
      <c r="BP143" s="128">
        <v>451</v>
      </c>
      <c r="BQ143" s="128">
        <f t="shared" si="43"/>
        <v>70624308.111958712</v>
      </c>
      <c r="BR143">
        <v>42497</v>
      </c>
      <c r="BS143" s="128">
        <f t="shared" si="30"/>
        <v>1661.8657343332168</v>
      </c>
      <c r="BT143" t="s">
        <v>467</v>
      </c>
      <c r="BU143" s="129">
        <f t="shared" si="44"/>
        <v>1672.478248157722</v>
      </c>
      <c r="BZ143" t="s">
        <v>478</v>
      </c>
      <c r="CA143">
        <v>1596.4571721893858</v>
      </c>
      <c r="CB143" t="s">
        <v>467</v>
      </c>
    </row>
    <row r="144" spans="1:80" ht="14.5" x14ac:dyDescent="0.25">
      <c r="A144" t="s">
        <v>221</v>
      </c>
      <c r="B144">
        <v>27472</v>
      </c>
      <c r="C144">
        <v>4353</v>
      </c>
      <c r="D144">
        <v>1371</v>
      </c>
      <c r="E144">
        <f t="shared" si="31"/>
        <v>6832</v>
      </c>
      <c r="F144">
        <f t="shared" si="32"/>
        <v>2933</v>
      </c>
      <c r="G144">
        <f t="shared" si="33"/>
        <v>4028</v>
      </c>
      <c r="H144">
        <f t="shared" si="34"/>
        <v>6088</v>
      </c>
      <c r="I144">
        <f t="shared" si="35"/>
        <v>2188</v>
      </c>
      <c r="J144">
        <f t="shared" si="36"/>
        <v>7256</v>
      </c>
      <c r="K144">
        <f t="shared" si="37"/>
        <v>14118</v>
      </c>
      <c r="L144">
        <f t="shared" si="38"/>
        <v>23764</v>
      </c>
      <c r="M144">
        <f t="shared" si="39"/>
        <v>10376</v>
      </c>
      <c r="N144">
        <f t="shared" si="40"/>
        <v>287</v>
      </c>
      <c r="O144">
        <f t="shared" si="41"/>
        <v>111066</v>
      </c>
      <c r="Q144">
        <v>19206</v>
      </c>
      <c r="R144">
        <v>11501</v>
      </c>
      <c r="S144">
        <v>873</v>
      </c>
      <c r="T144">
        <v>4343</v>
      </c>
      <c r="U144">
        <v>1359</v>
      </c>
      <c r="V144">
        <v>51</v>
      </c>
      <c r="W144">
        <v>6319</v>
      </c>
      <c r="X144">
        <v>2118</v>
      </c>
      <c r="Y144">
        <v>173</v>
      </c>
      <c r="Z144" s="271">
        <v>6971</v>
      </c>
      <c r="AA144">
        <v>883</v>
      </c>
      <c r="AB144">
        <v>0</v>
      </c>
      <c r="AC144">
        <v>4363</v>
      </c>
      <c r="AD144">
        <v>672</v>
      </c>
      <c r="AE144">
        <v>1503</v>
      </c>
      <c r="AF144">
        <v>11172</v>
      </c>
      <c r="AG144">
        <v>2822</v>
      </c>
      <c r="AH144">
        <v>1094</v>
      </c>
      <c r="AI144">
        <v>14309</v>
      </c>
      <c r="AJ144">
        <v>191</v>
      </c>
      <c r="AK144">
        <v>0</v>
      </c>
      <c r="AL144">
        <v>25743</v>
      </c>
      <c r="AM144">
        <v>1757</v>
      </c>
      <c r="AN144">
        <v>222</v>
      </c>
      <c r="AO144">
        <v>13607</v>
      </c>
      <c r="AP144">
        <v>2798</v>
      </c>
      <c r="AQ144">
        <v>433</v>
      </c>
      <c r="AR144">
        <v>2891</v>
      </c>
      <c r="AS144">
        <v>2600</v>
      </c>
      <c r="AT144">
        <v>4</v>
      </c>
      <c r="AU144">
        <v>11191</v>
      </c>
      <c r="AV144">
        <v>771</v>
      </c>
      <c r="AW144">
        <v>0</v>
      </c>
      <c r="AX144">
        <f t="shared" si="42"/>
        <v>121486</v>
      </c>
      <c r="AZ144" t="s">
        <v>221</v>
      </c>
      <c r="BA144" s="128">
        <v>104571</v>
      </c>
      <c r="BB144" s="128">
        <v>2019469</v>
      </c>
      <c r="BC144" s="128">
        <v>0</v>
      </c>
      <c r="BD144" s="128">
        <v>814298</v>
      </c>
      <c r="BE144" s="128">
        <v>680256.23</v>
      </c>
      <c r="BF144" s="128">
        <v>8077348.5447583664</v>
      </c>
      <c r="BG144" s="272">
        <v>0</v>
      </c>
      <c r="BH144">
        <v>3212</v>
      </c>
      <c r="BI144">
        <v>5760</v>
      </c>
      <c r="BJ144">
        <v>570</v>
      </c>
      <c r="BK144">
        <v>165</v>
      </c>
      <c r="BL144">
        <v>826</v>
      </c>
      <c r="BM144">
        <v>403</v>
      </c>
      <c r="BN144" s="128">
        <v>216</v>
      </c>
      <c r="BO144" s="128">
        <v>0</v>
      </c>
      <c r="BP144" s="128">
        <v>83</v>
      </c>
      <c r="BQ144" s="128">
        <f t="shared" si="43"/>
        <v>81744628.225241631</v>
      </c>
      <c r="BR144">
        <v>50230</v>
      </c>
      <c r="BS144" s="128">
        <f t="shared" si="30"/>
        <v>1627.4064946295368</v>
      </c>
      <c r="BT144" t="s">
        <v>467</v>
      </c>
      <c r="BU144" s="129">
        <f t="shared" si="44"/>
        <v>1629.0588935942988</v>
      </c>
      <c r="BZ144" t="s">
        <v>375</v>
      </c>
      <c r="CA144">
        <v>1669.7013562896907</v>
      </c>
      <c r="CB144" t="s">
        <v>467</v>
      </c>
    </row>
    <row r="145" spans="1:80" ht="14.5" x14ac:dyDescent="0.25">
      <c r="A145" t="s">
        <v>261</v>
      </c>
      <c r="B145">
        <v>24753</v>
      </c>
      <c r="C145">
        <v>5392</v>
      </c>
      <c r="D145">
        <v>1</v>
      </c>
      <c r="E145">
        <f t="shared" si="31"/>
        <v>6071</v>
      </c>
      <c r="F145">
        <f t="shared" si="32"/>
        <v>3588</v>
      </c>
      <c r="G145">
        <f t="shared" si="33"/>
        <v>3582</v>
      </c>
      <c r="H145">
        <f t="shared" si="34"/>
        <v>395</v>
      </c>
      <c r="I145">
        <f t="shared" si="35"/>
        <v>2689</v>
      </c>
      <c r="J145">
        <f t="shared" si="36"/>
        <v>6072</v>
      </c>
      <c r="K145">
        <f t="shared" si="37"/>
        <v>16654</v>
      </c>
      <c r="L145">
        <f t="shared" si="38"/>
        <v>24330</v>
      </c>
      <c r="M145">
        <f t="shared" si="39"/>
        <v>7710</v>
      </c>
      <c r="N145">
        <f t="shared" si="40"/>
        <v>787</v>
      </c>
      <c r="O145">
        <f t="shared" si="41"/>
        <v>102024</v>
      </c>
      <c r="Q145">
        <v>19509</v>
      </c>
      <c r="R145">
        <v>12850</v>
      </c>
      <c r="S145">
        <v>588</v>
      </c>
      <c r="T145">
        <v>4391</v>
      </c>
      <c r="U145">
        <v>753</v>
      </c>
      <c r="V145">
        <v>50</v>
      </c>
      <c r="W145">
        <v>4775</v>
      </c>
      <c r="X145">
        <v>821</v>
      </c>
      <c r="Y145">
        <v>372</v>
      </c>
      <c r="Z145" s="271">
        <v>637</v>
      </c>
      <c r="AA145">
        <v>240</v>
      </c>
      <c r="AB145">
        <v>2</v>
      </c>
      <c r="AC145">
        <v>4527</v>
      </c>
      <c r="AD145">
        <v>339</v>
      </c>
      <c r="AE145">
        <v>1499</v>
      </c>
      <c r="AF145">
        <v>8619</v>
      </c>
      <c r="AG145">
        <v>1829</v>
      </c>
      <c r="AH145">
        <v>718</v>
      </c>
      <c r="AI145">
        <v>18570</v>
      </c>
      <c r="AJ145">
        <v>1906</v>
      </c>
      <c r="AK145">
        <v>10</v>
      </c>
      <c r="AL145">
        <v>27527</v>
      </c>
      <c r="AM145">
        <v>3028</v>
      </c>
      <c r="AN145">
        <v>169</v>
      </c>
      <c r="AO145">
        <v>10731</v>
      </c>
      <c r="AP145">
        <v>1074</v>
      </c>
      <c r="AQ145">
        <v>1947</v>
      </c>
      <c r="AR145">
        <v>2676</v>
      </c>
      <c r="AS145">
        <v>1852</v>
      </c>
      <c r="AT145">
        <v>37</v>
      </c>
      <c r="AU145">
        <v>62</v>
      </c>
      <c r="AV145">
        <v>61</v>
      </c>
      <c r="AW145">
        <v>0</v>
      </c>
      <c r="AX145">
        <f t="shared" si="42"/>
        <v>102025</v>
      </c>
      <c r="AZ145" t="s">
        <v>261</v>
      </c>
      <c r="BA145" s="128">
        <v>96570</v>
      </c>
      <c r="BB145" s="128">
        <v>1452691</v>
      </c>
      <c r="BC145" s="128">
        <v>0</v>
      </c>
      <c r="BD145" s="128">
        <v>1922545</v>
      </c>
      <c r="BE145" s="128">
        <v>552659</v>
      </c>
      <c r="BF145" s="128">
        <v>11144958.521516567</v>
      </c>
      <c r="BG145" s="272">
        <v>0</v>
      </c>
      <c r="BH145">
        <v>4380</v>
      </c>
      <c r="BI145">
        <v>5585</v>
      </c>
      <c r="BJ145">
        <v>541</v>
      </c>
      <c r="BK145">
        <v>333</v>
      </c>
      <c r="BL145">
        <v>376</v>
      </c>
      <c r="BM145">
        <v>114</v>
      </c>
      <c r="BN145" s="128">
        <v>65</v>
      </c>
      <c r="BO145" s="128">
        <v>5</v>
      </c>
      <c r="BP145" s="128">
        <v>730</v>
      </c>
      <c r="BQ145" s="128">
        <f t="shared" si="43"/>
        <v>69368146.478483438</v>
      </c>
      <c r="BR145">
        <v>41084</v>
      </c>
      <c r="BS145" s="128">
        <f t="shared" si="30"/>
        <v>1688.4467549041826</v>
      </c>
      <c r="BT145" t="s">
        <v>118</v>
      </c>
      <c r="BU145" s="129">
        <f t="shared" si="44"/>
        <v>1706.2152292494266</v>
      </c>
      <c r="BZ145" t="s">
        <v>263</v>
      </c>
      <c r="CA145">
        <v>1422.6382321115459</v>
      </c>
      <c r="CB145" t="s">
        <v>467</v>
      </c>
    </row>
    <row r="146" spans="1:80" ht="14.5" x14ac:dyDescent="0.25">
      <c r="A146" t="s">
        <v>332</v>
      </c>
      <c r="B146">
        <v>14936</v>
      </c>
      <c r="C146">
        <v>2803</v>
      </c>
      <c r="D146">
        <v>701</v>
      </c>
      <c r="E146">
        <f t="shared" si="31"/>
        <v>6416</v>
      </c>
      <c r="F146">
        <f t="shared" si="32"/>
        <v>2233</v>
      </c>
      <c r="G146">
        <f t="shared" si="33"/>
        <v>3399</v>
      </c>
      <c r="H146">
        <f t="shared" si="34"/>
        <v>2429</v>
      </c>
      <c r="I146">
        <f t="shared" si="35"/>
        <v>1999</v>
      </c>
      <c r="J146">
        <f t="shared" si="36"/>
        <v>3662</v>
      </c>
      <c r="K146">
        <f t="shared" si="37"/>
        <v>10431</v>
      </c>
      <c r="L146">
        <f t="shared" si="38"/>
        <v>15551</v>
      </c>
      <c r="M146">
        <f t="shared" si="39"/>
        <v>6341</v>
      </c>
      <c r="N146">
        <f t="shared" si="40"/>
        <v>375</v>
      </c>
      <c r="O146">
        <f t="shared" si="41"/>
        <v>71276</v>
      </c>
      <c r="Q146">
        <v>15057</v>
      </c>
      <c r="R146">
        <v>8182</v>
      </c>
      <c r="S146">
        <v>459</v>
      </c>
      <c r="T146">
        <v>2679</v>
      </c>
      <c r="U146">
        <v>411</v>
      </c>
      <c r="V146">
        <v>35</v>
      </c>
      <c r="W146">
        <v>4936</v>
      </c>
      <c r="X146">
        <v>1080</v>
      </c>
      <c r="Y146">
        <v>457</v>
      </c>
      <c r="Z146" s="271">
        <v>2487</v>
      </c>
      <c r="AA146">
        <v>58</v>
      </c>
      <c r="AB146">
        <v>0</v>
      </c>
      <c r="AC146">
        <v>2685</v>
      </c>
      <c r="AD146">
        <v>28</v>
      </c>
      <c r="AE146">
        <v>658</v>
      </c>
      <c r="AF146">
        <v>5300</v>
      </c>
      <c r="AG146">
        <v>1473</v>
      </c>
      <c r="AH146">
        <v>165</v>
      </c>
      <c r="AI146">
        <v>11461</v>
      </c>
      <c r="AJ146">
        <v>1030</v>
      </c>
      <c r="AK146">
        <v>0</v>
      </c>
      <c r="AL146">
        <v>16557</v>
      </c>
      <c r="AM146">
        <v>831</v>
      </c>
      <c r="AN146">
        <v>175</v>
      </c>
      <c r="AO146">
        <v>7605</v>
      </c>
      <c r="AP146">
        <v>429</v>
      </c>
      <c r="AQ146">
        <v>835</v>
      </c>
      <c r="AR146">
        <v>1755</v>
      </c>
      <c r="AS146">
        <v>1361</v>
      </c>
      <c r="AT146">
        <v>19</v>
      </c>
      <c r="AU146">
        <v>2443</v>
      </c>
      <c r="AV146">
        <v>53</v>
      </c>
      <c r="AW146">
        <v>0</v>
      </c>
      <c r="AX146">
        <f t="shared" si="42"/>
        <v>73666</v>
      </c>
      <c r="AZ146" t="s">
        <v>332</v>
      </c>
      <c r="BA146" s="128">
        <v>67719</v>
      </c>
      <c r="BB146" s="128">
        <v>1523352</v>
      </c>
      <c r="BC146" s="128">
        <v>0</v>
      </c>
      <c r="BD146" s="128">
        <v>3940903</v>
      </c>
      <c r="BE146" s="128">
        <v>668169</v>
      </c>
      <c r="BF146" s="128">
        <v>5323669.9657869302</v>
      </c>
      <c r="BG146" s="272">
        <v>0</v>
      </c>
      <c r="BH146">
        <v>3475</v>
      </c>
      <c r="BI146">
        <v>3548</v>
      </c>
      <c r="BJ146">
        <v>275</v>
      </c>
      <c r="BK146">
        <v>115</v>
      </c>
      <c r="BL146">
        <v>823</v>
      </c>
      <c r="BM146">
        <v>113</v>
      </c>
      <c r="BN146" s="128">
        <v>330</v>
      </c>
      <c r="BO146" s="128">
        <v>760</v>
      </c>
      <c r="BP146" s="128">
        <v>3110</v>
      </c>
      <c r="BQ146" s="128">
        <f t="shared" si="43"/>
        <v>43713906.034213066</v>
      </c>
      <c r="BR146">
        <v>27574</v>
      </c>
      <c r="BS146" s="128">
        <f t="shared" si="30"/>
        <v>1585.3306025318441</v>
      </c>
      <c r="BT146" t="s">
        <v>118</v>
      </c>
      <c r="BU146" s="129">
        <f t="shared" si="44"/>
        <v>1698.1180109600734</v>
      </c>
      <c r="BZ146" t="s">
        <v>302</v>
      </c>
      <c r="CA146">
        <v>1443.4797684688051</v>
      </c>
      <c r="CB146" t="s">
        <v>467</v>
      </c>
    </row>
    <row r="147" spans="1:80" ht="14.5" x14ac:dyDescent="0.25">
      <c r="A147" t="s">
        <v>222</v>
      </c>
      <c r="B147">
        <v>16676</v>
      </c>
      <c r="C147">
        <v>4633</v>
      </c>
      <c r="D147">
        <v>996</v>
      </c>
      <c r="E147">
        <f t="shared" si="31"/>
        <v>4106</v>
      </c>
      <c r="F147">
        <f t="shared" si="32"/>
        <v>2209</v>
      </c>
      <c r="G147">
        <f t="shared" si="33"/>
        <v>3433</v>
      </c>
      <c r="H147">
        <f t="shared" si="34"/>
        <v>437</v>
      </c>
      <c r="I147">
        <f t="shared" si="35"/>
        <v>1595</v>
      </c>
      <c r="J147">
        <f t="shared" si="36"/>
        <v>7066</v>
      </c>
      <c r="K147">
        <f t="shared" si="37"/>
        <v>13247</v>
      </c>
      <c r="L147">
        <f t="shared" si="38"/>
        <v>16082</v>
      </c>
      <c r="M147">
        <f t="shared" si="39"/>
        <v>7941</v>
      </c>
      <c r="N147">
        <f t="shared" si="40"/>
        <v>2481</v>
      </c>
      <c r="O147">
        <f t="shared" si="41"/>
        <v>80902</v>
      </c>
      <c r="Q147">
        <v>11868</v>
      </c>
      <c r="R147">
        <v>7057</v>
      </c>
      <c r="S147">
        <v>705</v>
      </c>
      <c r="T147">
        <v>3200</v>
      </c>
      <c r="U147">
        <v>930</v>
      </c>
      <c r="V147">
        <v>61</v>
      </c>
      <c r="W147">
        <v>4734</v>
      </c>
      <c r="X147">
        <v>432</v>
      </c>
      <c r="Y147">
        <v>869</v>
      </c>
      <c r="Z147" s="271">
        <v>607</v>
      </c>
      <c r="AA147">
        <v>170</v>
      </c>
      <c r="AB147">
        <v>0</v>
      </c>
      <c r="AC147">
        <v>4106</v>
      </c>
      <c r="AD147">
        <v>301</v>
      </c>
      <c r="AE147">
        <v>2210</v>
      </c>
      <c r="AF147">
        <v>8269</v>
      </c>
      <c r="AG147">
        <v>692</v>
      </c>
      <c r="AH147">
        <v>511</v>
      </c>
      <c r="AI147">
        <v>15633</v>
      </c>
      <c r="AJ147">
        <v>2355</v>
      </c>
      <c r="AK147">
        <v>31</v>
      </c>
      <c r="AL147">
        <v>19190</v>
      </c>
      <c r="AM147">
        <v>3108</v>
      </c>
      <c r="AN147">
        <v>0</v>
      </c>
      <c r="AO147">
        <v>8832</v>
      </c>
      <c r="AP147">
        <v>649</v>
      </c>
      <c r="AQ147">
        <v>242</v>
      </c>
      <c r="AR147">
        <v>3437</v>
      </c>
      <c r="AS147">
        <v>952</v>
      </c>
      <c r="AT147">
        <v>4</v>
      </c>
      <c r="AU147">
        <v>549</v>
      </c>
      <c r="AV147">
        <v>30</v>
      </c>
      <c r="AW147">
        <v>0</v>
      </c>
      <c r="AX147">
        <f t="shared" si="42"/>
        <v>81421</v>
      </c>
      <c r="AZ147" t="s">
        <v>222</v>
      </c>
      <c r="BA147" s="128">
        <v>75243</v>
      </c>
      <c r="BB147" s="128">
        <v>870314</v>
      </c>
      <c r="BC147" s="128">
        <v>0</v>
      </c>
      <c r="BD147" s="128">
        <v>2491484</v>
      </c>
      <c r="BE147" s="128">
        <v>487430</v>
      </c>
      <c r="BF147" s="128">
        <v>7801310.9097152157</v>
      </c>
      <c r="BG147" s="272">
        <v>355710.3219164731</v>
      </c>
      <c r="BH147">
        <v>3829</v>
      </c>
      <c r="BI147">
        <v>4519</v>
      </c>
      <c r="BJ147">
        <v>372</v>
      </c>
      <c r="BK147">
        <v>231</v>
      </c>
      <c r="BL147">
        <v>649</v>
      </c>
      <c r="BM147">
        <v>133</v>
      </c>
      <c r="BN147" s="128">
        <v>25</v>
      </c>
      <c r="BO147" s="128">
        <v>1490</v>
      </c>
      <c r="BP147" s="128">
        <v>57</v>
      </c>
      <c r="BQ147" s="128">
        <f t="shared" si="43"/>
        <v>51931750.768368311</v>
      </c>
      <c r="BR147">
        <v>33812</v>
      </c>
      <c r="BS147" s="128">
        <f t="shared" si="30"/>
        <v>1535.8970415346123</v>
      </c>
      <c r="BT147" t="s">
        <v>467</v>
      </c>
      <c r="BU147" s="129">
        <f t="shared" si="44"/>
        <v>1537.5828335611118</v>
      </c>
      <c r="BZ147" t="s">
        <v>265</v>
      </c>
      <c r="CA147">
        <v>1565.7248004210896</v>
      </c>
      <c r="CB147" t="s">
        <v>467</v>
      </c>
    </row>
    <row r="148" spans="1:80" ht="14.5" x14ac:dyDescent="0.25">
      <c r="A148" t="s">
        <v>299</v>
      </c>
      <c r="B148">
        <v>11628</v>
      </c>
      <c r="C148">
        <v>2442</v>
      </c>
      <c r="D148">
        <v>994</v>
      </c>
      <c r="E148">
        <f t="shared" si="31"/>
        <v>8025</v>
      </c>
      <c r="F148">
        <f t="shared" si="32"/>
        <v>2027</v>
      </c>
      <c r="G148">
        <f t="shared" si="33"/>
        <v>3310</v>
      </c>
      <c r="H148">
        <f t="shared" si="34"/>
        <v>422</v>
      </c>
      <c r="I148">
        <f t="shared" si="35"/>
        <v>2421</v>
      </c>
      <c r="J148">
        <f t="shared" si="36"/>
        <v>3253</v>
      </c>
      <c r="K148">
        <f t="shared" si="37"/>
        <v>8197</v>
      </c>
      <c r="L148">
        <f t="shared" si="38"/>
        <v>8695</v>
      </c>
      <c r="M148">
        <f t="shared" si="39"/>
        <v>6160</v>
      </c>
      <c r="N148">
        <f t="shared" si="40"/>
        <v>483</v>
      </c>
      <c r="O148">
        <f t="shared" si="41"/>
        <v>58057</v>
      </c>
      <c r="Q148">
        <v>19715</v>
      </c>
      <c r="R148">
        <v>11499</v>
      </c>
      <c r="S148">
        <v>191</v>
      </c>
      <c r="T148">
        <v>2042</v>
      </c>
      <c r="U148">
        <v>0</v>
      </c>
      <c r="V148">
        <v>15</v>
      </c>
      <c r="W148">
        <v>3777</v>
      </c>
      <c r="X148">
        <v>0</v>
      </c>
      <c r="Y148">
        <v>467</v>
      </c>
      <c r="Z148" s="271">
        <v>444</v>
      </c>
      <c r="AA148">
        <v>0</v>
      </c>
      <c r="AB148">
        <v>22</v>
      </c>
      <c r="AC148">
        <v>2671</v>
      </c>
      <c r="AD148">
        <v>0</v>
      </c>
      <c r="AE148">
        <v>250</v>
      </c>
      <c r="AF148">
        <v>3615</v>
      </c>
      <c r="AG148">
        <v>0</v>
      </c>
      <c r="AH148">
        <v>362</v>
      </c>
      <c r="AI148">
        <v>8326</v>
      </c>
      <c r="AJ148">
        <v>129</v>
      </c>
      <c r="AK148">
        <v>0</v>
      </c>
      <c r="AL148">
        <v>8695</v>
      </c>
      <c r="AM148">
        <v>0</v>
      </c>
      <c r="AN148">
        <v>0</v>
      </c>
      <c r="AO148">
        <v>7294</v>
      </c>
      <c r="AP148">
        <v>0</v>
      </c>
      <c r="AQ148">
        <v>1134</v>
      </c>
      <c r="AR148">
        <v>484</v>
      </c>
      <c r="AS148">
        <v>0</v>
      </c>
      <c r="AT148">
        <v>1</v>
      </c>
      <c r="AU148">
        <v>1268</v>
      </c>
      <c r="AV148">
        <v>0</v>
      </c>
      <c r="AW148">
        <v>0</v>
      </c>
      <c r="AX148">
        <f t="shared" si="42"/>
        <v>59325</v>
      </c>
      <c r="AZ148" t="s">
        <v>299</v>
      </c>
      <c r="BA148" s="128">
        <v>54621</v>
      </c>
      <c r="BB148" s="128">
        <v>678532</v>
      </c>
      <c r="BC148" s="128">
        <v>0</v>
      </c>
      <c r="BD148" s="128">
        <v>107919</v>
      </c>
      <c r="BE148" s="128">
        <v>340464.71333333332</v>
      </c>
      <c r="BF148" s="128">
        <v>4014917.562785496</v>
      </c>
      <c r="BG148" s="272">
        <v>0</v>
      </c>
      <c r="BH148">
        <v>3735</v>
      </c>
      <c r="BI148">
        <v>3394</v>
      </c>
      <c r="BJ148">
        <v>504</v>
      </c>
      <c r="BK148">
        <v>63</v>
      </c>
      <c r="BL148">
        <v>987</v>
      </c>
      <c r="BM148">
        <v>11</v>
      </c>
      <c r="BN148" s="128">
        <v>322</v>
      </c>
      <c r="BO148" s="128">
        <v>0</v>
      </c>
      <c r="BP148" s="128">
        <v>3178</v>
      </c>
      <c r="BQ148" s="128">
        <f t="shared" si="43"/>
        <v>37285166.72388117</v>
      </c>
      <c r="BR148">
        <v>27547</v>
      </c>
      <c r="BS148" s="128">
        <f t="shared" si="30"/>
        <v>1353.5109712085225</v>
      </c>
      <c r="BT148" t="s">
        <v>467</v>
      </c>
      <c r="BU148" s="129">
        <f t="shared" si="44"/>
        <v>1468.877435796318</v>
      </c>
      <c r="BZ148" t="s">
        <v>304</v>
      </c>
      <c r="CA148">
        <v>1735.7807124794185</v>
      </c>
      <c r="CB148" t="s">
        <v>467</v>
      </c>
    </row>
    <row r="149" spans="1:80" ht="14.5" x14ac:dyDescent="0.25">
      <c r="A149" t="s">
        <v>151</v>
      </c>
      <c r="B149">
        <v>33083</v>
      </c>
      <c r="C149">
        <v>7335</v>
      </c>
      <c r="D149">
        <v>3648</v>
      </c>
      <c r="E149">
        <f t="shared" si="31"/>
        <v>9556</v>
      </c>
      <c r="F149">
        <f t="shared" si="32"/>
        <v>3717</v>
      </c>
      <c r="G149">
        <f t="shared" si="33"/>
        <v>5449</v>
      </c>
      <c r="H149">
        <f t="shared" si="34"/>
        <v>989</v>
      </c>
      <c r="I149">
        <f t="shared" si="35"/>
        <v>3673</v>
      </c>
      <c r="J149">
        <f t="shared" si="36"/>
        <v>12818</v>
      </c>
      <c r="K149">
        <f t="shared" si="37"/>
        <v>25965</v>
      </c>
      <c r="L149">
        <f t="shared" si="38"/>
        <v>28289</v>
      </c>
      <c r="M149">
        <f t="shared" si="39"/>
        <v>7795</v>
      </c>
      <c r="N149">
        <f t="shared" si="40"/>
        <v>658</v>
      </c>
      <c r="O149">
        <f t="shared" si="41"/>
        <v>142975</v>
      </c>
      <c r="Q149">
        <v>23606</v>
      </c>
      <c r="R149">
        <v>13396</v>
      </c>
      <c r="S149">
        <v>654</v>
      </c>
      <c r="T149">
        <v>4725</v>
      </c>
      <c r="U149">
        <v>827</v>
      </c>
      <c r="V149">
        <v>181</v>
      </c>
      <c r="W149">
        <v>8154</v>
      </c>
      <c r="X149">
        <v>2270</v>
      </c>
      <c r="Y149">
        <v>435</v>
      </c>
      <c r="Z149" s="271">
        <v>1253</v>
      </c>
      <c r="AA149">
        <v>261</v>
      </c>
      <c r="AB149">
        <v>3</v>
      </c>
      <c r="AC149">
        <v>7283</v>
      </c>
      <c r="AD149">
        <v>567</v>
      </c>
      <c r="AE149">
        <v>3043</v>
      </c>
      <c r="AF149">
        <v>18069</v>
      </c>
      <c r="AG149">
        <v>3537</v>
      </c>
      <c r="AH149">
        <v>1714</v>
      </c>
      <c r="AI149">
        <v>29650</v>
      </c>
      <c r="AJ149">
        <v>3509</v>
      </c>
      <c r="AK149">
        <v>176</v>
      </c>
      <c r="AL149">
        <v>32324</v>
      </c>
      <c r="AM149">
        <v>3994</v>
      </c>
      <c r="AN149">
        <v>41</v>
      </c>
      <c r="AO149">
        <v>10796</v>
      </c>
      <c r="AP149">
        <v>1905</v>
      </c>
      <c r="AQ149">
        <v>1096</v>
      </c>
      <c r="AR149">
        <v>2634</v>
      </c>
      <c r="AS149">
        <v>1984</v>
      </c>
      <c r="AT149">
        <v>-8</v>
      </c>
      <c r="AU149">
        <v>13951</v>
      </c>
      <c r="AV149">
        <v>833</v>
      </c>
      <c r="AW149">
        <v>0</v>
      </c>
      <c r="AX149">
        <f t="shared" si="42"/>
        <v>156093</v>
      </c>
      <c r="AZ149" t="s">
        <v>151</v>
      </c>
      <c r="BA149" s="128">
        <v>131159</v>
      </c>
      <c r="BB149" s="128">
        <v>3562293</v>
      </c>
      <c r="BC149" s="128">
        <v>0</v>
      </c>
      <c r="BD149" s="128">
        <v>5660377</v>
      </c>
      <c r="BE149" s="128">
        <v>1046214</v>
      </c>
      <c r="BF149" s="128">
        <v>12351909.507132966</v>
      </c>
      <c r="BG149" s="272">
        <v>537935.02386466786</v>
      </c>
      <c r="BH149">
        <v>3217</v>
      </c>
      <c r="BI149">
        <v>5133</v>
      </c>
      <c r="BJ149">
        <v>677</v>
      </c>
      <c r="BK149">
        <v>662</v>
      </c>
      <c r="BL149">
        <v>1194</v>
      </c>
      <c r="BM149">
        <v>632</v>
      </c>
      <c r="BN149" s="128">
        <v>76</v>
      </c>
      <c r="BO149" s="128">
        <v>1950</v>
      </c>
      <c r="BP149" s="128">
        <v>273</v>
      </c>
      <c r="BQ149" s="128">
        <f t="shared" si="43"/>
        <v>94186271.469002366</v>
      </c>
      <c r="BR149">
        <v>54476</v>
      </c>
      <c r="BS149" s="128">
        <f t="shared" si="30"/>
        <v>1728.94983972763</v>
      </c>
      <c r="BT149" t="s">
        <v>441</v>
      </c>
      <c r="BU149" s="129">
        <f t="shared" si="44"/>
        <v>1733.9612208863052</v>
      </c>
      <c r="BZ149" t="s">
        <v>411</v>
      </c>
      <c r="CA149">
        <v>1532.5348293256666</v>
      </c>
      <c r="CB149" t="s">
        <v>467</v>
      </c>
    </row>
    <row r="150" spans="1:80" ht="14.5" x14ac:dyDescent="0.25">
      <c r="A150" t="s">
        <v>333</v>
      </c>
      <c r="B150">
        <v>5684</v>
      </c>
      <c r="C150">
        <v>1847</v>
      </c>
      <c r="D150">
        <v>522</v>
      </c>
      <c r="E150">
        <f t="shared" si="31"/>
        <v>2996</v>
      </c>
      <c r="F150">
        <f t="shared" si="32"/>
        <v>899</v>
      </c>
      <c r="G150">
        <f t="shared" si="33"/>
        <v>998</v>
      </c>
      <c r="H150">
        <f t="shared" si="34"/>
        <v>3608</v>
      </c>
      <c r="I150">
        <f t="shared" si="35"/>
        <v>1071</v>
      </c>
      <c r="J150">
        <f t="shared" si="36"/>
        <v>1963</v>
      </c>
      <c r="K150">
        <f t="shared" si="37"/>
        <v>2147</v>
      </c>
      <c r="L150">
        <f t="shared" si="38"/>
        <v>7262</v>
      </c>
      <c r="M150">
        <f t="shared" si="39"/>
        <v>3174</v>
      </c>
      <c r="N150">
        <f t="shared" si="40"/>
        <v>528</v>
      </c>
      <c r="O150">
        <f t="shared" si="41"/>
        <v>32699</v>
      </c>
      <c r="Q150">
        <v>6443</v>
      </c>
      <c r="R150">
        <v>3356</v>
      </c>
      <c r="S150">
        <v>91</v>
      </c>
      <c r="T150">
        <v>1074</v>
      </c>
      <c r="U150">
        <v>175</v>
      </c>
      <c r="V150">
        <v>0</v>
      </c>
      <c r="W150">
        <v>1784</v>
      </c>
      <c r="X150">
        <v>129</v>
      </c>
      <c r="Y150">
        <v>657</v>
      </c>
      <c r="Z150" s="271">
        <v>3703</v>
      </c>
      <c r="AA150">
        <v>85</v>
      </c>
      <c r="AB150">
        <v>10</v>
      </c>
      <c r="AC150">
        <v>1582</v>
      </c>
      <c r="AD150">
        <v>48</v>
      </c>
      <c r="AE150">
        <v>463</v>
      </c>
      <c r="AF150">
        <v>2534</v>
      </c>
      <c r="AG150">
        <v>311</v>
      </c>
      <c r="AH150">
        <v>260</v>
      </c>
      <c r="AI150">
        <v>2147</v>
      </c>
      <c r="AJ150">
        <v>0</v>
      </c>
      <c r="AK150">
        <v>0</v>
      </c>
      <c r="AL150">
        <v>7831</v>
      </c>
      <c r="AM150">
        <v>477</v>
      </c>
      <c r="AN150">
        <v>92</v>
      </c>
      <c r="AO150">
        <v>4011</v>
      </c>
      <c r="AP150">
        <v>563</v>
      </c>
      <c r="AQ150">
        <v>274</v>
      </c>
      <c r="AR150">
        <v>1025</v>
      </c>
      <c r="AS150">
        <v>497</v>
      </c>
      <c r="AT150">
        <v>0</v>
      </c>
      <c r="AU150">
        <v>2095</v>
      </c>
      <c r="AV150">
        <v>43</v>
      </c>
      <c r="AW150">
        <v>0</v>
      </c>
      <c r="AX150">
        <f t="shared" si="42"/>
        <v>34751</v>
      </c>
      <c r="AZ150" t="s">
        <v>333</v>
      </c>
      <c r="BA150" s="128">
        <v>30287</v>
      </c>
      <c r="BB150" s="128">
        <v>299421</v>
      </c>
      <c r="BC150" s="128">
        <v>0</v>
      </c>
      <c r="BD150" s="128">
        <v>593378</v>
      </c>
      <c r="BE150" s="128">
        <v>385777</v>
      </c>
      <c r="BF150" s="128">
        <v>1314190</v>
      </c>
      <c r="BG150" s="272">
        <v>66816.951079897583</v>
      </c>
      <c r="BH150">
        <v>1534</v>
      </c>
      <c r="BI150">
        <v>1423</v>
      </c>
      <c r="BJ150">
        <v>150</v>
      </c>
      <c r="BK150">
        <v>224</v>
      </c>
      <c r="BL150">
        <v>780</v>
      </c>
      <c r="BM150">
        <v>29</v>
      </c>
      <c r="BN150" s="128">
        <v>275</v>
      </c>
      <c r="BO150" s="128">
        <v>0</v>
      </c>
      <c r="BP150" s="128">
        <v>606</v>
      </c>
      <c r="BQ150" s="128">
        <f t="shared" si="43"/>
        <v>22606417.048920102</v>
      </c>
      <c r="BR150">
        <v>12878</v>
      </c>
      <c r="BS150" s="128">
        <f t="shared" si="30"/>
        <v>1755.4291853486645</v>
      </c>
      <c r="BT150" t="s">
        <v>467</v>
      </c>
      <c r="BU150" s="129">
        <f t="shared" si="44"/>
        <v>1802.4861817766814</v>
      </c>
      <c r="BZ150" t="s">
        <v>223</v>
      </c>
      <c r="CA150">
        <v>1454.0714937527323</v>
      </c>
      <c r="CB150" t="s">
        <v>467</v>
      </c>
    </row>
    <row r="151" spans="1:80" ht="14.5" x14ac:dyDescent="0.25">
      <c r="A151" t="s">
        <v>300</v>
      </c>
      <c r="B151">
        <v>36530</v>
      </c>
      <c r="C151">
        <v>12221</v>
      </c>
      <c r="D151">
        <v>2981</v>
      </c>
      <c r="E151">
        <f t="shared" si="31"/>
        <v>11192</v>
      </c>
      <c r="F151">
        <f t="shared" si="32"/>
        <v>4904</v>
      </c>
      <c r="G151">
        <f t="shared" si="33"/>
        <v>8221</v>
      </c>
      <c r="H151">
        <f t="shared" si="34"/>
        <v>3924</v>
      </c>
      <c r="I151">
        <f t="shared" si="35"/>
        <v>4012</v>
      </c>
      <c r="J151">
        <f t="shared" si="36"/>
        <v>8566</v>
      </c>
      <c r="K151">
        <f t="shared" si="37"/>
        <v>23024</v>
      </c>
      <c r="L151">
        <f t="shared" si="38"/>
        <v>33905</v>
      </c>
      <c r="M151">
        <f t="shared" si="39"/>
        <v>11547</v>
      </c>
      <c r="N151">
        <f t="shared" si="40"/>
        <v>2199</v>
      </c>
      <c r="O151">
        <f t="shared" si="41"/>
        <v>163226</v>
      </c>
      <c r="Q151">
        <v>29381</v>
      </c>
      <c r="R151">
        <v>16040</v>
      </c>
      <c r="S151">
        <v>2149</v>
      </c>
      <c r="T151">
        <v>6494</v>
      </c>
      <c r="U151">
        <v>1532</v>
      </c>
      <c r="V151">
        <v>58</v>
      </c>
      <c r="W151">
        <v>14228</v>
      </c>
      <c r="X151">
        <v>2557</v>
      </c>
      <c r="Y151">
        <v>3450</v>
      </c>
      <c r="Z151" s="271">
        <v>4596</v>
      </c>
      <c r="AA151">
        <v>619</v>
      </c>
      <c r="AB151">
        <v>53</v>
      </c>
      <c r="AC151">
        <v>6254</v>
      </c>
      <c r="AD151">
        <v>626</v>
      </c>
      <c r="AE151">
        <v>1616</v>
      </c>
      <c r="AF151">
        <v>13545</v>
      </c>
      <c r="AG151">
        <v>2519</v>
      </c>
      <c r="AH151">
        <v>2460</v>
      </c>
      <c r="AI151">
        <v>25945</v>
      </c>
      <c r="AJ151">
        <v>2921</v>
      </c>
      <c r="AK151">
        <v>0</v>
      </c>
      <c r="AL151">
        <v>36343</v>
      </c>
      <c r="AM151">
        <v>1950</v>
      </c>
      <c r="AN151">
        <v>488</v>
      </c>
      <c r="AO151">
        <v>16164</v>
      </c>
      <c r="AP151">
        <v>2746</v>
      </c>
      <c r="AQ151">
        <v>1871</v>
      </c>
      <c r="AR151">
        <v>7205</v>
      </c>
      <c r="AS151">
        <v>4930</v>
      </c>
      <c r="AT151">
        <v>76</v>
      </c>
      <c r="AU151">
        <v>8574</v>
      </c>
      <c r="AV151">
        <v>90</v>
      </c>
      <c r="AW151">
        <v>0</v>
      </c>
      <c r="AX151">
        <f t="shared" si="42"/>
        <v>171710</v>
      </c>
      <c r="AZ151" t="s">
        <v>300</v>
      </c>
      <c r="BA151" s="128">
        <v>147934</v>
      </c>
      <c r="BB151" s="128">
        <v>1811725</v>
      </c>
      <c r="BC151" s="128">
        <v>0</v>
      </c>
      <c r="BD151" s="128">
        <v>6307605</v>
      </c>
      <c r="BE151" s="128">
        <v>1081089</v>
      </c>
      <c r="BF151" s="128">
        <v>13618774.472302504</v>
      </c>
      <c r="BG151" s="272">
        <v>0</v>
      </c>
      <c r="BH151">
        <v>4227</v>
      </c>
      <c r="BI151">
        <v>8062</v>
      </c>
      <c r="BJ151">
        <v>1181</v>
      </c>
      <c r="BK151">
        <v>289</v>
      </c>
      <c r="BL151">
        <v>1769</v>
      </c>
      <c r="BM151">
        <v>1442</v>
      </c>
      <c r="BN151" s="128">
        <v>473</v>
      </c>
      <c r="BO151" s="128">
        <v>2734</v>
      </c>
      <c r="BP151" s="128">
        <v>3592</v>
      </c>
      <c r="BQ151" s="128">
        <f t="shared" si="43"/>
        <v>101345806.5276975</v>
      </c>
      <c r="BR151">
        <v>65997</v>
      </c>
      <c r="BS151" s="128">
        <f t="shared" si="30"/>
        <v>1535.6123237071004</v>
      </c>
      <c r="BT151" t="s">
        <v>467</v>
      </c>
      <c r="BU151" s="129">
        <f t="shared" si="44"/>
        <v>1590.0390400729957</v>
      </c>
      <c r="BZ151" t="s">
        <v>187</v>
      </c>
      <c r="CA151">
        <v>1666.6109517192181</v>
      </c>
      <c r="CB151" t="s">
        <v>467</v>
      </c>
    </row>
    <row r="152" spans="1:80" ht="14.5" x14ac:dyDescent="0.25">
      <c r="A152" t="s">
        <v>409</v>
      </c>
      <c r="B152">
        <v>30508</v>
      </c>
      <c r="C152">
        <v>8825</v>
      </c>
      <c r="D152">
        <v>2537</v>
      </c>
      <c r="E152">
        <f t="shared" si="31"/>
        <v>10149</v>
      </c>
      <c r="F152">
        <f t="shared" si="32"/>
        <v>3635</v>
      </c>
      <c r="G152">
        <f t="shared" si="33"/>
        <v>2639</v>
      </c>
      <c r="H152">
        <f t="shared" si="34"/>
        <v>1150</v>
      </c>
      <c r="I152">
        <f t="shared" si="35"/>
        <v>3499</v>
      </c>
      <c r="J152">
        <f t="shared" si="36"/>
        <v>9063</v>
      </c>
      <c r="K152">
        <f t="shared" si="37"/>
        <v>51213</v>
      </c>
      <c r="L152">
        <f t="shared" si="38"/>
        <v>36470</v>
      </c>
      <c r="M152">
        <f t="shared" si="39"/>
        <v>10242</v>
      </c>
      <c r="N152">
        <f t="shared" si="40"/>
        <v>392</v>
      </c>
      <c r="O152">
        <f t="shared" si="41"/>
        <v>170322</v>
      </c>
      <c r="Q152">
        <v>27440</v>
      </c>
      <c r="R152">
        <v>15941</v>
      </c>
      <c r="S152">
        <v>1350</v>
      </c>
      <c r="T152">
        <v>6225</v>
      </c>
      <c r="U152">
        <v>2580</v>
      </c>
      <c r="V152">
        <v>10</v>
      </c>
      <c r="W152">
        <v>5915</v>
      </c>
      <c r="X152">
        <v>1593</v>
      </c>
      <c r="Y152">
        <v>1683</v>
      </c>
      <c r="Z152" s="271">
        <v>2152</v>
      </c>
      <c r="AA152">
        <v>454</v>
      </c>
      <c r="AB152">
        <v>548</v>
      </c>
      <c r="AC152">
        <v>4828</v>
      </c>
      <c r="AD152">
        <v>124</v>
      </c>
      <c r="AE152">
        <v>1205</v>
      </c>
      <c r="AF152">
        <v>12803</v>
      </c>
      <c r="AG152">
        <v>1568</v>
      </c>
      <c r="AH152">
        <v>2172</v>
      </c>
      <c r="AI152">
        <v>54917</v>
      </c>
      <c r="AJ152">
        <v>3704</v>
      </c>
      <c r="AK152">
        <v>0</v>
      </c>
      <c r="AL152">
        <v>38952</v>
      </c>
      <c r="AM152">
        <v>1631</v>
      </c>
      <c r="AN152">
        <v>851</v>
      </c>
      <c r="AO152">
        <v>12099</v>
      </c>
      <c r="AP152">
        <v>930</v>
      </c>
      <c r="AQ152">
        <v>927</v>
      </c>
      <c r="AR152">
        <v>2454</v>
      </c>
      <c r="AS152">
        <v>1983</v>
      </c>
      <c r="AT152">
        <v>79</v>
      </c>
      <c r="AU152">
        <v>488</v>
      </c>
      <c r="AV152">
        <v>0</v>
      </c>
      <c r="AW152">
        <v>0</v>
      </c>
      <c r="AX152">
        <f t="shared" si="42"/>
        <v>170810</v>
      </c>
      <c r="AZ152" t="s">
        <v>409</v>
      </c>
      <c r="BA152" s="128">
        <v>158960</v>
      </c>
      <c r="BB152" s="128">
        <v>1876226</v>
      </c>
      <c r="BC152" s="128">
        <v>0</v>
      </c>
      <c r="BD152" s="128">
        <v>18855255</v>
      </c>
      <c r="BE152" s="128">
        <v>954128</v>
      </c>
      <c r="BF152" s="128">
        <v>30442626.830186266</v>
      </c>
      <c r="BG152" s="272">
        <v>0</v>
      </c>
      <c r="BH152">
        <v>5276</v>
      </c>
      <c r="BI152">
        <v>5876</v>
      </c>
      <c r="BJ152">
        <v>478</v>
      </c>
      <c r="BK152">
        <v>45</v>
      </c>
      <c r="BL152">
        <v>337</v>
      </c>
      <c r="BM152">
        <v>327</v>
      </c>
      <c r="BN152" s="128">
        <v>171</v>
      </c>
      <c r="BO152" s="128">
        <v>648</v>
      </c>
      <c r="BP152" s="128">
        <v>380</v>
      </c>
      <c r="BQ152" s="128">
        <f t="shared" si="43"/>
        <v>93293764.169813737</v>
      </c>
      <c r="BR152">
        <v>45468</v>
      </c>
      <c r="BS152" s="128">
        <f t="shared" si="30"/>
        <v>2051.8554625189968</v>
      </c>
      <c r="BT152" t="s">
        <v>441</v>
      </c>
      <c r="BU152" s="129">
        <f t="shared" si="44"/>
        <v>2060.2129886912494</v>
      </c>
      <c r="BZ152" t="s">
        <v>306</v>
      </c>
      <c r="CA152">
        <v>1464.0741705775408</v>
      </c>
      <c r="CB152" t="s">
        <v>467</v>
      </c>
    </row>
    <row r="153" spans="1:80" ht="14.5" x14ac:dyDescent="0.25">
      <c r="A153" t="s">
        <v>262</v>
      </c>
      <c r="B153">
        <v>12683</v>
      </c>
      <c r="C153">
        <v>0</v>
      </c>
      <c r="D153">
        <v>44</v>
      </c>
      <c r="E153">
        <f t="shared" si="31"/>
        <v>8124</v>
      </c>
      <c r="F153">
        <f t="shared" si="32"/>
        <v>1847</v>
      </c>
      <c r="G153">
        <f t="shared" si="33"/>
        <v>1849</v>
      </c>
      <c r="H153">
        <f t="shared" si="34"/>
        <v>308</v>
      </c>
      <c r="I153">
        <f t="shared" si="35"/>
        <v>9861</v>
      </c>
      <c r="J153">
        <f t="shared" si="36"/>
        <v>2543</v>
      </c>
      <c r="K153">
        <f t="shared" si="37"/>
        <v>7308</v>
      </c>
      <c r="L153">
        <f t="shared" si="38"/>
        <v>8821</v>
      </c>
      <c r="M153">
        <f t="shared" si="39"/>
        <v>5901</v>
      </c>
      <c r="N153">
        <f t="shared" si="40"/>
        <v>6330</v>
      </c>
      <c r="O153">
        <f t="shared" si="41"/>
        <v>65619</v>
      </c>
      <c r="Q153">
        <v>13945</v>
      </c>
      <c r="R153">
        <v>5821</v>
      </c>
      <c r="S153">
        <v>0</v>
      </c>
      <c r="T153">
        <v>2199</v>
      </c>
      <c r="U153">
        <v>352</v>
      </c>
      <c r="V153">
        <v>0</v>
      </c>
      <c r="W153">
        <v>2158</v>
      </c>
      <c r="X153">
        <v>309</v>
      </c>
      <c r="Y153">
        <v>0</v>
      </c>
      <c r="Z153" s="271">
        <v>382</v>
      </c>
      <c r="AA153">
        <v>74</v>
      </c>
      <c r="AB153">
        <v>0</v>
      </c>
      <c r="AC153">
        <v>10055</v>
      </c>
      <c r="AD153">
        <v>194</v>
      </c>
      <c r="AE153">
        <v>0</v>
      </c>
      <c r="AF153">
        <v>4180</v>
      </c>
      <c r="AG153">
        <v>1637</v>
      </c>
      <c r="AH153">
        <v>0</v>
      </c>
      <c r="AI153">
        <v>7548</v>
      </c>
      <c r="AJ153">
        <v>240</v>
      </c>
      <c r="AK153">
        <v>0</v>
      </c>
      <c r="AL153">
        <v>10608</v>
      </c>
      <c r="AM153">
        <v>1787</v>
      </c>
      <c r="AN153">
        <v>0</v>
      </c>
      <c r="AO153">
        <v>6307</v>
      </c>
      <c r="AP153">
        <v>406</v>
      </c>
      <c r="AQ153">
        <v>0</v>
      </c>
      <c r="AR153">
        <v>8075</v>
      </c>
      <c r="AS153">
        <v>1745</v>
      </c>
      <c r="AT153">
        <v>0</v>
      </c>
      <c r="AU153">
        <v>2904</v>
      </c>
      <c r="AV153">
        <v>118</v>
      </c>
      <c r="AW153">
        <v>0</v>
      </c>
      <c r="AX153">
        <f t="shared" si="42"/>
        <v>68405</v>
      </c>
      <c r="AZ153" t="s">
        <v>262</v>
      </c>
      <c r="BA153" s="128">
        <v>65457</v>
      </c>
      <c r="BB153" s="128">
        <v>933425</v>
      </c>
      <c r="BC153" s="128">
        <v>0</v>
      </c>
      <c r="BD153" s="128">
        <v>776882</v>
      </c>
      <c r="BE153" s="128">
        <v>478742.67333333334</v>
      </c>
      <c r="BF153" s="128">
        <v>2782747.9891136093</v>
      </c>
      <c r="BG153" s="272">
        <v>336999.28935878817</v>
      </c>
      <c r="BH153">
        <v>1480</v>
      </c>
      <c r="BI153">
        <v>2866</v>
      </c>
      <c r="BJ153">
        <v>175</v>
      </c>
      <c r="BK153">
        <v>35</v>
      </c>
      <c r="BL153">
        <v>465</v>
      </c>
      <c r="BM153">
        <v>44</v>
      </c>
      <c r="BN153" s="128">
        <v>105</v>
      </c>
      <c r="BO153" s="128">
        <v>0</v>
      </c>
      <c r="BP153" s="128">
        <v>20</v>
      </c>
      <c r="BQ153" s="128">
        <f t="shared" si="43"/>
        <v>54958203.048194274</v>
      </c>
      <c r="BR153">
        <v>22938</v>
      </c>
      <c r="BS153" s="128">
        <f t="shared" si="30"/>
        <v>2395.9457253550559</v>
      </c>
      <c r="BT153" t="s">
        <v>467</v>
      </c>
      <c r="BU153" s="129">
        <f t="shared" si="44"/>
        <v>2396.8176409536259</v>
      </c>
      <c r="BZ153" t="s">
        <v>188</v>
      </c>
      <c r="CA153">
        <v>1559.5272567965974</v>
      </c>
      <c r="CB153" t="s">
        <v>467</v>
      </c>
    </row>
    <row r="154" spans="1:80" ht="14.5" x14ac:dyDescent="0.25">
      <c r="A154" t="s">
        <v>301</v>
      </c>
      <c r="B154">
        <v>12002</v>
      </c>
      <c r="C154">
        <v>2493</v>
      </c>
      <c r="D154">
        <v>913</v>
      </c>
      <c r="E154">
        <f t="shared" si="31"/>
        <v>5968</v>
      </c>
      <c r="F154">
        <f t="shared" si="32"/>
        <v>1928</v>
      </c>
      <c r="G154">
        <f t="shared" si="33"/>
        <v>2187</v>
      </c>
      <c r="H154">
        <f t="shared" si="34"/>
        <v>-38</v>
      </c>
      <c r="I154">
        <f t="shared" si="35"/>
        <v>2039</v>
      </c>
      <c r="J154">
        <f t="shared" si="36"/>
        <v>6556</v>
      </c>
      <c r="K154">
        <f t="shared" si="37"/>
        <v>13184</v>
      </c>
      <c r="L154">
        <f t="shared" si="38"/>
        <v>17727</v>
      </c>
      <c r="M154">
        <f t="shared" si="39"/>
        <v>7980</v>
      </c>
      <c r="N154">
        <f t="shared" si="40"/>
        <v>303</v>
      </c>
      <c r="O154">
        <f t="shared" si="41"/>
        <v>73242</v>
      </c>
      <c r="Q154">
        <v>11751</v>
      </c>
      <c r="R154">
        <v>5394</v>
      </c>
      <c r="S154">
        <v>389</v>
      </c>
      <c r="T154">
        <v>2388</v>
      </c>
      <c r="U154">
        <v>404</v>
      </c>
      <c r="V154">
        <v>56</v>
      </c>
      <c r="W154">
        <v>3587</v>
      </c>
      <c r="X154">
        <v>944</v>
      </c>
      <c r="Y154">
        <v>456</v>
      </c>
      <c r="Z154" s="271">
        <v>172</v>
      </c>
      <c r="AA154">
        <v>210</v>
      </c>
      <c r="AB154">
        <v>0</v>
      </c>
      <c r="AC154">
        <v>3034</v>
      </c>
      <c r="AD154">
        <v>291</v>
      </c>
      <c r="AE154">
        <v>704</v>
      </c>
      <c r="AF154">
        <v>8576</v>
      </c>
      <c r="AG154">
        <v>1526</v>
      </c>
      <c r="AH154">
        <v>494</v>
      </c>
      <c r="AI154">
        <v>13259</v>
      </c>
      <c r="AJ154">
        <v>75</v>
      </c>
      <c r="AK154">
        <v>0</v>
      </c>
      <c r="AL154">
        <v>19921</v>
      </c>
      <c r="AM154">
        <v>2154</v>
      </c>
      <c r="AN154">
        <v>40</v>
      </c>
      <c r="AO154">
        <v>8783</v>
      </c>
      <c r="AP154">
        <v>475</v>
      </c>
      <c r="AQ154">
        <v>328</v>
      </c>
      <c r="AR154">
        <v>855</v>
      </c>
      <c r="AS154">
        <v>526</v>
      </c>
      <c r="AT154">
        <v>26</v>
      </c>
      <c r="AU154">
        <v>358</v>
      </c>
      <c r="AV154">
        <v>3</v>
      </c>
      <c r="AW154">
        <v>0</v>
      </c>
      <c r="AX154">
        <f t="shared" si="42"/>
        <v>73597</v>
      </c>
      <c r="AZ154" t="s">
        <v>301</v>
      </c>
      <c r="BA154" s="128">
        <v>69833</v>
      </c>
      <c r="BB154" s="128">
        <v>2250745</v>
      </c>
      <c r="BC154" s="128">
        <v>0</v>
      </c>
      <c r="BD154" s="128">
        <v>2332752</v>
      </c>
      <c r="BE154" s="128">
        <v>500166.15333333332</v>
      </c>
      <c r="BF154" s="128">
        <v>7462442.9805261567</v>
      </c>
      <c r="BG154" s="272">
        <v>0</v>
      </c>
      <c r="BH154">
        <v>3604</v>
      </c>
      <c r="BI154">
        <v>4758</v>
      </c>
      <c r="BJ154">
        <v>318</v>
      </c>
      <c r="BK154">
        <v>531</v>
      </c>
      <c r="BL154">
        <v>578</v>
      </c>
      <c r="BM154">
        <v>138</v>
      </c>
      <c r="BN154" s="128">
        <v>0</v>
      </c>
      <c r="BO154" s="128">
        <v>0</v>
      </c>
      <c r="BP154" s="128">
        <v>64</v>
      </c>
      <c r="BQ154" s="128">
        <f t="shared" si="43"/>
        <v>47295893.866140507</v>
      </c>
      <c r="BR154">
        <v>29396</v>
      </c>
      <c r="BS154" s="128">
        <f t="shared" si="30"/>
        <v>1608.922774055671</v>
      </c>
      <c r="BT154" t="s">
        <v>467</v>
      </c>
      <c r="BU154" s="129">
        <f t="shared" si="44"/>
        <v>1611.0999410171623</v>
      </c>
      <c r="BZ154" t="s">
        <v>377</v>
      </c>
      <c r="CA154">
        <v>1577.0814601818406</v>
      </c>
      <c r="CB154" t="s">
        <v>467</v>
      </c>
    </row>
    <row r="155" spans="1:80" ht="14.5" x14ac:dyDescent="0.25">
      <c r="A155" t="s">
        <v>478</v>
      </c>
      <c r="B155">
        <v>31715</v>
      </c>
      <c r="C155">
        <v>6913</v>
      </c>
      <c r="D155">
        <v>940</v>
      </c>
      <c r="E155">
        <f t="shared" si="31"/>
        <v>7316</v>
      </c>
      <c r="F155">
        <f t="shared" si="32"/>
        <v>4238</v>
      </c>
      <c r="G155">
        <f t="shared" si="33"/>
        <v>7877</v>
      </c>
      <c r="H155">
        <f t="shared" si="34"/>
        <v>1171</v>
      </c>
      <c r="I155">
        <f t="shared" si="35"/>
        <v>4473</v>
      </c>
      <c r="J155">
        <f t="shared" si="36"/>
        <v>7517</v>
      </c>
      <c r="K155">
        <f t="shared" si="37"/>
        <v>17611</v>
      </c>
      <c r="L155">
        <f t="shared" si="38"/>
        <v>28679</v>
      </c>
      <c r="M155">
        <f t="shared" si="39"/>
        <v>12045</v>
      </c>
      <c r="N155">
        <f t="shared" si="40"/>
        <v>1442</v>
      </c>
      <c r="O155">
        <f t="shared" si="41"/>
        <v>131937</v>
      </c>
      <c r="Q155">
        <v>23264</v>
      </c>
      <c r="R155">
        <v>14610</v>
      </c>
      <c r="S155">
        <v>1338</v>
      </c>
      <c r="T155">
        <v>5143</v>
      </c>
      <c r="U155">
        <v>893</v>
      </c>
      <c r="V155">
        <v>12</v>
      </c>
      <c r="W155">
        <v>9857</v>
      </c>
      <c r="X155">
        <v>1488</v>
      </c>
      <c r="Y155">
        <v>492</v>
      </c>
      <c r="Z155" s="271">
        <v>1664</v>
      </c>
      <c r="AA155">
        <v>493</v>
      </c>
      <c r="AB155">
        <v>0</v>
      </c>
      <c r="AC155">
        <v>6226</v>
      </c>
      <c r="AD155">
        <v>447</v>
      </c>
      <c r="AE155">
        <v>1306</v>
      </c>
      <c r="AF155">
        <v>10948</v>
      </c>
      <c r="AG155">
        <v>2472</v>
      </c>
      <c r="AH155">
        <v>959</v>
      </c>
      <c r="AI155">
        <v>19410</v>
      </c>
      <c r="AJ155">
        <v>1799</v>
      </c>
      <c r="AK155">
        <v>0</v>
      </c>
      <c r="AL155">
        <v>32845</v>
      </c>
      <c r="AM155">
        <v>4024</v>
      </c>
      <c r="AN155">
        <v>142</v>
      </c>
      <c r="AO155">
        <v>16888</v>
      </c>
      <c r="AP155">
        <v>2190</v>
      </c>
      <c r="AQ155">
        <v>2653</v>
      </c>
      <c r="AR155">
        <v>4596</v>
      </c>
      <c r="AS155">
        <v>3143</v>
      </c>
      <c r="AT155">
        <v>11</v>
      </c>
      <c r="AU155">
        <v>3623</v>
      </c>
      <c r="AV155">
        <v>156</v>
      </c>
      <c r="AW155">
        <v>0</v>
      </c>
      <c r="AX155">
        <f t="shared" si="42"/>
        <v>135404</v>
      </c>
      <c r="AZ155" t="s">
        <v>478</v>
      </c>
      <c r="BA155" s="128">
        <v>123928</v>
      </c>
      <c r="BB155" s="128">
        <v>2584051</v>
      </c>
      <c r="BC155" s="128">
        <v>0</v>
      </c>
      <c r="BD155" s="128">
        <v>3491734</v>
      </c>
      <c r="BE155" s="128">
        <v>924144.30666666664</v>
      </c>
      <c r="BF155" s="128">
        <v>9960037.4225851782</v>
      </c>
      <c r="BG155" s="272">
        <v>464978.58179577813</v>
      </c>
      <c r="BH155">
        <v>5919</v>
      </c>
      <c r="BI155">
        <v>6244</v>
      </c>
      <c r="BJ155">
        <v>722</v>
      </c>
      <c r="BK155">
        <v>992</v>
      </c>
      <c r="BL155">
        <v>1623</v>
      </c>
      <c r="BM155">
        <v>312</v>
      </c>
      <c r="BN155" s="128">
        <v>264</v>
      </c>
      <c r="BO155" s="128">
        <v>0</v>
      </c>
      <c r="BP155" s="128">
        <v>58</v>
      </c>
      <c r="BQ155" s="128">
        <f t="shared" si="43"/>
        <v>90369054.688952371</v>
      </c>
      <c r="BR155">
        <v>56606</v>
      </c>
      <c r="BS155" s="128">
        <f t="shared" si="30"/>
        <v>1596.4571721893858</v>
      </c>
      <c r="BT155" t="s">
        <v>467</v>
      </c>
      <c r="BU155" s="129">
        <f t="shared" si="44"/>
        <v>1597.4817985540822</v>
      </c>
      <c r="BZ155" t="s">
        <v>224</v>
      </c>
      <c r="CA155">
        <v>1456.0498748882985</v>
      </c>
      <c r="CB155" t="s">
        <v>467</v>
      </c>
    </row>
    <row r="156" spans="1:80" ht="14.5" x14ac:dyDescent="0.25">
      <c r="A156" t="s">
        <v>375</v>
      </c>
      <c r="B156">
        <v>9068</v>
      </c>
      <c r="C156">
        <v>2332</v>
      </c>
      <c r="D156">
        <v>381</v>
      </c>
      <c r="E156">
        <f t="shared" si="31"/>
        <v>4548</v>
      </c>
      <c r="F156">
        <f t="shared" si="32"/>
        <v>1478</v>
      </c>
      <c r="G156">
        <f t="shared" si="33"/>
        <v>1953</v>
      </c>
      <c r="H156">
        <f t="shared" si="34"/>
        <v>4774</v>
      </c>
      <c r="I156">
        <f t="shared" si="35"/>
        <v>788</v>
      </c>
      <c r="J156">
        <f t="shared" si="36"/>
        <v>3141</v>
      </c>
      <c r="K156">
        <f t="shared" si="37"/>
        <v>7905</v>
      </c>
      <c r="L156">
        <f t="shared" si="38"/>
        <v>11773</v>
      </c>
      <c r="M156">
        <f t="shared" si="39"/>
        <v>4648</v>
      </c>
      <c r="N156">
        <f t="shared" si="40"/>
        <v>242</v>
      </c>
      <c r="O156">
        <f t="shared" si="41"/>
        <v>53031</v>
      </c>
      <c r="Q156">
        <v>10062</v>
      </c>
      <c r="R156">
        <v>4970</v>
      </c>
      <c r="S156">
        <v>544</v>
      </c>
      <c r="T156">
        <v>1806</v>
      </c>
      <c r="U156">
        <v>285</v>
      </c>
      <c r="V156">
        <v>43</v>
      </c>
      <c r="W156">
        <v>2639</v>
      </c>
      <c r="X156">
        <v>447</v>
      </c>
      <c r="Y156">
        <v>239</v>
      </c>
      <c r="Z156" s="271">
        <v>4955</v>
      </c>
      <c r="AA156">
        <v>181</v>
      </c>
      <c r="AB156">
        <v>0</v>
      </c>
      <c r="AC156">
        <v>1353</v>
      </c>
      <c r="AD156">
        <v>55</v>
      </c>
      <c r="AE156">
        <v>510</v>
      </c>
      <c r="AF156">
        <v>4181</v>
      </c>
      <c r="AG156">
        <v>786</v>
      </c>
      <c r="AH156">
        <v>254</v>
      </c>
      <c r="AI156">
        <v>7946</v>
      </c>
      <c r="AJ156">
        <v>41</v>
      </c>
      <c r="AK156">
        <v>0</v>
      </c>
      <c r="AL156">
        <v>12700</v>
      </c>
      <c r="AM156">
        <v>600</v>
      </c>
      <c r="AN156">
        <v>327</v>
      </c>
      <c r="AO156">
        <v>5877</v>
      </c>
      <c r="AP156">
        <v>826</v>
      </c>
      <c r="AQ156">
        <v>403</v>
      </c>
      <c r="AR156">
        <v>1081</v>
      </c>
      <c r="AS156">
        <v>827</v>
      </c>
      <c r="AT156">
        <v>12</v>
      </c>
      <c r="AU156">
        <v>3834</v>
      </c>
      <c r="AV156">
        <v>50</v>
      </c>
      <c r="AW156">
        <v>0</v>
      </c>
      <c r="AX156">
        <f t="shared" si="42"/>
        <v>56815</v>
      </c>
      <c r="AZ156" t="s">
        <v>375</v>
      </c>
      <c r="BA156" s="128">
        <v>50268</v>
      </c>
      <c r="BB156" s="128">
        <v>262684</v>
      </c>
      <c r="BC156" s="128">
        <v>0</v>
      </c>
      <c r="BD156" s="128">
        <v>2503625</v>
      </c>
      <c r="BE156" s="128">
        <v>426930.02333333332</v>
      </c>
      <c r="BF156" s="128">
        <v>3548570.0532617196</v>
      </c>
      <c r="BG156" s="272">
        <v>0</v>
      </c>
      <c r="BH156">
        <v>2034</v>
      </c>
      <c r="BI156">
        <v>2231</v>
      </c>
      <c r="BJ156">
        <v>236</v>
      </c>
      <c r="BK156">
        <v>0</v>
      </c>
      <c r="BL156">
        <v>780</v>
      </c>
      <c r="BM156">
        <v>92</v>
      </c>
      <c r="BN156" s="128">
        <v>0</v>
      </c>
      <c r="BO156" s="128">
        <v>0</v>
      </c>
      <c r="BP156" s="128">
        <v>84</v>
      </c>
      <c r="BQ156" s="128">
        <f t="shared" si="43"/>
        <v>38069190.923404947</v>
      </c>
      <c r="BR156">
        <v>22800</v>
      </c>
      <c r="BS156" s="128">
        <f t="shared" si="30"/>
        <v>1669.7013562896907</v>
      </c>
      <c r="BT156" t="s">
        <v>467</v>
      </c>
      <c r="BU156" s="129">
        <f t="shared" si="44"/>
        <v>1673.3855668160065</v>
      </c>
      <c r="BZ156" t="s">
        <v>189</v>
      </c>
      <c r="CA156">
        <v>1446.2627721181461</v>
      </c>
      <c r="CB156" t="s">
        <v>467</v>
      </c>
    </row>
    <row r="157" spans="1:80" x14ac:dyDescent="0.25">
      <c r="A157" t="s">
        <v>868</v>
      </c>
      <c r="B157">
        <v>25160</v>
      </c>
      <c r="C157">
        <v>14245</v>
      </c>
      <c r="D157">
        <v>3417</v>
      </c>
      <c r="E157">
        <v>26335</v>
      </c>
      <c r="F157">
        <v>7036</v>
      </c>
      <c r="G157">
        <v>7887</v>
      </c>
      <c r="H157">
        <v>5911</v>
      </c>
      <c r="I157">
        <v>5253</v>
      </c>
      <c r="J157">
        <v>15275</v>
      </c>
      <c r="K157">
        <v>39140</v>
      </c>
      <c r="L157">
        <v>53954</v>
      </c>
      <c r="M157">
        <v>16542</v>
      </c>
      <c r="N157">
        <v>4571</v>
      </c>
      <c r="O157">
        <v>224726</v>
      </c>
      <c r="P157">
        <v>0</v>
      </c>
      <c r="Q157">
        <v>46504</v>
      </c>
      <c r="R157">
        <v>14212</v>
      </c>
      <c r="S157">
        <v>5957</v>
      </c>
      <c r="T157">
        <v>7867</v>
      </c>
      <c r="U157">
        <v>817</v>
      </c>
      <c r="V157">
        <v>14</v>
      </c>
      <c r="W157">
        <v>10876</v>
      </c>
      <c r="X157">
        <v>1293</v>
      </c>
      <c r="Y157">
        <v>1696</v>
      </c>
      <c r="Z157">
        <v>6831</v>
      </c>
      <c r="AA157">
        <v>569</v>
      </c>
      <c r="AB157">
        <v>351</v>
      </c>
      <c r="AC157">
        <v>7265</v>
      </c>
      <c r="AD157">
        <v>132</v>
      </c>
      <c r="AE157">
        <v>1880</v>
      </c>
      <c r="AF157">
        <v>18378</v>
      </c>
      <c r="AG157">
        <v>1099</v>
      </c>
      <c r="AH157">
        <v>2004</v>
      </c>
      <c r="AI157">
        <v>40083</v>
      </c>
      <c r="AJ157">
        <v>943</v>
      </c>
      <c r="AK157">
        <v>0</v>
      </c>
      <c r="AL157">
        <v>56247</v>
      </c>
      <c r="AM157">
        <v>1629</v>
      </c>
      <c r="AN157">
        <v>664</v>
      </c>
      <c r="AO157">
        <v>19283</v>
      </c>
      <c r="AP157">
        <v>1310</v>
      </c>
      <c r="AQ157">
        <v>1431</v>
      </c>
      <c r="AR157">
        <v>7719</v>
      </c>
      <c r="AS157">
        <v>2900</v>
      </c>
      <c r="AT157">
        <v>248</v>
      </c>
      <c r="AU157">
        <v>17407</v>
      </c>
      <c r="AV157">
        <v>256</v>
      </c>
      <c r="AW157">
        <v>0</v>
      </c>
      <c r="AX157">
        <v>241877</v>
      </c>
      <c r="AZ157" t="s">
        <v>868</v>
      </c>
      <c r="BA157" s="128">
        <v>206808</v>
      </c>
      <c r="BB157" s="128">
        <v>2628360</v>
      </c>
      <c r="BC157" s="128">
        <v>0</v>
      </c>
      <c r="BD157" s="128">
        <v>14953706</v>
      </c>
      <c r="BE157" s="128">
        <v>2317165.7833333332</v>
      </c>
      <c r="BF157" s="128">
        <v>16292188.434704781</v>
      </c>
      <c r="BG157">
        <v>841043.83518713713</v>
      </c>
      <c r="BH157">
        <v>8633</v>
      </c>
      <c r="BI157">
        <v>6498</v>
      </c>
      <c r="BJ157">
        <v>1126</v>
      </c>
      <c r="BK157">
        <v>315</v>
      </c>
      <c r="BL157">
        <v>3230</v>
      </c>
      <c r="BM157">
        <v>1089</v>
      </c>
      <c r="BN157" s="128">
        <v>776</v>
      </c>
      <c r="BO157" s="128">
        <v>30</v>
      </c>
      <c r="BP157" s="128">
        <v>1158</v>
      </c>
      <c r="BQ157" s="128">
        <f t="shared" si="43"/>
        <v>146920535.94677475</v>
      </c>
      <c r="BR157">
        <v>90166</v>
      </c>
      <c r="BS157" s="128">
        <f t="shared" si="30"/>
        <v>1629.4449786701723</v>
      </c>
      <c r="BT157" t="s">
        <v>118</v>
      </c>
      <c r="BU157" s="129">
        <f t="shared" si="44"/>
        <v>1642.2879571764829</v>
      </c>
      <c r="BZ157" t="s">
        <v>587</v>
      </c>
      <c r="CA157">
        <v>1859.2063098823739</v>
      </c>
      <c r="CB157" t="s">
        <v>467</v>
      </c>
    </row>
    <row r="158" spans="1:80" ht="14.5" x14ac:dyDescent="0.25">
      <c r="A158" t="s">
        <v>410</v>
      </c>
      <c r="B158">
        <v>20204</v>
      </c>
      <c r="C158">
        <v>5936</v>
      </c>
      <c r="D158">
        <v>303</v>
      </c>
      <c r="E158">
        <f t="shared" si="31"/>
        <v>8734</v>
      </c>
      <c r="F158">
        <f t="shared" si="32"/>
        <v>2871</v>
      </c>
      <c r="G158">
        <f t="shared" si="33"/>
        <v>2048</v>
      </c>
      <c r="H158">
        <f t="shared" si="34"/>
        <v>374</v>
      </c>
      <c r="I158">
        <f t="shared" si="35"/>
        <v>1739</v>
      </c>
      <c r="J158">
        <f t="shared" si="36"/>
        <v>4285</v>
      </c>
      <c r="K158">
        <f t="shared" si="37"/>
        <v>31834</v>
      </c>
      <c r="L158">
        <f t="shared" si="38"/>
        <v>28631</v>
      </c>
      <c r="M158">
        <f t="shared" si="39"/>
        <v>6589</v>
      </c>
      <c r="N158">
        <f t="shared" si="40"/>
        <v>282</v>
      </c>
      <c r="O158">
        <f t="shared" si="41"/>
        <v>113830</v>
      </c>
      <c r="Q158">
        <v>19056</v>
      </c>
      <c r="R158">
        <v>9546</v>
      </c>
      <c r="S158">
        <v>776</v>
      </c>
      <c r="T158">
        <v>3777</v>
      </c>
      <c r="U158">
        <v>900</v>
      </c>
      <c r="V158">
        <v>6</v>
      </c>
      <c r="W158">
        <v>4004</v>
      </c>
      <c r="X158">
        <v>1257</v>
      </c>
      <c r="Y158">
        <v>699</v>
      </c>
      <c r="Z158" s="271">
        <v>653</v>
      </c>
      <c r="AA158">
        <v>248</v>
      </c>
      <c r="AB158">
        <v>31</v>
      </c>
      <c r="AC158">
        <v>2715</v>
      </c>
      <c r="AD158">
        <v>87</v>
      </c>
      <c r="AE158">
        <v>889</v>
      </c>
      <c r="AF158">
        <v>5799</v>
      </c>
      <c r="AG158">
        <v>625</v>
      </c>
      <c r="AH158">
        <v>889</v>
      </c>
      <c r="AI158">
        <v>32852</v>
      </c>
      <c r="AJ158">
        <v>1018</v>
      </c>
      <c r="AK158">
        <v>0</v>
      </c>
      <c r="AL158">
        <v>32175</v>
      </c>
      <c r="AM158">
        <v>3274</v>
      </c>
      <c r="AN158">
        <v>270</v>
      </c>
      <c r="AO158">
        <v>9086</v>
      </c>
      <c r="AP158">
        <v>1329</v>
      </c>
      <c r="AQ158">
        <v>1168</v>
      </c>
      <c r="AR158">
        <v>3139</v>
      </c>
      <c r="AS158">
        <v>1649</v>
      </c>
      <c r="AT158">
        <v>1208</v>
      </c>
      <c r="AU158">
        <v>315</v>
      </c>
      <c r="AV158">
        <v>271</v>
      </c>
      <c r="AW158">
        <v>0</v>
      </c>
      <c r="AX158">
        <f t="shared" si="42"/>
        <v>113874</v>
      </c>
      <c r="AZ158" t="s">
        <v>410</v>
      </c>
      <c r="BA158" s="128">
        <v>107320</v>
      </c>
      <c r="BB158" s="128">
        <v>1962795</v>
      </c>
      <c r="BC158" s="128">
        <v>0</v>
      </c>
      <c r="BD158" s="128">
        <v>10241220</v>
      </c>
      <c r="BE158" s="128">
        <v>631607</v>
      </c>
      <c r="BF158" s="128">
        <v>15612121.335546143</v>
      </c>
      <c r="BG158" s="272">
        <v>0</v>
      </c>
      <c r="BH158">
        <v>4859</v>
      </c>
      <c r="BI158">
        <v>4221</v>
      </c>
      <c r="BJ158">
        <v>428</v>
      </c>
      <c r="BK158">
        <v>20</v>
      </c>
      <c r="BL158">
        <v>283</v>
      </c>
      <c r="BM158">
        <v>55</v>
      </c>
      <c r="BN158" s="128">
        <v>106</v>
      </c>
      <c r="BO158" s="128">
        <v>0</v>
      </c>
      <c r="BP158" s="128">
        <v>69</v>
      </c>
      <c r="BQ158" s="128">
        <f t="shared" si="43"/>
        <v>68831256.664453864</v>
      </c>
      <c r="BR158">
        <v>37261</v>
      </c>
      <c r="BS158" s="128">
        <f t="shared" si="30"/>
        <v>1847.2734672835904</v>
      </c>
      <c r="BT158" t="s">
        <v>441</v>
      </c>
      <c r="BU158" s="129">
        <f t="shared" si="44"/>
        <v>1849.125269435975</v>
      </c>
      <c r="BZ158" t="s">
        <v>308</v>
      </c>
      <c r="CA158">
        <v>1475.9192322221984</v>
      </c>
      <c r="CB158" t="s">
        <v>467</v>
      </c>
    </row>
    <row r="159" spans="1:80" ht="14.5" x14ac:dyDescent="0.25">
      <c r="A159" t="s">
        <v>263</v>
      </c>
      <c r="B159">
        <v>7577</v>
      </c>
      <c r="C159">
        <v>1177</v>
      </c>
      <c r="D159">
        <v>38</v>
      </c>
      <c r="E159">
        <f t="shared" si="31"/>
        <v>2449</v>
      </c>
      <c r="F159">
        <f t="shared" si="32"/>
        <v>871</v>
      </c>
      <c r="G159">
        <f t="shared" si="33"/>
        <v>676</v>
      </c>
      <c r="H159">
        <f t="shared" si="34"/>
        <v>40</v>
      </c>
      <c r="I159">
        <f t="shared" si="35"/>
        <v>582</v>
      </c>
      <c r="J159">
        <f t="shared" si="36"/>
        <v>953</v>
      </c>
      <c r="K159">
        <f t="shared" si="37"/>
        <v>2812</v>
      </c>
      <c r="L159">
        <f t="shared" si="38"/>
        <v>4302</v>
      </c>
      <c r="M159">
        <f t="shared" si="39"/>
        <v>2357</v>
      </c>
      <c r="N159">
        <f t="shared" si="40"/>
        <v>379</v>
      </c>
      <c r="O159">
        <f t="shared" si="41"/>
        <v>24213</v>
      </c>
      <c r="Q159">
        <v>5335</v>
      </c>
      <c r="R159">
        <v>2788</v>
      </c>
      <c r="S159">
        <v>98</v>
      </c>
      <c r="T159">
        <v>1167</v>
      </c>
      <c r="U159">
        <v>296</v>
      </c>
      <c r="V159">
        <v>0</v>
      </c>
      <c r="W159">
        <v>1441</v>
      </c>
      <c r="X159">
        <v>507</v>
      </c>
      <c r="Y159">
        <v>258</v>
      </c>
      <c r="Z159" s="271">
        <v>122</v>
      </c>
      <c r="AA159">
        <v>82</v>
      </c>
      <c r="AB159">
        <v>0</v>
      </c>
      <c r="AC159">
        <v>961</v>
      </c>
      <c r="AD159">
        <v>120</v>
      </c>
      <c r="AE159">
        <v>259</v>
      </c>
      <c r="AF159">
        <v>1851</v>
      </c>
      <c r="AG159">
        <v>722</v>
      </c>
      <c r="AH159">
        <v>176</v>
      </c>
      <c r="AI159">
        <v>3210</v>
      </c>
      <c r="AJ159">
        <v>398</v>
      </c>
      <c r="AK159">
        <v>0</v>
      </c>
      <c r="AL159">
        <v>5098</v>
      </c>
      <c r="AM159">
        <v>781</v>
      </c>
      <c r="AN159">
        <v>15</v>
      </c>
      <c r="AO159">
        <v>3444</v>
      </c>
      <c r="AP159">
        <v>720</v>
      </c>
      <c r="AQ159">
        <v>367</v>
      </c>
      <c r="AR159">
        <v>1503</v>
      </c>
      <c r="AS159">
        <v>1120</v>
      </c>
      <c r="AT159">
        <v>4</v>
      </c>
      <c r="AU159">
        <v>47</v>
      </c>
      <c r="AV159">
        <v>43</v>
      </c>
      <c r="AW159">
        <v>0</v>
      </c>
      <c r="AX159">
        <f t="shared" si="42"/>
        <v>24217</v>
      </c>
      <c r="AZ159" t="s">
        <v>263</v>
      </c>
      <c r="BA159" s="128">
        <v>22955</v>
      </c>
      <c r="BB159" s="128">
        <v>193452</v>
      </c>
      <c r="BC159" s="128">
        <v>0</v>
      </c>
      <c r="BD159" s="128">
        <v>268665</v>
      </c>
      <c r="BE159" s="128">
        <v>313188</v>
      </c>
      <c r="BF159" s="128">
        <v>1609352</v>
      </c>
      <c r="BG159" s="272">
        <v>299263.93093363568</v>
      </c>
      <c r="BH159">
        <v>1154</v>
      </c>
      <c r="BI159">
        <v>1621</v>
      </c>
      <c r="BJ159">
        <v>172</v>
      </c>
      <c r="BK159">
        <v>149</v>
      </c>
      <c r="BL159">
        <v>254</v>
      </c>
      <c r="BM159">
        <v>301</v>
      </c>
      <c r="BN159" s="128">
        <v>71</v>
      </c>
      <c r="BO159" s="128">
        <v>0</v>
      </c>
      <c r="BP159" s="128">
        <v>92</v>
      </c>
      <c r="BQ159" s="128">
        <f t="shared" si="43"/>
        <v>16457079.069066364</v>
      </c>
      <c r="BR159">
        <v>11568</v>
      </c>
      <c r="BS159" s="128">
        <f t="shared" si="30"/>
        <v>1422.6382321115459</v>
      </c>
      <c r="BT159" t="s">
        <v>467</v>
      </c>
      <c r="BU159" s="129">
        <f t="shared" si="44"/>
        <v>1430.5912058321546</v>
      </c>
      <c r="BZ159" t="s">
        <v>379</v>
      </c>
      <c r="CA159">
        <v>1864.0113149006022</v>
      </c>
      <c r="CB159" t="s">
        <v>467</v>
      </c>
    </row>
    <row r="160" spans="1:80" ht="14.5" x14ac:dyDescent="0.25">
      <c r="A160" t="s">
        <v>302</v>
      </c>
      <c r="B160">
        <v>35043</v>
      </c>
      <c r="C160">
        <v>8455</v>
      </c>
      <c r="D160">
        <v>3463</v>
      </c>
      <c r="E160">
        <f t="shared" si="31"/>
        <v>7409</v>
      </c>
      <c r="F160">
        <f t="shared" si="32"/>
        <v>4134</v>
      </c>
      <c r="G160">
        <f t="shared" si="33"/>
        <v>5786</v>
      </c>
      <c r="H160">
        <f t="shared" si="34"/>
        <v>464</v>
      </c>
      <c r="I160">
        <f t="shared" si="35"/>
        <v>5080</v>
      </c>
      <c r="J160">
        <f t="shared" si="36"/>
        <v>9971</v>
      </c>
      <c r="K160">
        <f t="shared" si="37"/>
        <v>13311</v>
      </c>
      <c r="L160">
        <f t="shared" si="38"/>
        <v>28725</v>
      </c>
      <c r="M160">
        <f t="shared" si="39"/>
        <v>11294</v>
      </c>
      <c r="N160">
        <f t="shared" si="40"/>
        <v>1317</v>
      </c>
      <c r="O160">
        <f t="shared" si="41"/>
        <v>134452</v>
      </c>
      <c r="Q160">
        <v>23713</v>
      </c>
      <c r="R160">
        <v>14296</v>
      </c>
      <c r="S160">
        <v>2008</v>
      </c>
      <c r="T160">
        <v>6378</v>
      </c>
      <c r="U160">
        <v>2239</v>
      </c>
      <c r="V160">
        <v>5</v>
      </c>
      <c r="W160">
        <v>10236</v>
      </c>
      <c r="X160">
        <v>2718</v>
      </c>
      <c r="Y160">
        <v>1732</v>
      </c>
      <c r="Z160" s="271">
        <v>1154</v>
      </c>
      <c r="AA160">
        <v>690</v>
      </c>
      <c r="AB160">
        <v>0</v>
      </c>
      <c r="AC160">
        <v>6863</v>
      </c>
      <c r="AD160">
        <v>465</v>
      </c>
      <c r="AE160">
        <v>1318</v>
      </c>
      <c r="AF160">
        <v>14217</v>
      </c>
      <c r="AG160">
        <v>2181</v>
      </c>
      <c r="AH160">
        <v>2065</v>
      </c>
      <c r="AI160">
        <v>15701</v>
      </c>
      <c r="AJ160">
        <v>2390</v>
      </c>
      <c r="AK160">
        <v>0</v>
      </c>
      <c r="AL160">
        <v>32784</v>
      </c>
      <c r="AM160">
        <v>4045</v>
      </c>
      <c r="AN160">
        <v>14</v>
      </c>
      <c r="AO160">
        <v>14935</v>
      </c>
      <c r="AP160">
        <v>2336</v>
      </c>
      <c r="AQ160">
        <v>1305</v>
      </c>
      <c r="AR160">
        <v>4344</v>
      </c>
      <c r="AS160">
        <v>3019</v>
      </c>
      <c r="AT160">
        <v>8</v>
      </c>
      <c r="AU160">
        <v>56765</v>
      </c>
      <c r="AV160">
        <v>664</v>
      </c>
      <c r="AW160">
        <v>0</v>
      </c>
      <c r="AX160">
        <f t="shared" si="42"/>
        <v>190553</v>
      </c>
      <c r="AZ160" t="s">
        <v>302</v>
      </c>
      <c r="BA160" s="128">
        <v>121870</v>
      </c>
      <c r="BB160" s="128">
        <v>1431769</v>
      </c>
      <c r="BC160" s="128">
        <v>0</v>
      </c>
      <c r="BD160" s="128">
        <v>217502</v>
      </c>
      <c r="BE160" s="128">
        <v>707668.59666666668</v>
      </c>
      <c r="BF160" s="128">
        <v>9096381.6673412547</v>
      </c>
      <c r="BG160" s="272">
        <v>1380557.1607148871</v>
      </c>
      <c r="BH160">
        <v>6644</v>
      </c>
      <c r="BI160">
        <v>6958</v>
      </c>
      <c r="BJ160">
        <v>670</v>
      </c>
      <c r="BK160">
        <v>57</v>
      </c>
      <c r="BL160">
        <v>2650</v>
      </c>
      <c r="BM160">
        <v>112</v>
      </c>
      <c r="BN160" s="128">
        <v>0</v>
      </c>
      <c r="BO160" s="128">
        <v>102</v>
      </c>
      <c r="BP160" s="128">
        <v>416</v>
      </c>
      <c r="BQ160" s="128">
        <f t="shared" si="43"/>
        <v>91427121.575277179</v>
      </c>
      <c r="BR160">
        <v>63338</v>
      </c>
      <c r="BS160" s="128">
        <f t="shared" si="30"/>
        <v>1443.4797684688051</v>
      </c>
      <c r="BT160" t="s">
        <v>467</v>
      </c>
      <c r="BU160" s="129">
        <f t="shared" si="44"/>
        <v>1450.0477055681768</v>
      </c>
      <c r="BZ160" t="s">
        <v>603</v>
      </c>
      <c r="CA160">
        <v>1469.1486866483879</v>
      </c>
      <c r="CB160" t="s">
        <v>467</v>
      </c>
    </row>
    <row r="161" spans="1:80" ht="14.5" x14ac:dyDescent="0.25">
      <c r="A161" t="s">
        <v>265</v>
      </c>
      <c r="B161">
        <v>1037</v>
      </c>
      <c r="C161">
        <v>1095</v>
      </c>
      <c r="D161">
        <v>295</v>
      </c>
      <c r="E161">
        <f t="shared" si="31"/>
        <v>5761</v>
      </c>
      <c r="F161">
        <f t="shared" si="32"/>
        <v>1370</v>
      </c>
      <c r="G161">
        <f t="shared" si="33"/>
        <v>1006</v>
      </c>
      <c r="H161">
        <f t="shared" si="34"/>
        <v>188</v>
      </c>
      <c r="I161">
        <f t="shared" si="35"/>
        <v>413</v>
      </c>
      <c r="J161">
        <f t="shared" si="36"/>
        <v>2463</v>
      </c>
      <c r="K161">
        <f t="shared" si="37"/>
        <v>2855</v>
      </c>
      <c r="L161">
        <f t="shared" si="38"/>
        <v>5916</v>
      </c>
      <c r="M161">
        <f t="shared" si="39"/>
        <v>2682</v>
      </c>
      <c r="N161">
        <f t="shared" si="40"/>
        <v>811</v>
      </c>
      <c r="O161">
        <f t="shared" si="41"/>
        <v>25892</v>
      </c>
      <c r="Q161">
        <v>6949</v>
      </c>
      <c r="R161">
        <v>1029</v>
      </c>
      <c r="S161">
        <v>159</v>
      </c>
      <c r="T161">
        <v>1402</v>
      </c>
      <c r="U161">
        <v>8</v>
      </c>
      <c r="V161">
        <v>24</v>
      </c>
      <c r="W161">
        <v>1568</v>
      </c>
      <c r="X161">
        <v>0</v>
      </c>
      <c r="Y161">
        <v>562</v>
      </c>
      <c r="Z161" s="271">
        <v>188</v>
      </c>
      <c r="AA161">
        <v>0</v>
      </c>
      <c r="AB161">
        <v>0</v>
      </c>
      <c r="AC161">
        <v>533</v>
      </c>
      <c r="AD161">
        <v>0</v>
      </c>
      <c r="AE161">
        <v>120</v>
      </c>
      <c r="AF161">
        <v>2480</v>
      </c>
      <c r="AG161">
        <v>0</v>
      </c>
      <c r="AH161">
        <v>17</v>
      </c>
      <c r="AI161">
        <v>2855</v>
      </c>
      <c r="AJ161">
        <v>0</v>
      </c>
      <c r="AK161">
        <v>0</v>
      </c>
      <c r="AL161">
        <v>5987</v>
      </c>
      <c r="AM161">
        <v>0</v>
      </c>
      <c r="AN161">
        <v>71</v>
      </c>
      <c r="AO161">
        <v>2824</v>
      </c>
      <c r="AP161">
        <v>0</v>
      </c>
      <c r="AQ161">
        <v>142</v>
      </c>
      <c r="AR161">
        <v>811</v>
      </c>
      <c r="AS161">
        <v>0</v>
      </c>
      <c r="AT161">
        <v>0</v>
      </c>
      <c r="AU161">
        <v>0</v>
      </c>
      <c r="AV161">
        <v>0</v>
      </c>
      <c r="AW161">
        <v>0</v>
      </c>
      <c r="AX161">
        <f t="shared" si="42"/>
        <v>25892</v>
      </c>
      <c r="AZ161" t="s">
        <v>265</v>
      </c>
      <c r="BA161" s="128">
        <v>24502</v>
      </c>
      <c r="BB161" s="128">
        <v>74257</v>
      </c>
      <c r="BC161" s="128">
        <v>0</v>
      </c>
      <c r="BD161" s="128">
        <v>319585</v>
      </c>
      <c r="BE161" s="128">
        <v>256319</v>
      </c>
      <c r="BF161" s="128">
        <v>1644142</v>
      </c>
      <c r="BG161" s="272">
        <v>0</v>
      </c>
      <c r="BH161">
        <v>1025</v>
      </c>
      <c r="BI161">
        <v>1443</v>
      </c>
      <c r="BJ161">
        <v>145</v>
      </c>
      <c r="BK161">
        <v>153</v>
      </c>
      <c r="BL161">
        <v>662</v>
      </c>
      <c r="BM161">
        <v>151</v>
      </c>
      <c r="BN161" s="128">
        <v>0</v>
      </c>
      <c r="BO161" s="128">
        <v>0</v>
      </c>
      <c r="BP161" s="128">
        <v>781</v>
      </c>
      <c r="BQ161" s="128">
        <f t="shared" si="43"/>
        <v>17847697</v>
      </c>
      <c r="BR161">
        <v>11399</v>
      </c>
      <c r="BS161" s="128">
        <f t="shared" si="30"/>
        <v>1565.7248004210896</v>
      </c>
      <c r="BT161" t="s">
        <v>467</v>
      </c>
      <c r="BU161" s="129">
        <f t="shared" si="44"/>
        <v>1634.2395824195105</v>
      </c>
      <c r="BZ161" t="s">
        <v>438</v>
      </c>
      <c r="CA161">
        <v>1439.5494276045793</v>
      </c>
      <c r="CB161" t="s">
        <v>467</v>
      </c>
    </row>
    <row r="162" spans="1:80" ht="14.5" x14ac:dyDescent="0.25">
      <c r="A162" t="s">
        <v>132</v>
      </c>
      <c r="B162">
        <v>94998</v>
      </c>
      <c r="C162">
        <v>43672</v>
      </c>
      <c r="D162">
        <v>8737</v>
      </c>
      <c r="E162">
        <f t="shared" si="31"/>
        <v>23011</v>
      </c>
      <c r="F162">
        <f t="shared" si="32"/>
        <v>9534</v>
      </c>
      <c r="G162">
        <f t="shared" si="33"/>
        <v>15194</v>
      </c>
      <c r="H162">
        <f t="shared" si="34"/>
        <v>2556</v>
      </c>
      <c r="I162">
        <f t="shared" si="35"/>
        <v>11293</v>
      </c>
      <c r="J162">
        <f t="shared" si="36"/>
        <v>27994</v>
      </c>
      <c r="K162">
        <f t="shared" si="37"/>
        <v>120059</v>
      </c>
      <c r="L162">
        <f t="shared" si="38"/>
        <v>168745</v>
      </c>
      <c r="M162">
        <f t="shared" si="39"/>
        <v>27757</v>
      </c>
      <c r="N162">
        <f t="shared" si="40"/>
        <v>3057</v>
      </c>
      <c r="O162">
        <f t="shared" si="41"/>
        <v>556607</v>
      </c>
      <c r="Q162">
        <v>93374</v>
      </c>
      <c r="R162">
        <v>43527</v>
      </c>
      <c r="S162">
        <v>26836</v>
      </c>
      <c r="T162">
        <v>12813</v>
      </c>
      <c r="U162">
        <v>3265</v>
      </c>
      <c r="V162">
        <v>14</v>
      </c>
      <c r="W162">
        <v>25395</v>
      </c>
      <c r="X162">
        <v>4505</v>
      </c>
      <c r="Y162">
        <v>5696</v>
      </c>
      <c r="Z162" s="271">
        <v>4053</v>
      </c>
      <c r="AA162">
        <v>1387</v>
      </c>
      <c r="AB162">
        <v>110</v>
      </c>
      <c r="AC162">
        <v>18561</v>
      </c>
      <c r="AD162">
        <v>2070</v>
      </c>
      <c r="AE162">
        <v>5198</v>
      </c>
      <c r="AF162">
        <v>41628</v>
      </c>
      <c r="AG162">
        <v>10216</v>
      </c>
      <c r="AH162">
        <v>3418</v>
      </c>
      <c r="AI162">
        <v>134424</v>
      </c>
      <c r="AJ162">
        <v>14285</v>
      </c>
      <c r="AK162">
        <v>80</v>
      </c>
      <c r="AL162">
        <v>174060</v>
      </c>
      <c r="AM162">
        <v>5055</v>
      </c>
      <c r="AN162">
        <v>260</v>
      </c>
      <c r="AO162">
        <v>33759</v>
      </c>
      <c r="AP162">
        <v>4085</v>
      </c>
      <c r="AQ162">
        <v>1917</v>
      </c>
      <c r="AR162">
        <v>7531</v>
      </c>
      <c r="AS162">
        <v>4419</v>
      </c>
      <c r="AT162">
        <v>55</v>
      </c>
      <c r="AU162">
        <v>20603</v>
      </c>
      <c r="AV162">
        <v>2184</v>
      </c>
      <c r="AW162">
        <v>88</v>
      </c>
      <c r="AX162">
        <f t="shared" si="42"/>
        <v>574938</v>
      </c>
      <c r="AZ162" t="s">
        <v>132</v>
      </c>
      <c r="BA162" s="128">
        <v>501926</v>
      </c>
      <c r="BB162" s="128">
        <v>5873667</v>
      </c>
      <c r="BC162" s="128">
        <v>50025975</v>
      </c>
      <c r="BD162" s="128">
        <v>13732946</v>
      </c>
      <c r="BE162" s="128">
        <v>27215474</v>
      </c>
      <c r="BF162" s="128">
        <v>85028090.174704552</v>
      </c>
      <c r="BG162" s="272">
        <v>0</v>
      </c>
      <c r="BH162">
        <v>12306</v>
      </c>
      <c r="BI162">
        <v>17620</v>
      </c>
      <c r="BJ162">
        <v>1382</v>
      </c>
      <c r="BK162">
        <v>240</v>
      </c>
      <c r="BL162">
        <v>3717</v>
      </c>
      <c r="BM162">
        <v>848</v>
      </c>
      <c r="BN162" s="128">
        <v>0</v>
      </c>
      <c r="BO162" s="128">
        <v>3525</v>
      </c>
      <c r="BP162" s="128">
        <v>1832</v>
      </c>
      <c r="BQ162" s="128">
        <f t="shared" si="43"/>
        <v>278579847.82529545</v>
      </c>
      <c r="BR162">
        <v>124499</v>
      </c>
      <c r="BS162" s="128">
        <f t="shared" si="30"/>
        <v>2237.6071119068865</v>
      </c>
      <c r="BT162" t="s">
        <v>441</v>
      </c>
      <c r="BU162" s="129">
        <f t="shared" si="44"/>
        <v>2252.3220895372287</v>
      </c>
      <c r="BZ162" t="s">
        <v>415</v>
      </c>
      <c r="CA162">
        <v>1565.0715184446778</v>
      </c>
      <c r="CB162" t="s">
        <v>467</v>
      </c>
    </row>
    <row r="163" spans="1:80" ht="14.5" x14ac:dyDescent="0.25">
      <c r="A163" t="s">
        <v>303</v>
      </c>
      <c r="B163">
        <v>115862</v>
      </c>
      <c r="C163">
        <v>27497</v>
      </c>
      <c r="D163">
        <v>6898</v>
      </c>
      <c r="E163">
        <f t="shared" si="31"/>
        <v>56253</v>
      </c>
      <c r="F163">
        <f t="shared" si="32"/>
        <v>12347</v>
      </c>
      <c r="G163">
        <f t="shared" si="33"/>
        <v>22117</v>
      </c>
      <c r="H163">
        <f t="shared" si="34"/>
        <v>6669</v>
      </c>
      <c r="I163">
        <f t="shared" si="35"/>
        <v>16647</v>
      </c>
      <c r="J163">
        <f t="shared" si="36"/>
        <v>29086</v>
      </c>
      <c r="K163">
        <f t="shared" si="37"/>
        <v>62941</v>
      </c>
      <c r="L163">
        <f t="shared" si="38"/>
        <v>115127</v>
      </c>
      <c r="M163">
        <f t="shared" si="39"/>
        <v>23178</v>
      </c>
      <c r="N163">
        <f t="shared" si="40"/>
        <v>3868</v>
      </c>
      <c r="O163">
        <f t="shared" si="41"/>
        <v>498490</v>
      </c>
      <c r="Q163">
        <v>81139</v>
      </c>
      <c r="R163">
        <v>22273</v>
      </c>
      <c r="S163">
        <v>2613</v>
      </c>
      <c r="T163">
        <v>14059</v>
      </c>
      <c r="U163">
        <v>1706</v>
      </c>
      <c r="V163">
        <v>6</v>
      </c>
      <c r="W163">
        <v>45588</v>
      </c>
      <c r="X163">
        <v>14160</v>
      </c>
      <c r="Y163">
        <v>9311</v>
      </c>
      <c r="Z163" s="271">
        <v>8080</v>
      </c>
      <c r="AA163">
        <v>1342</v>
      </c>
      <c r="AB163">
        <v>69</v>
      </c>
      <c r="AC163">
        <v>22487</v>
      </c>
      <c r="AD163">
        <v>1116</v>
      </c>
      <c r="AE163">
        <v>4724</v>
      </c>
      <c r="AF163">
        <v>46467</v>
      </c>
      <c r="AG163">
        <v>12843</v>
      </c>
      <c r="AH163">
        <v>4538</v>
      </c>
      <c r="AI163">
        <v>104585</v>
      </c>
      <c r="AJ163">
        <v>41332</v>
      </c>
      <c r="AK163">
        <v>312</v>
      </c>
      <c r="AL163">
        <v>120895</v>
      </c>
      <c r="AM163">
        <v>5688</v>
      </c>
      <c r="AN163">
        <v>80</v>
      </c>
      <c r="AO163">
        <v>33470</v>
      </c>
      <c r="AP163">
        <v>7631</v>
      </c>
      <c r="AQ163">
        <v>2661</v>
      </c>
      <c r="AR163">
        <v>10053</v>
      </c>
      <c r="AS163">
        <v>5877</v>
      </c>
      <c r="AT163">
        <v>308</v>
      </c>
      <c r="AU163">
        <v>22107</v>
      </c>
      <c r="AV163">
        <v>1894</v>
      </c>
      <c r="AW163">
        <v>2875</v>
      </c>
      <c r="AX163">
        <f t="shared" si="42"/>
        <v>515828</v>
      </c>
      <c r="AZ163" t="s">
        <v>303</v>
      </c>
      <c r="BA163" s="128">
        <v>459326</v>
      </c>
      <c r="BB163" s="128">
        <v>2485842</v>
      </c>
      <c r="BC163" s="128">
        <v>28906145</v>
      </c>
      <c r="BD163" s="128">
        <v>20047353</v>
      </c>
      <c r="BE163" s="128">
        <v>17864876</v>
      </c>
      <c r="BF163" s="128">
        <v>54814753.508277006</v>
      </c>
      <c r="BG163" s="272">
        <v>4300683.7430984303</v>
      </c>
      <c r="BH163">
        <v>8758</v>
      </c>
      <c r="BI163">
        <v>17492</v>
      </c>
      <c r="BJ163">
        <v>1626</v>
      </c>
      <c r="BK163">
        <v>0</v>
      </c>
      <c r="BL163">
        <v>3408</v>
      </c>
      <c r="BM163">
        <v>2717</v>
      </c>
      <c r="BN163" s="128">
        <v>835</v>
      </c>
      <c r="BO163" s="128">
        <v>12845</v>
      </c>
      <c r="BP163" s="128">
        <v>10393</v>
      </c>
      <c r="BQ163" s="128">
        <f t="shared" si="43"/>
        <v>272832346.74862456</v>
      </c>
      <c r="BR163">
        <v>124077</v>
      </c>
      <c r="BS163" s="128">
        <f t="shared" si="30"/>
        <v>2198.8954177536898</v>
      </c>
      <c r="BT163" t="s">
        <v>441</v>
      </c>
      <c r="BU163" s="129">
        <f t="shared" si="44"/>
        <v>2282.6579200707993</v>
      </c>
      <c r="BZ163" t="s">
        <v>191</v>
      </c>
      <c r="CA163">
        <v>1624.4221971627708</v>
      </c>
      <c r="CB163" t="s">
        <v>467</v>
      </c>
    </row>
    <row r="164" spans="1:80" ht="14.5" x14ac:dyDescent="0.25">
      <c r="A164" t="s">
        <v>304</v>
      </c>
      <c r="B164">
        <v>11395</v>
      </c>
      <c r="C164">
        <v>3842</v>
      </c>
      <c r="D164">
        <v>464</v>
      </c>
      <c r="E164">
        <f t="shared" si="31"/>
        <v>8949</v>
      </c>
      <c r="F164">
        <f t="shared" si="32"/>
        <v>1985</v>
      </c>
      <c r="G164">
        <f t="shared" si="33"/>
        <v>2336</v>
      </c>
      <c r="H164">
        <f t="shared" si="34"/>
        <v>3707</v>
      </c>
      <c r="I164">
        <f t="shared" si="35"/>
        <v>1886</v>
      </c>
      <c r="J164">
        <f t="shared" si="36"/>
        <v>3831</v>
      </c>
      <c r="K164">
        <f t="shared" si="37"/>
        <v>9177</v>
      </c>
      <c r="L164">
        <f t="shared" si="38"/>
        <v>13778</v>
      </c>
      <c r="M164">
        <f t="shared" si="39"/>
        <v>5032</v>
      </c>
      <c r="N164">
        <f t="shared" si="40"/>
        <v>168</v>
      </c>
      <c r="O164">
        <f t="shared" si="41"/>
        <v>66550</v>
      </c>
      <c r="Q164">
        <v>13170</v>
      </c>
      <c r="R164">
        <v>3791</v>
      </c>
      <c r="S164">
        <v>430</v>
      </c>
      <c r="T164">
        <v>2443</v>
      </c>
      <c r="U164">
        <v>455</v>
      </c>
      <c r="V164">
        <v>3</v>
      </c>
      <c r="W164">
        <v>3808</v>
      </c>
      <c r="X164">
        <v>830</v>
      </c>
      <c r="Y164">
        <v>642</v>
      </c>
      <c r="Z164" s="271">
        <v>3844</v>
      </c>
      <c r="AA164">
        <v>136</v>
      </c>
      <c r="AB164">
        <v>1</v>
      </c>
      <c r="AC164">
        <v>3184</v>
      </c>
      <c r="AD164">
        <v>186</v>
      </c>
      <c r="AE164">
        <v>1112</v>
      </c>
      <c r="AF164">
        <v>6123</v>
      </c>
      <c r="AG164">
        <v>1817</v>
      </c>
      <c r="AH164">
        <v>475</v>
      </c>
      <c r="AI164">
        <v>9340</v>
      </c>
      <c r="AJ164">
        <v>163</v>
      </c>
      <c r="AK164">
        <v>0</v>
      </c>
      <c r="AL164">
        <v>15256</v>
      </c>
      <c r="AM164">
        <v>1222</v>
      </c>
      <c r="AN164">
        <v>256</v>
      </c>
      <c r="AO164">
        <v>7709</v>
      </c>
      <c r="AP164">
        <v>1754</v>
      </c>
      <c r="AQ164">
        <v>923</v>
      </c>
      <c r="AR164">
        <v>1017</v>
      </c>
      <c r="AS164">
        <v>849</v>
      </c>
      <c r="AT164">
        <v>0</v>
      </c>
      <c r="AU164">
        <v>1921</v>
      </c>
      <c r="AV164">
        <v>192</v>
      </c>
      <c r="AW164">
        <v>0</v>
      </c>
      <c r="AX164">
        <f t="shared" si="42"/>
        <v>68279</v>
      </c>
      <c r="AZ164" t="s">
        <v>304</v>
      </c>
      <c r="BA164" s="128">
        <v>62052</v>
      </c>
      <c r="BB164" s="128">
        <v>435423</v>
      </c>
      <c r="BC164" s="128">
        <v>0</v>
      </c>
      <c r="BD164" s="128">
        <v>209980</v>
      </c>
      <c r="BE164" s="128">
        <v>277043</v>
      </c>
      <c r="BF164" s="128">
        <v>5472906.9535025414</v>
      </c>
      <c r="BG164" s="272">
        <v>795292.23524858244</v>
      </c>
      <c r="BH164">
        <v>1727</v>
      </c>
      <c r="BI164">
        <v>3908</v>
      </c>
      <c r="BJ164">
        <v>277</v>
      </c>
      <c r="BK164">
        <v>336</v>
      </c>
      <c r="BL164">
        <v>318</v>
      </c>
      <c r="BM164">
        <v>49</v>
      </c>
      <c r="BN164" s="128">
        <v>68</v>
      </c>
      <c r="BO164" s="128">
        <v>0</v>
      </c>
      <c r="BP164" s="128">
        <v>644</v>
      </c>
      <c r="BQ164" s="128">
        <f t="shared" si="43"/>
        <v>47534354.811248876</v>
      </c>
      <c r="BR164">
        <v>27385</v>
      </c>
      <c r="BS164" s="128">
        <f t="shared" si="30"/>
        <v>1735.7807124794185</v>
      </c>
      <c r="BT164" t="s">
        <v>467</v>
      </c>
      <c r="BU164" s="129">
        <f t="shared" si="44"/>
        <v>1759.2972361237494</v>
      </c>
      <c r="BZ164" t="s">
        <v>416</v>
      </c>
      <c r="CA164">
        <v>1558.6045731216213</v>
      </c>
      <c r="CB164" t="s">
        <v>467</v>
      </c>
    </row>
    <row r="165" spans="1:80" ht="14.5" x14ac:dyDescent="0.25">
      <c r="A165" t="s">
        <v>305</v>
      </c>
      <c r="B165">
        <v>49451</v>
      </c>
      <c r="C165">
        <v>10276</v>
      </c>
      <c r="D165">
        <v>1331</v>
      </c>
      <c r="E165">
        <f t="shared" si="31"/>
        <v>17191</v>
      </c>
      <c r="F165">
        <f t="shared" si="32"/>
        <v>6589</v>
      </c>
      <c r="G165">
        <f t="shared" si="33"/>
        <v>6472</v>
      </c>
      <c r="H165">
        <f t="shared" si="34"/>
        <v>676</v>
      </c>
      <c r="I165">
        <f t="shared" si="35"/>
        <v>4093</v>
      </c>
      <c r="J165">
        <f t="shared" si="36"/>
        <v>10973</v>
      </c>
      <c r="K165">
        <f t="shared" si="37"/>
        <v>38984</v>
      </c>
      <c r="L165">
        <f t="shared" si="38"/>
        <v>48011</v>
      </c>
      <c r="M165">
        <f t="shared" si="39"/>
        <v>15390</v>
      </c>
      <c r="N165">
        <f t="shared" si="40"/>
        <v>1484</v>
      </c>
      <c r="O165">
        <f t="shared" si="41"/>
        <v>210921</v>
      </c>
      <c r="Q165">
        <v>39977</v>
      </c>
      <c r="R165">
        <v>20383</v>
      </c>
      <c r="S165">
        <v>2403</v>
      </c>
      <c r="T165">
        <v>8768</v>
      </c>
      <c r="U165">
        <v>2177</v>
      </c>
      <c r="V165">
        <v>2</v>
      </c>
      <c r="W165">
        <v>10092</v>
      </c>
      <c r="X165">
        <v>2373</v>
      </c>
      <c r="Y165">
        <v>1247</v>
      </c>
      <c r="Z165" s="271">
        <v>1063</v>
      </c>
      <c r="AA165">
        <v>382</v>
      </c>
      <c r="AB165">
        <v>5</v>
      </c>
      <c r="AC165">
        <v>6986</v>
      </c>
      <c r="AD165">
        <v>907</v>
      </c>
      <c r="AE165">
        <v>1986</v>
      </c>
      <c r="AF165">
        <v>17196</v>
      </c>
      <c r="AG165">
        <v>3899</v>
      </c>
      <c r="AH165">
        <v>2324</v>
      </c>
      <c r="AI165">
        <v>45604</v>
      </c>
      <c r="AJ165">
        <v>6620</v>
      </c>
      <c r="AK165">
        <v>0</v>
      </c>
      <c r="AL165">
        <v>54715</v>
      </c>
      <c r="AM165">
        <v>6571</v>
      </c>
      <c r="AN165">
        <v>133</v>
      </c>
      <c r="AO165">
        <v>19266</v>
      </c>
      <c r="AP165">
        <v>1833</v>
      </c>
      <c r="AQ165">
        <v>2043</v>
      </c>
      <c r="AR165">
        <v>5705</v>
      </c>
      <c r="AS165">
        <v>4088</v>
      </c>
      <c r="AT165">
        <v>133</v>
      </c>
      <c r="AU165">
        <v>17474</v>
      </c>
      <c r="AV165">
        <v>218</v>
      </c>
      <c r="AW165">
        <v>0</v>
      </c>
      <c r="AX165">
        <f t="shared" si="42"/>
        <v>228177</v>
      </c>
      <c r="AZ165" t="s">
        <v>305</v>
      </c>
      <c r="BA165" s="128">
        <v>199096</v>
      </c>
      <c r="BB165" s="128">
        <v>6290999</v>
      </c>
      <c r="BC165" s="128">
        <v>0</v>
      </c>
      <c r="BD165" s="128">
        <v>3176269</v>
      </c>
      <c r="BE165" s="128">
        <v>1078205</v>
      </c>
      <c r="BF165" s="128">
        <v>27570997.058470361</v>
      </c>
      <c r="BG165" s="272">
        <v>0</v>
      </c>
      <c r="BH165">
        <v>6558</v>
      </c>
      <c r="BI165">
        <v>12651</v>
      </c>
      <c r="BJ165">
        <v>1136</v>
      </c>
      <c r="BK165">
        <v>873</v>
      </c>
      <c r="BL165">
        <v>1951</v>
      </c>
      <c r="BM165">
        <v>160</v>
      </c>
      <c r="BN165" s="128">
        <v>190</v>
      </c>
      <c r="BO165" s="128">
        <v>212</v>
      </c>
      <c r="BP165" s="128">
        <v>535</v>
      </c>
      <c r="BQ165" s="128">
        <f t="shared" si="43"/>
        <v>136713529.94152963</v>
      </c>
      <c r="BR165">
        <v>76417</v>
      </c>
      <c r="BS165" s="128">
        <f t="shared" si="30"/>
        <v>1789.0460230253691</v>
      </c>
      <c r="BT165" t="s">
        <v>118</v>
      </c>
      <c r="BU165" s="129">
        <f t="shared" si="44"/>
        <v>1796.0470829989351</v>
      </c>
      <c r="BZ165" t="s">
        <v>309</v>
      </c>
      <c r="CA165">
        <v>1636.24831386238</v>
      </c>
      <c r="CB165" t="s">
        <v>467</v>
      </c>
    </row>
    <row r="166" spans="1:80" ht="14.5" x14ac:dyDescent="0.25">
      <c r="A166" t="s">
        <v>431</v>
      </c>
      <c r="B166">
        <v>46900</v>
      </c>
      <c r="C166">
        <v>9947</v>
      </c>
      <c r="D166">
        <v>4960</v>
      </c>
      <c r="E166">
        <f t="shared" si="31"/>
        <v>17920</v>
      </c>
      <c r="F166">
        <f t="shared" si="32"/>
        <v>7087</v>
      </c>
      <c r="G166">
        <f t="shared" si="33"/>
        <v>17836</v>
      </c>
      <c r="H166">
        <f t="shared" si="34"/>
        <v>11779</v>
      </c>
      <c r="I166">
        <f t="shared" si="35"/>
        <v>11969</v>
      </c>
      <c r="J166">
        <f t="shared" si="36"/>
        <v>15679</v>
      </c>
      <c r="K166">
        <f t="shared" si="37"/>
        <v>52326</v>
      </c>
      <c r="L166">
        <f t="shared" si="38"/>
        <v>55803</v>
      </c>
      <c r="M166">
        <f t="shared" si="39"/>
        <v>18916</v>
      </c>
      <c r="N166">
        <f t="shared" si="40"/>
        <v>2980</v>
      </c>
      <c r="O166">
        <f t="shared" si="41"/>
        <v>274102</v>
      </c>
      <c r="Q166">
        <v>43840</v>
      </c>
      <c r="R166">
        <v>22026</v>
      </c>
      <c r="S166">
        <v>3894</v>
      </c>
      <c r="T166">
        <v>8500</v>
      </c>
      <c r="U166">
        <v>1149</v>
      </c>
      <c r="V166">
        <v>264</v>
      </c>
      <c r="W166">
        <v>21996</v>
      </c>
      <c r="X166">
        <v>3279</v>
      </c>
      <c r="Y166">
        <v>881</v>
      </c>
      <c r="Z166" s="271">
        <v>13267</v>
      </c>
      <c r="AA166">
        <v>1407</v>
      </c>
      <c r="AB166">
        <v>81</v>
      </c>
      <c r="AC166">
        <v>17013</v>
      </c>
      <c r="AD166">
        <v>1089</v>
      </c>
      <c r="AE166">
        <v>3955</v>
      </c>
      <c r="AF166">
        <v>18560</v>
      </c>
      <c r="AG166">
        <v>2144</v>
      </c>
      <c r="AH166">
        <v>737</v>
      </c>
      <c r="AI166">
        <v>58755</v>
      </c>
      <c r="AJ166">
        <v>6429</v>
      </c>
      <c r="AK166">
        <v>0</v>
      </c>
      <c r="AL166">
        <v>58161</v>
      </c>
      <c r="AM166">
        <v>2358</v>
      </c>
      <c r="AN166">
        <v>0</v>
      </c>
      <c r="AO166">
        <v>22229</v>
      </c>
      <c r="AP166">
        <v>3178</v>
      </c>
      <c r="AQ166">
        <v>135</v>
      </c>
      <c r="AR166">
        <v>6455</v>
      </c>
      <c r="AS166">
        <v>3475</v>
      </c>
      <c r="AT166">
        <v>0</v>
      </c>
      <c r="AU166">
        <v>17085</v>
      </c>
      <c r="AV166">
        <v>366</v>
      </c>
      <c r="AW166">
        <v>0</v>
      </c>
      <c r="AX166">
        <f t="shared" si="42"/>
        <v>290821</v>
      </c>
      <c r="AZ166" t="s">
        <v>431</v>
      </c>
      <c r="BA166" s="128">
        <v>258829</v>
      </c>
      <c r="BB166" s="128">
        <v>3503008</v>
      </c>
      <c r="BC166" s="128">
        <v>0</v>
      </c>
      <c r="BD166" s="128">
        <v>6927043</v>
      </c>
      <c r="BE166" s="128">
        <v>2397825</v>
      </c>
      <c r="BF166" s="128">
        <v>34368525.554436341</v>
      </c>
      <c r="BG166" s="272">
        <v>13254273.260883674</v>
      </c>
      <c r="BH166">
        <v>6387</v>
      </c>
      <c r="BI166">
        <v>9270</v>
      </c>
      <c r="BJ166">
        <v>910</v>
      </c>
      <c r="BK166">
        <v>449</v>
      </c>
      <c r="BL166">
        <v>1820</v>
      </c>
      <c r="BM166">
        <v>462</v>
      </c>
      <c r="BN166" s="128">
        <v>0</v>
      </c>
      <c r="BO166" s="128">
        <v>0</v>
      </c>
      <c r="BP166" s="128">
        <v>2518</v>
      </c>
      <c r="BQ166" s="128">
        <f t="shared" si="43"/>
        <v>176562325.18467999</v>
      </c>
      <c r="BR166">
        <v>79769</v>
      </c>
      <c r="BS166" s="128">
        <f t="shared" si="30"/>
        <v>2213.4203159708659</v>
      </c>
      <c r="BT166" t="s">
        <v>441</v>
      </c>
      <c r="BU166" s="129">
        <f t="shared" si="44"/>
        <v>2244.9864632210506</v>
      </c>
      <c r="BZ166" t="s">
        <v>192</v>
      </c>
      <c r="CA166">
        <v>1510.3928317751081</v>
      </c>
      <c r="CB166" t="s">
        <v>467</v>
      </c>
    </row>
    <row r="167" spans="1:80" ht="14.5" x14ac:dyDescent="0.25">
      <c r="A167" t="s">
        <v>411</v>
      </c>
      <c r="B167">
        <v>17588</v>
      </c>
      <c r="C167">
        <v>4754</v>
      </c>
      <c r="D167">
        <v>1762</v>
      </c>
      <c r="E167">
        <f t="shared" si="31"/>
        <v>7491</v>
      </c>
      <c r="F167">
        <f t="shared" si="32"/>
        <v>3278</v>
      </c>
      <c r="G167">
        <f t="shared" si="33"/>
        <v>2118</v>
      </c>
      <c r="H167">
        <f t="shared" si="34"/>
        <v>548</v>
      </c>
      <c r="I167">
        <f t="shared" si="35"/>
        <v>1614</v>
      </c>
      <c r="J167">
        <f t="shared" si="36"/>
        <v>5129</v>
      </c>
      <c r="K167">
        <f t="shared" si="37"/>
        <v>9920</v>
      </c>
      <c r="L167">
        <f t="shared" si="38"/>
        <v>21977</v>
      </c>
      <c r="M167">
        <f t="shared" si="39"/>
        <v>6114</v>
      </c>
      <c r="N167">
        <f t="shared" si="40"/>
        <v>2469</v>
      </c>
      <c r="O167">
        <f t="shared" si="41"/>
        <v>84762</v>
      </c>
      <c r="Q167">
        <v>17079</v>
      </c>
      <c r="R167">
        <v>8410</v>
      </c>
      <c r="S167">
        <v>1178</v>
      </c>
      <c r="T167">
        <v>3828</v>
      </c>
      <c r="U167">
        <v>426</v>
      </c>
      <c r="V167">
        <v>124</v>
      </c>
      <c r="W167">
        <v>3489</v>
      </c>
      <c r="X167">
        <v>880</v>
      </c>
      <c r="Y167">
        <v>491</v>
      </c>
      <c r="Z167" s="271">
        <v>1032</v>
      </c>
      <c r="AA167">
        <v>431</v>
      </c>
      <c r="AB167">
        <v>53</v>
      </c>
      <c r="AC167">
        <v>2521</v>
      </c>
      <c r="AD167">
        <v>203</v>
      </c>
      <c r="AE167">
        <v>704</v>
      </c>
      <c r="AF167">
        <v>7013</v>
      </c>
      <c r="AG167">
        <v>917</v>
      </c>
      <c r="AH167">
        <v>967</v>
      </c>
      <c r="AI167">
        <v>11067</v>
      </c>
      <c r="AJ167">
        <v>1147</v>
      </c>
      <c r="AK167">
        <v>0</v>
      </c>
      <c r="AL167">
        <v>23168</v>
      </c>
      <c r="AM167">
        <v>1138</v>
      </c>
      <c r="AN167">
        <v>53</v>
      </c>
      <c r="AO167">
        <v>8653</v>
      </c>
      <c r="AP167">
        <v>1525</v>
      </c>
      <c r="AQ167">
        <v>1014</v>
      </c>
      <c r="AR167">
        <v>5105</v>
      </c>
      <c r="AS167">
        <v>2466</v>
      </c>
      <c r="AT167">
        <v>170</v>
      </c>
      <c r="AU167">
        <v>46</v>
      </c>
      <c r="AV167">
        <v>45</v>
      </c>
      <c r="AW167">
        <v>0</v>
      </c>
      <c r="AX167">
        <f t="shared" si="42"/>
        <v>84763</v>
      </c>
      <c r="AZ167" t="s">
        <v>411</v>
      </c>
      <c r="BA167" s="128">
        <v>78201</v>
      </c>
      <c r="BB167" s="128">
        <v>3703661</v>
      </c>
      <c r="BC167" s="128">
        <v>0</v>
      </c>
      <c r="BD167" s="128">
        <v>2875467</v>
      </c>
      <c r="BE167" s="128">
        <v>649480.99666666659</v>
      </c>
      <c r="BF167" s="128">
        <v>5569640.5454603489</v>
      </c>
      <c r="BG167" s="272">
        <v>0</v>
      </c>
      <c r="BH167">
        <v>4857</v>
      </c>
      <c r="BI167">
        <v>3107</v>
      </c>
      <c r="BJ167">
        <v>369</v>
      </c>
      <c r="BK167">
        <v>7</v>
      </c>
      <c r="BL167">
        <v>743</v>
      </c>
      <c r="BM167">
        <v>17</v>
      </c>
      <c r="BN167" s="128">
        <v>930</v>
      </c>
      <c r="BO167" s="128">
        <v>0</v>
      </c>
      <c r="BP167" s="128">
        <v>131</v>
      </c>
      <c r="BQ167" s="128">
        <f t="shared" si="43"/>
        <v>55241750.457872979</v>
      </c>
      <c r="BR167">
        <v>36046</v>
      </c>
      <c r="BS167" s="128">
        <f t="shared" si="30"/>
        <v>1532.5348293256666</v>
      </c>
      <c r="BT167" t="s">
        <v>467</v>
      </c>
      <c r="BU167" s="129">
        <f t="shared" si="44"/>
        <v>1536.1690744568878</v>
      </c>
      <c r="BZ167" t="s">
        <v>435</v>
      </c>
      <c r="CA167">
        <v>1401.4654194457812</v>
      </c>
      <c r="CB167" t="s">
        <v>467</v>
      </c>
    </row>
    <row r="168" spans="1:80" ht="14.5" x14ac:dyDescent="0.25">
      <c r="A168" t="s">
        <v>223</v>
      </c>
      <c r="B168">
        <v>13636</v>
      </c>
      <c r="C168">
        <v>3201</v>
      </c>
      <c r="D168">
        <v>204</v>
      </c>
      <c r="E168">
        <f t="shared" si="31"/>
        <v>3727</v>
      </c>
      <c r="F168">
        <f t="shared" si="32"/>
        <v>1783</v>
      </c>
      <c r="G168">
        <f t="shared" si="33"/>
        <v>2937</v>
      </c>
      <c r="H168">
        <f t="shared" si="34"/>
        <v>699</v>
      </c>
      <c r="I168">
        <f t="shared" si="35"/>
        <v>1410</v>
      </c>
      <c r="J168">
        <f t="shared" si="36"/>
        <v>3725</v>
      </c>
      <c r="K168">
        <f t="shared" si="37"/>
        <v>8261</v>
      </c>
      <c r="L168">
        <f t="shared" si="38"/>
        <v>15202</v>
      </c>
      <c r="M168">
        <f t="shared" si="39"/>
        <v>5508</v>
      </c>
      <c r="N168">
        <f t="shared" si="40"/>
        <v>800</v>
      </c>
      <c r="O168">
        <f t="shared" si="41"/>
        <v>61093</v>
      </c>
      <c r="Q168">
        <v>11962</v>
      </c>
      <c r="R168">
        <v>7393</v>
      </c>
      <c r="S168">
        <v>842</v>
      </c>
      <c r="T168">
        <v>2264</v>
      </c>
      <c r="U168">
        <v>457</v>
      </c>
      <c r="V168">
        <v>24</v>
      </c>
      <c r="W168">
        <v>4696</v>
      </c>
      <c r="X168">
        <v>1051</v>
      </c>
      <c r="Y168">
        <v>708</v>
      </c>
      <c r="Z168" s="271">
        <v>822</v>
      </c>
      <c r="AA168">
        <v>123</v>
      </c>
      <c r="AB168">
        <v>0</v>
      </c>
      <c r="AC168">
        <v>2207</v>
      </c>
      <c r="AD168">
        <v>247</v>
      </c>
      <c r="AE168">
        <v>550</v>
      </c>
      <c r="AF168">
        <v>5308</v>
      </c>
      <c r="AG168">
        <v>847</v>
      </c>
      <c r="AH168">
        <v>736</v>
      </c>
      <c r="AI168">
        <v>8359</v>
      </c>
      <c r="AJ168">
        <v>98</v>
      </c>
      <c r="AK168">
        <v>0</v>
      </c>
      <c r="AL168">
        <v>16163</v>
      </c>
      <c r="AM168">
        <v>933</v>
      </c>
      <c r="AN168">
        <v>28</v>
      </c>
      <c r="AO168">
        <v>6975</v>
      </c>
      <c r="AP168">
        <v>1195</v>
      </c>
      <c r="AQ168">
        <v>272</v>
      </c>
      <c r="AR168">
        <v>2133</v>
      </c>
      <c r="AS168">
        <v>1292</v>
      </c>
      <c r="AT168">
        <v>41</v>
      </c>
      <c r="AU168">
        <v>2809</v>
      </c>
      <c r="AV168">
        <v>0</v>
      </c>
      <c r="AW168">
        <v>0</v>
      </c>
      <c r="AX168">
        <f t="shared" si="42"/>
        <v>63902</v>
      </c>
      <c r="AZ168" t="s">
        <v>223</v>
      </c>
      <c r="BA168" s="128">
        <v>57688</v>
      </c>
      <c r="BB168" s="128">
        <v>663436</v>
      </c>
      <c r="BC168" s="128">
        <v>0</v>
      </c>
      <c r="BD168" s="128">
        <v>1477014</v>
      </c>
      <c r="BE168" s="128">
        <v>402168.9</v>
      </c>
      <c r="BF168" s="128">
        <v>4662037.6807915587</v>
      </c>
      <c r="BG168" s="272">
        <v>0</v>
      </c>
      <c r="BH168">
        <v>1730</v>
      </c>
      <c r="BI168">
        <v>3193</v>
      </c>
      <c r="BJ168">
        <v>340</v>
      </c>
      <c r="BK168">
        <v>36</v>
      </c>
      <c r="BL168">
        <v>455</v>
      </c>
      <c r="BM168">
        <v>101</v>
      </c>
      <c r="BN168" s="128">
        <v>140</v>
      </c>
      <c r="BO168" s="128">
        <v>0</v>
      </c>
      <c r="BP168" s="128">
        <v>81</v>
      </c>
      <c r="BQ168" s="128">
        <f t="shared" si="43"/>
        <v>44407343.419208445</v>
      </c>
      <c r="BR168">
        <v>30540</v>
      </c>
      <c r="BS168" s="128">
        <f t="shared" si="30"/>
        <v>1454.0714937527323</v>
      </c>
      <c r="BT168" t="s">
        <v>467</v>
      </c>
      <c r="BU168" s="129">
        <f t="shared" si="44"/>
        <v>1456.7237530847558</v>
      </c>
      <c r="BZ168" t="s">
        <v>194</v>
      </c>
      <c r="CA168">
        <v>1637.0648408709794</v>
      </c>
      <c r="CB168" t="s">
        <v>467</v>
      </c>
    </row>
    <row r="169" spans="1:80" ht="14.5" x14ac:dyDescent="0.25">
      <c r="A169" t="s">
        <v>187</v>
      </c>
      <c r="B169">
        <v>25978</v>
      </c>
      <c r="C169">
        <v>4903</v>
      </c>
      <c r="D169">
        <v>1968</v>
      </c>
      <c r="E169">
        <f t="shared" si="31"/>
        <v>8431</v>
      </c>
      <c r="F169">
        <f t="shared" si="32"/>
        <v>2333</v>
      </c>
      <c r="G169">
        <f t="shared" si="33"/>
        <v>8318</v>
      </c>
      <c r="H169">
        <f t="shared" si="34"/>
        <v>3431</v>
      </c>
      <c r="I169">
        <f t="shared" si="35"/>
        <v>2496</v>
      </c>
      <c r="J169">
        <f t="shared" si="36"/>
        <v>6965</v>
      </c>
      <c r="K169">
        <f t="shared" si="37"/>
        <v>14867</v>
      </c>
      <c r="L169">
        <f t="shared" si="38"/>
        <v>24954</v>
      </c>
      <c r="M169">
        <f t="shared" si="39"/>
        <v>7974</v>
      </c>
      <c r="N169">
        <f t="shared" si="40"/>
        <v>2400</v>
      </c>
      <c r="O169">
        <f t="shared" si="41"/>
        <v>115018</v>
      </c>
      <c r="Q169">
        <v>21832</v>
      </c>
      <c r="R169">
        <v>12383</v>
      </c>
      <c r="S169">
        <v>1018</v>
      </c>
      <c r="T169">
        <v>3406</v>
      </c>
      <c r="U169">
        <v>1045</v>
      </c>
      <c r="V169">
        <v>28</v>
      </c>
      <c r="W169">
        <v>10277</v>
      </c>
      <c r="X169">
        <v>1219</v>
      </c>
      <c r="Y169">
        <v>740</v>
      </c>
      <c r="Z169" s="271">
        <v>4267</v>
      </c>
      <c r="AA169">
        <v>831</v>
      </c>
      <c r="AB169">
        <v>5</v>
      </c>
      <c r="AC169">
        <v>3841</v>
      </c>
      <c r="AD169">
        <v>307</v>
      </c>
      <c r="AE169">
        <v>1038</v>
      </c>
      <c r="AF169">
        <v>9193</v>
      </c>
      <c r="AG169">
        <v>1537</v>
      </c>
      <c r="AH169">
        <v>691</v>
      </c>
      <c r="AI169">
        <v>17238</v>
      </c>
      <c r="AJ169">
        <v>2357</v>
      </c>
      <c r="AK169">
        <v>14</v>
      </c>
      <c r="AL169">
        <v>27961</v>
      </c>
      <c r="AM169">
        <v>2785</v>
      </c>
      <c r="AN169">
        <v>222</v>
      </c>
      <c r="AO169">
        <v>10619</v>
      </c>
      <c r="AP169">
        <v>1527</v>
      </c>
      <c r="AQ169">
        <v>1118</v>
      </c>
      <c r="AR169">
        <v>4352</v>
      </c>
      <c r="AS169">
        <v>1923</v>
      </c>
      <c r="AT169">
        <v>29</v>
      </c>
      <c r="AU169">
        <v>231</v>
      </c>
      <c r="AV169">
        <v>64</v>
      </c>
      <c r="AW169">
        <v>0</v>
      </c>
      <c r="AX169">
        <f t="shared" si="42"/>
        <v>115185</v>
      </c>
      <c r="AZ169" t="s">
        <v>187</v>
      </c>
      <c r="BA169" s="128">
        <v>108083</v>
      </c>
      <c r="BB169" s="128">
        <v>1369417</v>
      </c>
      <c r="BC169" s="128">
        <v>0</v>
      </c>
      <c r="BD169" s="128">
        <v>4067516</v>
      </c>
      <c r="BE169" s="128">
        <v>687642.41666666674</v>
      </c>
      <c r="BF169" s="128">
        <v>8258812.3179991283</v>
      </c>
      <c r="BG169" s="272">
        <v>337220.56059901044</v>
      </c>
      <c r="BH169">
        <v>4792</v>
      </c>
      <c r="BI169">
        <v>4662</v>
      </c>
      <c r="BJ169">
        <v>570</v>
      </c>
      <c r="BK169">
        <v>200</v>
      </c>
      <c r="BL169">
        <v>1150</v>
      </c>
      <c r="BM169">
        <v>284</v>
      </c>
      <c r="BN169" s="128">
        <v>93</v>
      </c>
      <c r="BO169" s="128">
        <v>0</v>
      </c>
      <c r="BP169" s="128">
        <v>3589</v>
      </c>
      <c r="BQ169" s="128">
        <f t="shared" si="43"/>
        <v>78022391.70473519</v>
      </c>
      <c r="BR169">
        <v>46815</v>
      </c>
      <c r="BS169" s="128">
        <f t="shared" si="30"/>
        <v>1666.6109517192181</v>
      </c>
      <c r="BT169" t="s">
        <v>467</v>
      </c>
      <c r="BU169" s="129">
        <f t="shared" si="44"/>
        <v>1743.274414284635</v>
      </c>
      <c r="BZ169" t="s">
        <v>311</v>
      </c>
      <c r="CA169">
        <v>1398.1077757618646</v>
      </c>
      <c r="CB169" t="s">
        <v>467</v>
      </c>
    </row>
    <row r="170" spans="1:80" ht="14.5" x14ac:dyDescent="0.25">
      <c r="A170" t="s">
        <v>306</v>
      </c>
      <c r="B170">
        <v>1038</v>
      </c>
      <c r="C170">
        <v>5389</v>
      </c>
      <c r="D170">
        <v>1776</v>
      </c>
      <c r="E170">
        <f t="shared" si="31"/>
        <v>11109</v>
      </c>
      <c r="F170">
        <f t="shared" si="32"/>
        <v>2248</v>
      </c>
      <c r="G170">
        <f t="shared" si="33"/>
        <v>2012</v>
      </c>
      <c r="H170">
        <f t="shared" si="34"/>
        <v>1198</v>
      </c>
      <c r="I170">
        <f t="shared" si="35"/>
        <v>1465</v>
      </c>
      <c r="J170">
        <f t="shared" si="36"/>
        <v>3989</v>
      </c>
      <c r="K170">
        <f t="shared" si="37"/>
        <v>6188</v>
      </c>
      <c r="L170">
        <f t="shared" si="38"/>
        <v>12676</v>
      </c>
      <c r="M170">
        <f t="shared" si="39"/>
        <v>5666</v>
      </c>
      <c r="N170">
        <f t="shared" si="40"/>
        <v>1179</v>
      </c>
      <c r="O170">
        <f t="shared" si="41"/>
        <v>55933</v>
      </c>
      <c r="Q170">
        <v>12431</v>
      </c>
      <c r="R170">
        <v>1038</v>
      </c>
      <c r="S170">
        <v>284</v>
      </c>
      <c r="T170">
        <v>2248</v>
      </c>
      <c r="U170">
        <v>0</v>
      </c>
      <c r="V170">
        <v>0</v>
      </c>
      <c r="W170">
        <v>2438</v>
      </c>
      <c r="X170">
        <v>0</v>
      </c>
      <c r="Y170">
        <v>426</v>
      </c>
      <c r="Z170" s="271">
        <v>1222</v>
      </c>
      <c r="AA170">
        <v>0</v>
      </c>
      <c r="AB170">
        <v>24</v>
      </c>
      <c r="AC170">
        <v>3535</v>
      </c>
      <c r="AD170">
        <v>0</v>
      </c>
      <c r="AE170">
        <v>2070</v>
      </c>
      <c r="AF170">
        <v>5956</v>
      </c>
      <c r="AG170">
        <v>0</v>
      </c>
      <c r="AH170">
        <v>1967</v>
      </c>
      <c r="AI170">
        <v>6188</v>
      </c>
      <c r="AJ170">
        <v>0</v>
      </c>
      <c r="AK170">
        <v>0</v>
      </c>
      <c r="AL170">
        <v>12676</v>
      </c>
      <c r="AM170">
        <v>0</v>
      </c>
      <c r="AN170">
        <v>0</v>
      </c>
      <c r="AO170">
        <v>6240</v>
      </c>
      <c r="AP170">
        <v>0</v>
      </c>
      <c r="AQ170">
        <v>574</v>
      </c>
      <c r="AR170">
        <v>1223</v>
      </c>
      <c r="AS170">
        <v>0</v>
      </c>
      <c r="AT170">
        <v>44</v>
      </c>
      <c r="AU170">
        <v>0</v>
      </c>
      <c r="AV170">
        <v>0</v>
      </c>
      <c r="AW170">
        <v>0</v>
      </c>
      <c r="AX170">
        <f t="shared" si="42"/>
        <v>55933</v>
      </c>
      <c r="AZ170" t="s">
        <v>306</v>
      </c>
      <c r="BA170" s="128">
        <v>48768</v>
      </c>
      <c r="BB170" s="128">
        <v>412036</v>
      </c>
      <c r="BC170" s="128">
        <v>0</v>
      </c>
      <c r="BD170" s="128">
        <v>1708764</v>
      </c>
      <c r="BE170" s="128">
        <v>363071</v>
      </c>
      <c r="BF170" s="128">
        <v>3757312.3376163784</v>
      </c>
      <c r="BG170" s="272">
        <v>0</v>
      </c>
      <c r="BH170">
        <v>2401</v>
      </c>
      <c r="BI170">
        <v>3248</v>
      </c>
      <c r="BJ170">
        <v>330</v>
      </c>
      <c r="BK170">
        <v>0</v>
      </c>
      <c r="BL170">
        <v>410</v>
      </c>
      <c r="BM170">
        <v>85</v>
      </c>
      <c r="BN170" s="128">
        <v>124</v>
      </c>
      <c r="BO170" s="128">
        <v>0</v>
      </c>
      <c r="BP170" s="128">
        <v>2280</v>
      </c>
      <c r="BQ170" s="128">
        <f t="shared" si="43"/>
        <v>33648816.662383623</v>
      </c>
      <c r="BR170">
        <v>22983</v>
      </c>
      <c r="BS170" s="128">
        <f t="shared" si="30"/>
        <v>1464.0741705775408</v>
      </c>
      <c r="BT170" t="s">
        <v>467</v>
      </c>
      <c r="BU170" s="129">
        <f t="shared" si="44"/>
        <v>1563.2779298778935</v>
      </c>
      <c r="BZ170" t="s">
        <v>380</v>
      </c>
      <c r="CA170">
        <v>1509.8716238683821</v>
      </c>
      <c r="CB170" t="s">
        <v>467</v>
      </c>
    </row>
    <row r="171" spans="1:80" ht="14.5" x14ac:dyDescent="0.25">
      <c r="A171" t="s">
        <v>188</v>
      </c>
      <c r="B171">
        <v>20242</v>
      </c>
      <c r="C171">
        <v>3550</v>
      </c>
      <c r="D171">
        <v>368</v>
      </c>
      <c r="E171">
        <f t="shared" si="31"/>
        <v>7357</v>
      </c>
      <c r="F171">
        <f t="shared" si="32"/>
        <v>2291</v>
      </c>
      <c r="G171">
        <f t="shared" si="33"/>
        <v>4297</v>
      </c>
      <c r="H171">
        <f t="shared" si="34"/>
        <v>1066</v>
      </c>
      <c r="I171">
        <f t="shared" si="35"/>
        <v>1672</v>
      </c>
      <c r="J171">
        <f t="shared" si="36"/>
        <v>5446</v>
      </c>
      <c r="K171">
        <f t="shared" si="37"/>
        <v>9206</v>
      </c>
      <c r="L171">
        <f t="shared" si="38"/>
        <v>17794</v>
      </c>
      <c r="M171">
        <f t="shared" si="39"/>
        <v>9658</v>
      </c>
      <c r="N171">
        <f t="shared" si="40"/>
        <v>953</v>
      </c>
      <c r="O171">
        <f t="shared" si="41"/>
        <v>83900</v>
      </c>
      <c r="Q171">
        <v>16528</v>
      </c>
      <c r="R171">
        <v>8338</v>
      </c>
      <c r="S171">
        <v>833</v>
      </c>
      <c r="T171">
        <v>2769</v>
      </c>
      <c r="U171">
        <v>405</v>
      </c>
      <c r="V171">
        <v>73</v>
      </c>
      <c r="W171">
        <v>5369</v>
      </c>
      <c r="X171">
        <v>684</v>
      </c>
      <c r="Y171">
        <v>388</v>
      </c>
      <c r="Z171" s="271">
        <v>1244</v>
      </c>
      <c r="AA171">
        <v>140</v>
      </c>
      <c r="AB171">
        <v>38</v>
      </c>
      <c r="AC171">
        <v>2829</v>
      </c>
      <c r="AD171">
        <v>211</v>
      </c>
      <c r="AE171">
        <v>946</v>
      </c>
      <c r="AF171">
        <v>6307</v>
      </c>
      <c r="AG171">
        <v>570</v>
      </c>
      <c r="AH171">
        <v>291</v>
      </c>
      <c r="AI171">
        <v>11912</v>
      </c>
      <c r="AJ171">
        <v>2706</v>
      </c>
      <c r="AK171">
        <v>0</v>
      </c>
      <c r="AL171">
        <v>22672</v>
      </c>
      <c r="AM171">
        <v>4806</v>
      </c>
      <c r="AN171">
        <v>72</v>
      </c>
      <c r="AO171">
        <v>11104</v>
      </c>
      <c r="AP171">
        <v>578</v>
      </c>
      <c r="AQ171">
        <v>868</v>
      </c>
      <c r="AR171">
        <v>2774</v>
      </c>
      <c r="AS171">
        <v>1804</v>
      </c>
      <c r="AT171">
        <v>17</v>
      </c>
      <c r="AU171">
        <v>1649</v>
      </c>
      <c r="AV171">
        <v>0</v>
      </c>
      <c r="AW171">
        <v>24</v>
      </c>
      <c r="AX171">
        <f t="shared" si="42"/>
        <v>85525</v>
      </c>
      <c r="AZ171" t="s">
        <v>188</v>
      </c>
      <c r="BA171" s="128">
        <v>79958</v>
      </c>
      <c r="BB171" s="128">
        <v>2606023</v>
      </c>
      <c r="BC171" s="128">
        <v>0</v>
      </c>
      <c r="BD171" s="128">
        <v>2549199</v>
      </c>
      <c r="BE171" s="128">
        <v>515043.3666666667</v>
      </c>
      <c r="BF171" s="128">
        <v>6680094.3999913167</v>
      </c>
      <c r="BG171" s="272">
        <v>122047.02863832004</v>
      </c>
      <c r="BH171">
        <v>5633</v>
      </c>
      <c r="BI171">
        <v>3682</v>
      </c>
      <c r="BJ171">
        <v>427</v>
      </c>
      <c r="BK171">
        <v>367</v>
      </c>
      <c r="BL171">
        <v>715</v>
      </c>
      <c r="BM171">
        <v>422</v>
      </c>
      <c r="BN171" s="128">
        <v>893</v>
      </c>
      <c r="BO171" s="128">
        <v>16</v>
      </c>
      <c r="BP171" s="128">
        <v>2394</v>
      </c>
      <c r="BQ171" s="128">
        <f t="shared" si="43"/>
        <v>52936593.204703704</v>
      </c>
      <c r="BR171">
        <v>33944</v>
      </c>
      <c r="BS171" s="128">
        <f t="shared" si="30"/>
        <v>1559.5272567965974</v>
      </c>
      <c r="BT171" t="s">
        <v>467</v>
      </c>
      <c r="BU171" s="129">
        <f t="shared" si="44"/>
        <v>1630.0551851491782</v>
      </c>
      <c r="BZ171" t="s">
        <v>381</v>
      </c>
      <c r="CA171">
        <v>1285.8925390354639</v>
      </c>
      <c r="CB171" t="s">
        <v>467</v>
      </c>
    </row>
    <row r="172" spans="1:80" ht="14.5" x14ac:dyDescent="0.25">
      <c r="A172" t="s">
        <v>377</v>
      </c>
      <c r="B172">
        <v>12331</v>
      </c>
      <c r="C172">
        <v>2946</v>
      </c>
      <c r="D172">
        <v>1152</v>
      </c>
      <c r="E172">
        <f t="shared" si="31"/>
        <v>6069</v>
      </c>
      <c r="F172">
        <f t="shared" si="32"/>
        <v>1597</v>
      </c>
      <c r="G172">
        <f t="shared" si="33"/>
        <v>1506</v>
      </c>
      <c r="H172">
        <f t="shared" si="34"/>
        <v>388</v>
      </c>
      <c r="I172">
        <f t="shared" si="35"/>
        <v>1355</v>
      </c>
      <c r="J172">
        <f t="shared" si="36"/>
        <v>3816</v>
      </c>
      <c r="K172">
        <f t="shared" si="37"/>
        <v>8707</v>
      </c>
      <c r="L172">
        <f t="shared" si="38"/>
        <v>12545</v>
      </c>
      <c r="M172">
        <f t="shared" si="39"/>
        <v>4623</v>
      </c>
      <c r="N172">
        <f t="shared" si="40"/>
        <v>785</v>
      </c>
      <c r="O172">
        <f t="shared" si="41"/>
        <v>57820</v>
      </c>
      <c r="Q172">
        <v>12990</v>
      </c>
      <c r="R172">
        <v>5935</v>
      </c>
      <c r="S172">
        <v>986</v>
      </c>
      <c r="T172">
        <v>2160</v>
      </c>
      <c r="U172">
        <v>551</v>
      </c>
      <c r="V172">
        <v>12</v>
      </c>
      <c r="W172">
        <v>2687</v>
      </c>
      <c r="X172">
        <v>637</v>
      </c>
      <c r="Y172">
        <v>544</v>
      </c>
      <c r="Z172" s="271">
        <v>604</v>
      </c>
      <c r="AA172">
        <v>216</v>
      </c>
      <c r="AB172">
        <v>0</v>
      </c>
      <c r="AC172">
        <v>1751</v>
      </c>
      <c r="AD172">
        <v>145</v>
      </c>
      <c r="AE172">
        <v>251</v>
      </c>
      <c r="AF172">
        <v>4979</v>
      </c>
      <c r="AG172">
        <v>674</v>
      </c>
      <c r="AH172">
        <v>489</v>
      </c>
      <c r="AI172">
        <v>8974</v>
      </c>
      <c r="AJ172">
        <v>267</v>
      </c>
      <c r="AK172">
        <v>0</v>
      </c>
      <c r="AL172">
        <v>14555</v>
      </c>
      <c r="AM172">
        <v>2010</v>
      </c>
      <c r="AN172">
        <v>0</v>
      </c>
      <c r="AO172">
        <v>5867</v>
      </c>
      <c r="AP172">
        <v>703</v>
      </c>
      <c r="AQ172">
        <v>541</v>
      </c>
      <c r="AR172">
        <v>1763</v>
      </c>
      <c r="AS172">
        <v>855</v>
      </c>
      <c r="AT172">
        <v>123</v>
      </c>
      <c r="AU172">
        <v>39</v>
      </c>
      <c r="AV172">
        <v>338</v>
      </c>
      <c r="AW172">
        <v>0</v>
      </c>
      <c r="AX172">
        <f t="shared" si="42"/>
        <v>57521</v>
      </c>
      <c r="AZ172" t="s">
        <v>377</v>
      </c>
      <c r="BA172" s="128">
        <v>53384</v>
      </c>
      <c r="BB172" s="128">
        <v>538005</v>
      </c>
      <c r="BC172" s="128">
        <v>0</v>
      </c>
      <c r="BD172" s="128">
        <v>2888247</v>
      </c>
      <c r="BE172" s="128">
        <v>417026</v>
      </c>
      <c r="BF172" s="128">
        <v>3670926.2035991433</v>
      </c>
      <c r="BG172" s="272">
        <v>234073.15628687711</v>
      </c>
      <c r="BH172">
        <v>2440</v>
      </c>
      <c r="BI172">
        <v>3163</v>
      </c>
      <c r="BJ172">
        <v>371</v>
      </c>
      <c r="BK172">
        <v>0</v>
      </c>
      <c r="BL172">
        <v>326</v>
      </c>
      <c r="BM172">
        <v>77</v>
      </c>
      <c r="BN172" s="128">
        <v>2166</v>
      </c>
      <c r="BO172" s="128">
        <v>0</v>
      </c>
      <c r="BP172" s="128">
        <v>25</v>
      </c>
      <c r="BQ172" s="128">
        <f t="shared" si="43"/>
        <v>37067722.64011398</v>
      </c>
      <c r="BR172">
        <v>23504</v>
      </c>
      <c r="BS172" s="128">
        <f t="shared" si="30"/>
        <v>1577.0814601818406</v>
      </c>
      <c r="BT172" t="s">
        <v>467</v>
      </c>
      <c r="BU172" s="129">
        <f t="shared" si="44"/>
        <v>1578.1451089224804</v>
      </c>
      <c r="BZ172" t="s">
        <v>195</v>
      </c>
      <c r="CA172">
        <v>1897.134736959792</v>
      </c>
      <c r="CB172" t="s">
        <v>467</v>
      </c>
    </row>
    <row r="173" spans="1:80" ht="14.5" x14ac:dyDescent="0.25">
      <c r="A173" t="s">
        <v>224</v>
      </c>
      <c r="B173">
        <v>9537</v>
      </c>
      <c r="C173">
        <v>1389</v>
      </c>
      <c r="D173">
        <v>0</v>
      </c>
      <c r="E173">
        <f t="shared" si="31"/>
        <v>1746</v>
      </c>
      <c r="F173">
        <f t="shared" si="32"/>
        <v>1011</v>
      </c>
      <c r="G173">
        <f t="shared" si="33"/>
        <v>1341</v>
      </c>
      <c r="H173">
        <f t="shared" si="34"/>
        <v>12</v>
      </c>
      <c r="I173">
        <f t="shared" si="35"/>
        <v>937</v>
      </c>
      <c r="J173">
        <f t="shared" si="36"/>
        <v>1211</v>
      </c>
      <c r="K173">
        <f t="shared" si="37"/>
        <v>3805</v>
      </c>
      <c r="L173">
        <f t="shared" si="38"/>
        <v>5738</v>
      </c>
      <c r="M173">
        <f t="shared" si="39"/>
        <v>3238</v>
      </c>
      <c r="N173">
        <f t="shared" si="40"/>
        <v>606</v>
      </c>
      <c r="O173">
        <f t="shared" si="41"/>
        <v>30571</v>
      </c>
      <c r="Q173">
        <v>7083</v>
      </c>
      <c r="R173">
        <v>5114</v>
      </c>
      <c r="S173">
        <v>223</v>
      </c>
      <c r="T173">
        <v>1285</v>
      </c>
      <c r="U173">
        <v>217</v>
      </c>
      <c r="V173">
        <v>57</v>
      </c>
      <c r="W173">
        <v>2132</v>
      </c>
      <c r="X173">
        <v>435</v>
      </c>
      <c r="Y173">
        <v>356</v>
      </c>
      <c r="Z173" s="271">
        <v>49</v>
      </c>
      <c r="AA173">
        <v>37</v>
      </c>
      <c r="AB173">
        <v>0</v>
      </c>
      <c r="AC173">
        <v>1349</v>
      </c>
      <c r="AD173">
        <v>75</v>
      </c>
      <c r="AE173">
        <v>337</v>
      </c>
      <c r="AF173">
        <v>2048</v>
      </c>
      <c r="AG173">
        <v>781</v>
      </c>
      <c r="AH173">
        <v>56</v>
      </c>
      <c r="AI173">
        <v>4591</v>
      </c>
      <c r="AJ173">
        <v>786</v>
      </c>
      <c r="AK173">
        <v>0</v>
      </c>
      <c r="AL173">
        <v>5972</v>
      </c>
      <c r="AM173">
        <v>194</v>
      </c>
      <c r="AN173">
        <v>40</v>
      </c>
      <c r="AO173">
        <v>4570</v>
      </c>
      <c r="AP173">
        <v>1024</v>
      </c>
      <c r="AQ173">
        <v>308</v>
      </c>
      <c r="AR173">
        <v>1492</v>
      </c>
      <c r="AS173">
        <v>874</v>
      </c>
      <c r="AT173">
        <v>12</v>
      </c>
      <c r="AU173">
        <v>0</v>
      </c>
      <c r="AV173">
        <v>0</v>
      </c>
      <c r="AW173">
        <v>0</v>
      </c>
      <c r="AX173">
        <f t="shared" si="42"/>
        <v>30571</v>
      </c>
      <c r="AZ173" t="s">
        <v>224</v>
      </c>
      <c r="BA173" s="128">
        <v>29182</v>
      </c>
      <c r="BB173" s="128">
        <v>566543</v>
      </c>
      <c r="BC173" s="128">
        <v>0</v>
      </c>
      <c r="BD173" s="128">
        <v>737263</v>
      </c>
      <c r="BE173" s="128">
        <v>341247</v>
      </c>
      <c r="BF173" s="128">
        <v>1769498</v>
      </c>
      <c r="BG173" s="272">
        <v>499967.80911520496</v>
      </c>
      <c r="BH173">
        <v>1676</v>
      </c>
      <c r="BI173">
        <v>1725</v>
      </c>
      <c r="BJ173">
        <v>202</v>
      </c>
      <c r="BK173">
        <v>82</v>
      </c>
      <c r="BL173">
        <v>450</v>
      </c>
      <c r="BM173">
        <v>8</v>
      </c>
      <c r="BN173" s="128">
        <v>38</v>
      </c>
      <c r="BO173" s="128">
        <v>0</v>
      </c>
      <c r="BP173" s="128">
        <v>32</v>
      </c>
      <c r="BQ173" s="128">
        <f t="shared" si="43"/>
        <v>21054481.190884795</v>
      </c>
      <c r="BR173">
        <v>14460</v>
      </c>
      <c r="BS173" s="128">
        <f t="shared" si="30"/>
        <v>1456.0498748882985</v>
      </c>
      <c r="BT173" t="s">
        <v>467</v>
      </c>
      <c r="BU173" s="129">
        <f t="shared" si="44"/>
        <v>1458.2628762714244</v>
      </c>
      <c r="BZ173" t="s">
        <v>154</v>
      </c>
      <c r="CA173">
        <v>1607.3481330277014</v>
      </c>
      <c r="CB173" t="s">
        <v>467</v>
      </c>
    </row>
    <row r="174" spans="1:80" ht="14.5" x14ac:dyDescent="0.25">
      <c r="A174" t="s">
        <v>152</v>
      </c>
      <c r="B174">
        <v>15845</v>
      </c>
      <c r="C174">
        <v>2932</v>
      </c>
      <c r="D174">
        <v>559</v>
      </c>
      <c r="E174">
        <f t="shared" si="31"/>
        <v>7185</v>
      </c>
      <c r="F174">
        <f t="shared" si="32"/>
        <v>1859</v>
      </c>
      <c r="G174">
        <f t="shared" si="33"/>
        <v>1921</v>
      </c>
      <c r="H174">
        <f t="shared" si="34"/>
        <v>314</v>
      </c>
      <c r="I174">
        <f t="shared" si="35"/>
        <v>1098</v>
      </c>
      <c r="J174">
        <f t="shared" si="36"/>
        <v>2523</v>
      </c>
      <c r="K174">
        <f t="shared" si="37"/>
        <v>6157</v>
      </c>
      <c r="L174">
        <f t="shared" si="38"/>
        <v>12883</v>
      </c>
      <c r="M174">
        <f t="shared" si="39"/>
        <v>4079</v>
      </c>
      <c r="N174">
        <f t="shared" si="40"/>
        <v>386</v>
      </c>
      <c r="O174">
        <f t="shared" si="41"/>
        <v>57741</v>
      </c>
      <c r="Q174">
        <v>11508</v>
      </c>
      <c r="R174">
        <v>3791</v>
      </c>
      <c r="S174">
        <v>532</v>
      </c>
      <c r="T174">
        <v>2109</v>
      </c>
      <c r="U174">
        <v>248</v>
      </c>
      <c r="V174">
        <v>2</v>
      </c>
      <c r="W174">
        <v>3218</v>
      </c>
      <c r="X174">
        <v>850</v>
      </c>
      <c r="Y174">
        <v>447</v>
      </c>
      <c r="Z174" s="271">
        <v>399</v>
      </c>
      <c r="AA174">
        <v>64</v>
      </c>
      <c r="AB174">
        <v>21</v>
      </c>
      <c r="AC174">
        <v>1734</v>
      </c>
      <c r="AD174">
        <v>132</v>
      </c>
      <c r="AE174">
        <v>504</v>
      </c>
      <c r="AF174">
        <v>3986</v>
      </c>
      <c r="AG174">
        <v>1035</v>
      </c>
      <c r="AH174">
        <v>428</v>
      </c>
      <c r="AI174">
        <v>11127</v>
      </c>
      <c r="AJ174">
        <v>4970</v>
      </c>
      <c r="AK174">
        <v>0</v>
      </c>
      <c r="AL174">
        <v>15050</v>
      </c>
      <c r="AM174">
        <v>2143</v>
      </c>
      <c r="AN174">
        <v>24</v>
      </c>
      <c r="AO174">
        <v>6061</v>
      </c>
      <c r="AP174">
        <v>1020</v>
      </c>
      <c r="AQ174">
        <v>962</v>
      </c>
      <c r="AR174">
        <v>1928</v>
      </c>
      <c r="AS174">
        <v>1530</v>
      </c>
      <c r="AT174">
        <v>12</v>
      </c>
      <c r="AU174">
        <v>4086</v>
      </c>
      <c r="AV174">
        <v>62</v>
      </c>
      <c r="AW174">
        <v>0</v>
      </c>
      <c r="AX174">
        <f t="shared" si="42"/>
        <v>61765</v>
      </c>
      <c r="AZ174" t="s">
        <v>152</v>
      </c>
      <c r="BA174" s="128">
        <v>54188</v>
      </c>
      <c r="BB174" s="128">
        <v>486118</v>
      </c>
      <c r="BC174" s="128">
        <v>0</v>
      </c>
      <c r="BD174" s="128">
        <v>2979748</v>
      </c>
      <c r="BE174" s="128">
        <v>523955</v>
      </c>
      <c r="BF174" s="128">
        <v>4822133.5217554234</v>
      </c>
      <c r="BG174" s="272">
        <v>676611.81225526705</v>
      </c>
      <c r="BH174">
        <v>2914</v>
      </c>
      <c r="BI174">
        <v>2157</v>
      </c>
      <c r="BJ174">
        <v>254</v>
      </c>
      <c r="BK174">
        <v>1</v>
      </c>
      <c r="BL174">
        <v>471</v>
      </c>
      <c r="BM174">
        <v>61</v>
      </c>
      <c r="BN174" s="128">
        <v>249</v>
      </c>
      <c r="BO174" s="128">
        <v>0</v>
      </c>
      <c r="BP174" s="128">
        <v>18</v>
      </c>
      <c r="BQ174" s="128">
        <f t="shared" si="43"/>
        <v>38574433.66598931</v>
      </c>
      <c r="BR174">
        <v>22884</v>
      </c>
      <c r="BS174" s="128">
        <f t="shared" si="30"/>
        <v>1685.6508331580715</v>
      </c>
      <c r="BT174" t="s">
        <v>118</v>
      </c>
      <c r="BU174" s="129">
        <f t="shared" si="44"/>
        <v>1686.4374089315377</v>
      </c>
      <c r="BZ174" t="s">
        <v>155</v>
      </c>
      <c r="CA174">
        <v>1576.7239250406321</v>
      </c>
      <c r="CB174" t="s">
        <v>467</v>
      </c>
    </row>
    <row r="175" spans="1:80" ht="14.5" x14ac:dyDescent="0.25">
      <c r="A175" t="s">
        <v>189</v>
      </c>
      <c r="B175">
        <v>10110</v>
      </c>
      <c r="C175">
        <v>2109</v>
      </c>
      <c r="D175">
        <v>543</v>
      </c>
      <c r="E175">
        <f t="shared" si="31"/>
        <v>7019</v>
      </c>
      <c r="F175">
        <f t="shared" si="32"/>
        <v>2009</v>
      </c>
      <c r="G175">
        <f t="shared" si="33"/>
        <v>1899</v>
      </c>
      <c r="H175">
        <f t="shared" si="34"/>
        <v>809</v>
      </c>
      <c r="I175">
        <f t="shared" si="35"/>
        <v>1843</v>
      </c>
      <c r="J175">
        <f t="shared" si="36"/>
        <v>3404</v>
      </c>
      <c r="K175">
        <f t="shared" si="37"/>
        <v>8200</v>
      </c>
      <c r="L175">
        <f t="shared" si="38"/>
        <v>9328</v>
      </c>
      <c r="M175">
        <f t="shared" si="39"/>
        <v>5872</v>
      </c>
      <c r="N175">
        <f t="shared" si="40"/>
        <v>2530</v>
      </c>
      <c r="O175">
        <f t="shared" si="41"/>
        <v>55675</v>
      </c>
      <c r="Q175">
        <v>12230</v>
      </c>
      <c r="R175">
        <v>4901</v>
      </c>
      <c r="S175">
        <v>310</v>
      </c>
      <c r="T175">
        <v>2412</v>
      </c>
      <c r="U175">
        <v>403</v>
      </c>
      <c r="V175">
        <v>0</v>
      </c>
      <c r="W175">
        <v>2551</v>
      </c>
      <c r="X175">
        <v>385</v>
      </c>
      <c r="Y175">
        <v>267</v>
      </c>
      <c r="Z175" s="271">
        <v>882</v>
      </c>
      <c r="AA175">
        <v>70</v>
      </c>
      <c r="AB175">
        <v>3</v>
      </c>
      <c r="AC175">
        <v>2521</v>
      </c>
      <c r="AD175">
        <v>265</v>
      </c>
      <c r="AE175">
        <v>413</v>
      </c>
      <c r="AF175">
        <v>4178</v>
      </c>
      <c r="AG175">
        <v>451</v>
      </c>
      <c r="AH175">
        <v>323</v>
      </c>
      <c r="AI175">
        <v>8673</v>
      </c>
      <c r="AJ175">
        <v>473</v>
      </c>
      <c r="AK175">
        <v>0</v>
      </c>
      <c r="AL175">
        <v>11152</v>
      </c>
      <c r="AM175">
        <v>1704</v>
      </c>
      <c r="AN175">
        <v>120</v>
      </c>
      <c r="AO175">
        <v>6959</v>
      </c>
      <c r="AP175">
        <v>414</v>
      </c>
      <c r="AQ175">
        <v>673</v>
      </c>
      <c r="AR175">
        <v>3473</v>
      </c>
      <c r="AS175">
        <v>943</v>
      </c>
      <c r="AT175">
        <v>0</v>
      </c>
      <c r="AU175">
        <v>2094</v>
      </c>
      <c r="AV175">
        <v>101</v>
      </c>
      <c r="AW175">
        <v>0</v>
      </c>
      <c r="AX175">
        <f t="shared" si="42"/>
        <v>57668</v>
      </c>
      <c r="AZ175" t="s">
        <v>189</v>
      </c>
      <c r="BA175" s="128">
        <v>52922</v>
      </c>
      <c r="BB175" s="128">
        <v>816679</v>
      </c>
      <c r="BC175" s="128">
        <v>0</v>
      </c>
      <c r="BD175" s="128">
        <v>1807959</v>
      </c>
      <c r="BE175" s="128">
        <v>318987</v>
      </c>
      <c r="BF175" s="128">
        <v>4079879.9751374205</v>
      </c>
      <c r="BG175" s="272">
        <v>0</v>
      </c>
      <c r="BH175">
        <v>2665</v>
      </c>
      <c r="BI175">
        <v>2772</v>
      </c>
      <c r="BJ175">
        <v>258</v>
      </c>
      <c r="BK175">
        <v>63</v>
      </c>
      <c r="BL175">
        <v>738</v>
      </c>
      <c r="BM175">
        <v>255</v>
      </c>
      <c r="BN175" s="128">
        <v>221</v>
      </c>
      <c r="BO175" s="128">
        <v>100</v>
      </c>
      <c r="BP175" s="128">
        <v>2022</v>
      </c>
      <c r="BQ175" s="128">
        <f t="shared" si="43"/>
        <v>36804495.02486258</v>
      </c>
      <c r="BR175">
        <v>25448</v>
      </c>
      <c r="BS175" s="128">
        <f t="shared" si="30"/>
        <v>1446.2627721181461</v>
      </c>
      <c r="BT175" t="s">
        <v>467</v>
      </c>
      <c r="BU175" s="129">
        <f t="shared" si="44"/>
        <v>1525.718917984226</v>
      </c>
      <c r="BZ175" t="s">
        <v>267</v>
      </c>
      <c r="CA175">
        <v>1353.7078831872502</v>
      </c>
      <c r="CB175" t="s">
        <v>467</v>
      </c>
    </row>
    <row r="176" spans="1:80" ht="14.5" x14ac:dyDescent="0.25">
      <c r="A176" t="s">
        <v>412</v>
      </c>
      <c r="B176">
        <v>10073</v>
      </c>
      <c r="C176">
        <v>3915</v>
      </c>
      <c r="D176">
        <v>553</v>
      </c>
      <c r="E176">
        <f t="shared" si="31"/>
        <v>8182</v>
      </c>
      <c r="F176">
        <f t="shared" si="32"/>
        <v>1856</v>
      </c>
      <c r="G176">
        <f t="shared" si="33"/>
        <v>2083</v>
      </c>
      <c r="H176">
        <f t="shared" si="34"/>
        <v>420</v>
      </c>
      <c r="I176">
        <f t="shared" si="35"/>
        <v>985</v>
      </c>
      <c r="J176">
        <f t="shared" si="36"/>
        <v>4034</v>
      </c>
      <c r="K176">
        <f t="shared" si="37"/>
        <v>9552</v>
      </c>
      <c r="L176">
        <f t="shared" si="38"/>
        <v>11812</v>
      </c>
      <c r="M176">
        <f t="shared" si="39"/>
        <v>3982</v>
      </c>
      <c r="N176">
        <f t="shared" si="40"/>
        <v>2410</v>
      </c>
      <c r="O176">
        <f t="shared" si="41"/>
        <v>59857</v>
      </c>
      <c r="Q176">
        <v>13702</v>
      </c>
      <c r="R176">
        <v>4930</v>
      </c>
      <c r="S176">
        <v>590</v>
      </c>
      <c r="T176">
        <v>1974</v>
      </c>
      <c r="U176">
        <v>90</v>
      </c>
      <c r="V176">
        <v>28</v>
      </c>
      <c r="W176">
        <v>3435</v>
      </c>
      <c r="X176">
        <v>918</v>
      </c>
      <c r="Y176">
        <v>434</v>
      </c>
      <c r="Z176" s="271">
        <v>1046</v>
      </c>
      <c r="AA176">
        <v>500</v>
      </c>
      <c r="AB176">
        <v>126</v>
      </c>
      <c r="AC176">
        <v>1798</v>
      </c>
      <c r="AD176">
        <v>77</v>
      </c>
      <c r="AE176">
        <v>736</v>
      </c>
      <c r="AF176">
        <v>5634</v>
      </c>
      <c r="AG176">
        <v>928</v>
      </c>
      <c r="AH176">
        <v>672</v>
      </c>
      <c r="AI176">
        <v>9780</v>
      </c>
      <c r="AJ176">
        <v>228</v>
      </c>
      <c r="AK176">
        <v>0</v>
      </c>
      <c r="AL176">
        <v>12978</v>
      </c>
      <c r="AM176">
        <v>679</v>
      </c>
      <c r="AN176">
        <v>487</v>
      </c>
      <c r="AO176">
        <v>5526</v>
      </c>
      <c r="AP176">
        <v>735</v>
      </c>
      <c r="AQ176">
        <v>809</v>
      </c>
      <c r="AR176">
        <v>3356</v>
      </c>
      <c r="AS176">
        <v>913</v>
      </c>
      <c r="AT176">
        <v>33</v>
      </c>
      <c r="AU176">
        <v>-10</v>
      </c>
      <c r="AV176">
        <v>75</v>
      </c>
      <c r="AW176">
        <v>0</v>
      </c>
      <c r="AX176">
        <f t="shared" si="42"/>
        <v>59772</v>
      </c>
      <c r="AZ176" t="s">
        <v>412</v>
      </c>
      <c r="BA176" s="128">
        <v>55314</v>
      </c>
      <c r="BB176" s="128">
        <v>1255053</v>
      </c>
      <c r="BC176" s="128">
        <v>0</v>
      </c>
      <c r="BD176" s="128">
        <v>2357288</v>
      </c>
      <c r="BE176" s="128">
        <v>862313.21333333338</v>
      </c>
      <c r="BF176" s="128">
        <v>4061807.1251350772</v>
      </c>
      <c r="BG176" s="272">
        <v>376654.74650103785</v>
      </c>
      <c r="BH176">
        <v>2786</v>
      </c>
      <c r="BI176">
        <v>2621</v>
      </c>
      <c r="BJ176">
        <v>278</v>
      </c>
      <c r="BK176">
        <v>83</v>
      </c>
      <c r="BL176">
        <v>353</v>
      </c>
      <c r="BM176">
        <v>79</v>
      </c>
      <c r="BN176" s="128">
        <v>370</v>
      </c>
      <c r="BO176" s="128">
        <v>75</v>
      </c>
      <c r="BP176" s="128">
        <v>139</v>
      </c>
      <c r="BQ176" s="128">
        <f t="shared" si="43"/>
        <v>39616883.915030554</v>
      </c>
      <c r="BR176">
        <v>23947</v>
      </c>
      <c r="BS176" s="128">
        <f t="shared" si="30"/>
        <v>1654.3568678761662</v>
      </c>
      <c r="BT176" t="s">
        <v>118</v>
      </c>
      <c r="BU176" s="129">
        <f t="shared" si="44"/>
        <v>1660.1613527803297</v>
      </c>
      <c r="BZ176" t="s">
        <v>268</v>
      </c>
      <c r="CA176">
        <v>2384.0008020719274</v>
      </c>
      <c r="CB176" t="s">
        <v>467</v>
      </c>
    </row>
    <row r="177" spans="1:80" ht="14.5" x14ac:dyDescent="0.25">
      <c r="A177" t="s">
        <v>869</v>
      </c>
      <c r="B177">
        <v>33917</v>
      </c>
      <c r="C177">
        <v>7556</v>
      </c>
      <c r="D177">
        <v>3095</v>
      </c>
      <c r="E177">
        <v>9715</v>
      </c>
      <c r="F177">
        <v>3667</v>
      </c>
      <c r="G177">
        <v>4064</v>
      </c>
      <c r="H177">
        <v>-255</v>
      </c>
      <c r="I177">
        <v>3902</v>
      </c>
      <c r="J177">
        <v>12952</v>
      </c>
      <c r="K177">
        <v>27817</v>
      </c>
      <c r="L177">
        <v>33780</v>
      </c>
      <c r="M177">
        <v>13104</v>
      </c>
      <c r="N177">
        <v>2715</v>
      </c>
      <c r="O177">
        <v>156029</v>
      </c>
      <c r="P177">
        <v>0</v>
      </c>
      <c r="Q177">
        <v>26301</v>
      </c>
      <c r="R177">
        <v>15172</v>
      </c>
      <c r="S177">
        <v>1414</v>
      </c>
      <c r="T177">
        <v>4605</v>
      </c>
      <c r="U177">
        <v>852</v>
      </c>
      <c r="V177">
        <v>86</v>
      </c>
      <c r="W177">
        <v>7131</v>
      </c>
      <c r="X177">
        <v>1654</v>
      </c>
      <c r="Y177">
        <v>1413</v>
      </c>
      <c r="Z177" s="271">
        <v>328</v>
      </c>
      <c r="AA177">
        <v>542</v>
      </c>
      <c r="AB177">
        <v>41</v>
      </c>
      <c r="AC177">
        <v>5853</v>
      </c>
      <c r="AD177">
        <v>121</v>
      </c>
      <c r="AE177">
        <v>1830</v>
      </c>
      <c r="AF177">
        <v>16883</v>
      </c>
      <c r="AG177">
        <v>2408</v>
      </c>
      <c r="AH177">
        <v>1523</v>
      </c>
      <c r="AI177">
        <v>30539</v>
      </c>
      <c r="AJ177">
        <v>2722</v>
      </c>
      <c r="AK177">
        <v>0</v>
      </c>
      <c r="AL177">
        <v>38292</v>
      </c>
      <c r="AM177">
        <v>4250</v>
      </c>
      <c r="AN177">
        <v>262</v>
      </c>
      <c r="AO177">
        <v>16438</v>
      </c>
      <c r="AP177">
        <v>2397</v>
      </c>
      <c r="AQ177">
        <v>937</v>
      </c>
      <c r="AR177">
        <v>5842</v>
      </c>
      <c r="AS177">
        <v>3077</v>
      </c>
      <c r="AT177">
        <v>50</v>
      </c>
      <c r="AU177">
        <v>-611</v>
      </c>
      <c r="AV177">
        <v>722</v>
      </c>
      <c r="AW177">
        <v>0</v>
      </c>
      <c r="AX177">
        <v>154696</v>
      </c>
      <c r="AZ177" t="s">
        <v>869</v>
      </c>
      <c r="BA177" s="128">
        <v>144656</v>
      </c>
      <c r="BB177" s="128">
        <v>2614752</v>
      </c>
      <c r="BC177" s="128">
        <v>0</v>
      </c>
      <c r="BD177" s="128">
        <v>9709723</v>
      </c>
      <c r="BE177" s="128">
        <v>1109866</v>
      </c>
      <c r="BF177" s="128">
        <v>12752717.091384806</v>
      </c>
      <c r="BG177" s="272">
        <v>985166.93656108202</v>
      </c>
      <c r="BH177">
        <v>5565</v>
      </c>
      <c r="BI177">
        <v>6096</v>
      </c>
      <c r="BJ177">
        <v>756</v>
      </c>
      <c r="BK177">
        <v>165</v>
      </c>
      <c r="BL177">
        <v>1819</v>
      </c>
      <c r="BM177">
        <v>585</v>
      </c>
      <c r="BN177" s="128">
        <v>391</v>
      </c>
      <c r="BO177" s="128">
        <v>2395</v>
      </c>
      <c r="BP177" s="128">
        <v>787</v>
      </c>
      <c r="BQ177" s="128">
        <f t="shared" si="43"/>
        <v>98924774.972054124</v>
      </c>
      <c r="BR177">
        <v>58111</v>
      </c>
      <c r="BS177" s="128">
        <f t="shared" si="30"/>
        <v>1702.3416387956518</v>
      </c>
      <c r="BT177" t="s">
        <v>118</v>
      </c>
      <c r="BU177" s="129">
        <f t="shared" si="44"/>
        <v>1715.8846857230837</v>
      </c>
      <c r="BZ177" t="s">
        <v>269</v>
      </c>
      <c r="CA177">
        <v>1837.0518804382143</v>
      </c>
      <c r="CB177" t="s">
        <v>467</v>
      </c>
    </row>
    <row r="178" spans="1:80" ht="14.5" x14ac:dyDescent="0.25">
      <c r="A178" t="s">
        <v>307</v>
      </c>
      <c r="B178">
        <v>20598</v>
      </c>
      <c r="C178">
        <v>5254</v>
      </c>
      <c r="D178">
        <v>999</v>
      </c>
      <c r="E178">
        <f t="shared" si="31"/>
        <v>6873</v>
      </c>
      <c r="F178">
        <f t="shared" si="32"/>
        <v>1935</v>
      </c>
      <c r="G178">
        <f t="shared" si="33"/>
        <v>2162</v>
      </c>
      <c r="H178">
        <f t="shared" si="34"/>
        <v>2215</v>
      </c>
      <c r="I178">
        <f t="shared" si="35"/>
        <v>3069</v>
      </c>
      <c r="J178">
        <f t="shared" si="36"/>
        <v>4025</v>
      </c>
      <c r="K178">
        <f t="shared" si="37"/>
        <v>20273</v>
      </c>
      <c r="L178">
        <f t="shared" si="38"/>
        <v>22956</v>
      </c>
      <c r="M178">
        <f t="shared" si="39"/>
        <v>4813</v>
      </c>
      <c r="N178">
        <f t="shared" si="40"/>
        <v>603</v>
      </c>
      <c r="O178">
        <f t="shared" si="41"/>
        <v>95775</v>
      </c>
      <c r="Q178">
        <v>16873</v>
      </c>
      <c r="R178">
        <v>8936</v>
      </c>
      <c r="S178">
        <v>1064</v>
      </c>
      <c r="T178">
        <v>3447</v>
      </c>
      <c r="U178">
        <v>1490</v>
      </c>
      <c r="V178">
        <v>22</v>
      </c>
      <c r="W178">
        <v>4250</v>
      </c>
      <c r="X178">
        <v>1128</v>
      </c>
      <c r="Y178">
        <v>960</v>
      </c>
      <c r="Z178" s="271">
        <v>2479</v>
      </c>
      <c r="AA178">
        <v>264</v>
      </c>
      <c r="AB178">
        <v>0</v>
      </c>
      <c r="AC178">
        <v>3899</v>
      </c>
      <c r="AD178">
        <v>265</v>
      </c>
      <c r="AE178">
        <v>565</v>
      </c>
      <c r="AF178">
        <v>7382</v>
      </c>
      <c r="AG178">
        <v>2338</v>
      </c>
      <c r="AH178">
        <v>1019</v>
      </c>
      <c r="AI178">
        <v>20377</v>
      </c>
      <c r="AJ178">
        <v>61</v>
      </c>
      <c r="AK178">
        <v>43</v>
      </c>
      <c r="AL178">
        <v>25015</v>
      </c>
      <c r="AM178">
        <v>2005</v>
      </c>
      <c r="AN178">
        <v>54</v>
      </c>
      <c r="AO178">
        <v>8674</v>
      </c>
      <c r="AP178">
        <v>2337</v>
      </c>
      <c r="AQ178">
        <v>1524</v>
      </c>
      <c r="AR178">
        <v>2197</v>
      </c>
      <c r="AS178">
        <v>1591</v>
      </c>
      <c r="AT178">
        <v>3</v>
      </c>
      <c r="AU178">
        <v>2381</v>
      </c>
      <c r="AV178">
        <v>183</v>
      </c>
      <c r="AW178">
        <v>0</v>
      </c>
      <c r="AX178">
        <f t="shared" si="42"/>
        <v>97973</v>
      </c>
      <c r="AZ178" t="s">
        <v>307</v>
      </c>
      <c r="BA178" s="128">
        <v>89339</v>
      </c>
      <c r="BB178" s="128">
        <v>1110354</v>
      </c>
      <c r="BC178" s="128">
        <v>0</v>
      </c>
      <c r="BD178" s="128">
        <v>4206188</v>
      </c>
      <c r="BE178" s="128">
        <v>534938</v>
      </c>
      <c r="BF178" s="128">
        <v>12811583.871529747</v>
      </c>
      <c r="BG178" s="272">
        <v>0</v>
      </c>
      <c r="BH178">
        <v>2850</v>
      </c>
      <c r="BI178">
        <v>6168</v>
      </c>
      <c r="BJ178">
        <v>577</v>
      </c>
      <c r="BK178">
        <v>471</v>
      </c>
      <c r="BL178">
        <v>389</v>
      </c>
      <c r="BM178">
        <v>252</v>
      </c>
      <c r="BN178" s="128">
        <v>50</v>
      </c>
      <c r="BO178" s="128">
        <v>0</v>
      </c>
      <c r="BP178" s="128">
        <v>918</v>
      </c>
      <c r="BQ178" s="128">
        <f t="shared" si="43"/>
        <v>59000936.128470257</v>
      </c>
      <c r="BR178">
        <v>33551</v>
      </c>
      <c r="BS178" s="128">
        <f t="shared" si="30"/>
        <v>1758.5447863989227</v>
      </c>
      <c r="BT178" t="s">
        <v>118</v>
      </c>
      <c r="BU178" s="129">
        <f t="shared" si="44"/>
        <v>1785.906116910681</v>
      </c>
      <c r="BZ178" t="s">
        <v>226</v>
      </c>
      <c r="CA178">
        <v>1815.093133385951</v>
      </c>
      <c r="CB178" t="s">
        <v>467</v>
      </c>
    </row>
    <row r="179" spans="1:80" ht="14.5" x14ac:dyDescent="0.25">
      <c r="A179" t="s">
        <v>413</v>
      </c>
      <c r="B179">
        <v>123233</v>
      </c>
      <c r="C179">
        <v>38634</v>
      </c>
      <c r="D179">
        <v>0</v>
      </c>
      <c r="E179">
        <f t="shared" si="31"/>
        <v>28715</v>
      </c>
      <c r="F179">
        <f t="shared" si="32"/>
        <v>11420</v>
      </c>
      <c r="G179">
        <f t="shared" si="33"/>
        <v>13445</v>
      </c>
      <c r="H179">
        <f t="shared" si="34"/>
        <v>9940</v>
      </c>
      <c r="I179">
        <f t="shared" si="35"/>
        <v>8799</v>
      </c>
      <c r="J179">
        <f t="shared" si="36"/>
        <v>24582</v>
      </c>
      <c r="K179">
        <f t="shared" si="37"/>
        <v>93587</v>
      </c>
      <c r="L179">
        <f t="shared" si="38"/>
        <v>269356</v>
      </c>
      <c r="M179">
        <f t="shared" si="39"/>
        <v>27013</v>
      </c>
      <c r="N179">
        <f t="shared" si="40"/>
        <v>3112</v>
      </c>
      <c r="O179">
        <f t="shared" si="41"/>
        <v>651836</v>
      </c>
      <c r="Q179">
        <v>90601</v>
      </c>
      <c r="R179">
        <v>47517</v>
      </c>
      <c r="S179">
        <v>14369</v>
      </c>
      <c r="T179">
        <v>15870</v>
      </c>
      <c r="U179">
        <v>4359</v>
      </c>
      <c r="V179">
        <v>91</v>
      </c>
      <c r="W179">
        <v>29396</v>
      </c>
      <c r="X179">
        <v>8017</v>
      </c>
      <c r="Y179">
        <v>7934</v>
      </c>
      <c r="Z179" s="271">
        <v>13478</v>
      </c>
      <c r="AA179">
        <v>2891</v>
      </c>
      <c r="AB179">
        <v>647</v>
      </c>
      <c r="AC179">
        <v>13900</v>
      </c>
      <c r="AD179">
        <v>2067</v>
      </c>
      <c r="AE179">
        <v>3034</v>
      </c>
      <c r="AF179">
        <v>45240</v>
      </c>
      <c r="AG179">
        <v>16085</v>
      </c>
      <c r="AH179">
        <v>4573</v>
      </c>
      <c r="AI179">
        <v>101407</v>
      </c>
      <c r="AJ179">
        <v>7820</v>
      </c>
      <c r="AK179">
        <v>0</v>
      </c>
      <c r="AL179">
        <v>289677</v>
      </c>
      <c r="AM179">
        <v>20235</v>
      </c>
      <c r="AN179">
        <v>86</v>
      </c>
      <c r="AO179">
        <v>38039</v>
      </c>
      <c r="AP179">
        <v>7339</v>
      </c>
      <c r="AQ179">
        <v>3687</v>
      </c>
      <c r="AR179">
        <v>14228</v>
      </c>
      <c r="AS179">
        <v>6903</v>
      </c>
      <c r="AT179">
        <v>4213</v>
      </c>
      <c r="AU179">
        <v>6799</v>
      </c>
      <c r="AV179">
        <v>0</v>
      </c>
      <c r="AW179">
        <v>0</v>
      </c>
      <c r="AX179">
        <f t="shared" si="42"/>
        <v>658635</v>
      </c>
      <c r="AZ179" t="s">
        <v>413</v>
      </c>
      <c r="BA179" s="128">
        <v>613202</v>
      </c>
      <c r="BB179" s="128">
        <v>3204595</v>
      </c>
      <c r="BC179" s="128">
        <v>25903453</v>
      </c>
      <c r="BD179" s="128">
        <v>19859049</v>
      </c>
      <c r="BE179" s="128">
        <v>14468410</v>
      </c>
      <c r="BF179" s="128">
        <v>68177986.480163068</v>
      </c>
      <c r="BG179" s="272">
        <v>0</v>
      </c>
      <c r="BH179">
        <v>14324</v>
      </c>
      <c r="BI179">
        <v>17747</v>
      </c>
      <c r="BJ179">
        <v>0</v>
      </c>
      <c r="BK179">
        <v>483</v>
      </c>
      <c r="BL179">
        <v>0</v>
      </c>
      <c r="BM179">
        <v>1330</v>
      </c>
      <c r="BN179" s="128">
        <v>0</v>
      </c>
      <c r="BO179" s="128">
        <v>0</v>
      </c>
      <c r="BP179" s="128">
        <v>1041</v>
      </c>
      <c r="BQ179" s="128">
        <f t="shared" si="43"/>
        <v>446663506.5198369</v>
      </c>
      <c r="BR179">
        <v>120182</v>
      </c>
      <c r="BS179" s="128">
        <f t="shared" si="30"/>
        <v>3716.5591063540041</v>
      </c>
      <c r="BT179" t="s">
        <v>441</v>
      </c>
      <c r="BU179" s="129">
        <f t="shared" si="44"/>
        <v>3725.2209691953612</v>
      </c>
      <c r="BZ179" t="s">
        <v>198</v>
      </c>
      <c r="CA179">
        <v>1531.1648753063823</v>
      </c>
      <c r="CB179" t="s">
        <v>467</v>
      </c>
    </row>
    <row r="180" spans="1:80" ht="14.5" x14ac:dyDescent="0.25">
      <c r="A180" t="s">
        <v>266</v>
      </c>
      <c r="B180">
        <v>24216</v>
      </c>
      <c r="C180">
        <v>5943</v>
      </c>
      <c r="D180">
        <v>710</v>
      </c>
      <c r="E180">
        <f t="shared" si="31"/>
        <v>8225</v>
      </c>
      <c r="F180">
        <f t="shared" si="32"/>
        <v>3192</v>
      </c>
      <c r="G180">
        <f t="shared" si="33"/>
        <v>4786</v>
      </c>
      <c r="H180">
        <f t="shared" si="34"/>
        <v>1382</v>
      </c>
      <c r="I180">
        <f t="shared" si="35"/>
        <v>2743</v>
      </c>
      <c r="J180">
        <f t="shared" si="36"/>
        <v>6361</v>
      </c>
      <c r="K180">
        <f t="shared" si="37"/>
        <v>14229</v>
      </c>
      <c r="L180">
        <f t="shared" si="38"/>
        <v>22924</v>
      </c>
      <c r="M180">
        <f t="shared" si="39"/>
        <v>9421</v>
      </c>
      <c r="N180">
        <f t="shared" si="40"/>
        <v>1221</v>
      </c>
      <c r="O180">
        <f t="shared" si="41"/>
        <v>105353</v>
      </c>
      <c r="Q180">
        <v>19181</v>
      </c>
      <c r="R180">
        <v>10176</v>
      </c>
      <c r="S180">
        <v>780</v>
      </c>
      <c r="T180">
        <v>4266</v>
      </c>
      <c r="U180">
        <v>1023</v>
      </c>
      <c r="V180">
        <v>51</v>
      </c>
      <c r="W180">
        <v>7178</v>
      </c>
      <c r="X180">
        <v>1911</v>
      </c>
      <c r="Y180">
        <v>481</v>
      </c>
      <c r="Z180" s="271">
        <v>1950</v>
      </c>
      <c r="AA180">
        <v>568</v>
      </c>
      <c r="AB180">
        <v>0</v>
      </c>
      <c r="AC180">
        <v>3711</v>
      </c>
      <c r="AD180">
        <v>0</v>
      </c>
      <c r="AE180">
        <v>968</v>
      </c>
      <c r="AF180">
        <v>9695</v>
      </c>
      <c r="AG180">
        <v>2266</v>
      </c>
      <c r="AH180">
        <v>1068</v>
      </c>
      <c r="AI180">
        <v>14683</v>
      </c>
      <c r="AJ180">
        <v>454</v>
      </c>
      <c r="AK180">
        <v>0</v>
      </c>
      <c r="AL180">
        <v>27181</v>
      </c>
      <c r="AM180">
        <v>4137</v>
      </c>
      <c r="AN180">
        <v>120</v>
      </c>
      <c r="AO180">
        <v>12750</v>
      </c>
      <c r="AP180">
        <v>1012</v>
      </c>
      <c r="AQ180">
        <v>2317</v>
      </c>
      <c r="AR180">
        <v>4048</v>
      </c>
      <c r="AS180">
        <v>2669</v>
      </c>
      <c r="AT180">
        <v>158</v>
      </c>
      <c r="AU180">
        <v>0</v>
      </c>
      <c r="AV180">
        <v>0</v>
      </c>
      <c r="AW180">
        <v>0</v>
      </c>
      <c r="AX180">
        <f t="shared" si="42"/>
        <v>105353</v>
      </c>
      <c r="AZ180" t="s">
        <v>266</v>
      </c>
      <c r="BA180" s="128">
        <v>98700</v>
      </c>
      <c r="BB180" s="128">
        <v>2264205</v>
      </c>
      <c r="BC180" s="128">
        <v>0</v>
      </c>
      <c r="BD180" s="128">
        <v>2628848</v>
      </c>
      <c r="BE180" s="128">
        <v>869526.70333333337</v>
      </c>
      <c r="BF180" s="128">
        <v>9202269.0183951072</v>
      </c>
      <c r="BG180" s="272">
        <v>18905.04175214842</v>
      </c>
      <c r="BH180">
        <v>4391</v>
      </c>
      <c r="BI180">
        <v>5693</v>
      </c>
      <c r="BJ180">
        <v>497</v>
      </c>
      <c r="BK180">
        <v>371</v>
      </c>
      <c r="BL180">
        <v>1113</v>
      </c>
      <c r="BM180">
        <v>358</v>
      </c>
      <c r="BN180" s="128">
        <v>1222</v>
      </c>
      <c r="BO180" s="128">
        <v>0</v>
      </c>
      <c r="BP180" s="128">
        <v>218</v>
      </c>
      <c r="BQ180" s="128">
        <f t="shared" si="43"/>
        <v>69853246.236519411</v>
      </c>
      <c r="BR180">
        <v>45178</v>
      </c>
      <c r="BS180" s="128">
        <f t="shared" si="30"/>
        <v>1546.1783663845104</v>
      </c>
      <c r="BT180" t="s">
        <v>118</v>
      </c>
      <c r="BU180" s="129">
        <f t="shared" si="44"/>
        <v>1551.0037238593875</v>
      </c>
      <c r="BZ180" t="s">
        <v>312</v>
      </c>
      <c r="CA180">
        <v>1678.2430942262076</v>
      </c>
      <c r="CB180" t="s">
        <v>467</v>
      </c>
    </row>
    <row r="181" spans="1:80" ht="14.5" x14ac:dyDescent="0.25">
      <c r="A181" t="s">
        <v>414</v>
      </c>
      <c r="B181">
        <v>9663</v>
      </c>
      <c r="C181">
        <v>2514</v>
      </c>
      <c r="D181">
        <v>2395</v>
      </c>
      <c r="E181">
        <f t="shared" si="31"/>
        <v>3475</v>
      </c>
      <c r="F181">
        <f t="shared" si="32"/>
        <v>1729</v>
      </c>
      <c r="G181">
        <f t="shared" si="33"/>
        <v>2214</v>
      </c>
      <c r="H181">
        <f t="shared" si="34"/>
        <v>258</v>
      </c>
      <c r="I181">
        <f t="shared" si="35"/>
        <v>1081</v>
      </c>
      <c r="J181">
        <f t="shared" si="36"/>
        <v>1529</v>
      </c>
      <c r="K181">
        <f t="shared" si="37"/>
        <v>7201</v>
      </c>
      <c r="L181">
        <f t="shared" si="38"/>
        <v>11540</v>
      </c>
      <c r="M181">
        <f t="shared" si="39"/>
        <v>4012</v>
      </c>
      <c r="N181">
        <f t="shared" si="40"/>
        <v>262</v>
      </c>
      <c r="O181">
        <f t="shared" si="41"/>
        <v>47873</v>
      </c>
      <c r="Q181">
        <v>8666</v>
      </c>
      <c r="R181">
        <v>4885</v>
      </c>
      <c r="S181">
        <v>306</v>
      </c>
      <c r="T181">
        <v>1921</v>
      </c>
      <c r="U181">
        <v>146</v>
      </c>
      <c r="V181">
        <v>46</v>
      </c>
      <c r="W181">
        <v>3090</v>
      </c>
      <c r="X181">
        <v>481</v>
      </c>
      <c r="Y181">
        <v>395</v>
      </c>
      <c r="Z181" s="271">
        <v>519</v>
      </c>
      <c r="AA181">
        <v>186</v>
      </c>
      <c r="AB181">
        <v>75</v>
      </c>
      <c r="AC181">
        <v>1741</v>
      </c>
      <c r="AD181">
        <v>140</v>
      </c>
      <c r="AE181">
        <v>520</v>
      </c>
      <c r="AF181">
        <v>2209</v>
      </c>
      <c r="AG181">
        <v>393</v>
      </c>
      <c r="AH181">
        <v>287</v>
      </c>
      <c r="AI181">
        <v>7264</v>
      </c>
      <c r="AJ181">
        <v>63</v>
      </c>
      <c r="AK181">
        <v>0</v>
      </c>
      <c r="AL181">
        <v>13302</v>
      </c>
      <c r="AM181">
        <v>1718</v>
      </c>
      <c r="AN181">
        <v>44</v>
      </c>
      <c r="AO181">
        <v>5266</v>
      </c>
      <c r="AP181">
        <v>540</v>
      </c>
      <c r="AQ181">
        <v>714</v>
      </c>
      <c r="AR181">
        <v>1500</v>
      </c>
      <c r="AS181">
        <v>1111</v>
      </c>
      <c r="AT181">
        <v>127</v>
      </c>
      <c r="AU181">
        <v>0</v>
      </c>
      <c r="AV181">
        <v>0</v>
      </c>
      <c r="AW181">
        <v>0</v>
      </c>
      <c r="AX181">
        <f t="shared" si="42"/>
        <v>47873</v>
      </c>
      <c r="AZ181" t="s">
        <v>414</v>
      </c>
      <c r="BA181" s="128">
        <v>42964</v>
      </c>
      <c r="BB181" s="128">
        <v>352309</v>
      </c>
      <c r="BC181" s="128">
        <v>0</v>
      </c>
      <c r="BD181" s="128">
        <v>1766249</v>
      </c>
      <c r="BE181" s="128">
        <v>340327</v>
      </c>
      <c r="BF181" s="128">
        <v>3377769.9303129078</v>
      </c>
      <c r="BG181" s="272">
        <v>0</v>
      </c>
      <c r="BH181">
        <v>2952</v>
      </c>
      <c r="BI181">
        <v>2195</v>
      </c>
      <c r="BJ181">
        <v>153</v>
      </c>
      <c r="BK181">
        <v>148</v>
      </c>
      <c r="BL181">
        <v>364</v>
      </c>
      <c r="BM181">
        <v>49</v>
      </c>
      <c r="BN181" s="128">
        <v>115</v>
      </c>
      <c r="BO181" s="128">
        <v>0</v>
      </c>
      <c r="BP181" s="128">
        <v>61</v>
      </c>
      <c r="BQ181" s="128">
        <f t="shared" si="43"/>
        <v>31090345.069687091</v>
      </c>
      <c r="BR181">
        <v>18651</v>
      </c>
      <c r="BS181" s="128">
        <f t="shared" si="30"/>
        <v>1666.9532502110928</v>
      </c>
      <c r="BT181" t="s">
        <v>118</v>
      </c>
      <c r="BU181" s="129">
        <f t="shared" si="44"/>
        <v>1670.2238523235801</v>
      </c>
      <c r="BZ181" t="s">
        <v>417</v>
      </c>
      <c r="CA181">
        <v>1415.3779250424718</v>
      </c>
      <c r="CB181" t="s">
        <v>467</v>
      </c>
    </row>
    <row r="182" spans="1:80" ht="14.5" x14ac:dyDescent="0.25">
      <c r="A182" t="s">
        <v>587</v>
      </c>
      <c r="B182">
        <v>42618</v>
      </c>
      <c r="C182">
        <v>9503</v>
      </c>
      <c r="D182">
        <v>3134</v>
      </c>
      <c r="E182">
        <f t="shared" si="31"/>
        <v>13349</v>
      </c>
      <c r="F182">
        <f t="shared" si="32"/>
        <v>5347</v>
      </c>
      <c r="G182">
        <f t="shared" si="33"/>
        <v>5189</v>
      </c>
      <c r="H182">
        <f t="shared" si="34"/>
        <v>17034</v>
      </c>
      <c r="I182">
        <f t="shared" si="35"/>
        <v>6415</v>
      </c>
      <c r="J182">
        <f t="shared" si="36"/>
        <v>18275</v>
      </c>
      <c r="K182">
        <f t="shared" si="37"/>
        <v>31910</v>
      </c>
      <c r="L182">
        <f t="shared" si="38"/>
        <v>44031</v>
      </c>
      <c r="M182">
        <f t="shared" si="39"/>
        <v>17331</v>
      </c>
      <c r="N182">
        <f t="shared" si="40"/>
        <v>1099</v>
      </c>
      <c r="O182">
        <f t="shared" si="41"/>
        <v>215235</v>
      </c>
      <c r="Q182">
        <v>33048</v>
      </c>
      <c r="R182">
        <v>18257</v>
      </c>
      <c r="S182">
        <v>1442</v>
      </c>
      <c r="T182">
        <v>6453</v>
      </c>
      <c r="U182">
        <v>1042</v>
      </c>
      <c r="V182">
        <v>64</v>
      </c>
      <c r="W182">
        <v>9121</v>
      </c>
      <c r="X182">
        <v>2390</v>
      </c>
      <c r="Y182">
        <v>1542</v>
      </c>
      <c r="Z182" s="271">
        <v>18010</v>
      </c>
      <c r="AA182">
        <v>948</v>
      </c>
      <c r="AB182">
        <v>28</v>
      </c>
      <c r="AC182">
        <v>8671</v>
      </c>
      <c r="AD182">
        <v>311</v>
      </c>
      <c r="AE182">
        <v>1945</v>
      </c>
      <c r="AF182">
        <v>25486</v>
      </c>
      <c r="AG182">
        <v>4487</v>
      </c>
      <c r="AH182">
        <v>2724</v>
      </c>
      <c r="AI182">
        <v>33550</v>
      </c>
      <c r="AJ182">
        <v>1640</v>
      </c>
      <c r="AK182">
        <v>0</v>
      </c>
      <c r="AL182">
        <v>50846</v>
      </c>
      <c r="AM182">
        <v>6411</v>
      </c>
      <c r="AN182">
        <v>404</v>
      </c>
      <c r="AO182">
        <v>22460</v>
      </c>
      <c r="AP182">
        <v>3800</v>
      </c>
      <c r="AQ182">
        <v>1329</v>
      </c>
      <c r="AR182">
        <v>4061</v>
      </c>
      <c r="AS182">
        <v>2937</v>
      </c>
      <c r="AT182">
        <v>25</v>
      </c>
      <c r="AU182">
        <v>12267</v>
      </c>
      <c r="AV182">
        <v>395</v>
      </c>
      <c r="AW182">
        <v>0</v>
      </c>
      <c r="AX182">
        <f t="shared" si="42"/>
        <v>227107</v>
      </c>
      <c r="AZ182" t="s">
        <v>587</v>
      </c>
      <c r="BA182" s="128">
        <v>202203</v>
      </c>
      <c r="BB182" s="128">
        <v>1530146</v>
      </c>
      <c r="BC182" s="128">
        <v>0</v>
      </c>
      <c r="BD182" s="128">
        <v>14814162</v>
      </c>
      <c r="BE182" s="128">
        <v>1200919</v>
      </c>
      <c r="BF182" s="128">
        <v>13327296.210723942</v>
      </c>
      <c r="BG182" s="272">
        <v>0</v>
      </c>
      <c r="BH182">
        <v>6974</v>
      </c>
      <c r="BI182">
        <v>7648</v>
      </c>
      <c r="BJ182">
        <v>1058</v>
      </c>
      <c r="BK182">
        <v>107</v>
      </c>
      <c r="BL182">
        <v>2686</v>
      </c>
      <c r="BM182">
        <v>569</v>
      </c>
      <c r="BN182" s="128">
        <v>187</v>
      </c>
      <c r="BO182" s="128">
        <v>0</v>
      </c>
      <c r="BP182" s="128">
        <v>301</v>
      </c>
      <c r="BQ182" s="128">
        <f t="shared" si="43"/>
        <v>151800476.78927606</v>
      </c>
      <c r="BR182">
        <v>81648</v>
      </c>
      <c r="BS182" s="128">
        <f t="shared" si="30"/>
        <v>1859.2063098823739</v>
      </c>
      <c r="BT182" t="s">
        <v>467</v>
      </c>
      <c r="BU182" s="129">
        <f t="shared" si="44"/>
        <v>1862.8928668096717</v>
      </c>
      <c r="BZ182" t="s">
        <v>313</v>
      </c>
      <c r="CA182">
        <v>1417.7143816436655</v>
      </c>
      <c r="CB182" t="s">
        <v>467</v>
      </c>
    </row>
    <row r="183" spans="1:80" ht="14.5" x14ac:dyDescent="0.25">
      <c r="A183" t="s">
        <v>112</v>
      </c>
      <c r="B183">
        <v>24344</v>
      </c>
      <c r="C183">
        <v>5948</v>
      </c>
      <c r="D183">
        <v>2843</v>
      </c>
      <c r="E183">
        <f t="shared" si="31"/>
        <v>4079</v>
      </c>
      <c r="F183">
        <f t="shared" si="32"/>
        <v>1783</v>
      </c>
      <c r="G183">
        <f t="shared" si="33"/>
        <v>3600</v>
      </c>
      <c r="H183">
        <f t="shared" si="34"/>
        <v>2375</v>
      </c>
      <c r="I183">
        <f t="shared" si="35"/>
        <v>3765</v>
      </c>
      <c r="J183">
        <f t="shared" si="36"/>
        <v>6570</v>
      </c>
      <c r="K183">
        <f t="shared" si="37"/>
        <v>20635</v>
      </c>
      <c r="L183">
        <f t="shared" si="38"/>
        <v>20739</v>
      </c>
      <c r="M183">
        <f t="shared" si="39"/>
        <v>5154</v>
      </c>
      <c r="N183">
        <f t="shared" si="40"/>
        <v>1074</v>
      </c>
      <c r="O183">
        <f t="shared" si="41"/>
        <v>102909</v>
      </c>
      <c r="Q183">
        <v>15470</v>
      </c>
      <c r="R183">
        <v>10384</v>
      </c>
      <c r="S183">
        <v>1007</v>
      </c>
      <c r="T183">
        <v>2873</v>
      </c>
      <c r="U183">
        <v>988</v>
      </c>
      <c r="V183">
        <v>102</v>
      </c>
      <c r="W183">
        <v>6172</v>
      </c>
      <c r="X183">
        <v>1061</v>
      </c>
      <c r="Y183">
        <v>1511</v>
      </c>
      <c r="Z183" s="271">
        <v>3364</v>
      </c>
      <c r="AA183">
        <v>765</v>
      </c>
      <c r="AB183">
        <v>224</v>
      </c>
      <c r="AC183">
        <v>5000</v>
      </c>
      <c r="AD183">
        <v>340</v>
      </c>
      <c r="AE183">
        <v>895</v>
      </c>
      <c r="AF183">
        <v>10286</v>
      </c>
      <c r="AG183">
        <v>2913</v>
      </c>
      <c r="AH183">
        <v>803</v>
      </c>
      <c r="AI183">
        <v>22435</v>
      </c>
      <c r="AJ183">
        <v>1800</v>
      </c>
      <c r="AK183">
        <v>0</v>
      </c>
      <c r="AL183">
        <v>23962</v>
      </c>
      <c r="AM183">
        <v>3203</v>
      </c>
      <c r="AN183">
        <v>20</v>
      </c>
      <c r="AO183">
        <v>7994</v>
      </c>
      <c r="AP183">
        <v>1456</v>
      </c>
      <c r="AQ183">
        <v>1384</v>
      </c>
      <c r="AR183">
        <v>2508</v>
      </c>
      <c r="AS183">
        <v>1434</v>
      </c>
      <c r="AT183">
        <v>0</v>
      </c>
      <c r="AU183">
        <v>8803</v>
      </c>
      <c r="AV183">
        <v>0</v>
      </c>
      <c r="AW183">
        <v>2</v>
      </c>
      <c r="AX183">
        <f t="shared" si="42"/>
        <v>111710</v>
      </c>
      <c r="AZ183" t="s">
        <v>112</v>
      </c>
      <c r="BA183" s="128">
        <v>94116</v>
      </c>
      <c r="BB183" s="128">
        <v>1965071</v>
      </c>
      <c r="BC183" s="128">
        <v>0</v>
      </c>
      <c r="BD183" s="128">
        <v>6841470</v>
      </c>
      <c r="BE183" s="128">
        <v>696997</v>
      </c>
      <c r="BF183" s="128">
        <v>11218017.835824866</v>
      </c>
      <c r="BG183" s="272">
        <v>0</v>
      </c>
      <c r="BH183">
        <v>2851</v>
      </c>
      <c r="BI183">
        <v>3220</v>
      </c>
      <c r="BJ183">
        <v>388</v>
      </c>
      <c r="BK183">
        <v>255</v>
      </c>
      <c r="BL183">
        <v>990</v>
      </c>
      <c r="BM183">
        <v>388</v>
      </c>
      <c r="BN183" s="128">
        <v>0</v>
      </c>
      <c r="BO183" s="128">
        <v>1606</v>
      </c>
      <c r="BP183" s="128">
        <v>80</v>
      </c>
      <c r="BQ183" s="128">
        <f t="shared" si="43"/>
        <v>63616444.164175138</v>
      </c>
      <c r="BR183">
        <v>34383</v>
      </c>
      <c r="BS183" s="128">
        <f t="shared" si="30"/>
        <v>1850.2295949793543</v>
      </c>
      <c r="BT183" t="s">
        <v>441</v>
      </c>
      <c r="BU183" s="129">
        <f t="shared" si="44"/>
        <v>1852.5563262128126</v>
      </c>
      <c r="BZ183" t="s">
        <v>199</v>
      </c>
      <c r="CA183">
        <v>1310.0707714785763</v>
      </c>
      <c r="CB183" t="s">
        <v>467</v>
      </c>
    </row>
    <row r="184" spans="1:80" ht="14.5" x14ac:dyDescent="0.25">
      <c r="A184" t="s">
        <v>334</v>
      </c>
      <c r="B184">
        <v>29735</v>
      </c>
      <c r="C184">
        <v>7992</v>
      </c>
      <c r="D184">
        <v>3854</v>
      </c>
      <c r="E184">
        <f t="shared" si="31"/>
        <v>10029</v>
      </c>
      <c r="F184">
        <f t="shared" si="32"/>
        <v>3941</v>
      </c>
      <c r="G184">
        <f t="shared" si="33"/>
        <v>7383</v>
      </c>
      <c r="H184">
        <f t="shared" si="34"/>
        <v>1607</v>
      </c>
      <c r="I184">
        <f t="shared" si="35"/>
        <v>3949</v>
      </c>
      <c r="J184">
        <f t="shared" si="36"/>
        <v>9802</v>
      </c>
      <c r="K184">
        <f t="shared" si="37"/>
        <v>36263</v>
      </c>
      <c r="L184">
        <f t="shared" si="38"/>
        <v>40774</v>
      </c>
      <c r="M184">
        <f t="shared" si="39"/>
        <v>10705</v>
      </c>
      <c r="N184">
        <f t="shared" si="40"/>
        <v>540</v>
      </c>
      <c r="O184">
        <f t="shared" si="41"/>
        <v>166574</v>
      </c>
      <c r="Q184">
        <v>23583</v>
      </c>
      <c r="R184">
        <v>12626</v>
      </c>
      <c r="S184">
        <v>928</v>
      </c>
      <c r="T184">
        <v>5638</v>
      </c>
      <c r="U184">
        <v>1689</v>
      </c>
      <c r="V184">
        <v>8</v>
      </c>
      <c r="W184">
        <v>11984</v>
      </c>
      <c r="X184">
        <v>2503</v>
      </c>
      <c r="Y184">
        <v>2098</v>
      </c>
      <c r="Z184" s="271">
        <v>2501</v>
      </c>
      <c r="AA184">
        <v>853</v>
      </c>
      <c r="AB184">
        <v>41</v>
      </c>
      <c r="AC184">
        <v>6727</v>
      </c>
      <c r="AD184">
        <v>908</v>
      </c>
      <c r="AE184">
        <v>1870</v>
      </c>
      <c r="AF184">
        <v>14188</v>
      </c>
      <c r="AG184">
        <v>2565</v>
      </c>
      <c r="AH184">
        <v>1821</v>
      </c>
      <c r="AI184">
        <v>36408</v>
      </c>
      <c r="AJ184">
        <v>145</v>
      </c>
      <c r="AK184">
        <v>0</v>
      </c>
      <c r="AL184">
        <v>44171</v>
      </c>
      <c r="AM184">
        <v>3024</v>
      </c>
      <c r="AN184">
        <v>373</v>
      </c>
      <c r="AO184">
        <v>14300</v>
      </c>
      <c r="AP184">
        <v>2782</v>
      </c>
      <c r="AQ184">
        <v>813</v>
      </c>
      <c r="AR184">
        <v>2637</v>
      </c>
      <c r="AS184">
        <v>2057</v>
      </c>
      <c r="AT184">
        <v>40</v>
      </c>
      <c r="AU184">
        <v>6155</v>
      </c>
      <c r="AV184">
        <v>583</v>
      </c>
      <c r="AW184">
        <v>0</v>
      </c>
      <c r="AX184">
        <f t="shared" si="42"/>
        <v>172146</v>
      </c>
      <c r="AZ184" t="s">
        <v>334</v>
      </c>
      <c r="BA184" s="128">
        <v>154145</v>
      </c>
      <c r="BB184" s="128">
        <v>2873748</v>
      </c>
      <c r="BC184" s="128">
        <v>0</v>
      </c>
      <c r="BD184" s="128">
        <v>5756947</v>
      </c>
      <c r="BE184" s="128">
        <v>1290739.2533333334</v>
      </c>
      <c r="BF184" s="128">
        <v>19765910.981469128</v>
      </c>
      <c r="BG184" s="272">
        <v>1177194.2730749659</v>
      </c>
      <c r="BH184">
        <v>5537</v>
      </c>
      <c r="BI184">
        <v>6957</v>
      </c>
      <c r="BJ184">
        <v>572</v>
      </c>
      <c r="BK184">
        <v>1723</v>
      </c>
      <c r="BL184">
        <v>955</v>
      </c>
      <c r="BM184">
        <v>123</v>
      </c>
      <c r="BN184" s="128">
        <v>1259</v>
      </c>
      <c r="BO184" s="128">
        <v>346</v>
      </c>
      <c r="BP184" s="128">
        <v>1685</v>
      </c>
      <c r="BQ184" s="128">
        <f t="shared" si="43"/>
        <v>104123460.49212258</v>
      </c>
      <c r="BR184">
        <v>48977</v>
      </c>
      <c r="BS184" s="128">
        <f t="shared" si="30"/>
        <v>2125.9664841072868</v>
      </c>
      <c r="BT184" t="s">
        <v>441</v>
      </c>
      <c r="BU184" s="129">
        <f t="shared" si="44"/>
        <v>2160.370387980533</v>
      </c>
      <c r="BZ184" t="s">
        <v>156</v>
      </c>
      <c r="CA184">
        <v>1684.0773691124334</v>
      </c>
      <c r="CB184" t="s">
        <v>467</v>
      </c>
    </row>
    <row r="185" spans="1:80" ht="14.5" x14ac:dyDescent="0.25">
      <c r="A185" t="s">
        <v>308</v>
      </c>
      <c r="B185">
        <v>13070</v>
      </c>
      <c r="C185">
        <v>3363</v>
      </c>
      <c r="D185">
        <v>1765</v>
      </c>
      <c r="E185">
        <f t="shared" si="31"/>
        <v>3798</v>
      </c>
      <c r="F185">
        <f t="shared" si="32"/>
        <v>1250</v>
      </c>
      <c r="G185">
        <f t="shared" si="33"/>
        <v>1736</v>
      </c>
      <c r="H185">
        <f t="shared" si="34"/>
        <v>762</v>
      </c>
      <c r="I185">
        <f t="shared" si="35"/>
        <v>1137</v>
      </c>
      <c r="J185">
        <f t="shared" si="36"/>
        <v>2287</v>
      </c>
      <c r="K185">
        <f t="shared" si="37"/>
        <v>3388</v>
      </c>
      <c r="L185">
        <f t="shared" si="38"/>
        <v>7751</v>
      </c>
      <c r="M185">
        <f t="shared" si="39"/>
        <v>4597</v>
      </c>
      <c r="N185">
        <f t="shared" si="40"/>
        <v>382</v>
      </c>
      <c r="O185">
        <f t="shared" si="41"/>
        <v>45286</v>
      </c>
      <c r="Q185">
        <v>11936</v>
      </c>
      <c r="R185">
        <v>6821</v>
      </c>
      <c r="S185">
        <v>1317</v>
      </c>
      <c r="T185">
        <v>1793</v>
      </c>
      <c r="U185">
        <v>543</v>
      </c>
      <c r="V185">
        <v>0</v>
      </c>
      <c r="W185">
        <v>2727</v>
      </c>
      <c r="X185">
        <v>414</v>
      </c>
      <c r="Y185">
        <v>577</v>
      </c>
      <c r="Z185" s="271">
        <v>1045</v>
      </c>
      <c r="AA185">
        <v>248</v>
      </c>
      <c r="AB185">
        <v>35</v>
      </c>
      <c r="AC185">
        <v>1827</v>
      </c>
      <c r="AD185">
        <v>95</v>
      </c>
      <c r="AE185">
        <v>595</v>
      </c>
      <c r="AF185">
        <v>3778</v>
      </c>
      <c r="AG185">
        <v>1074</v>
      </c>
      <c r="AH185">
        <v>417</v>
      </c>
      <c r="AI185">
        <v>3724</v>
      </c>
      <c r="AJ185">
        <v>336</v>
      </c>
      <c r="AK185">
        <v>0</v>
      </c>
      <c r="AL185">
        <v>8938</v>
      </c>
      <c r="AM185">
        <v>1187</v>
      </c>
      <c r="AN185">
        <v>0</v>
      </c>
      <c r="AO185">
        <v>5860</v>
      </c>
      <c r="AP185">
        <v>843</v>
      </c>
      <c r="AQ185">
        <v>420</v>
      </c>
      <c r="AR185">
        <v>1575</v>
      </c>
      <c r="AS185">
        <v>1191</v>
      </c>
      <c r="AT185">
        <v>2</v>
      </c>
      <c r="AU185">
        <v>3971</v>
      </c>
      <c r="AV185">
        <v>318</v>
      </c>
      <c r="AW185">
        <v>0</v>
      </c>
      <c r="AX185">
        <f t="shared" si="42"/>
        <v>48939</v>
      </c>
      <c r="AZ185" t="s">
        <v>308</v>
      </c>
      <c r="BA185" s="128">
        <v>39840</v>
      </c>
      <c r="BB185" s="128">
        <v>370111</v>
      </c>
      <c r="BC185" s="128">
        <v>0</v>
      </c>
      <c r="BD185" s="128">
        <v>109933</v>
      </c>
      <c r="BE185" s="128">
        <v>304388</v>
      </c>
      <c r="BF185" s="128">
        <v>2178451.6217993493</v>
      </c>
      <c r="BG185" s="272">
        <v>0</v>
      </c>
      <c r="BH185">
        <v>1861</v>
      </c>
      <c r="BI185">
        <v>2743</v>
      </c>
      <c r="BJ185">
        <v>233</v>
      </c>
      <c r="BK185">
        <v>58</v>
      </c>
      <c r="BL185">
        <v>894</v>
      </c>
      <c r="BM185">
        <v>33</v>
      </c>
      <c r="BN185" s="128">
        <v>0</v>
      </c>
      <c r="BO185" s="128">
        <v>0</v>
      </c>
      <c r="BP185" s="128">
        <v>2409</v>
      </c>
      <c r="BQ185" s="128">
        <f t="shared" si="43"/>
        <v>28646116.37820065</v>
      </c>
      <c r="BR185">
        <v>19409</v>
      </c>
      <c r="BS185" s="128">
        <f t="shared" si="30"/>
        <v>1475.9192322221984</v>
      </c>
      <c r="BT185" t="s">
        <v>467</v>
      </c>
      <c r="BU185" s="129">
        <f t="shared" si="44"/>
        <v>1600.0369095883689</v>
      </c>
      <c r="BZ185" t="s">
        <v>336</v>
      </c>
      <c r="CA185">
        <v>1638.9671567547041</v>
      </c>
      <c r="CB185" t="s">
        <v>467</v>
      </c>
    </row>
    <row r="186" spans="1:80" ht="14.5" x14ac:dyDescent="0.25">
      <c r="A186" t="s">
        <v>113</v>
      </c>
      <c r="B186">
        <v>17829</v>
      </c>
      <c r="C186">
        <v>4501</v>
      </c>
      <c r="D186">
        <v>1141</v>
      </c>
      <c r="E186">
        <f t="shared" si="31"/>
        <v>4941</v>
      </c>
      <c r="F186">
        <f t="shared" si="32"/>
        <v>2087</v>
      </c>
      <c r="G186">
        <f t="shared" si="33"/>
        <v>2880</v>
      </c>
      <c r="H186">
        <f t="shared" si="34"/>
        <v>549</v>
      </c>
      <c r="I186">
        <f t="shared" si="35"/>
        <v>1858</v>
      </c>
      <c r="J186">
        <f t="shared" si="36"/>
        <v>4552</v>
      </c>
      <c r="K186">
        <f t="shared" si="37"/>
        <v>9868</v>
      </c>
      <c r="L186">
        <f t="shared" si="38"/>
        <v>21358</v>
      </c>
      <c r="M186">
        <f t="shared" si="39"/>
        <v>6659</v>
      </c>
      <c r="N186">
        <f t="shared" si="40"/>
        <v>605</v>
      </c>
      <c r="O186">
        <f t="shared" si="41"/>
        <v>78828</v>
      </c>
      <c r="Q186">
        <v>12878</v>
      </c>
      <c r="R186">
        <v>7526</v>
      </c>
      <c r="S186">
        <v>411</v>
      </c>
      <c r="T186">
        <v>2342</v>
      </c>
      <c r="U186">
        <v>246</v>
      </c>
      <c r="V186">
        <v>9</v>
      </c>
      <c r="W186">
        <v>5358</v>
      </c>
      <c r="X186">
        <v>1185</v>
      </c>
      <c r="Y186">
        <v>1293</v>
      </c>
      <c r="Z186" s="271">
        <v>905</v>
      </c>
      <c r="AA186">
        <v>318</v>
      </c>
      <c r="AB186">
        <v>38</v>
      </c>
      <c r="AC186">
        <v>2988</v>
      </c>
      <c r="AD186">
        <v>225</v>
      </c>
      <c r="AE186">
        <v>905</v>
      </c>
      <c r="AF186">
        <v>7059</v>
      </c>
      <c r="AG186">
        <v>1835</v>
      </c>
      <c r="AH186">
        <v>672</v>
      </c>
      <c r="AI186">
        <v>11331</v>
      </c>
      <c r="AJ186">
        <v>1463</v>
      </c>
      <c r="AK186">
        <v>0</v>
      </c>
      <c r="AL186">
        <v>23523</v>
      </c>
      <c r="AM186">
        <v>2140</v>
      </c>
      <c r="AN186">
        <v>25</v>
      </c>
      <c r="AO186">
        <v>8823</v>
      </c>
      <c r="AP186">
        <v>1206</v>
      </c>
      <c r="AQ186">
        <v>958</v>
      </c>
      <c r="AR186">
        <v>2405</v>
      </c>
      <c r="AS186">
        <v>1610</v>
      </c>
      <c r="AT186">
        <v>190</v>
      </c>
      <c r="AU186">
        <v>2281</v>
      </c>
      <c r="AV186">
        <v>75</v>
      </c>
      <c r="AW186">
        <v>0</v>
      </c>
      <c r="AX186">
        <f t="shared" si="42"/>
        <v>81034</v>
      </c>
      <c r="AZ186" t="s">
        <v>113</v>
      </c>
      <c r="BA186" s="128">
        <v>73111</v>
      </c>
      <c r="BB186" s="128">
        <v>4254342</v>
      </c>
      <c r="BC186" s="128">
        <v>0</v>
      </c>
      <c r="BD186" s="128">
        <v>224412</v>
      </c>
      <c r="BE186" s="128">
        <v>593042</v>
      </c>
      <c r="BF186" s="128">
        <v>7428141.2649711957</v>
      </c>
      <c r="BG186" s="272">
        <v>285354.46531475428</v>
      </c>
      <c r="BH186">
        <v>3961</v>
      </c>
      <c r="BI186">
        <v>2927</v>
      </c>
      <c r="BJ186">
        <v>377</v>
      </c>
      <c r="BK186">
        <v>400</v>
      </c>
      <c r="BL186">
        <v>713</v>
      </c>
      <c r="BM186">
        <v>83</v>
      </c>
      <c r="BN186" s="128">
        <v>1161</v>
      </c>
      <c r="BO186" s="128">
        <v>0</v>
      </c>
      <c r="BP186" s="128">
        <v>59</v>
      </c>
      <c r="BQ186" s="128">
        <f t="shared" si="43"/>
        <v>50644708.26971405</v>
      </c>
      <c r="BR186">
        <v>33386</v>
      </c>
      <c r="BS186" s="128">
        <f t="shared" si="30"/>
        <v>1516.9444758196264</v>
      </c>
      <c r="BT186" t="s">
        <v>118</v>
      </c>
      <c r="BU186" s="129">
        <f t="shared" si="44"/>
        <v>1518.7116836312841</v>
      </c>
      <c r="BZ186" t="s">
        <v>227</v>
      </c>
      <c r="CA186">
        <v>1695.5735108871693</v>
      </c>
      <c r="CB186" t="s">
        <v>467</v>
      </c>
    </row>
    <row r="187" spans="1:80" ht="14.5" x14ac:dyDescent="0.25">
      <c r="A187" t="s">
        <v>602</v>
      </c>
      <c r="B187">
        <v>56283</v>
      </c>
      <c r="C187">
        <v>9724</v>
      </c>
      <c r="D187">
        <v>2602</v>
      </c>
      <c r="E187">
        <f t="shared" si="31"/>
        <v>12450</v>
      </c>
      <c r="F187">
        <f t="shared" si="32"/>
        <v>15634</v>
      </c>
      <c r="G187">
        <f t="shared" si="33"/>
        <v>4876</v>
      </c>
      <c r="H187">
        <f t="shared" si="34"/>
        <v>1249</v>
      </c>
      <c r="I187">
        <f t="shared" si="35"/>
        <v>8815</v>
      </c>
      <c r="J187">
        <f t="shared" si="36"/>
        <v>9906</v>
      </c>
      <c r="K187">
        <f t="shared" si="37"/>
        <v>44933</v>
      </c>
      <c r="L187">
        <f t="shared" si="38"/>
        <v>48055</v>
      </c>
      <c r="M187">
        <f t="shared" si="39"/>
        <v>11152</v>
      </c>
      <c r="N187">
        <f t="shared" si="40"/>
        <v>3438</v>
      </c>
      <c r="O187">
        <f t="shared" si="41"/>
        <v>229117</v>
      </c>
      <c r="Q187">
        <v>36058</v>
      </c>
      <c r="R187">
        <v>21959</v>
      </c>
      <c r="S187">
        <v>1649</v>
      </c>
      <c r="T187">
        <v>16400</v>
      </c>
      <c r="U187">
        <v>733</v>
      </c>
      <c r="V187">
        <v>33</v>
      </c>
      <c r="W187">
        <v>7748</v>
      </c>
      <c r="X187">
        <v>987</v>
      </c>
      <c r="Y187">
        <v>1885</v>
      </c>
      <c r="Z187" s="271">
        <v>1896</v>
      </c>
      <c r="AA187">
        <v>642</v>
      </c>
      <c r="AB187">
        <v>5</v>
      </c>
      <c r="AC187">
        <v>11726</v>
      </c>
      <c r="AD187">
        <v>1076</v>
      </c>
      <c r="AE187">
        <v>1835</v>
      </c>
      <c r="AF187">
        <v>16224</v>
      </c>
      <c r="AG187">
        <v>4323</v>
      </c>
      <c r="AH187">
        <v>1995</v>
      </c>
      <c r="AI187">
        <v>61381</v>
      </c>
      <c r="AJ187">
        <v>16287</v>
      </c>
      <c r="AK187">
        <v>161</v>
      </c>
      <c r="AL187">
        <v>51782</v>
      </c>
      <c r="AM187">
        <v>3401</v>
      </c>
      <c r="AN187">
        <v>326</v>
      </c>
      <c r="AO187">
        <v>16459</v>
      </c>
      <c r="AP187">
        <v>3642</v>
      </c>
      <c r="AQ187">
        <v>1665</v>
      </c>
      <c r="AR187">
        <v>6567</v>
      </c>
      <c r="AS187">
        <v>2959</v>
      </c>
      <c r="AT187">
        <v>170</v>
      </c>
      <c r="AU187">
        <v>3362</v>
      </c>
      <c r="AV187">
        <v>274</v>
      </c>
      <c r="AW187">
        <v>0</v>
      </c>
      <c r="AX187">
        <f t="shared" si="42"/>
        <v>232205</v>
      </c>
      <c r="AZ187" t="s">
        <v>602</v>
      </c>
      <c r="BA187" s="128">
        <v>216517</v>
      </c>
      <c r="BB187" s="128">
        <v>3126794</v>
      </c>
      <c r="BC187" s="128">
        <v>0</v>
      </c>
      <c r="BD187" s="128">
        <v>10974570</v>
      </c>
      <c r="BE187" s="128">
        <v>2638837</v>
      </c>
      <c r="BF187" s="128">
        <v>29566471.701385863</v>
      </c>
      <c r="BG187" s="272">
        <v>18761710.633130498</v>
      </c>
      <c r="BH187">
        <v>5715</v>
      </c>
      <c r="BI187">
        <v>6837</v>
      </c>
      <c r="BJ187">
        <v>677</v>
      </c>
      <c r="BK187">
        <v>210</v>
      </c>
      <c r="BL187">
        <v>1500</v>
      </c>
      <c r="BM187">
        <v>133</v>
      </c>
      <c r="BN187" s="128">
        <v>250</v>
      </c>
      <c r="BO187" s="128">
        <v>0</v>
      </c>
      <c r="BP187" s="128">
        <v>52</v>
      </c>
      <c r="BQ187" s="128">
        <f t="shared" si="43"/>
        <v>136074616.66548365</v>
      </c>
      <c r="BR187">
        <v>60740</v>
      </c>
      <c r="BS187" s="128">
        <f t="shared" si="30"/>
        <v>2240.2801558360825</v>
      </c>
      <c r="BT187" t="s">
        <v>441</v>
      </c>
      <c r="BU187" s="129">
        <f t="shared" si="44"/>
        <v>2241.1362638373998</v>
      </c>
      <c r="BZ187" t="s">
        <v>384</v>
      </c>
      <c r="CA187">
        <v>1612.483431096214</v>
      </c>
      <c r="CB187" t="s">
        <v>467</v>
      </c>
    </row>
    <row r="188" spans="1:80" ht="14.5" x14ac:dyDescent="0.25">
      <c r="A188" t="s">
        <v>379</v>
      </c>
      <c r="B188">
        <v>20386</v>
      </c>
      <c r="C188">
        <v>5805</v>
      </c>
      <c r="D188">
        <v>535</v>
      </c>
      <c r="E188">
        <f t="shared" si="31"/>
        <v>12273</v>
      </c>
      <c r="F188">
        <f t="shared" si="32"/>
        <v>3427</v>
      </c>
      <c r="G188">
        <f t="shared" si="33"/>
        <v>3072</v>
      </c>
      <c r="H188">
        <f t="shared" si="34"/>
        <v>828</v>
      </c>
      <c r="I188">
        <f t="shared" si="35"/>
        <v>2442</v>
      </c>
      <c r="J188">
        <f t="shared" si="36"/>
        <v>6406</v>
      </c>
      <c r="K188">
        <f t="shared" si="37"/>
        <v>14082</v>
      </c>
      <c r="L188">
        <f t="shared" si="38"/>
        <v>21441</v>
      </c>
      <c r="M188">
        <f t="shared" si="39"/>
        <v>10289</v>
      </c>
      <c r="N188">
        <f t="shared" si="40"/>
        <v>649</v>
      </c>
      <c r="O188">
        <f t="shared" si="41"/>
        <v>101635</v>
      </c>
      <c r="Q188">
        <v>23186</v>
      </c>
      <c r="R188">
        <v>10015</v>
      </c>
      <c r="S188">
        <v>898</v>
      </c>
      <c r="T188">
        <v>4487</v>
      </c>
      <c r="U188">
        <v>950</v>
      </c>
      <c r="V188">
        <v>110</v>
      </c>
      <c r="W188">
        <v>5625</v>
      </c>
      <c r="X188">
        <v>1487</v>
      </c>
      <c r="Y188">
        <v>1066</v>
      </c>
      <c r="Z188" s="271">
        <v>1440</v>
      </c>
      <c r="AA188">
        <v>600</v>
      </c>
      <c r="AB188">
        <v>12</v>
      </c>
      <c r="AC188">
        <v>3656</v>
      </c>
      <c r="AD188">
        <v>228</v>
      </c>
      <c r="AE188">
        <v>986</v>
      </c>
      <c r="AF188">
        <v>8594</v>
      </c>
      <c r="AG188">
        <v>854</v>
      </c>
      <c r="AH188">
        <v>1334</v>
      </c>
      <c r="AI188">
        <v>14204</v>
      </c>
      <c r="AJ188">
        <v>122</v>
      </c>
      <c r="AK188">
        <v>0</v>
      </c>
      <c r="AL188">
        <v>23917</v>
      </c>
      <c r="AM188">
        <v>2369</v>
      </c>
      <c r="AN188">
        <v>107</v>
      </c>
      <c r="AO188">
        <v>12688</v>
      </c>
      <c r="AP188">
        <v>1216</v>
      </c>
      <c r="AQ188">
        <v>1183</v>
      </c>
      <c r="AR188">
        <v>3003</v>
      </c>
      <c r="AS188">
        <v>2245</v>
      </c>
      <c r="AT188">
        <v>109</v>
      </c>
      <c r="AU188">
        <v>8713</v>
      </c>
      <c r="AV188">
        <v>300</v>
      </c>
      <c r="AW188">
        <v>0</v>
      </c>
      <c r="AX188">
        <f t="shared" si="42"/>
        <v>110048</v>
      </c>
      <c r="AZ188" t="s">
        <v>379</v>
      </c>
      <c r="BA188" s="128">
        <v>94995</v>
      </c>
      <c r="BB188" s="128">
        <v>1110596</v>
      </c>
      <c r="BC188" s="128">
        <v>0</v>
      </c>
      <c r="BD188" s="128">
        <v>2759790</v>
      </c>
      <c r="BE188" s="128">
        <v>1190142.0633333335</v>
      </c>
      <c r="BF188" s="128">
        <v>8012395.259977174</v>
      </c>
      <c r="BG188" s="272">
        <v>0</v>
      </c>
      <c r="BH188">
        <v>5667</v>
      </c>
      <c r="BI188">
        <v>4567</v>
      </c>
      <c r="BJ188">
        <v>452</v>
      </c>
      <c r="BK188">
        <v>186</v>
      </c>
      <c r="BL188">
        <v>1300</v>
      </c>
      <c r="BM188">
        <v>415</v>
      </c>
      <c r="BN188" s="128">
        <v>0</v>
      </c>
      <c r="BO188" s="128">
        <v>0</v>
      </c>
      <c r="BP188" s="128">
        <v>33</v>
      </c>
      <c r="BQ188" s="128">
        <f t="shared" si="43"/>
        <v>69302076.676689491</v>
      </c>
      <c r="BR188">
        <v>37179</v>
      </c>
      <c r="BS188" s="128">
        <f t="shared" si="30"/>
        <v>1864.0113149006022</v>
      </c>
      <c r="BT188" t="s">
        <v>467</v>
      </c>
      <c r="BU188" s="129">
        <f t="shared" si="44"/>
        <v>1864.8989127380912</v>
      </c>
      <c r="BZ188" t="s">
        <v>228</v>
      </c>
      <c r="CA188">
        <v>1435.1117223598892</v>
      </c>
      <c r="CB188" t="s">
        <v>467</v>
      </c>
    </row>
    <row r="189" spans="1:80" ht="14.5" x14ac:dyDescent="0.25">
      <c r="A189" t="s">
        <v>603</v>
      </c>
      <c r="B189">
        <v>20767</v>
      </c>
      <c r="C189">
        <v>5497</v>
      </c>
      <c r="D189">
        <v>251</v>
      </c>
      <c r="E189">
        <f t="shared" si="31"/>
        <v>7783</v>
      </c>
      <c r="F189">
        <f t="shared" si="32"/>
        <v>4170</v>
      </c>
      <c r="G189">
        <f t="shared" si="33"/>
        <v>5052</v>
      </c>
      <c r="H189">
        <f t="shared" si="34"/>
        <v>1408</v>
      </c>
      <c r="I189">
        <f t="shared" si="35"/>
        <v>3287</v>
      </c>
      <c r="J189">
        <f t="shared" si="36"/>
        <v>4802</v>
      </c>
      <c r="K189">
        <f t="shared" si="37"/>
        <v>9884</v>
      </c>
      <c r="L189">
        <f t="shared" si="38"/>
        <v>21095</v>
      </c>
      <c r="M189">
        <f t="shared" si="39"/>
        <v>9202</v>
      </c>
      <c r="N189">
        <f t="shared" si="40"/>
        <v>2331</v>
      </c>
      <c r="O189">
        <f t="shared" si="41"/>
        <v>95529</v>
      </c>
      <c r="Q189">
        <v>19101</v>
      </c>
      <c r="R189">
        <v>10096</v>
      </c>
      <c r="S189">
        <v>1222</v>
      </c>
      <c r="T189">
        <v>4436</v>
      </c>
      <c r="U189">
        <v>265</v>
      </c>
      <c r="V189">
        <v>1</v>
      </c>
      <c r="W189">
        <v>7605</v>
      </c>
      <c r="X189">
        <v>1230</v>
      </c>
      <c r="Y189">
        <v>1323</v>
      </c>
      <c r="Z189" s="271">
        <v>1856</v>
      </c>
      <c r="AA189">
        <v>439</v>
      </c>
      <c r="AB189">
        <v>9</v>
      </c>
      <c r="AC189">
        <v>4081</v>
      </c>
      <c r="AD189">
        <v>166</v>
      </c>
      <c r="AE189">
        <v>628</v>
      </c>
      <c r="AF189">
        <v>7282</v>
      </c>
      <c r="AG189">
        <v>1691</v>
      </c>
      <c r="AH189">
        <v>789</v>
      </c>
      <c r="AI189">
        <v>9980</v>
      </c>
      <c r="AJ189">
        <v>96</v>
      </c>
      <c r="AK189">
        <v>0</v>
      </c>
      <c r="AL189">
        <v>24198</v>
      </c>
      <c r="AM189">
        <v>2765</v>
      </c>
      <c r="AN189">
        <v>338</v>
      </c>
      <c r="AO189">
        <v>12134</v>
      </c>
      <c r="AP189">
        <v>1745</v>
      </c>
      <c r="AQ189">
        <v>1187</v>
      </c>
      <c r="AR189">
        <v>4605</v>
      </c>
      <c r="AS189">
        <v>2274</v>
      </c>
      <c r="AT189">
        <v>0</v>
      </c>
      <c r="AU189">
        <v>7736</v>
      </c>
      <c r="AV189">
        <v>0</v>
      </c>
      <c r="AW189">
        <v>0</v>
      </c>
      <c r="AX189">
        <f t="shared" si="42"/>
        <v>103265</v>
      </c>
      <c r="AZ189" t="s">
        <v>603</v>
      </c>
      <c r="BA189" s="128">
        <v>89781</v>
      </c>
      <c r="BB189" s="128">
        <v>1948829</v>
      </c>
      <c r="BC189" s="128">
        <v>0</v>
      </c>
      <c r="BD189" s="128">
        <v>1253674</v>
      </c>
      <c r="BE189" s="128">
        <v>1008515</v>
      </c>
      <c r="BF189" s="128">
        <v>5396544.2421850944</v>
      </c>
      <c r="BG189" s="272">
        <v>1122560.4725883072</v>
      </c>
      <c r="BH189">
        <v>3931</v>
      </c>
      <c r="BI189">
        <v>5366</v>
      </c>
      <c r="BJ189">
        <v>473</v>
      </c>
      <c r="BK189">
        <v>471</v>
      </c>
      <c r="BL189">
        <v>1828</v>
      </c>
      <c r="BM189">
        <v>353</v>
      </c>
      <c r="BN189" s="128">
        <v>40</v>
      </c>
      <c r="BO189" s="128">
        <v>0</v>
      </c>
      <c r="BP189" s="128">
        <v>1748</v>
      </c>
      <c r="BQ189" s="128">
        <f t="shared" si="43"/>
        <v>64840877.285226598</v>
      </c>
      <c r="BR189">
        <v>44135</v>
      </c>
      <c r="BS189" s="128">
        <f t="shared" ref="BS189:BS252" si="45">BQ189/BR189</f>
        <v>1469.1486866483879</v>
      </c>
      <c r="BT189" t="s">
        <v>467</v>
      </c>
      <c r="BU189" s="129">
        <f t="shared" si="44"/>
        <v>1508.7544417180604</v>
      </c>
      <c r="BZ189" t="s">
        <v>157</v>
      </c>
      <c r="CA189">
        <v>1750.0295710039454</v>
      </c>
      <c r="CB189" t="s">
        <v>467</v>
      </c>
    </row>
    <row r="190" spans="1:80" ht="14.5" x14ac:dyDescent="0.25">
      <c r="A190" t="s">
        <v>190</v>
      </c>
      <c r="B190">
        <v>24034</v>
      </c>
      <c r="C190">
        <v>4320</v>
      </c>
      <c r="D190">
        <v>1584</v>
      </c>
      <c r="E190">
        <f t="shared" ref="E190:E253" si="46">SUM(Q190,-R190,-S190)</f>
        <v>3663</v>
      </c>
      <c r="F190">
        <f t="shared" ref="F190:F253" si="47">SUM(T190,-U190,-V190)</f>
        <v>2283</v>
      </c>
      <c r="G190">
        <f t="shared" ref="G190:G253" si="48">SUM(W190,-X190,-Y190)</f>
        <v>2668</v>
      </c>
      <c r="H190">
        <f t="shared" ref="H190:H253" si="49">SUM(Z190,-AA190,-AB190)</f>
        <v>445</v>
      </c>
      <c r="I190">
        <f t="shared" ref="I190:I253" si="50">SUM(AC190,-AD190,-AE190)</f>
        <v>2276</v>
      </c>
      <c r="J190">
        <f t="shared" ref="J190:J253" si="51">SUM(AF190,-AG190,-AH190)</f>
        <v>4464</v>
      </c>
      <c r="K190">
        <f t="shared" ref="K190:K253" si="52">SUM(AI190,-AJ190,-AK190)</f>
        <v>13832</v>
      </c>
      <c r="L190">
        <f t="shared" ref="L190:L253" si="53">SUM(AL190,-AM190,-AN190)</f>
        <v>21771</v>
      </c>
      <c r="M190">
        <f t="shared" ref="M190:M253" si="54">SUM(AO190,-AP190,-AQ190)</f>
        <v>6146</v>
      </c>
      <c r="N190">
        <f t="shared" ref="N190:N253" si="55">SUM(AR190,-AS190,-AT190)</f>
        <v>326</v>
      </c>
      <c r="O190">
        <f t="shared" ref="O190:O253" si="56">SUM(B190:N190)</f>
        <v>87812</v>
      </c>
      <c r="Q190">
        <v>15062</v>
      </c>
      <c r="R190">
        <v>10267</v>
      </c>
      <c r="S190">
        <v>1132</v>
      </c>
      <c r="T190">
        <v>2760</v>
      </c>
      <c r="U190">
        <v>467</v>
      </c>
      <c r="V190">
        <v>10</v>
      </c>
      <c r="W190">
        <v>3984</v>
      </c>
      <c r="X190">
        <v>1180</v>
      </c>
      <c r="Y190">
        <v>136</v>
      </c>
      <c r="Z190" s="271">
        <v>902</v>
      </c>
      <c r="AA190">
        <v>457</v>
      </c>
      <c r="AB190">
        <v>0</v>
      </c>
      <c r="AC190">
        <v>3781</v>
      </c>
      <c r="AD190">
        <v>413</v>
      </c>
      <c r="AE190">
        <v>1092</v>
      </c>
      <c r="AF190">
        <v>7151</v>
      </c>
      <c r="AG190">
        <v>1822</v>
      </c>
      <c r="AH190">
        <v>865</v>
      </c>
      <c r="AI190">
        <v>16134</v>
      </c>
      <c r="AJ190">
        <v>2302</v>
      </c>
      <c r="AK190">
        <v>0</v>
      </c>
      <c r="AL190">
        <v>25100</v>
      </c>
      <c r="AM190">
        <v>3258</v>
      </c>
      <c r="AN190">
        <v>71</v>
      </c>
      <c r="AO190">
        <v>8872</v>
      </c>
      <c r="AP190">
        <v>1715</v>
      </c>
      <c r="AQ190">
        <v>1011</v>
      </c>
      <c r="AR190">
        <v>2482</v>
      </c>
      <c r="AS190">
        <v>2153</v>
      </c>
      <c r="AT190">
        <v>3</v>
      </c>
      <c r="AU190">
        <v>16</v>
      </c>
      <c r="AV190">
        <v>0</v>
      </c>
      <c r="AW190">
        <v>0</v>
      </c>
      <c r="AX190">
        <f t="shared" ref="AX190:AX253" si="57">SUM(D190,Q190,T190,W190,Z190,AC190,AF190,AI190,AL190,AO190,AR190,AU190)</f>
        <v>87828</v>
      </c>
      <c r="AZ190" t="s">
        <v>190</v>
      </c>
      <c r="BA190" s="128">
        <v>81908</v>
      </c>
      <c r="BB190" s="128">
        <v>958323</v>
      </c>
      <c r="BC190" s="128">
        <v>0</v>
      </c>
      <c r="BD190" s="128">
        <v>4683397</v>
      </c>
      <c r="BE190" s="128">
        <v>497601</v>
      </c>
      <c r="BF190" s="128">
        <v>6437102.6272621416</v>
      </c>
      <c r="BG190" s="272">
        <v>565618.0132801868</v>
      </c>
      <c r="BH190">
        <v>4422</v>
      </c>
      <c r="BI190">
        <v>3362</v>
      </c>
      <c r="BJ190">
        <v>568</v>
      </c>
      <c r="BK190">
        <v>104</v>
      </c>
      <c r="BL190">
        <v>1068</v>
      </c>
      <c r="BM190">
        <v>172</v>
      </c>
      <c r="BN190" s="128">
        <v>385</v>
      </c>
      <c r="BO190" s="128">
        <v>0</v>
      </c>
      <c r="BP190" s="128">
        <v>58</v>
      </c>
      <c r="BQ190" s="128">
        <f t="shared" si="43"/>
        <v>58626958.359457672</v>
      </c>
      <c r="BR190">
        <v>36038</v>
      </c>
      <c r="BS190" s="128">
        <f t="shared" si="45"/>
        <v>1626.8094333608321</v>
      </c>
      <c r="BT190" t="s">
        <v>118</v>
      </c>
      <c r="BU190" s="129">
        <f t="shared" si="44"/>
        <v>1628.4188456478626</v>
      </c>
      <c r="BZ190" t="s">
        <v>202</v>
      </c>
      <c r="CA190">
        <v>1732.111819235226</v>
      </c>
      <c r="CB190" t="s">
        <v>467</v>
      </c>
    </row>
    <row r="191" spans="1:80" ht="14.5" x14ac:dyDescent="0.25">
      <c r="A191" t="s">
        <v>438</v>
      </c>
      <c r="B191">
        <v>6835</v>
      </c>
      <c r="C191">
        <v>1157</v>
      </c>
      <c r="D191">
        <v>236</v>
      </c>
      <c r="E191">
        <f t="shared" si="46"/>
        <v>2817</v>
      </c>
      <c r="F191">
        <f t="shared" si="47"/>
        <v>922</v>
      </c>
      <c r="G191">
        <f t="shared" si="48"/>
        <v>1199</v>
      </c>
      <c r="H191">
        <f t="shared" si="49"/>
        <v>321</v>
      </c>
      <c r="I191">
        <f t="shared" si="50"/>
        <v>659</v>
      </c>
      <c r="J191">
        <f t="shared" si="51"/>
        <v>1290</v>
      </c>
      <c r="K191">
        <f t="shared" si="52"/>
        <v>3186</v>
      </c>
      <c r="L191">
        <f t="shared" si="53"/>
        <v>5600</v>
      </c>
      <c r="M191">
        <f t="shared" si="54"/>
        <v>2459</v>
      </c>
      <c r="N191">
        <f t="shared" si="55"/>
        <v>1280</v>
      </c>
      <c r="O191">
        <f t="shared" si="56"/>
        <v>27961</v>
      </c>
      <c r="Q191">
        <v>6964</v>
      </c>
      <c r="R191">
        <v>3996</v>
      </c>
      <c r="S191">
        <v>151</v>
      </c>
      <c r="T191">
        <v>1161</v>
      </c>
      <c r="U191">
        <v>175</v>
      </c>
      <c r="V191">
        <v>64</v>
      </c>
      <c r="W191">
        <v>1607</v>
      </c>
      <c r="X191">
        <v>353</v>
      </c>
      <c r="Y191">
        <v>55</v>
      </c>
      <c r="Z191" s="271">
        <v>386</v>
      </c>
      <c r="AA191">
        <v>65</v>
      </c>
      <c r="AB191">
        <v>0</v>
      </c>
      <c r="AC191">
        <v>842</v>
      </c>
      <c r="AD191">
        <v>11</v>
      </c>
      <c r="AE191">
        <v>172</v>
      </c>
      <c r="AF191">
        <v>2285</v>
      </c>
      <c r="AG191">
        <v>542</v>
      </c>
      <c r="AH191">
        <v>453</v>
      </c>
      <c r="AI191">
        <v>3279</v>
      </c>
      <c r="AJ191">
        <v>93</v>
      </c>
      <c r="AK191">
        <v>0</v>
      </c>
      <c r="AL191">
        <v>5889</v>
      </c>
      <c r="AM191">
        <v>289</v>
      </c>
      <c r="AN191">
        <v>0</v>
      </c>
      <c r="AO191">
        <v>3283</v>
      </c>
      <c r="AP191">
        <v>562</v>
      </c>
      <c r="AQ191">
        <v>262</v>
      </c>
      <c r="AR191">
        <v>2029</v>
      </c>
      <c r="AS191">
        <v>749</v>
      </c>
      <c r="AT191">
        <v>0</v>
      </c>
      <c r="AU191">
        <v>0</v>
      </c>
      <c r="AV191">
        <v>0</v>
      </c>
      <c r="AW191">
        <v>0</v>
      </c>
      <c r="AX191">
        <f t="shared" si="57"/>
        <v>27961</v>
      </c>
      <c r="AZ191" t="s">
        <v>438</v>
      </c>
      <c r="BA191" s="128">
        <v>26568</v>
      </c>
      <c r="BB191" s="128">
        <v>231325</v>
      </c>
      <c r="BC191" s="128">
        <v>0</v>
      </c>
      <c r="BD191" s="128">
        <v>522134</v>
      </c>
      <c r="BE191" s="128">
        <v>499699</v>
      </c>
      <c r="BF191" s="128">
        <v>1474940</v>
      </c>
      <c r="BG191" s="272">
        <v>0</v>
      </c>
      <c r="BH191">
        <v>1493</v>
      </c>
      <c r="BI191">
        <v>1581</v>
      </c>
      <c r="BJ191">
        <v>245</v>
      </c>
      <c r="BK191">
        <v>85</v>
      </c>
      <c r="BL191">
        <v>408</v>
      </c>
      <c r="BM191">
        <v>26</v>
      </c>
      <c r="BN191" s="128">
        <v>0</v>
      </c>
      <c r="BO191" s="128">
        <v>0</v>
      </c>
      <c r="BP191" s="128">
        <v>8</v>
      </c>
      <c r="BQ191" s="128">
        <f t="shared" si="43"/>
        <v>19993902</v>
      </c>
      <c r="BR191">
        <v>13889</v>
      </c>
      <c r="BS191" s="128">
        <f t="shared" si="45"/>
        <v>1439.5494276045793</v>
      </c>
      <c r="BT191" t="s">
        <v>467</v>
      </c>
      <c r="BU191" s="129">
        <f t="shared" si="44"/>
        <v>1440.125422996616</v>
      </c>
      <c r="BZ191" t="s">
        <v>203</v>
      </c>
      <c r="CA191">
        <v>1624.8553976821365</v>
      </c>
      <c r="CB191" t="s">
        <v>467</v>
      </c>
    </row>
    <row r="192" spans="1:80" ht="14.5" x14ac:dyDescent="0.25">
      <c r="A192" t="s">
        <v>415</v>
      </c>
      <c r="B192">
        <v>5546</v>
      </c>
      <c r="C192">
        <v>511</v>
      </c>
      <c r="D192">
        <v>42</v>
      </c>
      <c r="E192">
        <f t="shared" si="46"/>
        <v>2183</v>
      </c>
      <c r="F192">
        <f t="shared" si="47"/>
        <v>628</v>
      </c>
      <c r="G192">
        <f t="shared" si="48"/>
        <v>382</v>
      </c>
      <c r="H192">
        <f t="shared" si="49"/>
        <v>62</v>
      </c>
      <c r="I192">
        <f t="shared" si="50"/>
        <v>175</v>
      </c>
      <c r="J192">
        <f t="shared" si="51"/>
        <v>561</v>
      </c>
      <c r="K192">
        <f t="shared" si="52"/>
        <v>2594</v>
      </c>
      <c r="L192">
        <f t="shared" si="53"/>
        <v>3296</v>
      </c>
      <c r="M192">
        <f t="shared" si="54"/>
        <v>983</v>
      </c>
      <c r="N192">
        <f t="shared" si="55"/>
        <v>55</v>
      </c>
      <c r="O192">
        <f t="shared" si="56"/>
        <v>17018</v>
      </c>
      <c r="Q192">
        <v>6358</v>
      </c>
      <c r="R192">
        <v>4060</v>
      </c>
      <c r="S192">
        <v>115</v>
      </c>
      <c r="T192">
        <v>645</v>
      </c>
      <c r="U192">
        <v>0</v>
      </c>
      <c r="V192">
        <v>17</v>
      </c>
      <c r="W192">
        <v>589</v>
      </c>
      <c r="X192">
        <v>91</v>
      </c>
      <c r="Y192">
        <v>116</v>
      </c>
      <c r="Z192" s="271">
        <v>195</v>
      </c>
      <c r="AA192">
        <v>85</v>
      </c>
      <c r="AB192">
        <v>48</v>
      </c>
      <c r="AC192">
        <v>314</v>
      </c>
      <c r="AD192">
        <v>99</v>
      </c>
      <c r="AE192">
        <v>40</v>
      </c>
      <c r="AF192">
        <v>677</v>
      </c>
      <c r="AG192">
        <v>99</v>
      </c>
      <c r="AH192">
        <v>17</v>
      </c>
      <c r="AI192">
        <v>2887</v>
      </c>
      <c r="AJ192">
        <v>293</v>
      </c>
      <c r="AK192">
        <v>0</v>
      </c>
      <c r="AL192">
        <v>3623</v>
      </c>
      <c r="AM192">
        <v>317</v>
      </c>
      <c r="AN192">
        <v>10</v>
      </c>
      <c r="AO192">
        <v>1174</v>
      </c>
      <c r="AP192">
        <v>89</v>
      </c>
      <c r="AQ192">
        <v>102</v>
      </c>
      <c r="AR192">
        <v>514</v>
      </c>
      <c r="AS192">
        <v>413</v>
      </c>
      <c r="AT192">
        <v>46</v>
      </c>
      <c r="AU192">
        <v>0</v>
      </c>
      <c r="AV192">
        <v>0</v>
      </c>
      <c r="AW192">
        <v>0</v>
      </c>
      <c r="AX192">
        <f t="shared" si="57"/>
        <v>17018</v>
      </c>
      <c r="AZ192" t="s">
        <v>415</v>
      </c>
      <c r="BA192" s="128">
        <v>16465</v>
      </c>
      <c r="BB192" s="128">
        <v>102394</v>
      </c>
      <c r="BC192" s="128">
        <v>0</v>
      </c>
      <c r="BD192" s="128">
        <v>465345</v>
      </c>
      <c r="BE192" s="128">
        <v>257287</v>
      </c>
      <c r="BF192" s="128">
        <v>1432083</v>
      </c>
      <c r="BG192" s="272">
        <v>76175.289102599025</v>
      </c>
      <c r="BH192">
        <v>612</v>
      </c>
      <c r="BI192">
        <v>795</v>
      </c>
      <c r="BJ192">
        <v>81</v>
      </c>
      <c r="BK192">
        <v>0</v>
      </c>
      <c r="BL192">
        <v>101</v>
      </c>
      <c r="BM192">
        <v>30</v>
      </c>
      <c r="BN192" s="128">
        <v>108</v>
      </c>
      <c r="BO192" s="128">
        <v>0</v>
      </c>
      <c r="BP192" s="128">
        <v>25</v>
      </c>
      <c r="BQ192" s="128">
        <f t="shared" si="43"/>
        <v>12379715.710897401</v>
      </c>
      <c r="BR192">
        <v>7910</v>
      </c>
      <c r="BS192" s="128">
        <f t="shared" si="45"/>
        <v>1565.0715184446778</v>
      </c>
      <c r="BT192" t="s">
        <v>467</v>
      </c>
      <c r="BU192" s="129">
        <f t="shared" si="44"/>
        <v>1568.2320747025792</v>
      </c>
      <c r="BZ192" t="s">
        <v>387</v>
      </c>
      <c r="CA192">
        <v>1579.1329940994608</v>
      </c>
      <c r="CB192" t="s">
        <v>467</v>
      </c>
    </row>
    <row r="193" spans="1:80" ht="14.5" x14ac:dyDescent="0.25">
      <c r="A193" t="s">
        <v>191</v>
      </c>
      <c r="B193">
        <v>11988</v>
      </c>
      <c r="C193">
        <v>2129</v>
      </c>
      <c r="D193">
        <v>969</v>
      </c>
      <c r="E193">
        <f t="shared" si="46"/>
        <v>-1633</v>
      </c>
      <c r="F193">
        <f t="shared" si="47"/>
        <v>2250</v>
      </c>
      <c r="G193">
        <f t="shared" si="48"/>
        <v>2834</v>
      </c>
      <c r="H193">
        <f t="shared" si="49"/>
        <v>3026</v>
      </c>
      <c r="I193">
        <f t="shared" si="50"/>
        <v>2485</v>
      </c>
      <c r="J193">
        <f t="shared" si="51"/>
        <v>3680</v>
      </c>
      <c r="K193">
        <f t="shared" si="52"/>
        <v>10187</v>
      </c>
      <c r="L193">
        <f t="shared" si="53"/>
        <v>11433</v>
      </c>
      <c r="M193">
        <f t="shared" si="54"/>
        <v>7044</v>
      </c>
      <c r="N193">
        <f t="shared" si="55"/>
        <v>2450</v>
      </c>
      <c r="O193">
        <f t="shared" si="56"/>
        <v>58842</v>
      </c>
      <c r="Q193">
        <v>10608</v>
      </c>
      <c r="R193">
        <v>11979</v>
      </c>
      <c r="S193">
        <v>262</v>
      </c>
      <c r="T193">
        <v>2259</v>
      </c>
      <c r="U193">
        <v>9</v>
      </c>
      <c r="V193">
        <v>0</v>
      </c>
      <c r="W193">
        <v>3041</v>
      </c>
      <c r="X193">
        <v>0</v>
      </c>
      <c r="Y193">
        <v>207</v>
      </c>
      <c r="Z193" s="271">
        <v>3052</v>
      </c>
      <c r="AA193">
        <v>0</v>
      </c>
      <c r="AB193">
        <v>26</v>
      </c>
      <c r="AC193">
        <v>3351</v>
      </c>
      <c r="AD193">
        <v>0</v>
      </c>
      <c r="AE193">
        <v>866</v>
      </c>
      <c r="AF193">
        <v>3944</v>
      </c>
      <c r="AG193">
        <v>0</v>
      </c>
      <c r="AH193">
        <v>264</v>
      </c>
      <c r="AI193">
        <v>10187</v>
      </c>
      <c r="AJ193">
        <v>0</v>
      </c>
      <c r="AK193">
        <v>0</v>
      </c>
      <c r="AL193">
        <v>11447</v>
      </c>
      <c r="AM193">
        <v>0</v>
      </c>
      <c r="AN193">
        <v>14</v>
      </c>
      <c r="AO193">
        <v>7534</v>
      </c>
      <c r="AP193">
        <v>0</v>
      </c>
      <c r="AQ193">
        <v>490</v>
      </c>
      <c r="AR193">
        <v>2450</v>
      </c>
      <c r="AS193">
        <v>0</v>
      </c>
      <c r="AT193">
        <v>0</v>
      </c>
      <c r="AU193">
        <v>1599</v>
      </c>
      <c r="AV193">
        <v>0</v>
      </c>
      <c r="AW193">
        <v>0</v>
      </c>
      <c r="AX193">
        <f t="shared" si="57"/>
        <v>60441</v>
      </c>
      <c r="AZ193" t="s">
        <v>191</v>
      </c>
      <c r="BA193" s="128">
        <v>55744</v>
      </c>
      <c r="BB193" s="128">
        <v>906838</v>
      </c>
      <c r="BC193" s="128">
        <v>0</v>
      </c>
      <c r="BD193" s="128">
        <v>1220894</v>
      </c>
      <c r="BE193" s="128">
        <v>516399</v>
      </c>
      <c r="BF193" s="128">
        <v>4201671.6190916291</v>
      </c>
      <c r="BG193" s="272">
        <v>65687.909634725191</v>
      </c>
      <c r="BH193">
        <v>2234</v>
      </c>
      <c r="BI193">
        <v>2697</v>
      </c>
      <c r="BJ193">
        <v>390</v>
      </c>
      <c r="BK193">
        <v>269</v>
      </c>
      <c r="BL193">
        <v>1014</v>
      </c>
      <c r="BM193">
        <v>614</v>
      </c>
      <c r="BN193" s="128">
        <v>0</v>
      </c>
      <c r="BO193" s="128">
        <v>0</v>
      </c>
      <c r="BP193" s="128">
        <v>1579</v>
      </c>
      <c r="BQ193" s="128">
        <f t="shared" si="43"/>
        <v>40035509.471273646</v>
      </c>
      <c r="BR193">
        <v>24646</v>
      </c>
      <c r="BS193" s="128">
        <f t="shared" si="45"/>
        <v>1624.4221971627708</v>
      </c>
      <c r="BT193" t="s">
        <v>467</v>
      </c>
      <c r="BU193" s="129">
        <f t="shared" si="44"/>
        <v>1688.4893885934289</v>
      </c>
      <c r="BZ193" t="s">
        <v>388</v>
      </c>
      <c r="CA193">
        <v>1704.5156760227067</v>
      </c>
      <c r="CB193" t="s">
        <v>467</v>
      </c>
    </row>
    <row r="194" spans="1:80" ht="14.5" x14ac:dyDescent="0.25">
      <c r="A194" t="s">
        <v>416</v>
      </c>
      <c r="B194">
        <v>9531</v>
      </c>
      <c r="C194">
        <v>976</v>
      </c>
      <c r="D194">
        <v>0</v>
      </c>
      <c r="E194">
        <f t="shared" si="46"/>
        <v>3030</v>
      </c>
      <c r="F194">
        <f t="shared" si="47"/>
        <v>1312</v>
      </c>
      <c r="G194">
        <f t="shared" si="48"/>
        <v>1921</v>
      </c>
      <c r="H194">
        <f t="shared" si="49"/>
        <v>98</v>
      </c>
      <c r="I194">
        <f t="shared" si="50"/>
        <v>777</v>
      </c>
      <c r="J194">
        <f t="shared" si="51"/>
        <v>2506</v>
      </c>
      <c r="K194">
        <f t="shared" si="52"/>
        <v>5106</v>
      </c>
      <c r="L194">
        <f t="shared" si="53"/>
        <v>8136</v>
      </c>
      <c r="M194">
        <f t="shared" si="54"/>
        <v>4107</v>
      </c>
      <c r="N194">
        <f t="shared" si="55"/>
        <v>401</v>
      </c>
      <c r="O194">
        <f t="shared" si="56"/>
        <v>37901</v>
      </c>
      <c r="Q194">
        <v>8046</v>
      </c>
      <c r="R194">
        <v>4791</v>
      </c>
      <c r="S194">
        <v>225</v>
      </c>
      <c r="T194">
        <v>1524</v>
      </c>
      <c r="U194">
        <v>203</v>
      </c>
      <c r="V194">
        <v>9</v>
      </c>
      <c r="W194">
        <v>2408</v>
      </c>
      <c r="X194">
        <v>325</v>
      </c>
      <c r="Y194">
        <v>162</v>
      </c>
      <c r="Z194" s="271">
        <v>410</v>
      </c>
      <c r="AA194">
        <v>312</v>
      </c>
      <c r="AB194">
        <v>0</v>
      </c>
      <c r="AC194">
        <v>1241</v>
      </c>
      <c r="AD194">
        <v>103</v>
      </c>
      <c r="AE194">
        <v>361</v>
      </c>
      <c r="AF194">
        <v>3144</v>
      </c>
      <c r="AG194">
        <v>422</v>
      </c>
      <c r="AH194">
        <v>216</v>
      </c>
      <c r="AI194">
        <v>6006</v>
      </c>
      <c r="AJ194">
        <v>900</v>
      </c>
      <c r="AK194">
        <v>0</v>
      </c>
      <c r="AL194">
        <v>8924</v>
      </c>
      <c r="AM194">
        <v>788</v>
      </c>
      <c r="AN194">
        <v>0</v>
      </c>
      <c r="AO194">
        <v>4671</v>
      </c>
      <c r="AP194">
        <v>561</v>
      </c>
      <c r="AQ194">
        <v>3</v>
      </c>
      <c r="AR194">
        <v>1527</v>
      </c>
      <c r="AS194">
        <v>1126</v>
      </c>
      <c r="AT194">
        <v>0</v>
      </c>
      <c r="AU194">
        <v>1782</v>
      </c>
      <c r="AV194">
        <v>0</v>
      </c>
      <c r="AW194">
        <v>0</v>
      </c>
      <c r="AX194">
        <f t="shared" si="57"/>
        <v>39683</v>
      </c>
      <c r="AZ194" t="s">
        <v>416</v>
      </c>
      <c r="BA194" s="128">
        <v>36925</v>
      </c>
      <c r="BB194" s="128">
        <v>653142</v>
      </c>
      <c r="BC194" s="128">
        <v>0</v>
      </c>
      <c r="BD194" s="128">
        <v>2345272</v>
      </c>
      <c r="BE194" s="128">
        <v>375539.93</v>
      </c>
      <c r="BF194" s="128">
        <v>2056223.9232218794</v>
      </c>
      <c r="BG194" s="272">
        <v>430140.23085300555</v>
      </c>
      <c r="BH194">
        <v>2235</v>
      </c>
      <c r="BI194">
        <v>1382</v>
      </c>
      <c r="BJ194">
        <v>101</v>
      </c>
      <c r="BK194">
        <v>20</v>
      </c>
      <c r="BL194">
        <v>516</v>
      </c>
      <c r="BM194">
        <v>25</v>
      </c>
      <c r="BN194" s="128">
        <v>19</v>
      </c>
      <c r="BO194" s="128">
        <v>0</v>
      </c>
      <c r="BP194" s="128">
        <v>7</v>
      </c>
      <c r="BQ194" s="128">
        <f t="shared" si="43"/>
        <v>26759681.915925115</v>
      </c>
      <c r="BR194">
        <v>17169</v>
      </c>
      <c r="BS194" s="128">
        <f t="shared" si="45"/>
        <v>1558.6045731216213</v>
      </c>
      <c r="BT194" t="s">
        <v>467</v>
      </c>
      <c r="BU194" s="129">
        <f t="shared" si="44"/>
        <v>1559.0122846948054</v>
      </c>
      <c r="BZ194" t="s">
        <v>389</v>
      </c>
      <c r="CA194">
        <v>1452.9362674238578</v>
      </c>
      <c r="CB194" t="s">
        <v>467</v>
      </c>
    </row>
    <row r="195" spans="1:80" ht="14.5" x14ac:dyDescent="0.25">
      <c r="A195" t="s">
        <v>225</v>
      </c>
      <c r="B195">
        <v>43411</v>
      </c>
      <c r="C195">
        <v>10011</v>
      </c>
      <c r="D195">
        <v>2874</v>
      </c>
      <c r="E195">
        <f t="shared" si="46"/>
        <v>10852</v>
      </c>
      <c r="F195">
        <f t="shared" si="47"/>
        <v>4505</v>
      </c>
      <c r="G195">
        <f t="shared" si="48"/>
        <v>7618</v>
      </c>
      <c r="H195">
        <f t="shared" si="49"/>
        <v>11071</v>
      </c>
      <c r="I195">
        <f t="shared" si="50"/>
        <v>6897</v>
      </c>
      <c r="J195">
        <f t="shared" si="51"/>
        <v>13654</v>
      </c>
      <c r="K195">
        <f t="shared" si="52"/>
        <v>30386</v>
      </c>
      <c r="L195">
        <f t="shared" si="53"/>
        <v>33870</v>
      </c>
      <c r="M195">
        <f t="shared" si="54"/>
        <v>13215</v>
      </c>
      <c r="N195">
        <f t="shared" si="55"/>
        <v>1995</v>
      </c>
      <c r="O195">
        <f t="shared" si="56"/>
        <v>190359</v>
      </c>
      <c r="Q195">
        <v>29704</v>
      </c>
      <c r="R195">
        <v>15828</v>
      </c>
      <c r="S195">
        <v>3024</v>
      </c>
      <c r="T195">
        <v>7352</v>
      </c>
      <c r="U195">
        <v>2795</v>
      </c>
      <c r="V195">
        <v>52</v>
      </c>
      <c r="W195">
        <v>13920</v>
      </c>
      <c r="X195">
        <v>3961</v>
      </c>
      <c r="Y195">
        <v>2341</v>
      </c>
      <c r="Z195" s="271">
        <v>11670</v>
      </c>
      <c r="AA195">
        <v>560</v>
      </c>
      <c r="AB195">
        <v>39</v>
      </c>
      <c r="AC195">
        <v>9769</v>
      </c>
      <c r="AD195">
        <v>1278</v>
      </c>
      <c r="AE195">
        <v>1594</v>
      </c>
      <c r="AF195">
        <v>18614</v>
      </c>
      <c r="AG195">
        <v>3259</v>
      </c>
      <c r="AH195">
        <v>1701</v>
      </c>
      <c r="AI195">
        <v>32063</v>
      </c>
      <c r="AJ195">
        <v>1677</v>
      </c>
      <c r="AK195">
        <v>0</v>
      </c>
      <c r="AL195">
        <v>40150</v>
      </c>
      <c r="AM195">
        <v>6068</v>
      </c>
      <c r="AN195">
        <v>212</v>
      </c>
      <c r="AO195">
        <v>17499</v>
      </c>
      <c r="AP195">
        <v>3433</v>
      </c>
      <c r="AQ195">
        <v>851</v>
      </c>
      <c r="AR195">
        <v>6426</v>
      </c>
      <c r="AS195">
        <v>4312</v>
      </c>
      <c r="AT195">
        <v>119</v>
      </c>
      <c r="AU195">
        <v>27873</v>
      </c>
      <c r="AV195">
        <v>240</v>
      </c>
      <c r="AW195">
        <v>78</v>
      </c>
      <c r="AX195">
        <f t="shared" si="57"/>
        <v>217914</v>
      </c>
      <c r="AZ195" t="s">
        <v>225</v>
      </c>
      <c r="BA195" s="128">
        <v>177156</v>
      </c>
      <c r="BB195" s="128">
        <v>1994928</v>
      </c>
      <c r="BC195" s="128">
        <v>0</v>
      </c>
      <c r="BD195" s="128">
        <v>3222015</v>
      </c>
      <c r="BE195" s="128">
        <v>996583</v>
      </c>
      <c r="BF195" s="128">
        <v>19421047.210555971</v>
      </c>
      <c r="BG195" s="272">
        <v>2734609.5988709033</v>
      </c>
      <c r="BH195">
        <v>5143</v>
      </c>
      <c r="BI195">
        <v>8625</v>
      </c>
      <c r="BJ195">
        <v>998</v>
      </c>
      <c r="BK195">
        <v>407</v>
      </c>
      <c r="BL195">
        <v>1665</v>
      </c>
      <c r="BM195">
        <v>4061</v>
      </c>
      <c r="BN195" s="128">
        <v>55</v>
      </c>
      <c r="BO195" s="128">
        <v>1786</v>
      </c>
      <c r="BP195" s="128">
        <v>701</v>
      </c>
      <c r="BQ195" s="128">
        <f t="shared" ref="BQ195:BQ258" si="58">SUM(1000*BA195,-BB195,-BC195,-BD195,-BE195,-BF195,-BG195,-1000*BH195,-1000*BI195,-1000*BJ195,-1000*BK195,-1000*BL195,-1000*BM195,-1000*BN195,-1000*BO195,-1000*BP195)</f>
        <v>125345817.19057313</v>
      </c>
      <c r="BR195">
        <v>63853</v>
      </c>
      <c r="BS195" s="128">
        <f t="shared" si="45"/>
        <v>1963.0372447742961</v>
      </c>
      <c r="BT195" t="s">
        <v>118</v>
      </c>
      <c r="BU195" s="129">
        <f t="shared" ref="BU195:BU258" si="59">SUM(BQ195,1000*BP195)/BR195</f>
        <v>1974.0155856509973</v>
      </c>
      <c r="BZ195" t="s">
        <v>158</v>
      </c>
      <c r="CA195">
        <v>1613.7543087581641</v>
      </c>
      <c r="CB195" t="s">
        <v>467</v>
      </c>
    </row>
    <row r="196" spans="1:80" ht="14.5" x14ac:dyDescent="0.25">
      <c r="A196" t="s">
        <v>309</v>
      </c>
      <c r="B196">
        <v>17436</v>
      </c>
      <c r="C196">
        <v>2654</v>
      </c>
      <c r="D196">
        <v>348</v>
      </c>
      <c r="E196">
        <f t="shared" si="46"/>
        <v>4425</v>
      </c>
      <c r="F196">
        <f t="shared" si="47"/>
        <v>1823</v>
      </c>
      <c r="G196">
        <f t="shared" si="48"/>
        <v>3159</v>
      </c>
      <c r="H196">
        <f t="shared" si="49"/>
        <v>5128</v>
      </c>
      <c r="I196">
        <f t="shared" si="50"/>
        <v>1754</v>
      </c>
      <c r="J196">
        <f t="shared" si="51"/>
        <v>3680</v>
      </c>
      <c r="K196">
        <f t="shared" si="52"/>
        <v>5827</v>
      </c>
      <c r="L196">
        <f t="shared" si="53"/>
        <v>11820</v>
      </c>
      <c r="M196">
        <f t="shared" si="54"/>
        <v>6583</v>
      </c>
      <c r="N196">
        <f t="shared" si="55"/>
        <v>541</v>
      </c>
      <c r="O196">
        <f t="shared" si="56"/>
        <v>65178</v>
      </c>
      <c r="Q196">
        <v>12691</v>
      </c>
      <c r="R196">
        <v>7841</v>
      </c>
      <c r="S196">
        <v>425</v>
      </c>
      <c r="T196">
        <v>2364</v>
      </c>
      <c r="U196">
        <v>513</v>
      </c>
      <c r="V196">
        <v>28</v>
      </c>
      <c r="W196">
        <v>4855</v>
      </c>
      <c r="X196">
        <v>1357</v>
      </c>
      <c r="Y196">
        <v>339</v>
      </c>
      <c r="Z196" s="271">
        <v>5611</v>
      </c>
      <c r="AA196">
        <v>397</v>
      </c>
      <c r="AB196">
        <v>86</v>
      </c>
      <c r="AC196">
        <v>2728</v>
      </c>
      <c r="AD196">
        <v>388</v>
      </c>
      <c r="AE196">
        <v>586</v>
      </c>
      <c r="AF196">
        <v>6184</v>
      </c>
      <c r="AG196">
        <v>2153</v>
      </c>
      <c r="AH196">
        <v>351</v>
      </c>
      <c r="AI196">
        <v>5986</v>
      </c>
      <c r="AJ196">
        <v>159</v>
      </c>
      <c r="AK196">
        <v>0</v>
      </c>
      <c r="AL196">
        <v>12985</v>
      </c>
      <c r="AM196">
        <v>1100</v>
      </c>
      <c r="AN196">
        <v>65</v>
      </c>
      <c r="AO196">
        <v>8468</v>
      </c>
      <c r="AP196">
        <v>1133</v>
      </c>
      <c r="AQ196">
        <v>752</v>
      </c>
      <c r="AR196">
        <v>2015</v>
      </c>
      <c r="AS196">
        <v>1461</v>
      </c>
      <c r="AT196">
        <v>13</v>
      </c>
      <c r="AU196">
        <v>11161</v>
      </c>
      <c r="AV196">
        <v>934</v>
      </c>
      <c r="AW196">
        <v>9</v>
      </c>
      <c r="AX196">
        <f t="shared" si="57"/>
        <v>75396</v>
      </c>
      <c r="AZ196" t="s">
        <v>309</v>
      </c>
      <c r="BA196" s="128">
        <v>61233</v>
      </c>
      <c r="BB196" s="128">
        <v>428732</v>
      </c>
      <c r="BC196" s="128">
        <v>0</v>
      </c>
      <c r="BD196" s="128">
        <v>151474</v>
      </c>
      <c r="BE196" s="128">
        <v>349677.70666666667</v>
      </c>
      <c r="BF196" s="128">
        <v>3657295.4341281359</v>
      </c>
      <c r="BG196" s="272">
        <v>0</v>
      </c>
      <c r="BH196">
        <v>2607</v>
      </c>
      <c r="BI196">
        <v>3721</v>
      </c>
      <c r="BJ196">
        <v>232</v>
      </c>
      <c r="BK196">
        <v>161</v>
      </c>
      <c r="BL196">
        <v>1126</v>
      </c>
      <c r="BM196">
        <v>486</v>
      </c>
      <c r="BN196" s="128">
        <v>0</v>
      </c>
      <c r="BO196" s="128">
        <v>0</v>
      </c>
      <c r="BP196" s="128">
        <v>626</v>
      </c>
      <c r="BQ196" s="128">
        <f t="shared" si="58"/>
        <v>47686820.859205201</v>
      </c>
      <c r="BR196">
        <v>29144</v>
      </c>
      <c r="BS196" s="128">
        <f t="shared" si="45"/>
        <v>1636.24831386238</v>
      </c>
      <c r="BT196" t="s">
        <v>467</v>
      </c>
      <c r="BU196" s="129">
        <f t="shared" si="59"/>
        <v>1657.7278636839555</v>
      </c>
      <c r="BZ196" t="s">
        <v>230</v>
      </c>
      <c r="CA196">
        <v>1398.999443805594</v>
      </c>
      <c r="CB196" t="s">
        <v>467</v>
      </c>
    </row>
    <row r="197" spans="1:80" ht="14.5" x14ac:dyDescent="0.25">
      <c r="A197" t="s">
        <v>192</v>
      </c>
      <c r="B197">
        <v>22958</v>
      </c>
      <c r="C197">
        <v>5125</v>
      </c>
      <c r="D197">
        <v>602</v>
      </c>
      <c r="E197">
        <f t="shared" si="46"/>
        <v>3071</v>
      </c>
      <c r="F197">
        <f t="shared" si="47"/>
        <v>3240</v>
      </c>
      <c r="G197">
        <f t="shared" si="48"/>
        <v>3884</v>
      </c>
      <c r="H197">
        <f t="shared" si="49"/>
        <v>3839</v>
      </c>
      <c r="I197">
        <f t="shared" si="50"/>
        <v>2648</v>
      </c>
      <c r="J197">
        <f t="shared" si="51"/>
        <v>6006</v>
      </c>
      <c r="K197">
        <f t="shared" si="52"/>
        <v>11046</v>
      </c>
      <c r="L197">
        <f t="shared" si="53"/>
        <v>23430</v>
      </c>
      <c r="M197">
        <f t="shared" si="54"/>
        <v>6217</v>
      </c>
      <c r="N197">
        <f t="shared" si="55"/>
        <v>2991</v>
      </c>
      <c r="O197">
        <f t="shared" si="56"/>
        <v>95057</v>
      </c>
      <c r="Q197">
        <v>14858</v>
      </c>
      <c r="R197">
        <v>10772</v>
      </c>
      <c r="S197">
        <v>1015</v>
      </c>
      <c r="T197">
        <v>3968</v>
      </c>
      <c r="U197">
        <v>615</v>
      </c>
      <c r="V197">
        <v>113</v>
      </c>
      <c r="W197">
        <v>5338</v>
      </c>
      <c r="X197">
        <v>802</v>
      </c>
      <c r="Y197">
        <v>652</v>
      </c>
      <c r="Z197" s="271">
        <v>4117</v>
      </c>
      <c r="AA197">
        <v>278</v>
      </c>
      <c r="AB197">
        <v>0</v>
      </c>
      <c r="AC197">
        <v>4880</v>
      </c>
      <c r="AD197">
        <v>629</v>
      </c>
      <c r="AE197">
        <v>1603</v>
      </c>
      <c r="AF197">
        <v>8590</v>
      </c>
      <c r="AG197">
        <v>1818</v>
      </c>
      <c r="AH197">
        <v>766</v>
      </c>
      <c r="AI197">
        <v>12556</v>
      </c>
      <c r="AJ197">
        <v>1510</v>
      </c>
      <c r="AK197">
        <v>0</v>
      </c>
      <c r="AL197">
        <v>27398</v>
      </c>
      <c r="AM197">
        <v>3938</v>
      </c>
      <c r="AN197">
        <v>30</v>
      </c>
      <c r="AO197">
        <v>7988</v>
      </c>
      <c r="AP197">
        <v>825</v>
      </c>
      <c r="AQ197">
        <v>946</v>
      </c>
      <c r="AR197">
        <v>4213</v>
      </c>
      <c r="AS197">
        <v>1222</v>
      </c>
      <c r="AT197">
        <v>0</v>
      </c>
      <c r="AU197">
        <v>6967</v>
      </c>
      <c r="AV197">
        <v>549</v>
      </c>
      <c r="AW197">
        <v>0</v>
      </c>
      <c r="AX197">
        <f t="shared" si="57"/>
        <v>101475</v>
      </c>
      <c r="AZ197" t="s">
        <v>192</v>
      </c>
      <c r="BA197" s="128">
        <v>88781</v>
      </c>
      <c r="BB197" s="128">
        <v>2069368</v>
      </c>
      <c r="BC197" s="128">
        <v>0</v>
      </c>
      <c r="BD197" s="128">
        <v>2097685</v>
      </c>
      <c r="BE197" s="128">
        <v>738994.32333333325</v>
      </c>
      <c r="BF197" s="128">
        <v>6919022.4821666628</v>
      </c>
      <c r="BG197" s="272">
        <v>901823.51476884633</v>
      </c>
      <c r="BH197">
        <v>2173</v>
      </c>
      <c r="BI197">
        <v>3067</v>
      </c>
      <c r="BJ197">
        <v>518</v>
      </c>
      <c r="BK197">
        <v>629</v>
      </c>
      <c r="BL197">
        <v>1373</v>
      </c>
      <c r="BM197">
        <v>325</v>
      </c>
      <c r="BN197" s="128">
        <v>282</v>
      </c>
      <c r="BO197" s="128">
        <v>0</v>
      </c>
      <c r="BP197" s="128">
        <v>1837</v>
      </c>
      <c r="BQ197" s="128">
        <f t="shared" si="58"/>
        <v>65850106.67973116</v>
      </c>
      <c r="BR197">
        <v>43598</v>
      </c>
      <c r="BS197" s="128">
        <f t="shared" si="45"/>
        <v>1510.3928317751081</v>
      </c>
      <c r="BT197" t="s">
        <v>467</v>
      </c>
      <c r="BU197" s="129">
        <f t="shared" si="59"/>
        <v>1552.5277920943888</v>
      </c>
      <c r="BZ197" t="s">
        <v>137</v>
      </c>
      <c r="CA197">
        <v>2391.843270161794</v>
      </c>
      <c r="CB197" t="s">
        <v>467</v>
      </c>
    </row>
    <row r="198" spans="1:80" ht="14.5" x14ac:dyDescent="0.25">
      <c r="A198" t="s">
        <v>193</v>
      </c>
      <c r="B198">
        <v>105168</v>
      </c>
      <c r="C198">
        <v>31275</v>
      </c>
      <c r="D198">
        <v>7494</v>
      </c>
      <c r="E198">
        <f t="shared" si="46"/>
        <v>18331</v>
      </c>
      <c r="F198">
        <f t="shared" si="47"/>
        <v>14887</v>
      </c>
      <c r="G198">
        <f t="shared" si="48"/>
        <v>34431</v>
      </c>
      <c r="H198">
        <f t="shared" si="49"/>
        <v>5159</v>
      </c>
      <c r="I198">
        <f t="shared" si="50"/>
        <v>28571</v>
      </c>
      <c r="J198">
        <f t="shared" si="51"/>
        <v>44729</v>
      </c>
      <c r="K198">
        <f t="shared" si="52"/>
        <v>177161</v>
      </c>
      <c r="L198">
        <f t="shared" si="53"/>
        <v>199571</v>
      </c>
      <c r="M198">
        <f t="shared" si="54"/>
        <v>28017</v>
      </c>
      <c r="N198">
        <f t="shared" si="55"/>
        <v>14614</v>
      </c>
      <c r="O198">
        <f t="shared" si="56"/>
        <v>709408</v>
      </c>
      <c r="Q198">
        <v>67079</v>
      </c>
      <c r="R198">
        <v>47722</v>
      </c>
      <c r="S198">
        <v>1026</v>
      </c>
      <c r="T198">
        <v>19447</v>
      </c>
      <c r="U198">
        <v>4555</v>
      </c>
      <c r="V198">
        <v>5</v>
      </c>
      <c r="W198">
        <v>47703</v>
      </c>
      <c r="X198">
        <v>7539</v>
      </c>
      <c r="Y198">
        <v>5733</v>
      </c>
      <c r="Z198" s="271">
        <v>6586</v>
      </c>
      <c r="AA198">
        <v>1421</v>
      </c>
      <c r="AB198">
        <v>6</v>
      </c>
      <c r="AC198">
        <v>33035</v>
      </c>
      <c r="AD198">
        <v>2111</v>
      </c>
      <c r="AE198">
        <v>2353</v>
      </c>
      <c r="AF198">
        <v>62162</v>
      </c>
      <c r="AG198">
        <v>9790</v>
      </c>
      <c r="AH198">
        <v>7643</v>
      </c>
      <c r="AI198">
        <v>187719</v>
      </c>
      <c r="AJ198">
        <v>10558</v>
      </c>
      <c r="AK198">
        <v>0</v>
      </c>
      <c r="AL198">
        <v>215976</v>
      </c>
      <c r="AM198">
        <v>13583</v>
      </c>
      <c r="AN198">
        <v>2822</v>
      </c>
      <c r="AO198">
        <v>39174</v>
      </c>
      <c r="AP198">
        <v>3402</v>
      </c>
      <c r="AQ198">
        <v>7755</v>
      </c>
      <c r="AR198">
        <v>20579</v>
      </c>
      <c r="AS198">
        <v>4899</v>
      </c>
      <c r="AT198">
        <v>1066</v>
      </c>
      <c r="AU198">
        <v>104225</v>
      </c>
      <c r="AV198">
        <v>-412</v>
      </c>
      <c r="AW198">
        <v>2866</v>
      </c>
      <c r="AX198">
        <f t="shared" si="57"/>
        <v>811179</v>
      </c>
      <c r="AZ198" t="s">
        <v>193</v>
      </c>
      <c r="BA198" s="128">
        <v>668185</v>
      </c>
      <c r="BB198" s="128">
        <v>6480089</v>
      </c>
      <c r="BC198" s="128">
        <v>52956814</v>
      </c>
      <c r="BD198" s="128">
        <v>23603356</v>
      </c>
      <c r="BE198" s="128">
        <v>22738450</v>
      </c>
      <c r="BF198" s="128">
        <v>112208854.32436647</v>
      </c>
      <c r="BG198" s="272">
        <v>0</v>
      </c>
      <c r="BH198">
        <v>15862</v>
      </c>
      <c r="BI198">
        <v>3298</v>
      </c>
      <c r="BJ198">
        <v>2231</v>
      </c>
      <c r="BK198">
        <v>0</v>
      </c>
      <c r="BL198">
        <v>6354</v>
      </c>
      <c r="BM198">
        <v>2363</v>
      </c>
      <c r="BN198" s="128">
        <v>784</v>
      </c>
      <c r="BO198" s="128">
        <v>17967</v>
      </c>
      <c r="BP198" s="128">
        <v>819</v>
      </c>
      <c r="BQ198" s="128">
        <f t="shared" si="58"/>
        <v>400519436.67563355</v>
      </c>
      <c r="BR198">
        <v>177321</v>
      </c>
      <c r="BS198" s="128">
        <f t="shared" si="45"/>
        <v>2258.7253437304862</v>
      </c>
      <c r="BT198" t="s">
        <v>441</v>
      </c>
      <c r="BU198" s="129">
        <f t="shared" si="59"/>
        <v>2263.3440860114342</v>
      </c>
      <c r="BZ198" t="s">
        <v>319</v>
      </c>
      <c r="CA198">
        <v>1437.8867786111944</v>
      </c>
      <c r="CB198" t="s">
        <v>467</v>
      </c>
    </row>
    <row r="199" spans="1:80" ht="14.5" x14ac:dyDescent="0.25">
      <c r="A199" t="s">
        <v>479</v>
      </c>
      <c r="B199">
        <v>58748</v>
      </c>
      <c r="C199">
        <v>10943</v>
      </c>
      <c r="D199">
        <v>3223</v>
      </c>
      <c r="E199">
        <f t="shared" si="46"/>
        <v>20669</v>
      </c>
      <c r="F199">
        <f t="shared" si="47"/>
        <v>6257</v>
      </c>
      <c r="G199">
        <f t="shared" si="48"/>
        <v>13830</v>
      </c>
      <c r="H199">
        <f t="shared" si="49"/>
        <v>1670</v>
      </c>
      <c r="I199">
        <f t="shared" si="50"/>
        <v>8452</v>
      </c>
      <c r="J199">
        <f t="shared" si="51"/>
        <v>14553</v>
      </c>
      <c r="K199">
        <f t="shared" si="52"/>
        <v>54454</v>
      </c>
      <c r="L199">
        <f t="shared" si="53"/>
        <v>67635</v>
      </c>
      <c r="M199">
        <f t="shared" si="54"/>
        <v>19756</v>
      </c>
      <c r="N199">
        <f t="shared" si="55"/>
        <v>496</v>
      </c>
      <c r="O199">
        <f t="shared" si="56"/>
        <v>280686</v>
      </c>
      <c r="Q199">
        <v>44351</v>
      </c>
      <c r="R199">
        <v>22446</v>
      </c>
      <c r="S199">
        <v>1236</v>
      </c>
      <c r="T199">
        <v>8942</v>
      </c>
      <c r="U199">
        <v>2565</v>
      </c>
      <c r="V199">
        <v>120</v>
      </c>
      <c r="W199">
        <v>20307</v>
      </c>
      <c r="X199">
        <v>3520</v>
      </c>
      <c r="Y199">
        <v>2957</v>
      </c>
      <c r="Z199" s="271">
        <v>2125</v>
      </c>
      <c r="AA199">
        <v>455</v>
      </c>
      <c r="AB199">
        <v>0</v>
      </c>
      <c r="AC199">
        <v>11757</v>
      </c>
      <c r="AD199">
        <v>1363</v>
      </c>
      <c r="AE199">
        <v>1942</v>
      </c>
      <c r="AF199">
        <v>21935</v>
      </c>
      <c r="AG199">
        <v>4281</v>
      </c>
      <c r="AH199">
        <v>3101</v>
      </c>
      <c r="AI199">
        <v>64851</v>
      </c>
      <c r="AJ199">
        <v>10324</v>
      </c>
      <c r="AK199">
        <v>73</v>
      </c>
      <c r="AL199">
        <v>76326</v>
      </c>
      <c r="AM199">
        <v>8505</v>
      </c>
      <c r="AN199">
        <v>186</v>
      </c>
      <c r="AO199">
        <v>22803</v>
      </c>
      <c r="AP199">
        <v>1738</v>
      </c>
      <c r="AQ199">
        <v>1309</v>
      </c>
      <c r="AR199">
        <v>3129</v>
      </c>
      <c r="AS199">
        <v>2614</v>
      </c>
      <c r="AT199">
        <v>19</v>
      </c>
      <c r="AU199">
        <v>19454</v>
      </c>
      <c r="AV199">
        <v>937</v>
      </c>
      <c r="AW199">
        <v>0</v>
      </c>
      <c r="AX199">
        <f t="shared" si="57"/>
        <v>299203</v>
      </c>
      <c r="AZ199" t="s">
        <v>479</v>
      </c>
      <c r="BA199" s="128">
        <v>265583</v>
      </c>
      <c r="BB199" s="128">
        <v>3153469</v>
      </c>
      <c r="BC199" s="128">
        <v>14090209</v>
      </c>
      <c r="BD199" s="128">
        <v>8827121</v>
      </c>
      <c r="BE199" s="128">
        <v>7046838</v>
      </c>
      <c r="BF199" s="128">
        <v>35859607.193270639</v>
      </c>
      <c r="BG199" s="272">
        <v>0</v>
      </c>
      <c r="BH199">
        <v>5341</v>
      </c>
      <c r="BI199">
        <v>12527</v>
      </c>
      <c r="BJ199">
        <v>890</v>
      </c>
      <c r="BK199">
        <v>450</v>
      </c>
      <c r="BL199">
        <v>0</v>
      </c>
      <c r="BM199">
        <v>808</v>
      </c>
      <c r="BN199" s="128">
        <v>218</v>
      </c>
      <c r="BO199" s="128">
        <v>0</v>
      </c>
      <c r="BP199" s="128">
        <v>5087</v>
      </c>
      <c r="BQ199" s="128">
        <f t="shared" si="58"/>
        <v>171284755.80672938</v>
      </c>
      <c r="BR199">
        <v>85403</v>
      </c>
      <c r="BS199" s="128">
        <f t="shared" si="45"/>
        <v>2005.6058429648767</v>
      </c>
      <c r="BT199" t="s">
        <v>118</v>
      </c>
      <c r="BU199" s="129">
        <f t="shared" si="59"/>
        <v>2065.1704952604637</v>
      </c>
      <c r="BZ199" t="s">
        <v>340</v>
      </c>
      <c r="CA199">
        <v>1724.8039332563203</v>
      </c>
      <c r="CB199" t="s">
        <v>467</v>
      </c>
    </row>
    <row r="200" spans="1:80" ht="14.5" x14ac:dyDescent="0.25">
      <c r="A200" t="s">
        <v>604</v>
      </c>
      <c r="B200">
        <v>43369</v>
      </c>
      <c r="C200">
        <v>6828</v>
      </c>
      <c r="D200">
        <v>2464</v>
      </c>
      <c r="E200">
        <f t="shared" si="46"/>
        <v>21506</v>
      </c>
      <c r="F200">
        <f t="shared" si="47"/>
        <v>3177</v>
      </c>
      <c r="G200">
        <f t="shared" si="48"/>
        <v>5283</v>
      </c>
      <c r="H200">
        <f t="shared" si="49"/>
        <v>992</v>
      </c>
      <c r="I200">
        <f t="shared" si="50"/>
        <v>3551</v>
      </c>
      <c r="J200">
        <f t="shared" si="51"/>
        <v>5935</v>
      </c>
      <c r="K200">
        <f t="shared" si="52"/>
        <v>30255</v>
      </c>
      <c r="L200">
        <f t="shared" si="53"/>
        <v>27200</v>
      </c>
      <c r="M200">
        <f t="shared" si="54"/>
        <v>8830</v>
      </c>
      <c r="N200">
        <f t="shared" si="55"/>
        <v>631</v>
      </c>
      <c r="O200">
        <f t="shared" si="56"/>
        <v>160021</v>
      </c>
      <c r="Q200">
        <v>47559</v>
      </c>
      <c r="R200">
        <v>25435</v>
      </c>
      <c r="S200">
        <v>618</v>
      </c>
      <c r="T200">
        <v>3889</v>
      </c>
      <c r="U200">
        <v>709</v>
      </c>
      <c r="V200">
        <v>3</v>
      </c>
      <c r="W200">
        <v>11113</v>
      </c>
      <c r="X200">
        <v>3658</v>
      </c>
      <c r="Y200">
        <v>2172</v>
      </c>
      <c r="Z200" s="271">
        <v>1274</v>
      </c>
      <c r="AA200">
        <v>267</v>
      </c>
      <c r="AB200">
        <v>15</v>
      </c>
      <c r="AC200">
        <v>6311</v>
      </c>
      <c r="AD200">
        <v>1247</v>
      </c>
      <c r="AE200">
        <v>1513</v>
      </c>
      <c r="AF200">
        <v>8793</v>
      </c>
      <c r="AG200">
        <v>1984</v>
      </c>
      <c r="AH200">
        <v>874</v>
      </c>
      <c r="AI200">
        <v>32741</v>
      </c>
      <c r="AJ200">
        <v>2477</v>
      </c>
      <c r="AK200">
        <v>9</v>
      </c>
      <c r="AL200">
        <v>30989</v>
      </c>
      <c r="AM200">
        <v>3785</v>
      </c>
      <c r="AN200">
        <v>4</v>
      </c>
      <c r="AO200">
        <v>12966</v>
      </c>
      <c r="AP200">
        <v>2522</v>
      </c>
      <c r="AQ200">
        <v>1614</v>
      </c>
      <c r="AR200">
        <v>1817</v>
      </c>
      <c r="AS200">
        <v>1180</v>
      </c>
      <c r="AT200">
        <v>6</v>
      </c>
      <c r="AU200">
        <v>140</v>
      </c>
      <c r="AV200">
        <v>105</v>
      </c>
      <c r="AW200">
        <v>0</v>
      </c>
      <c r="AX200">
        <f t="shared" si="57"/>
        <v>160056</v>
      </c>
      <c r="AZ200" t="s">
        <v>604</v>
      </c>
      <c r="BA200" s="128">
        <v>150624</v>
      </c>
      <c r="BB200" s="128">
        <v>2083325</v>
      </c>
      <c r="BC200" s="128">
        <v>0</v>
      </c>
      <c r="BD200" s="128">
        <v>10050988</v>
      </c>
      <c r="BE200" s="128">
        <v>908142</v>
      </c>
      <c r="BF200" s="128">
        <v>16944342.325765043</v>
      </c>
      <c r="BG200" s="272">
        <v>8544931.8834120333</v>
      </c>
      <c r="BH200">
        <v>5007</v>
      </c>
      <c r="BI200">
        <v>5080</v>
      </c>
      <c r="BJ200">
        <v>369</v>
      </c>
      <c r="BK200">
        <v>351</v>
      </c>
      <c r="BL200">
        <v>1027</v>
      </c>
      <c r="BM200">
        <v>213</v>
      </c>
      <c r="BN200" s="128">
        <v>621</v>
      </c>
      <c r="BO200" s="128">
        <v>311</v>
      </c>
      <c r="BP200" s="128">
        <v>2996</v>
      </c>
      <c r="BQ200" s="128">
        <f t="shared" si="58"/>
        <v>96117270.790822923</v>
      </c>
      <c r="BR200">
        <v>45485</v>
      </c>
      <c r="BS200" s="128">
        <f t="shared" si="45"/>
        <v>2113.1641374260289</v>
      </c>
      <c r="BT200" t="s">
        <v>118</v>
      </c>
      <c r="BU200" s="129">
        <f t="shared" si="59"/>
        <v>2179.032005954115</v>
      </c>
      <c r="BZ200" t="s">
        <v>160</v>
      </c>
      <c r="CA200">
        <v>1544.8827774007389</v>
      </c>
      <c r="CB200" t="s">
        <v>467</v>
      </c>
    </row>
    <row r="201" spans="1:80" ht="14.5" x14ac:dyDescent="0.25">
      <c r="A201" t="s">
        <v>335</v>
      </c>
      <c r="B201">
        <v>5116</v>
      </c>
      <c r="C201">
        <v>1697</v>
      </c>
      <c r="D201">
        <v>234</v>
      </c>
      <c r="E201">
        <f t="shared" si="46"/>
        <v>3275</v>
      </c>
      <c r="F201">
        <f t="shared" si="47"/>
        <v>912</v>
      </c>
      <c r="G201">
        <f t="shared" si="48"/>
        <v>1682</v>
      </c>
      <c r="H201">
        <f t="shared" si="49"/>
        <v>1275</v>
      </c>
      <c r="I201">
        <f t="shared" si="50"/>
        <v>405</v>
      </c>
      <c r="J201">
        <f t="shared" si="51"/>
        <v>965</v>
      </c>
      <c r="K201">
        <f t="shared" si="52"/>
        <v>2942</v>
      </c>
      <c r="L201">
        <f t="shared" si="53"/>
        <v>4993</v>
      </c>
      <c r="M201">
        <f t="shared" si="54"/>
        <v>2127</v>
      </c>
      <c r="N201">
        <f t="shared" si="55"/>
        <v>478</v>
      </c>
      <c r="O201">
        <f t="shared" si="56"/>
        <v>26101</v>
      </c>
      <c r="Q201">
        <v>6061</v>
      </c>
      <c r="R201">
        <v>2649</v>
      </c>
      <c r="S201">
        <v>137</v>
      </c>
      <c r="T201">
        <v>1048</v>
      </c>
      <c r="U201">
        <v>83</v>
      </c>
      <c r="V201">
        <v>53</v>
      </c>
      <c r="W201">
        <v>2232</v>
      </c>
      <c r="X201">
        <v>193</v>
      </c>
      <c r="Y201">
        <v>357</v>
      </c>
      <c r="Z201" s="271">
        <v>1423</v>
      </c>
      <c r="AA201">
        <v>147</v>
      </c>
      <c r="AB201">
        <v>1</v>
      </c>
      <c r="AC201">
        <v>543</v>
      </c>
      <c r="AD201">
        <v>20</v>
      </c>
      <c r="AE201">
        <v>118</v>
      </c>
      <c r="AF201">
        <v>1702</v>
      </c>
      <c r="AG201">
        <v>581</v>
      </c>
      <c r="AH201">
        <v>156</v>
      </c>
      <c r="AI201">
        <v>2948</v>
      </c>
      <c r="AJ201">
        <v>6</v>
      </c>
      <c r="AK201">
        <v>0</v>
      </c>
      <c r="AL201">
        <v>5420</v>
      </c>
      <c r="AM201">
        <v>258</v>
      </c>
      <c r="AN201">
        <v>169</v>
      </c>
      <c r="AO201">
        <v>3169</v>
      </c>
      <c r="AP201">
        <v>595</v>
      </c>
      <c r="AQ201">
        <v>447</v>
      </c>
      <c r="AR201">
        <v>1301</v>
      </c>
      <c r="AS201">
        <v>564</v>
      </c>
      <c r="AT201">
        <v>259</v>
      </c>
      <c r="AU201">
        <v>2597</v>
      </c>
      <c r="AV201">
        <v>20</v>
      </c>
      <c r="AW201">
        <v>0</v>
      </c>
      <c r="AX201">
        <f t="shared" si="57"/>
        <v>28678</v>
      </c>
      <c r="AZ201" t="s">
        <v>335</v>
      </c>
      <c r="BA201" s="128">
        <v>24150</v>
      </c>
      <c r="BB201" s="128">
        <v>547546</v>
      </c>
      <c r="BC201" s="128">
        <v>0</v>
      </c>
      <c r="BD201" s="128">
        <v>574293</v>
      </c>
      <c r="BE201" s="128">
        <v>361372</v>
      </c>
      <c r="BF201" s="128">
        <v>1324974</v>
      </c>
      <c r="BG201" s="272">
        <v>127598.79384669289</v>
      </c>
      <c r="BH201">
        <v>950</v>
      </c>
      <c r="BI201">
        <v>1176</v>
      </c>
      <c r="BJ201">
        <v>120</v>
      </c>
      <c r="BK201">
        <v>60</v>
      </c>
      <c r="BL201">
        <v>200</v>
      </c>
      <c r="BM201">
        <v>207</v>
      </c>
      <c r="BN201" s="128">
        <v>2765</v>
      </c>
      <c r="BO201" s="128">
        <v>18</v>
      </c>
      <c r="BP201" s="128">
        <v>484</v>
      </c>
      <c r="BQ201" s="128">
        <f t="shared" si="58"/>
        <v>15234216.206153307</v>
      </c>
      <c r="BR201">
        <v>7572</v>
      </c>
      <c r="BS201" s="128">
        <f t="shared" si="45"/>
        <v>2011.9144487788308</v>
      </c>
      <c r="BT201" t="s">
        <v>118</v>
      </c>
      <c r="BU201" s="129">
        <f t="shared" si="59"/>
        <v>2075.8341529521008</v>
      </c>
      <c r="BZ201" t="s">
        <v>115</v>
      </c>
      <c r="CA201">
        <v>1488.5292075034256</v>
      </c>
      <c r="CB201" t="s">
        <v>467</v>
      </c>
    </row>
    <row r="202" spans="1:80" ht="14.5" x14ac:dyDescent="0.25">
      <c r="A202" t="s">
        <v>114</v>
      </c>
      <c r="B202">
        <v>33971</v>
      </c>
      <c r="C202">
        <v>6298</v>
      </c>
      <c r="D202">
        <v>1740</v>
      </c>
      <c r="E202">
        <f t="shared" si="46"/>
        <v>3469</v>
      </c>
      <c r="F202">
        <f t="shared" si="47"/>
        <v>1660</v>
      </c>
      <c r="G202">
        <f t="shared" si="48"/>
        <v>2147</v>
      </c>
      <c r="H202">
        <f t="shared" si="49"/>
        <v>1249</v>
      </c>
      <c r="I202">
        <f t="shared" si="50"/>
        <v>3732</v>
      </c>
      <c r="J202">
        <f t="shared" si="51"/>
        <v>4718</v>
      </c>
      <c r="K202">
        <f t="shared" si="52"/>
        <v>13378</v>
      </c>
      <c r="L202">
        <f t="shared" si="53"/>
        <v>15679</v>
      </c>
      <c r="M202">
        <f t="shared" si="54"/>
        <v>4882</v>
      </c>
      <c r="N202">
        <f t="shared" si="55"/>
        <v>345</v>
      </c>
      <c r="O202">
        <f t="shared" si="56"/>
        <v>93268</v>
      </c>
      <c r="Q202">
        <v>13587</v>
      </c>
      <c r="R202">
        <v>9306</v>
      </c>
      <c r="S202">
        <v>812</v>
      </c>
      <c r="T202">
        <v>2180</v>
      </c>
      <c r="U202">
        <v>471</v>
      </c>
      <c r="V202">
        <v>49</v>
      </c>
      <c r="W202">
        <v>4611</v>
      </c>
      <c r="X202">
        <v>1199</v>
      </c>
      <c r="Y202">
        <v>1265</v>
      </c>
      <c r="Z202" s="271">
        <v>1660</v>
      </c>
      <c r="AA202">
        <v>362</v>
      </c>
      <c r="AB202">
        <v>49</v>
      </c>
      <c r="AC202">
        <v>16489</v>
      </c>
      <c r="AD202">
        <v>11782</v>
      </c>
      <c r="AE202">
        <v>975</v>
      </c>
      <c r="AF202">
        <v>8923</v>
      </c>
      <c r="AG202">
        <v>3353</v>
      </c>
      <c r="AH202">
        <v>852</v>
      </c>
      <c r="AI202">
        <v>14918</v>
      </c>
      <c r="AJ202">
        <v>1540</v>
      </c>
      <c r="AK202">
        <v>0</v>
      </c>
      <c r="AL202">
        <v>18003</v>
      </c>
      <c r="AM202">
        <v>2297</v>
      </c>
      <c r="AN202">
        <v>27</v>
      </c>
      <c r="AO202">
        <v>8645</v>
      </c>
      <c r="AP202">
        <v>1743</v>
      </c>
      <c r="AQ202">
        <v>2020</v>
      </c>
      <c r="AR202">
        <v>2003</v>
      </c>
      <c r="AS202">
        <v>1409</v>
      </c>
      <c r="AT202">
        <v>249</v>
      </c>
      <c r="AU202">
        <v>2291</v>
      </c>
      <c r="AV202">
        <v>509</v>
      </c>
      <c r="AW202">
        <v>0</v>
      </c>
      <c r="AX202">
        <f t="shared" si="57"/>
        <v>95050</v>
      </c>
      <c r="AZ202" t="s">
        <v>114</v>
      </c>
      <c r="BA202" s="128">
        <v>84721</v>
      </c>
      <c r="BB202" s="128">
        <v>923841</v>
      </c>
      <c r="BC202" s="128">
        <v>0</v>
      </c>
      <c r="BD202" s="128">
        <v>2956594</v>
      </c>
      <c r="BE202" s="128">
        <v>530335.69999999995</v>
      </c>
      <c r="BF202" s="128">
        <v>8244647.0687973965</v>
      </c>
      <c r="BG202" s="272">
        <v>12292472.147598548</v>
      </c>
      <c r="BH202">
        <v>3666</v>
      </c>
      <c r="BI202">
        <v>2951</v>
      </c>
      <c r="BJ202">
        <v>420</v>
      </c>
      <c r="BK202">
        <v>210</v>
      </c>
      <c r="BL202">
        <v>0</v>
      </c>
      <c r="BM202">
        <v>81</v>
      </c>
      <c r="BN202" s="128">
        <v>509</v>
      </c>
      <c r="BO202" s="128">
        <v>0</v>
      </c>
      <c r="BP202" s="128">
        <v>227</v>
      </c>
      <c r="BQ202" s="128">
        <f t="shared" si="58"/>
        <v>51709110.083604053</v>
      </c>
      <c r="BR202">
        <v>31218</v>
      </c>
      <c r="BS202" s="128">
        <f t="shared" si="45"/>
        <v>1656.3876636429</v>
      </c>
      <c r="BT202" t="s">
        <v>118</v>
      </c>
      <c r="BU202" s="129">
        <f t="shared" si="59"/>
        <v>1663.6591096035638</v>
      </c>
      <c r="BZ202" t="s">
        <v>274</v>
      </c>
      <c r="CA202">
        <v>1339.357749195859</v>
      </c>
      <c r="CB202" t="s">
        <v>467</v>
      </c>
    </row>
    <row r="203" spans="1:80" ht="14.5" x14ac:dyDescent="0.25">
      <c r="A203" t="s">
        <v>432</v>
      </c>
      <c r="B203">
        <v>28217</v>
      </c>
      <c r="C203">
        <v>5619</v>
      </c>
      <c r="D203">
        <v>200</v>
      </c>
      <c r="E203">
        <f t="shared" si="46"/>
        <v>7608</v>
      </c>
      <c r="F203">
        <f t="shared" si="47"/>
        <v>2961</v>
      </c>
      <c r="G203">
        <f t="shared" si="48"/>
        <v>6519</v>
      </c>
      <c r="H203">
        <f t="shared" si="49"/>
        <v>6225</v>
      </c>
      <c r="I203">
        <f t="shared" si="50"/>
        <v>4091</v>
      </c>
      <c r="J203">
        <f t="shared" si="51"/>
        <v>9865</v>
      </c>
      <c r="K203">
        <f t="shared" si="52"/>
        <v>23142</v>
      </c>
      <c r="L203">
        <f t="shared" si="53"/>
        <v>27635</v>
      </c>
      <c r="M203">
        <f t="shared" si="54"/>
        <v>9632</v>
      </c>
      <c r="N203">
        <f t="shared" si="55"/>
        <v>1235</v>
      </c>
      <c r="O203">
        <f t="shared" si="56"/>
        <v>132949</v>
      </c>
      <c r="Q203">
        <v>22062</v>
      </c>
      <c r="R203">
        <v>12425</v>
      </c>
      <c r="S203">
        <v>2029</v>
      </c>
      <c r="T203">
        <v>4218</v>
      </c>
      <c r="U203">
        <v>1217</v>
      </c>
      <c r="V203">
        <v>40</v>
      </c>
      <c r="W203">
        <v>8685</v>
      </c>
      <c r="X203">
        <v>1682</v>
      </c>
      <c r="Y203">
        <v>484</v>
      </c>
      <c r="Z203" s="271">
        <v>6794</v>
      </c>
      <c r="AA203">
        <v>567</v>
      </c>
      <c r="AB203">
        <v>2</v>
      </c>
      <c r="AC203">
        <v>6680</v>
      </c>
      <c r="AD203">
        <v>813</v>
      </c>
      <c r="AE203">
        <v>1776</v>
      </c>
      <c r="AF203">
        <v>12344</v>
      </c>
      <c r="AG203">
        <v>1727</v>
      </c>
      <c r="AH203">
        <v>752</v>
      </c>
      <c r="AI203">
        <v>25631</v>
      </c>
      <c r="AJ203">
        <v>2489</v>
      </c>
      <c r="AK203">
        <v>0</v>
      </c>
      <c r="AL203">
        <v>30590</v>
      </c>
      <c r="AM203">
        <v>2879</v>
      </c>
      <c r="AN203">
        <v>76</v>
      </c>
      <c r="AO203">
        <v>11218</v>
      </c>
      <c r="AP203">
        <v>1133</v>
      </c>
      <c r="AQ203">
        <v>453</v>
      </c>
      <c r="AR203">
        <v>3837</v>
      </c>
      <c r="AS203">
        <v>2596</v>
      </c>
      <c r="AT203">
        <v>6</v>
      </c>
      <c r="AU203">
        <v>5248</v>
      </c>
      <c r="AV203">
        <v>689</v>
      </c>
      <c r="AW203">
        <v>1</v>
      </c>
      <c r="AX203">
        <f t="shared" si="57"/>
        <v>137507</v>
      </c>
      <c r="AZ203" t="s">
        <v>432</v>
      </c>
      <c r="BA203" s="128">
        <v>126440</v>
      </c>
      <c r="BB203" s="128">
        <v>2226525</v>
      </c>
      <c r="BC203" s="128">
        <v>0</v>
      </c>
      <c r="BD203" s="128">
        <v>5249833</v>
      </c>
      <c r="BE203" s="128">
        <v>1308180</v>
      </c>
      <c r="BF203" s="128">
        <v>14001408.924852353</v>
      </c>
      <c r="BG203" s="272">
        <v>0</v>
      </c>
      <c r="BH203">
        <v>3205</v>
      </c>
      <c r="BI203">
        <v>5492</v>
      </c>
      <c r="BJ203">
        <v>466</v>
      </c>
      <c r="BK203">
        <v>530</v>
      </c>
      <c r="BL203">
        <v>1194</v>
      </c>
      <c r="BM203">
        <v>326</v>
      </c>
      <c r="BN203" s="128">
        <v>400</v>
      </c>
      <c r="BO203" s="128">
        <v>0</v>
      </c>
      <c r="BP203" s="128">
        <v>361</v>
      </c>
      <c r="BQ203" s="128">
        <f t="shared" si="58"/>
        <v>91680053.075147644</v>
      </c>
      <c r="BR203">
        <v>47610</v>
      </c>
      <c r="BS203" s="128">
        <f t="shared" si="45"/>
        <v>1925.6469875057267</v>
      </c>
      <c r="BT203" t="s">
        <v>118</v>
      </c>
      <c r="BU203" s="129">
        <f t="shared" si="59"/>
        <v>1933.2294281694526</v>
      </c>
      <c r="BZ203" t="s">
        <v>275</v>
      </c>
      <c r="CA203">
        <v>1454.3434232572472</v>
      </c>
      <c r="CB203" t="s">
        <v>467</v>
      </c>
    </row>
    <row r="204" spans="1:80" ht="14.5" x14ac:dyDescent="0.25">
      <c r="A204" t="s">
        <v>310</v>
      </c>
      <c r="B204">
        <v>22950</v>
      </c>
      <c r="C204">
        <v>8088</v>
      </c>
      <c r="D204">
        <v>1561</v>
      </c>
      <c r="E204">
        <f t="shared" si="46"/>
        <v>11449</v>
      </c>
      <c r="F204">
        <f t="shared" si="47"/>
        <v>4011</v>
      </c>
      <c r="G204">
        <f t="shared" si="48"/>
        <v>4694</v>
      </c>
      <c r="H204">
        <f t="shared" si="49"/>
        <v>1316</v>
      </c>
      <c r="I204">
        <f t="shared" si="50"/>
        <v>2091</v>
      </c>
      <c r="J204">
        <f t="shared" si="51"/>
        <v>9846</v>
      </c>
      <c r="K204">
        <f t="shared" si="52"/>
        <v>16621</v>
      </c>
      <c r="L204">
        <f t="shared" si="53"/>
        <v>17805</v>
      </c>
      <c r="M204">
        <f t="shared" si="54"/>
        <v>13476</v>
      </c>
      <c r="N204">
        <f t="shared" si="55"/>
        <v>4701</v>
      </c>
      <c r="O204">
        <f t="shared" si="56"/>
        <v>118609</v>
      </c>
      <c r="Q204">
        <v>26139</v>
      </c>
      <c r="R204">
        <v>13268</v>
      </c>
      <c r="S204">
        <v>1422</v>
      </c>
      <c r="T204">
        <v>5560</v>
      </c>
      <c r="U204">
        <v>1372</v>
      </c>
      <c r="V204">
        <v>177</v>
      </c>
      <c r="W204">
        <v>8374</v>
      </c>
      <c r="X204">
        <v>1964</v>
      </c>
      <c r="Y204">
        <v>1716</v>
      </c>
      <c r="Z204" s="271">
        <v>1890</v>
      </c>
      <c r="AA204">
        <v>497</v>
      </c>
      <c r="AB204">
        <v>77</v>
      </c>
      <c r="AC204">
        <v>3823</v>
      </c>
      <c r="AD204">
        <v>116</v>
      </c>
      <c r="AE204">
        <v>1616</v>
      </c>
      <c r="AF204">
        <v>13611</v>
      </c>
      <c r="AG204">
        <v>1696</v>
      </c>
      <c r="AH204">
        <v>2069</v>
      </c>
      <c r="AI204">
        <v>16867</v>
      </c>
      <c r="AJ204">
        <v>246</v>
      </c>
      <c r="AK204">
        <v>0</v>
      </c>
      <c r="AL204">
        <v>18774</v>
      </c>
      <c r="AM204">
        <v>877</v>
      </c>
      <c r="AN204">
        <v>92</v>
      </c>
      <c r="AO204">
        <v>15248</v>
      </c>
      <c r="AP204">
        <v>865</v>
      </c>
      <c r="AQ204">
        <v>907</v>
      </c>
      <c r="AR204">
        <v>6762</v>
      </c>
      <c r="AS204">
        <v>2049</v>
      </c>
      <c r="AT204">
        <v>12</v>
      </c>
      <c r="AU204">
        <v>6283</v>
      </c>
      <c r="AV204">
        <v>0</v>
      </c>
      <c r="AW204">
        <v>0</v>
      </c>
      <c r="AX204">
        <f t="shared" si="57"/>
        <v>124892</v>
      </c>
      <c r="AZ204" t="s">
        <v>310</v>
      </c>
      <c r="BA204" s="128">
        <v>108960</v>
      </c>
      <c r="BB204" s="128">
        <v>955312</v>
      </c>
      <c r="BC204" s="128">
        <v>0</v>
      </c>
      <c r="BD204" s="128">
        <v>2766832</v>
      </c>
      <c r="BE204" s="128">
        <v>514974.20333333331</v>
      </c>
      <c r="BF204" s="128">
        <v>8211753.9631673871</v>
      </c>
      <c r="BG204" s="272">
        <v>815739.6053133579</v>
      </c>
      <c r="BH204">
        <v>4531</v>
      </c>
      <c r="BI204">
        <v>6133</v>
      </c>
      <c r="BJ204">
        <v>516</v>
      </c>
      <c r="BK204">
        <v>175</v>
      </c>
      <c r="BL204">
        <v>2737</v>
      </c>
      <c r="BM204">
        <v>171</v>
      </c>
      <c r="BN204" s="128">
        <v>4495</v>
      </c>
      <c r="BO204" s="128">
        <v>3697</v>
      </c>
      <c r="BP204" s="128">
        <v>4759</v>
      </c>
      <c r="BQ204" s="128">
        <f t="shared" si="58"/>
        <v>68481388.228185922</v>
      </c>
      <c r="BR204">
        <v>44055</v>
      </c>
      <c r="BS204" s="128">
        <f t="shared" si="45"/>
        <v>1554.4521218519105</v>
      </c>
      <c r="BT204" t="s">
        <v>118</v>
      </c>
      <c r="BU204" s="129">
        <f t="shared" si="59"/>
        <v>1662.4761826849601</v>
      </c>
      <c r="BZ204" t="s">
        <v>433</v>
      </c>
      <c r="CA204">
        <v>1388.1066239256334</v>
      </c>
      <c r="CB204" t="s">
        <v>467</v>
      </c>
    </row>
    <row r="205" spans="1:80" ht="14.5" x14ac:dyDescent="0.25">
      <c r="A205" t="s">
        <v>435</v>
      </c>
      <c r="B205">
        <v>8576</v>
      </c>
      <c r="C205">
        <v>1863</v>
      </c>
      <c r="D205">
        <v>563</v>
      </c>
      <c r="E205">
        <f t="shared" si="46"/>
        <v>7837</v>
      </c>
      <c r="F205">
        <f t="shared" si="47"/>
        <v>1645</v>
      </c>
      <c r="G205">
        <f t="shared" si="48"/>
        <v>2159</v>
      </c>
      <c r="H205">
        <f t="shared" si="49"/>
        <v>143</v>
      </c>
      <c r="I205">
        <f t="shared" si="50"/>
        <v>1372</v>
      </c>
      <c r="J205">
        <f t="shared" si="51"/>
        <v>3532</v>
      </c>
      <c r="K205">
        <f t="shared" si="52"/>
        <v>7683</v>
      </c>
      <c r="L205">
        <f t="shared" si="53"/>
        <v>9853</v>
      </c>
      <c r="M205">
        <f t="shared" si="54"/>
        <v>3522</v>
      </c>
      <c r="N205">
        <f t="shared" si="55"/>
        <v>966</v>
      </c>
      <c r="O205">
        <f t="shared" si="56"/>
        <v>49714</v>
      </c>
      <c r="Q205">
        <v>10631</v>
      </c>
      <c r="R205">
        <v>2571</v>
      </c>
      <c r="S205">
        <v>223</v>
      </c>
      <c r="T205">
        <v>2258</v>
      </c>
      <c r="U205">
        <v>609</v>
      </c>
      <c r="V205">
        <v>4</v>
      </c>
      <c r="W205">
        <v>2983</v>
      </c>
      <c r="X205">
        <v>563</v>
      </c>
      <c r="Y205">
        <v>261</v>
      </c>
      <c r="Z205" s="271">
        <v>173</v>
      </c>
      <c r="AA205">
        <v>29</v>
      </c>
      <c r="AB205">
        <v>1</v>
      </c>
      <c r="AC205">
        <v>1869</v>
      </c>
      <c r="AD205">
        <v>157</v>
      </c>
      <c r="AE205">
        <v>340</v>
      </c>
      <c r="AF205">
        <v>4794</v>
      </c>
      <c r="AG205">
        <v>710</v>
      </c>
      <c r="AH205">
        <v>552</v>
      </c>
      <c r="AI205">
        <v>8319</v>
      </c>
      <c r="AJ205">
        <v>636</v>
      </c>
      <c r="AK205">
        <v>0</v>
      </c>
      <c r="AL205">
        <v>10790</v>
      </c>
      <c r="AM205">
        <v>846</v>
      </c>
      <c r="AN205">
        <v>91</v>
      </c>
      <c r="AO205">
        <v>4565</v>
      </c>
      <c r="AP205">
        <v>653</v>
      </c>
      <c r="AQ205">
        <v>390</v>
      </c>
      <c r="AR205">
        <v>2140</v>
      </c>
      <c r="AS205">
        <v>1173</v>
      </c>
      <c r="AT205">
        <v>1</v>
      </c>
      <c r="AU205">
        <v>7200</v>
      </c>
      <c r="AV205">
        <v>629</v>
      </c>
      <c r="AW205">
        <v>0</v>
      </c>
      <c r="AX205">
        <f t="shared" si="57"/>
        <v>56285</v>
      </c>
      <c r="AZ205" t="s">
        <v>435</v>
      </c>
      <c r="BA205" s="128">
        <v>46659</v>
      </c>
      <c r="BB205" s="128">
        <v>921134</v>
      </c>
      <c r="BC205" s="128">
        <v>0</v>
      </c>
      <c r="BD205" s="128">
        <v>1512993</v>
      </c>
      <c r="BE205" s="128">
        <v>359002</v>
      </c>
      <c r="BF205" s="128">
        <v>4833739.0937155383</v>
      </c>
      <c r="BG205" s="272">
        <v>0</v>
      </c>
      <c r="BH205">
        <v>1931</v>
      </c>
      <c r="BI205">
        <v>2548</v>
      </c>
      <c r="BJ205">
        <v>341</v>
      </c>
      <c r="BK205">
        <v>93</v>
      </c>
      <c r="BL205">
        <v>732</v>
      </c>
      <c r="BM205">
        <v>46</v>
      </c>
      <c r="BN205" s="128">
        <v>24</v>
      </c>
      <c r="BO205" s="128">
        <v>0</v>
      </c>
      <c r="BP205" s="128">
        <v>101</v>
      </c>
      <c r="BQ205" s="128">
        <f t="shared" si="58"/>
        <v>33216131.906284459</v>
      </c>
      <c r="BR205">
        <v>23701</v>
      </c>
      <c r="BS205" s="128">
        <f t="shared" si="45"/>
        <v>1401.4654194457812</v>
      </c>
      <c r="BT205" t="s">
        <v>467</v>
      </c>
      <c r="BU205" s="129">
        <f t="shared" si="59"/>
        <v>1405.726843014407</v>
      </c>
      <c r="BZ205" t="s">
        <v>232</v>
      </c>
      <c r="CA205">
        <v>1431.9073945259806</v>
      </c>
      <c r="CB205" t="s">
        <v>467</v>
      </c>
    </row>
    <row r="206" spans="1:80" ht="14.5" x14ac:dyDescent="0.25">
      <c r="A206" t="s">
        <v>194</v>
      </c>
      <c r="B206">
        <v>15774</v>
      </c>
      <c r="C206">
        <v>3982</v>
      </c>
      <c r="D206">
        <v>430</v>
      </c>
      <c r="E206">
        <f t="shared" si="46"/>
        <v>7746</v>
      </c>
      <c r="F206">
        <f t="shared" si="47"/>
        <v>1449</v>
      </c>
      <c r="G206">
        <f t="shared" si="48"/>
        <v>2178</v>
      </c>
      <c r="H206">
        <f t="shared" si="49"/>
        <v>397</v>
      </c>
      <c r="I206">
        <f t="shared" si="50"/>
        <v>2156</v>
      </c>
      <c r="J206">
        <f t="shared" si="51"/>
        <v>2988</v>
      </c>
      <c r="K206">
        <f t="shared" si="52"/>
        <v>8783</v>
      </c>
      <c r="L206">
        <f t="shared" si="53"/>
        <v>16224</v>
      </c>
      <c r="M206">
        <f t="shared" si="54"/>
        <v>5465</v>
      </c>
      <c r="N206">
        <f t="shared" si="55"/>
        <v>340</v>
      </c>
      <c r="O206">
        <f t="shared" si="56"/>
        <v>67912</v>
      </c>
      <c r="Q206">
        <v>15604</v>
      </c>
      <c r="R206">
        <v>7164</v>
      </c>
      <c r="S206">
        <v>694</v>
      </c>
      <c r="T206">
        <v>2024</v>
      </c>
      <c r="U206">
        <v>521</v>
      </c>
      <c r="V206">
        <v>54</v>
      </c>
      <c r="W206">
        <v>4141</v>
      </c>
      <c r="X206">
        <v>1173</v>
      </c>
      <c r="Y206">
        <v>790</v>
      </c>
      <c r="Z206" s="271">
        <v>911</v>
      </c>
      <c r="AA206">
        <v>511</v>
      </c>
      <c r="AB206">
        <v>3</v>
      </c>
      <c r="AC206">
        <v>2998</v>
      </c>
      <c r="AD206">
        <v>139</v>
      </c>
      <c r="AE206">
        <v>703</v>
      </c>
      <c r="AF206">
        <v>5332</v>
      </c>
      <c r="AG206">
        <v>1256</v>
      </c>
      <c r="AH206">
        <v>1088</v>
      </c>
      <c r="AI206">
        <v>9864</v>
      </c>
      <c r="AJ206">
        <v>1081</v>
      </c>
      <c r="AK206">
        <v>0</v>
      </c>
      <c r="AL206">
        <v>17714</v>
      </c>
      <c r="AM206">
        <v>1326</v>
      </c>
      <c r="AN206">
        <v>164</v>
      </c>
      <c r="AO206">
        <v>6740</v>
      </c>
      <c r="AP206">
        <v>812</v>
      </c>
      <c r="AQ206">
        <v>463</v>
      </c>
      <c r="AR206">
        <v>1908</v>
      </c>
      <c r="AS206">
        <v>1545</v>
      </c>
      <c r="AT206">
        <v>23</v>
      </c>
      <c r="AU206">
        <v>246</v>
      </c>
      <c r="AV206">
        <v>246</v>
      </c>
      <c r="AW206">
        <v>0</v>
      </c>
      <c r="AX206">
        <f t="shared" si="57"/>
        <v>67912</v>
      </c>
      <c r="AZ206" t="s">
        <v>194</v>
      </c>
      <c r="BA206" s="128">
        <v>63254</v>
      </c>
      <c r="BB206" s="128">
        <v>1169333</v>
      </c>
      <c r="BC206" s="128">
        <v>0</v>
      </c>
      <c r="BD206" s="128">
        <v>3806647</v>
      </c>
      <c r="BE206" s="128">
        <v>402011.66333333333</v>
      </c>
      <c r="BF206" s="128">
        <v>4170717.9118939876</v>
      </c>
      <c r="BG206" s="272">
        <v>0</v>
      </c>
      <c r="BH206">
        <v>1865</v>
      </c>
      <c r="BI206">
        <v>2472</v>
      </c>
      <c r="BJ206">
        <v>520</v>
      </c>
      <c r="BK206">
        <v>310</v>
      </c>
      <c r="BL206">
        <v>879</v>
      </c>
      <c r="BM206">
        <v>180</v>
      </c>
      <c r="BN206" s="128">
        <v>1436</v>
      </c>
      <c r="BO206" s="128">
        <v>0</v>
      </c>
      <c r="BP206" s="128">
        <v>158</v>
      </c>
      <c r="BQ206" s="128">
        <f t="shared" si="58"/>
        <v>45885290.42477268</v>
      </c>
      <c r="BR206">
        <v>28029</v>
      </c>
      <c r="BS206" s="128">
        <f t="shared" si="45"/>
        <v>1637.0648408709794</v>
      </c>
      <c r="BT206" t="s">
        <v>467</v>
      </c>
      <c r="BU206" s="129">
        <f t="shared" si="59"/>
        <v>1642.7018596729345</v>
      </c>
      <c r="BZ206" t="s">
        <v>341</v>
      </c>
      <c r="CA206">
        <v>1438.3887305024812</v>
      </c>
      <c r="CB206" t="s">
        <v>467</v>
      </c>
    </row>
    <row r="207" spans="1:80" ht="14.5" x14ac:dyDescent="0.25">
      <c r="A207" t="s">
        <v>311</v>
      </c>
      <c r="B207">
        <v>11281</v>
      </c>
      <c r="C207">
        <v>3061</v>
      </c>
      <c r="D207">
        <v>990</v>
      </c>
      <c r="E207">
        <f t="shared" si="46"/>
        <v>6673</v>
      </c>
      <c r="F207">
        <f t="shared" si="47"/>
        <v>1455</v>
      </c>
      <c r="G207">
        <f t="shared" si="48"/>
        <v>1931</v>
      </c>
      <c r="H207">
        <f t="shared" si="49"/>
        <v>231</v>
      </c>
      <c r="I207">
        <f t="shared" si="50"/>
        <v>1669</v>
      </c>
      <c r="J207">
        <f t="shared" si="51"/>
        <v>2611</v>
      </c>
      <c r="K207">
        <f t="shared" si="52"/>
        <v>7223</v>
      </c>
      <c r="L207">
        <f t="shared" si="53"/>
        <v>11703</v>
      </c>
      <c r="M207">
        <f t="shared" si="54"/>
        <v>5293</v>
      </c>
      <c r="N207">
        <f t="shared" si="55"/>
        <v>682</v>
      </c>
      <c r="O207">
        <f t="shared" si="56"/>
        <v>54803</v>
      </c>
      <c r="Q207">
        <v>11505</v>
      </c>
      <c r="R207">
        <v>4626</v>
      </c>
      <c r="S207">
        <v>206</v>
      </c>
      <c r="T207">
        <v>1808</v>
      </c>
      <c r="U207">
        <v>348</v>
      </c>
      <c r="V207">
        <v>5</v>
      </c>
      <c r="W207">
        <v>3074</v>
      </c>
      <c r="X207">
        <v>786</v>
      </c>
      <c r="Y207">
        <v>357</v>
      </c>
      <c r="Z207" s="271">
        <v>436</v>
      </c>
      <c r="AA207">
        <v>197</v>
      </c>
      <c r="AB207">
        <v>8</v>
      </c>
      <c r="AC207">
        <v>2993</v>
      </c>
      <c r="AD207">
        <v>183</v>
      </c>
      <c r="AE207">
        <v>1141</v>
      </c>
      <c r="AF207">
        <v>4394</v>
      </c>
      <c r="AG207">
        <v>1269</v>
      </c>
      <c r="AH207">
        <v>514</v>
      </c>
      <c r="AI207">
        <v>7945</v>
      </c>
      <c r="AJ207">
        <v>722</v>
      </c>
      <c r="AK207">
        <v>0</v>
      </c>
      <c r="AL207">
        <v>12807</v>
      </c>
      <c r="AM207">
        <v>1003</v>
      </c>
      <c r="AN207">
        <v>101</v>
      </c>
      <c r="AO207">
        <v>6506</v>
      </c>
      <c r="AP207">
        <v>546</v>
      </c>
      <c r="AQ207">
        <v>667</v>
      </c>
      <c r="AR207">
        <v>2345</v>
      </c>
      <c r="AS207">
        <v>1601</v>
      </c>
      <c r="AT207">
        <v>62</v>
      </c>
      <c r="AU207">
        <v>7466</v>
      </c>
      <c r="AV207">
        <v>0</v>
      </c>
      <c r="AW207">
        <v>0</v>
      </c>
      <c r="AX207">
        <f t="shared" si="57"/>
        <v>62269</v>
      </c>
      <c r="AZ207" t="s">
        <v>311</v>
      </c>
      <c r="BA207" s="128">
        <v>50752</v>
      </c>
      <c r="BB207" s="128">
        <v>375002</v>
      </c>
      <c r="BC207" s="128">
        <v>0</v>
      </c>
      <c r="BD207" s="128">
        <v>659754</v>
      </c>
      <c r="BE207" s="128">
        <v>255675</v>
      </c>
      <c r="BF207" s="128">
        <v>4780395.7083046278</v>
      </c>
      <c r="BG207" s="272">
        <v>0</v>
      </c>
      <c r="BH207">
        <v>2465</v>
      </c>
      <c r="BI207">
        <v>3702</v>
      </c>
      <c r="BJ207">
        <v>183</v>
      </c>
      <c r="BK207">
        <v>0</v>
      </c>
      <c r="BL207">
        <v>1175</v>
      </c>
      <c r="BM207">
        <v>73</v>
      </c>
      <c r="BN207" s="128">
        <v>270</v>
      </c>
      <c r="BO207" s="128">
        <v>0</v>
      </c>
      <c r="BP207" s="128">
        <v>1771</v>
      </c>
      <c r="BQ207" s="128">
        <f t="shared" si="58"/>
        <v>35042173.291695371</v>
      </c>
      <c r="BR207">
        <v>25064</v>
      </c>
      <c r="BS207" s="128">
        <f t="shared" si="45"/>
        <v>1398.1077757618646</v>
      </c>
      <c r="BT207" t="s">
        <v>467</v>
      </c>
      <c r="BU207" s="129">
        <f t="shared" si="59"/>
        <v>1468.7668884334253</v>
      </c>
      <c r="BZ207" t="s">
        <v>394</v>
      </c>
      <c r="CA207">
        <v>1715.1180692959392</v>
      </c>
      <c r="CB207" t="s">
        <v>467</v>
      </c>
    </row>
    <row r="208" spans="1:80" ht="14.5" x14ac:dyDescent="0.25">
      <c r="A208" t="s">
        <v>380</v>
      </c>
      <c r="B208">
        <v>8050</v>
      </c>
      <c r="C208">
        <v>2193</v>
      </c>
      <c r="D208">
        <v>746</v>
      </c>
      <c r="E208">
        <f t="shared" si="46"/>
        <v>3792</v>
      </c>
      <c r="F208">
        <f t="shared" si="47"/>
        <v>1143</v>
      </c>
      <c r="G208">
        <f t="shared" si="48"/>
        <v>1657</v>
      </c>
      <c r="H208">
        <f t="shared" si="49"/>
        <v>536</v>
      </c>
      <c r="I208">
        <f t="shared" si="50"/>
        <v>614</v>
      </c>
      <c r="J208">
        <f t="shared" si="51"/>
        <v>3002</v>
      </c>
      <c r="K208">
        <f t="shared" si="52"/>
        <v>5649</v>
      </c>
      <c r="L208">
        <f t="shared" si="53"/>
        <v>8409</v>
      </c>
      <c r="M208">
        <f t="shared" si="54"/>
        <v>3139</v>
      </c>
      <c r="N208">
        <f t="shared" si="55"/>
        <v>2288</v>
      </c>
      <c r="O208">
        <f t="shared" si="56"/>
        <v>41218</v>
      </c>
      <c r="Q208">
        <v>8704</v>
      </c>
      <c r="R208">
        <v>4765</v>
      </c>
      <c r="S208">
        <v>147</v>
      </c>
      <c r="T208">
        <v>1327</v>
      </c>
      <c r="U208">
        <v>176</v>
      </c>
      <c r="V208">
        <v>8</v>
      </c>
      <c r="W208">
        <v>2687</v>
      </c>
      <c r="X208">
        <v>513</v>
      </c>
      <c r="Y208">
        <v>517</v>
      </c>
      <c r="Z208" s="271">
        <v>789</v>
      </c>
      <c r="AA208">
        <v>251</v>
      </c>
      <c r="AB208">
        <v>2</v>
      </c>
      <c r="AC208">
        <v>1213</v>
      </c>
      <c r="AD208">
        <v>66</v>
      </c>
      <c r="AE208">
        <v>533</v>
      </c>
      <c r="AF208">
        <v>4328</v>
      </c>
      <c r="AG208">
        <v>787</v>
      </c>
      <c r="AH208">
        <v>539</v>
      </c>
      <c r="AI208">
        <v>5691</v>
      </c>
      <c r="AJ208">
        <v>42</v>
      </c>
      <c r="AK208">
        <v>0</v>
      </c>
      <c r="AL208">
        <v>8781</v>
      </c>
      <c r="AM208">
        <v>348</v>
      </c>
      <c r="AN208">
        <v>24</v>
      </c>
      <c r="AO208">
        <v>3816</v>
      </c>
      <c r="AP208">
        <v>254</v>
      </c>
      <c r="AQ208">
        <v>423</v>
      </c>
      <c r="AR208">
        <v>3116</v>
      </c>
      <c r="AS208">
        <v>828</v>
      </c>
      <c r="AT208">
        <v>0</v>
      </c>
      <c r="AU208">
        <v>20</v>
      </c>
      <c r="AV208">
        <v>20</v>
      </c>
      <c r="AW208">
        <v>0</v>
      </c>
      <c r="AX208">
        <f t="shared" si="57"/>
        <v>41218</v>
      </c>
      <c r="AZ208" t="s">
        <v>380</v>
      </c>
      <c r="BA208" s="128">
        <v>38259</v>
      </c>
      <c r="BB208" s="128">
        <v>377391</v>
      </c>
      <c r="BC208" s="128">
        <v>0</v>
      </c>
      <c r="BD208" s="128">
        <v>2414266</v>
      </c>
      <c r="BE208" s="128">
        <v>320675.05666666664</v>
      </c>
      <c r="BF208" s="128">
        <v>2121196.4212768804</v>
      </c>
      <c r="BG208" s="272">
        <v>0</v>
      </c>
      <c r="BH208">
        <v>1582</v>
      </c>
      <c r="BI208">
        <v>1605</v>
      </c>
      <c r="BJ208">
        <v>243</v>
      </c>
      <c r="BK208">
        <v>0</v>
      </c>
      <c r="BL208">
        <v>369</v>
      </c>
      <c r="BM208">
        <v>195</v>
      </c>
      <c r="BN208" s="128">
        <v>404</v>
      </c>
      <c r="BO208" s="128">
        <v>0</v>
      </c>
      <c r="BP208" s="128">
        <v>183</v>
      </c>
      <c r="BQ208" s="128">
        <f t="shared" si="58"/>
        <v>28444471.522056453</v>
      </c>
      <c r="BR208">
        <v>18839</v>
      </c>
      <c r="BS208" s="128">
        <f t="shared" si="45"/>
        <v>1509.8716238683821</v>
      </c>
      <c r="BT208" t="s">
        <v>467</v>
      </c>
      <c r="BU208" s="129">
        <f t="shared" si="59"/>
        <v>1519.5855152638915</v>
      </c>
      <c r="BZ208" t="s">
        <v>427</v>
      </c>
      <c r="CA208">
        <v>1458.5524711168164</v>
      </c>
      <c r="CB208" t="s">
        <v>467</v>
      </c>
    </row>
    <row r="209" spans="1:80" ht="14.5" x14ac:dyDescent="0.25">
      <c r="A209" t="s">
        <v>381</v>
      </c>
      <c r="B209">
        <v>14809</v>
      </c>
      <c r="C209">
        <v>2610</v>
      </c>
      <c r="D209">
        <v>470</v>
      </c>
      <c r="E209">
        <f t="shared" si="46"/>
        <v>7473</v>
      </c>
      <c r="F209">
        <f t="shared" si="47"/>
        <v>1716</v>
      </c>
      <c r="G209">
        <f t="shared" si="48"/>
        <v>2556</v>
      </c>
      <c r="H209">
        <f t="shared" si="49"/>
        <v>494</v>
      </c>
      <c r="I209">
        <f t="shared" si="50"/>
        <v>1535</v>
      </c>
      <c r="J209">
        <f t="shared" si="51"/>
        <v>5224</v>
      </c>
      <c r="K209">
        <f t="shared" si="52"/>
        <v>8786</v>
      </c>
      <c r="L209">
        <f t="shared" si="53"/>
        <v>14915</v>
      </c>
      <c r="M209">
        <f t="shared" si="54"/>
        <v>5214</v>
      </c>
      <c r="N209">
        <f t="shared" si="55"/>
        <v>336</v>
      </c>
      <c r="O209">
        <f t="shared" si="56"/>
        <v>66138</v>
      </c>
      <c r="Q209">
        <v>15564</v>
      </c>
      <c r="R209">
        <v>7737</v>
      </c>
      <c r="S209">
        <v>354</v>
      </c>
      <c r="T209">
        <v>2225</v>
      </c>
      <c r="U209">
        <v>484</v>
      </c>
      <c r="V209">
        <v>25</v>
      </c>
      <c r="W209">
        <v>3521</v>
      </c>
      <c r="X209">
        <v>664</v>
      </c>
      <c r="Y209">
        <v>301</v>
      </c>
      <c r="Z209" s="271">
        <v>629</v>
      </c>
      <c r="AA209">
        <v>135</v>
      </c>
      <c r="AB209">
        <v>0</v>
      </c>
      <c r="AC209">
        <v>2548</v>
      </c>
      <c r="AD209">
        <v>177</v>
      </c>
      <c r="AE209">
        <v>836</v>
      </c>
      <c r="AF209">
        <v>7220</v>
      </c>
      <c r="AG209">
        <v>1151</v>
      </c>
      <c r="AH209">
        <v>845</v>
      </c>
      <c r="AI209">
        <v>9696</v>
      </c>
      <c r="AJ209">
        <v>910</v>
      </c>
      <c r="AK209">
        <v>0</v>
      </c>
      <c r="AL209">
        <v>16410</v>
      </c>
      <c r="AM209">
        <v>1453</v>
      </c>
      <c r="AN209">
        <v>42</v>
      </c>
      <c r="AO209">
        <v>5875</v>
      </c>
      <c r="AP209">
        <v>454</v>
      </c>
      <c r="AQ209">
        <v>207</v>
      </c>
      <c r="AR209">
        <v>1871</v>
      </c>
      <c r="AS209">
        <v>1535</v>
      </c>
      <c r="AT209">
        <v>0</v>
      </c>
      <c r="AU209">
        <v>3456</v>
      </c>
      <c r="AV209">
        <v>109</v>
      </c>
      <c r="AW209">
        <v>0</v>
      </c>
      <c r="AX209">
        <f t="shared" si="57"/>
        <v>69485</v>
      </c>
      <c r="AZ209" t="s">
        <v>381</v>
      </c>
      <c r="BA209" s="128">
        <v>62949</v>
      </c>
      <c r="BB209" s="128">
        <v>3045108.6049572891</v>
      </c>
      <c r="BC209" s="128">
        <v>0</v>
      </c>
      <c r="BD209" s="128">
        <v>4012008.7456938801</v>
      </c>
      <c r="BE209" s="128">
        <v>456092.04789245204</v>
      </c>
      <c r="BF209" s="128">
        <v>5787061.3733056951</v>
      </c>
      <c r="BG209" s="272">
        <v>0</v>
      </c>
      <c r="BH209">
        <v>2672</v>
      </c>
      <c r="BI209">
        <v>0</v>
      </c>
      <c r="BJ209">
        <v>372</v>
      </c>
      <c r="BK209">
        <v>0</v>
      </c>
      <c r="BL209">
        <v>863</v>
      </c>
      <c r="BM209">
        <v>230</v>
      </c>
      <c r="BN209" s="128">
        <v>959.81221117490543</v>
      </c>
      <c r="BO209" s="128">
        <v>1080</v>
      </c>
      <c r="BP209" s="128">
        <v>1818</v>
      </c>
      <c r="BQ209" s="128">
        <f t="shared" si="58"/>
        <v>41653917.016975783</v>
      </c>
      <c r="BR209">
        <v>32393</v>
      </c>
      <c r="BS209" s="128">
        <f t="shared" si="45"/>
        <v>1285.8925390354639</v>
      </c>
      <c r="BT209" t="s">
        <v>467</v>
      </c>
      <c r="BU209" s="129">
        <f t="shared" si="59"/>
        <v>1342.0157755371772</v>
      </c>
      <c r="BZ209" t="s">
        <v>321</v>
      </c>
      <c r="CA209">
        <v>1497.714661272714</v>
      </c>
      <c r="CB209" t="s">
        <v>467</v>
      </c>
    </row>
    <row r="210" spans="1:80" ht="14.5" x14ac:dyDescent="0.25">
      <c r="A210" t="s">
        <v>123</v>
      </c>
      <c r="B210">
        <v>26902</v>
      </c>
      <c r="C210">
        <v>6036</v>
      </c>
      <c r="D210">
        <v>2511</v>
      </c>
      <c r="E210">
        <f t="shared" si="46"/>
        <v>8682</v>
      </c>
      <c r="F210">
        <f t="shared" si="47"/>
        <v>3104</v>
      </c>
      <c r="G210">
        <f t="shared" si="48"/>
        <v>3116</v>
      </c>
      <c r="H210">
        <f t="shared" si="49"/>
        <v>568</v>
      </c>
      <c r="I210">
        <f t="shared" si="50"/>
        <v>3584</v>
      </c>
      <c r="J210">
        <f t="shared" si="51"/>
        <v>7765</v>
      </c>
      <c r="K210">
        <f t="shared" si="52"/>
        <v>43491</v>
      </c>
      <c r="L210">
        <f t="shared" si="53"/>
        <v>34085</v>
      </c>
      <c r="M210">
        <f t="shared" si="54"/>
        <v>5719</v>
      </c>
      <c r="N210">
        <f t="shared" si="55"/>
        <v>517</v>
      </c>
      <c r="O210">
        <f t="shared" si="56"/>
        <v>146080</v>
      </c>
      <c r="Q210">
        <v>21128</v>
      </c>
      <c r="R210">
        <v>11813</v>
      </c>
      <c r="S210">
        <v>633</v>
      </c>
      <c r="T210">
        <v>3620</v>
      </c>
      <c r="U210">
        <v>516</v>
      </c>
      <c r="V210">
        <v>0</v>
      </c>
      <c r="W210">
        <v>5666</v>
      </c>
      <c r="X210">
        <v>1354</v>
      </c>
      <c r="Y210">
        <v>1196</v>
      </c>
      <c r="Z210" s="271">
        <v>1014</v>
      </c>
      <c r="AA210">
        <v>446</v>
      </c>
      <c r="AB210">
        <v>0</v>
      </c>
      <c r="AC210">
        <v>5318</v>
      </c>
      <c r="AD210">
        <v>485</v>
      </c>
      <c r="AE210">
        <v>1249</v>
      </c>
      <c r="AF210">
        <v>11292</v>
      </c>
      <c r="AG210">
        <v>2497</v>
      </c>
      <c r="AH210">
        <v>1030</v>
      </c>
      <c r="AI210">
        <v>45915</v>
      </c>
      <c r="AJ210">
        <v>2424</v>
      </c>
      <c r="AK210">
        <v>0</v>
      </c>
      <c r="AL210">
        <v>38431</v>
      </c>
      <c r="AM210">
        <v>4291</v>
      </c>
      <c r="AN210">
        <v>55</v>
      </c>
      <c r="AO210">
        <v>9234</v>
      </c>
      <c r="AP210">
        <v>1773</v>
      </c>
      <c r="AQ210">
        <v>1742</v>
      </c>
      <c r="AR210">
        <v>1873</v>
      </c>
      <c r="AS210">
        <v>1225</v>
      </c>
      <c r="AT210">
        <v>131</v>
      </c>
      <c r="AU210">
        <v>129</v>
      </c>
      <c r="AV210">
        <v>78</v>
      </c>
      <c r="AW210">
        <v>0</v>
      </c>
      <c r="AX210">
        <f t="shared" si="57"/>
        <v>146131</v>
      </c>
      <c r="AZ210" t="s">
        <v>123</v>
      </c>
      <c r="BA210" s="128">
        <v>137455</v>
      </c>
      <c r="BB210" s="128">
        <v>2940007</v>
      </c>
      <c r="BC210" s="128">
        <v>0</v>
      </c>
      <c r="BD210" s="128">
        <v>13519487</v>
      </c>
      <c r="BE210" s="128">
        <v>3171683</v>
      </c>
      <c r="BF210" s="128">
        <v>19580107.182306226</v>
      </c>
      <c r="BG210" s="272">
        <v>9193.0985306687653</v>
      </c>
      <c r="BH210">
        <v>4542</v>
      </c>
      <c r="BI210">
        <v>4077</v>
      </c>
      <c r="BJ210">
        <v>524</v>
      </c>
      <c r="BK210">
        <v>155</v>
      </c>
      <c r="BL210">
        <v>430</v>
      </c>
      <c r="BM210">
        <v>57</v>
      </c>
      <c r="BN210" s="128">
        <v>81</v>
      </c>
      <c r="BO210" s="128">
        <v>0</v>
      </c>
      <c r="BP210" s="128">
        <v>965</v>
      </c>
      <c r="BQ210" s="128">
        <f t="shared" si="58"/>
        <v>87403522.719163105</v>
      </c>
      <c r="BR210">
        <v>38292</v>
      </c>
      <c r="BS210" s="128">
        <f t="shared" si="45"/>
        <v>2282.5530846955789</v>
      </c>
      <c r="BT210" t="s">
        <v>441</v>
      </c>
      <c r="BU210" s="129">
        <f t="shared" si="59"/>
        <v>2307.7541710843807</v>
      </c>
      <c r="BZ210" t="s">
        <v>205</v>
      </c>
      <c r="CA210">
        <v>1495.6032714288569</v>
      </c>
      <c r="CB210" t="s">
        <v>467</v>
      </c>
    </row>
    <row r="211" spans="1:80" ht="14.5" x14ac:dyDescent="0.25">
      <c r="A211" t="s">
        <v>195</v>
      </c>
      <c r="B211">
        <v>16111</v>
      </c>
      <c r="C211">
        <v>5341</v>
      </c>
      <c r="D211">
        <v>391</v>
      </c>
      <c r="E211">
        <f t="shared" si="46"/>
        <v>-4808</v>
      </c>
      <c r="F211">
        <f t="shared" si="47"/>
        <v>1655</v>
      </c>
      <c r="G211">
        <f t="shared" si="48"/>
        <v>2472</v>
      </c>
      <c r="H211">
        <f t="shared" si="49"/>
        <v>1498</v>
      </c>
      <c r="I211">
        <f t="shared" si="50"/>
        <v>1642</v>
      </c>
      <c r="J211">
        <f t="shared" si="51"/>
        <v>3236</v>
      </c>
      <c r="K211">
        <f t="shared" si="52"/>
        <v>10506</v>
      </c>
      <c r="L211">
        <f t="shared" si="53"/>
        <v>13308</v>
      </c>
      <c r="M211">
        <f t="shared" si="54"/>
        <v>13138</v>
      </c>
      <c r="N211">
        <f t="shared" si="55"/>
        <v>2647</v>
      </c>
      <c r="O211">
        <f t="shared" si="56"/>
        <v>67137</v>
      </c>
      <c r="Q211">
        <v>15035</v>
      </c>
      <c r="R211">
        <v>16111</v>
      </c>
      <c r="S211">
        <v>3732</v>
      </c>
      <c r="T211">
        <v>1726</v>
      </c>
      <c r="U211">
        <v>0</v>
      </c>
      <c r="V211">
        <v>71</v>
      </c>
      <c r="W211">
        <v>2707</v>
      </c>
      <c r="X211">
        <v>0</v>
      </c>
      <c r="Y211">
        <v>235</v>
      </c>
      <c r="Z211" s="271">
        <v>1504</v>
      </c>
      <c r="AA211">
        <v>0</v>
      </c>
      <c r="AB211">
        <v>6</v>
      </c>
      <c r="AC211">
        <v>2207</v>
      </c>
      <c r="AD211">
        <v>0</v>
      </c>
      <c r="AE211">
        <v>565</v>
      </c>
      <c r="AF211">
        <v>3583</v>
      </c>
      <c r="AG211">
        <v>0</v>
      </c>
      <c r="AH211">
        <v>347</v>
      </c>
      <c r="AI211">
        <v>10506</v>
      </c>
      <c r="AJ211">
        <v>0</v>
      </c>
      <c r="AK211">
        <v>0</v>
      </c>
      <c r="AL211">
        <v>13355</v>
      </c>
      <c r="AM211">
        <v>0</v>
      </c>
      <c r="AN211">
        <v>47</v>
      </c>
      <c r="AO211">
        <v>13476</v>
      </c>
      <c r="AP211">
        <v>0</v>
      </c>
      <c r="AQ211">
        <v>338</v>
      </c>
      <c r="AR211">
        <v>2647</v>
      </c>
      <c r="AS211">
        <v>0</v>
      </c>
      <c r="AT211">
        <v>0</v>
      </c>
      <c r="AU211">
        <v>1670</v>
      </c>
      <c r="AV211">
        <v>0</v>
      </c>
      <c r="AW211">
        <v>0</v>
      </c>
      <c r="AX211">
        <f t="shared" si="57"/>
        <v>68807</v>
      </c>
      <c r="AZ211" t="s">
        <v>195</v>
      </c>
      <c r="BA211" s="128">
        <v>61405</v>
      </c>
      <c r="BB211" s="128">
        <v>888749</v>
      </c>
      <c r="BC211" s="128">
        <v>0</v>
      </c>
      <c r="BD211" s="128">
        <v>2174201</v>
      </c>
      <c r="BE211" s="128">
        <v>388185.14</v>
      </c>
      <c r="BF211" s="128">
        <v>4238532.0487831831</v>
      </c>
      <c r="BG211" s="272">
        <v>0</v>
      </c>
      <c r="BH211">
        <v>1551</v>
      </c>
      <c r="BI211">
        <v>2878</v>
      </c>
      <c r="BJ211">
        <v>255</v>
      </c>
      <c r="BK211">
        <v>549</v>
      </c>
      <c r="BL211">
        <v>791</v>
      </c>
      <c r="BM211">
        <v>395</v>
      </c>
      <c r="BN211" s="128">
        <v>707</v>
      </c>
      <c r="BO211" s="128">
        <v>0</v>
      </c>
      <c r="BP211" s="128">
        <v>1521</v>
      </c>
      <c r="BQ211" s="128">
        <f t="shared" si="58"/>
        <v>45068332.811216816</v>
      </c>
      <c r="BR211">
        <v>23756</v>
      </c>
      <c r="BS211" s="128">
        <f t="shared" si="45"/>
        <v>1897.134736959792</v>
      </c>
      <c r="BT211" t="s">
        <v>467</v>
      </c>
      <c r="BU211" s="129">
        <f t="shared" si="59"/>
        <v>1961.1606672510868</v>
      </c>
      <c r="BZ211" t="s">
        <v>396</v>
      </c>
      <c r="CA211">
        <v>1304.4998644427963</v>
      </c>
      <c r="CB211" t="s">
        <v>467</v>
      </c>
    </row>
    <row r="212" spans="1:80" ht="14.5" x14ac:dyDescent="0.25">
      <c r="A212" t="s">
        <v>153</v>
      </c>
      <c r="B212">
        <v>19117</v>
      </c>
      <c r="C212">
        <v>4285</v>
      </c>
      <c r="D212">
        <v>410</v>
      </c>
      <c r="E212">
        <f t="shared" si="46"/>
        <v>5920</v>
      </c>
      <c r="F212">
        <f t="shared" si="47"/>
        <v>2283</v>
      </c>
      <c r="G212">
        <f t="shared" si="48"/>
        <v>2712</v>
      </c>
      <c r="H212">
        <f t="shared" si="49"/>
        <v>474</v>
      </c>
      <c r="I212">
        <f t="shared" si="50"/>
        <v>2010</v>
      </c>
      <c r="J212">
        <f t="shared" si="51"/>
        <v>5906</v>
      </c>
      <c r="K212">
        <f t="shared" si="52"/>
        <v>18832</v>
      </c>
      <c r="L212">
        <f t="shared" si="53"/>
        <v>22195</v>
      </c>
      <c r="M212">
        <f t="shared" si="54"/>
        <v>5558</v>
      </c>
      <c r="N212">
        <f t="shared" si="55"/>
        <v>1116</v>
      </c>
      <c r="O212">
        <f t="shared" si="56"/>
        <v>90818</v>
      </c>
      <c r="Q212">
        <v>13607</v>
      </c>
      <c r="R212">
        <v>7305</v>
      </c>
      <c r="S212">
        <v>382</v>
      </c>
      <c r="T212">
        <v>2985</v>
      </c>
      <c r="U212">
        <v>701</v>
      </c>
      <c r="V212">
        <v>1</v>
      </c>
      <c r="W212">
        <v>3975</v>
      </c>
      <c r="X212">
        <v>1104</v>
      </c>
      <c r="Y212">
        <v>159</v>
      </c>
      <c r="Z212" s="271">
        <v>749</v>
      </c>
      <c r="AA212">
        <v>275</v>
      </c>
      <c r="AB212">
        <v>0</v>
      </c>
      <c r="AC212">
        <v>3904</v>
      </c>
      <c r="AD212">
        <v>459</v>
      </c>
      <c r="AE212">
        <v>1435</v>
      </c>
      <c r="AF212">
        <v>9142</v>
      </c>
      <c r="AG212">
        <v>2127</v>
      </c>
      <c r="AH212">
        <v>1109</v>
      </c>
      <c r="AI212">
        <v>20327</v>
      </c>
      <c r="AJ212">
        <v>1480</v>
      </c>
      <c r="AK212">
        <v>15</v>
      </c>
      <c r="AL212">
        <v>24440</v>
      </c>
      <c r="AM212">
        <v>2109</v>
      </c>
      <c r="AN212">
        <v>136</v>
      </c>
      <c r="AO212">
        <v>7198</v>
      </c>
      <c r="AP212">
        <v>706</v>
      </c>
      <c r="AQ212">
        <v>934</v>
      </c>
      <c r="AR212">
        <v>3389</v>
      </c>
      <c r="AS212">
        <v>2159</v>
      </c>
      <c r="AT212">
        <v>114</v>
      </c>
      <c r="AU212">
        <v>1692</v>
      </c>
      <c r="AV212">
        <v>692</v>
      </c>
      <c r="AW212">
        <v>0</v>
      </c>
      <c r="AX212">
        <f t="shared" si="57"/>
        <v>91818</v>
      </c>
      <c r="AZ212" t="s">
        <v>153</v>
      </c>
      <c r="BA212" s="128">
        <v>85431</v>
      </c>
      <c r="BB212" s="128">
        <v>1020548</v>
      </c>
      <c r="BC212" s="128">
        <v>0</v>
      </c>
      <c r="BD212" s="128">
        <v>6315311</v>
      </c>
      <c r="BE212" s="128">
        <v>557746</v>
      </c>
      <c r="BF212" s="128">
        <v>8821769.6800917499</v>
      </c>
      <c r="BG212" s="272">
        <v>0</v>
      </c>
      <c r="BH212">
        <v>3018</v>
      </c>
      <c r="BI212">
        <v>4091</v>
      </c>
      <c r="BJ212">
        <v>454</v>
      </c>
      <c r="BK212">
        <v>202</v>
      </c>
      <c r="BL212">
        <v>719</v>
      </c>
      <c r="BM212">
        <v>107</v>
      </c>
      <c r="BN212" s="128">
        <v>48</v>
      </c>
      <c r="BO212" s="128">
        <v>780</v>
      </c>
      <c r="BP212" s="128">
        <v>32</v>
      </c>
      <c r="BQ212" s="128">
        <f t="shared" si="58"/>
        <v>59264625.319908246</v>
      </c>
      <c r="BR212">
        <v>31702</v>
      </c>
      <c r="BS212" s="128">
        <f t="shared" si="45"/>
        <v>1869.4285950384281</v>
      </c>
      <c r="BT212" t="s">
        <v>118</v>
      </c>
      <c r="BU212" s="129">
        <f t="shared" si="59"/>
        <v>1870.4379950762805</v>
      </c>
      <c r="BZ212" t="s">
        <v>322</v>
      </c>
      <c r="CA212">
        <v>1494.3912131610862</v>
      </c>
      <c r="CB212" t="s">
        <v>467</v>
      </c>
    </row>
    <row r="213" spans="1:80" ht="14.5" x14ac:dyDescent="0.25">
      <c r="A213" t="s">
        <v>154</v>
      </c>
      <c r="B213">
        <v>9380</v>
      </c>
      <c r="C213">
        <v>1831</v>
      </c>
      <c r="D213">
        <v>924</v>
      </c>
      <c r="E213">
        <f t="shared" si="46"/>
        <v>3740</v>
      </c>
      <c r="F213">
        <f t="shared" si="47"/>
        <v>1672</v>
      </c>
      <c r="G213">
        <f t="shared" si="48"/>
        <v>833</v>
      </c>
      <c r="H213">
        <f t="shared" si="49"/>
        <v>882</v>
      </c>
      <c r="I213">
        <f t="shared" si="50"/>
        <v>1262</v>
      </c>
      <c r="J213">
        <f t="shared" si="51"/>
        <v>2726</v>
      </c>
      <c r="K213">
        <f t="shared" si="52"/>
        <v>6164</v>
      </c>
      <c r="L213">
        <f t="shared" si="53"/>
        <v>8827</v>
      </c>
      <c r="M213">
        <f t="shared" si="54"/>
        <v>3795</v>
      </c>
      <c r="N213">
        <f t="shared" si="55"/>
        <v>241</v>
      </c>
      <c r="O213">
        <f t="shared" si="56"/>
        <v>42277</v>
      </c>
      <c r="Q213">
        <v>8931</v>
      </c>
      <c r="R213">
        <v>4902</v>
      </c>
      <c r="S213">
        <v>289</v>
      </c>
      <c r="T213">
        <v>1939</v>
      </c>
      <c r="U213">
        <v>245</v>
      </c>
      <c r="V213">
        <v>22</v>
      </c>
      <c r="W213">
        <v>1781</v>
      </c>
      <c r="X213">
        <v>346</v>
      </c>
      <c r="Y213">
        <v>602</v>
      </c>
      <c r="Z213" s="271">
        <v>934</v>
      </c>
      <c r="AA213">
        <v>52</v>
      </c>
      <c r="AB213">
        <v>0</v>
      </c>
      <c r="AC213">
        <v>1790</v>
      </c>
      <c r="AD213">
        <v>194</v>
      </c>
      <c r="AE213">
        <v>334</v>
      </c>
      <c r="AF213">
        <v>3624</v>
      </c>
      <c r="AG213">
        <v>701</v>
      </c>
      <c r="AH213">
        <v>197</v>
      </c>
      <c r="AI213">
        <v>6905</v>
      </c>
      <c r="AJ213">
        <v>741</v>
      </c>
      <c r="AK213">
        <v>0</v>
      </c>
      <c r="AL213">
        <v>10024</v>
      </c>
      <c r="AM213">
        <v>1167</v>
      </c>
      <c r="AN213">
        <v>30</v>
      </c>
      <c r="AO213">
        <v>4315</v>
      </c>
      <c r="AP213">
        <v>163</v>
      </c>
      <c r="AQ213">
        <v>357</v>
      </c>
      <c r="AR213">
        <v>1110</v>
      </c>
      <c r="AS213">
        <v>869</v>
      </c>
      <c r="AT213">
        <v>0</v>
      </c>
      <c r="AU213">
        <v>2402</v>
      </c>
      <c r="AV213">
        <v>0</v>
      </c>
      <c r="AW213">
        <v>0</v>
      </c>
      <c r="AX213">
        <f t="shared" si="57"/>
        <v>44679</v>
      </c>
      <c r="AZ213" t="s">
        <v>154</v>
      </c>
      <c r="BA213" s="128">
        <v>39522</v>
      </c>
      <c r="BB213" s="128">
        <v>479776</v>
      </c>
      <c r="BC213" s="128">
        <v>0</v>
      </c>
      <c r="BD213" s="128">
        <v>1905785</v>
      </c>
      <c r="BE213" s="128">
        <v>335920.69666666666</v>
      </c>
      <c r="BF213" s="128">
        <v>2996999.2328117145</v>
      </c>
      <c r="BG213" s="272">
        <v>0</v>
      </c>
      <c r="BH213">
        <v>1860</v>
      </c>
      <c r="BI213">
        <v>1681</v>
      </c>
      <c r="BJ213">
        <v>207</v>
      </c>
      <c r="BK213">
        <v>58</v>
      </c>
      <c r="BL213">
        <v>280</v>
      </c>
      <c r="BM213">
        <v>39</v>
      </c>
      <c r="BN213" s="128">
        <v>141</v>
      </c>
      <c r="BO213" s="128">
        <v>0</v>
      </c>
      <c r="BP213" s="128">
        <v>25</v>
      </c>
      <c r="BQ213" s="128">
        <f t="shared" si="58"/>
        <v>29512519.070521623</v>
      </c>
      <c r="BR213">
        <v>18361</v>
      </c>
      <c r="BS213" s="128">
        <f t="shared" si="45"/>
        <v>1607.3481330277014</v>
      </c>
      <c r="BT213" t="s">
        <v>467</v>
      </c>
      <c r="BU213" s="129">
        <f t="shared" si="59"/>
        <v>1608.7097146409033</v>
      </c>
      <c r="BZ213" t="s">
        <v>323</v>
      </c>
      <c r="CA213">
        <v>1541.316439926173</v>
      </c>
      <c r="CB213" t="s">
        <v>467</v>
      </c>
    </row>
    <row r="214" spans="1:80" ht="14.5" x14ac:dyDescent="0.25">
      <c r="A214" t="s">
        <v>155</v>
      </c>
      <c r="B214">
        <v>9073</v>
      </c>
      <c r="C214">
        <v>1991</v>
      </c>
      <c r="D214">
        <v>643</v>
      </c>
      <c r="E214">
        <f t="shared" si="46"/>
        <v>5617</v>
      </c>
      <c r="F214">
        <f t="shared" si="47"/>
        <v>1709</v>
      </c>
      <c r="G214">
        <f t="shared" si="48"/>
        <v>1836</v>
      </c>
      <c r="H214">
        <f t="shared" si="49"/>
        <v>606</v>
      </c>
      <c r="I214">
        <f t="shared" si="50"/>
        <v>1535</v>
      </c>
      <c r="J214">
        <f t="shared" si="51"/>
        <v>3140</v>
      </c>
      <c r="K214">
        <f t="shared" si="52"/>
        <v>5853</v>
      </c>
      <c r="L214">
        <f t="shared" si="53"/>
        <v>9175</v>
      </c>
      <c r="M214">
        <f t="shared" si="54"/>
        <v>4388</v>
      </c>
      <c r="N214">
        <f t="shared" si="55"/>
        <v>275</v>
      </c>
      <c r="O214">
        <f t="shared" si="56"/>
        <v>45841</v>
      </c>
      <c r="Q214">
        <v>10467</v>
      </c>
      <c r="R214">
        <v>4470</v>
      </c>
      <c r="S214">
        <v>380</v>
      </c>
      <c r="T214">
        <v>1709</v>
      </c>
      <c r="U214">
        <v>0</v>
      </c>
      <c r="V214">
        <v>0</v>
      </c>
      <c r="W214">
        <v>2291</v>
      </c>
      <c r="X214">
        <v>0</v>
      </c>
      <c r="Y214">
        <v>455</v>
      </c>
      <c r="Z214" s="271">
        <v>607</v>
      </c>
      <c r="AA214">
        <v>0</v>
      </c>
      <c r="AB214">
        <v>1</v>
      </c>
      <c r="AC214">
        <v>1947</v>
      </c>
      <c r="AD214">
        <v>0</v>
      </c>
      <c r="AE214">
        <v>412</v>
      </c>
      <c r="AF214">
        <v>4351</v>
      </c>
      <c r="AG214">
        <v>534</v>
      </c>
      <c r="AH214">
        <v>677</v>
      </c>
      <c r="AI214">
        <v>9136</v>
      </c>
      <c r="AJ214">
        <v>3283</v>
      </c>
      <c r="AK214">
        <v>0</v>
      </c>
      <c r="AL214">
        <v>9183</v>
      </c>
      <c r="AM214">
        <v>0</v>
      </c>
      <c r="AN214">
        <v>8</v>
      </c>
      <c r="AO214">
        <v>5197</v>
      </c>
      <c r="AP214">
        <v>786</v>
      </c>
      <c r="AQ214">
        <v>23</v>
      </c>
      <c r="AR214">
        <v>310</v>
      </c>
      <c r="AS214">
        <v>0</v>
      </c>
      <c r="AT214">
        <v>35</v>
      </c>
      <c r="AU214">
        <v>1255</v>
      </c>
      <c r="AV214">
        <v>0</v>
      </c>
      <c r="AW214">
        <v>0</v>
      </c>
      <c r="AX214">
        <f t="shared" si="57"/>
        <v>47096</v>
      </c>
      <c r="AZ214" t="s">
        <v>155</v>
      </c>
      <c r="BA214" s="128">
        <v>43207</v>
      </c>
      <c r="BB214" s="128">
        <v>998658</v>
      </c>
      <c r="BC214" s="128">
        <v>0</v>
      </c>
      <c r="BD214" s="128">
        <v>2855511</v>
      </c>
      <c r="BE214" s="128">
        <v>321160</v>
      </c>
      <c r="BF214" s="128">
        <v>3899083.5153066725</v>
      </c>
      <c r="BG214" s="272">
        <v>0</v>
      </c>
      <c r="BH214">
        <v>1840</v>
      </c>
      <c r="BI214">
        <v>1801</v>
      </c>
      <c r="BJ214">
        <v>176</v>
      </c>
      <c r="BK214">
        <v>314</v>
      </c>
      <c r="BL214">
        <v>534</v>
      </c>
      <c r="BM214">
        <v>59</v>
      </c>
      <c r="BN214" s="128">
        <v>1501</v>
      </c>
      <c r="BO214" s="128">
        <v>0</v>
      </c>
      <c r="BP214" s="128">
        <v>63</v>
      </c>
      <c r="BQ214" s="128">
        <f t="shared" si="58"/>
        <v>28844587.484693326</v>
      </c>
      <c r="BR214">
        <v>18294</v>
      </c>
      <c r="BS214" s="128">
        <f t="shared" si="45"/>
        <v>1576.7239250406321</v>
      </c>
      <c r="BT214" t="s">
        <v>467</v>
      </c>
      <c r="BU214" s="129">
        <f t="shared" si="59"/>
        <v>1580.1676770904846</v>
      </c>
      <c r="BZ214" t="s">
        <v>277</v>
      </c>
      <c r="CA214">
        <v>1487.5456764248422</v>
      </c>
      <c r="CB214" t="s">
        <v>467</v>
      </c>
    </row>
    <row r="215" spans="1:80" ht="14.5" x14ac:dyDescent="0.25">
      <c r="A215" t="s">
        <v>196</v>
      </c>
      <c r="B215">
        <v>20354</v>
      </c>
      <c r="C215">
        <v>6772</v>
      </c>
      <c r="D215">
        <v>495</v>
      </c>
      <c r="E215">
        <f t="shared" si="46"/>
        <v>-700</v>
      </c>
      <c r="F215">
        <f t="shared" si="47"/>
        <v>2570</v>
      </c>
      <c r="G215">
        <f t="shared" si="48"/>
        <v>2201</v>
      </c>
      <c r="H215">
        <f t="shared" si="49"/>
        <v>1049</v>
      </c>
      <c r="I215">
        <f t="shared" si="50"/>
        <v>1852</v>
      </c>
      <c r="J215">
        <f t="shared" si="51"/>
        <v>4934</v>
      </c>
      <c r="K215">
        <f t="shared" si="52"/>
        <v>10902</v>
      </c>
      <c r="L215">
        <f t="shared" si="53"/>
        <v>21022</v>
      </c>
      <c r="M215">
        <f t="shared" si="54"/>
        <v>5660</v>
      </c>
      <c r="N215">
        <f t="shared" si="55"/>
        <v>1461</v>
      </c>
      <c r="O215">
        <f t="shared" si="56"/>
        <v>78572</v>
      </c>
      <c r="Q215">
        <v>13719</v>
      </c>
      <c r="R215">
        <v>13690</v>
      </c>
      <c r="S215">
        <v>729</v>
      </c>
      <c r="T215">
        <v>2603</v>
      </c>
      <c r="U215">
        <v>0</v>
      </c>
      <c r="V215">
        <v>33</v>
      </c>
      <c r="W215">
        <v>4003</v>
      </c>
      <c r="X215">
        <v>0</v>
      </c>
      <c r="Y215">
        <v>1802</v>
      </c>
      <c r="Z215" s="271">
        <v>1164</v>
      </c>
      <c r="AA215">
        <v>0</v>
      </c>
      <c r="AB215">
        <v>115</v>
      </c>
      <c r="AC215">
        <v>4183</v>
      </c>
      <c r="AD215">
        <v>0</v>
      </c>
      <c r="AE215">
        <v>2331</v>
      </c>
      <c r="AF215">
        <v>5412</v>
      </c>
      <c r="AG215">
        <v>0</v>
      </c>
      <c r="AH215">
        <v>478</v>
      </c>
      <c r="AI215">
        <v>17566</v>
      </c>
      <c r="AJ215">
        <v>6664</v>
      </c>
      <c r="AK215">
        <v>0</v>
      </c>
      <c r="AL215">
        <v>21101</v>
      </c>
      <c r="AM215">
        <v>0</v>
      </c>
      <c r="AN215">
        <v>79</v>
      </c>
      <c r="AO215">
        <v>6825</v>
      </c>
      <c r="AP215">
        <v>0</v>
      </c>
      <c r="AQ215">
        <v>1165</v>
      </c>
      <c r="AR215">
        <v>1501</v>
      </c>
      <c r="AS215">
        <v>0</v>
      </c>
      <c r="AT215">
        <v>40</v>
      </c>
      <c r="AU215">
        <v>78</v>
      </c>
      <c r="AV215">
        <v>0</v>
      </c>
      <c r="AW215">
        <v>0</v>
      </c>
      <c r="AX215">
        <f t="shared" si="57"/>
        <v>78650</v>
      </c>
      <c r="AZ215" t="s">
        <v>196</v>
      </c>
      <c r="BA215" s="128">
        <v>71305</v>
      </c>
      <c r="BB215" s="128">
        <v>4088712</v>
      </c>
      <c r="BC215" s="128">
        <v>0</v>
      </c>
      <c r="BD215" s="128">
        <v>5882208</v>
      </c>
      <c r="BE215" s="128">
        <v>461110.05333333334</v>
      </c>
      <c r="BF215" s="128">
        <v>4284394.731308613</v>
      </c>
      <c r="BG215" s="272">
        <v>2093153.8730154075</v>
      </c>
      <c r="BH215">
        <v>2753</v>
      </c>
      <c r="BI215">
        <v>2524</v>
      </c>
      <c r="BJ215">
        <v>249</v>
      </c>
      <c r="BK215">
        <v>0</v>
      </c>
      <c r="BL215">
        <v>491</v>
      </c>
      <c r="BM215">
        <v>341</v>
      </c>
      <c r="BN215" s="128">
        <v>555</v>
      </c>
      <c r="BO215" s="128">
        <v>0</v>
      </c>
      <c r="BP215" s="128">
        <v>407</v>
      </c>
      <c r="BQ215" s="128">
        <f t="shared" si="58"/>
        <v>47175421.342342645</v>
      </c>
      <c r="BR215">
        <v>29572</v>
      </c>
      <c r="BS215" s="128">
        <f t="shared" si="45"/>
        <v>1595.2732768274936</v>
      </c>
      <c r="BT215" t="s">
        <v>118</v>
      </c>
      <c r="BU215" s="129">
        <f t="shared" si="59"/>
        <v>1609.036295899589</v>
      </c>
      <c r="BZ215" t="s">
        <v>607</v>
      </c>
      <c r="CA215">
        <v>5955.4120745023411</v>
      </c>
      <c r="CB215" t="s">
        <v>467</v>
      </c>
    </row>
    <row r="216" spans="1:80" ht="14.5" x14ac:dyDescent="0.25">
      <c r="A216" t="s">
        <v>382</v>
      </c>
      <c r="B216">
        <v>31171</v>
      </c>
      <c r="C216">
        <v>12692</v>
      </c>
      <c r="D216">
        <v>1102</v>
      </c>
      <c r="E216">
        <f t="shared" si="46"/>
        <v>11287</v>
      </c>
      <c r="F216">
        <f t="shared" si="47"/>
        <v>4121</v>
      </c>
      <c r="G216">
        <f t="shared" si="48"/>
        <v>3116</v>
      </c>
      <c r="H216">
        <f t="shared" si="49"/>
        <v>660</v>
      </c>
      <c r="I216">
        <f t="shared" si="50"/>
        <v>3409</v>
      </c>
      <c r="J216">
        <f t="shared" si="51"/>
        <v>10821</v>
      </c>
      <c r="K216">
        <f t="shared" si="52"/>
        <v>40675</v>
      </c>
      <c r="L216">
        <f t="shared" si="53"/>
        <v>22063</v>
      </c>
      <c r="M216">
        <f t="shared" si="54"/>
        <v>8406</v>
      </c>
      <c r="N216">
        <f t="shared" si="55"/>
        <v>310</v>
      </c>
      <c r="O216">
        <f t="shared" si="56"/>
        <v>149833</v>
      </c>
      <c r="Q216">
        <v>30855</v>
      </c>
      <c r="R216">
        <v>16383</v>
      </c>
      <c r="S216">
        <v>3185</v>
      </c>
      <c r="T216">
        <v>5368</v>
      </c>
      <c r="U216">
        <v>1050</v>
      </c>
      <c r="V216">
        <v>197</v>
      </c>
      <c r="W216">
        <v>7975</v>
      </c>
      <c r="X216">
        <v>2289</v>
      </c>
      <c r="Y216">
        <v>2570</v>
      </c>
      <c r="Z216" s="271">
        <v>1238</v>
      </c>
      <c r="AA216">
        <v>549</v>
      </c>
      <c r="AB216">
        <v>29</v>
      </c>
      <c r="AC216">
        <v>5365</v>
      </c>
      <c r="AD216">
        <v>119</v>
      </c>
      <c r="AE216">
        <v>1837</v>
      </c>
      <c r="AF216">
        <v>15254</v>
      </c>
      <c r="AG216">
        <v>1951</v>
      </c>
      <c r="AH216">
        <v>2482</v>
      </c>
      <c r="AI216">
        <v>42230</v>
      </c>
      <c r="AJ216">
        <v>1555</v>
      </c>
      <c r="AK216">
        <v>0</v>
      </c>
      <c r="AL216">
        <v>24607</v>
      </c>
      <c r="AM216">
        <v>2195</v>
      </c>
      <c r="AN216">
        <v>349</v>
      </c>
      <c r="AO216">
        <v>12349</v>
      </c>
      <c r="AP216">
        <v>1941</v>
      </c>
      <c r="AQ216">
        <v>2002</v>
      </c>
      <c r="AR216">
        <v>2951</v>
      </c>
      <c r="AS216">
        <v>2600</v>
      </c>
      <c r="AT216">
        <v>41</v>
      </c>
      <c r="AU216">
        <v>9565</v>
      </c>
      <c r="AV216">
        <v>539</v>
      </c>
      <c r="AW216">
        <v>0</v>
      </c>
      <c r="AX216">
        <f t="shared" si="57"/>
        <v>158859</v>
      </c>
      <c r="AZ216" t="s">
        <v>382</v>
      </c>
      <c r="BA216" s="128">
        <v>135500</v>
      </c>
      <c r="BB216" s="128">
        <v>1355795</v>
      </c>
      <c r="BC216" s="128">
        <v>0</v>
      </c>
      <c r="BD216" s="128">
        <v>6178954</v>
      </c>
      <c r="BE216" s="128">
        <v>1053286.5466666669</v>
      </c>
      <c r="BF216" s="128">
        <v>17163780.301895875</v>
      </c>
      <c r="BG216" s="272">
        <v>1405146.8083560579</v>
      </c>
      <c r="BH216">
        <v>5456</v>
      </c>
      <c r="BI216">
        <v>6271</v>
      </c>
      <c r="BJ216">
        <v>987</v>
      </c>
      <c r="BK216">
        <v>0</v>
      </c>
      <c r="BL216">
        <v>1089</v>
      </c>
      <c r="BM216">
        <v>1699</v>
      </c>
      <c r="BN216" s="128">
        <v>500</v>
      </c>
      <c r="BO216" s="128">
        <v>452</v>
      </c>
      <c r="BP216" s="128">
        <v>339</v>
      </c>
      <c r="BQ216" s="128">
        <f t="shared" si="58"/>
        <v>91550037.3430814</v>
      </c>
      <c r="BR216">
        <v>56195</v>
      </c>
      <c r="BS216" s="128">
        <f t="shared" si="45"/>
        <v>1629.1491652830573</v>
      </c>
      <c r="BT216" t="s">
        <v>118</v>
      </c>
      <c r="BU216" s="129">
        <f t="shared" si="59"/>
        <v>1635.1817304578949</v>
      </c>
      <c r="BZ216" t="s">
        <v>207</v>
      </c>
      <c r="CA216">
        <v>195.96500077973266</v>
      </c>
      <c r="CB216" t="s">
        <v>467</v>
      </c>
    </row>
    <row r="217" spans="1:80" ht="14.5" x14ac:dyDescent="0.25">
      <c r="A217" t="s">
        <v>133</v>
      </c>
      <c r="B217">
        <v>18214</v>
      </c>
      <c r="C217">
        <v>3225</v>
      </c>
      <c r="D217">
        <v>516</v>
      </c>
      <c r="E217">
        <f t="shared" si="46"/>
        <v>5817</v>
      </c>
      <c r="F217">
        <f t="shared" si="47"/>
        <v>2022</v>
      </c>
      <c r="G217">
        <f t="shared" si="48"/>
        <v>1672</v>
      </c>
      <c r="H217">
        <f t="shared" si="49"/>
        <v>725</v>
      </c>
      <c r="I217">
        <f t="shared" si="50"/>
        <v>1845</v>
      </c>
      <c r="J217">
        <f t="shared" si="51"/>
        <v>3458</v>
      </c>
      <c r="K217">
        <f t="shared" si="52"/>
        <v>13388</v>
      </c>
      <c r="L217">
        <f t="shared" si="53"/>
        <v>14700</v>
      </c>
      <c r="M217">
        <f t="shared" si="54"/>
        <v>5287</v>
      </c>
      <c r="N217">
        <f t="shared" si="55"/>
        <v>1382</v>
      </c>
      <c r="O217">
        <f t="shared" si="56"/>
        <v>72251</v>
      </c>
      <c r="Q217">
        <v>14199</v>
      </c>
      <c r="R217">
        <v>8061</v>
      </c>
      <c r="S217">
        <v>321</v>
      </c>
      <c r="T217">
        <v>2261</v>
      </c>
      <c r="U217">
        <v>239</v>
      </c>
      <c r="V217">
        <v>0</v>
      </c>
      <c r="W217">
        <v>3413</v>
      </c>
      <c r="X217">
        <v>850</v>
      </c>
      <c r="Y217">
        <v>891</v>
      </c>
      <c r="Z217" s="271">
        <v>1159</v>
      </c>
      <c r="AA217">
        <v>360</v>
      </c>
      <c r="AB217">
        <v>74</v>
      </c>
      <c r="AC217">
        <v>2907</v>
      </c>
      <c r="AD217">
        <v>147</v>
      </c>
      <c r="AE217">
        <v>915</v>
      </c>
      <c r="AF217">
        <v>4894</v>
      </c>
      <c r="AG217">
        <v>1152</v>
      </c>
      <c r="AH217">
        <v>284</v>
      </c>
      <c r="AI217">
        <v>15226</v>
      </c>
      <c r="AJ217">
        <v>1838</v>
      </c>
      <c r="AK217">
        <v>0</v>
      </c>
      <c r="AL217">
        <v>18147</v>
      </c>
      <c r="AM217">
        <v>3422</v>
      </c>
      <c r="AN217">
        <v>25</v>
      </c>
      <c r="AO217">
        <v>6948</v>
      </c>
      <c r="AP217">
        <v>982</v>
      </c>
      <c r="AQ217">
        <v>679</v>
      </c>
      <c r="AR217">
        <v>2552</v>
      </c>
      <c r="AS217">
        <v>1134</v>
      </c>
      <c r="AT217">
        <v>36</v>
      </c>
      <c r="AU217">
        <v>391</v>
      </c>
      <c r="AV217">
        <v>29</v>
      </c>
      <c r="AW217">
        <v>0</v>
      </c>
      <c r="AX217">
        <f t="shared" si="57"/>
        <v>72613</v>
      </c>
      <c r="AZ217" t="s">
        <v>133</v>
      </c>
      <c r="BA217" s="128">
        <v>68481</v>
      </c>
      <c r="BB217" s="128">
        <v>807217</v>
      </c>
      <c r="BC217" s="128">
        <v>0</v>
      </c>
      <c r="BD217" s="128">
        <v>2986107</v>
      </c>
      <c r="BE217" s="128">
        <v>538216</v>
      </c>
      <c r="BF217" s="128">
        <v>9050480.021566404</v>
      </c>
      <c r="BG217" s="272">
        <v>0</v>
      </c>
      <c r="BH217">
        <v>2565</v>
      </c>
      <c r="BI217">
        <v>2531</v>
      </c>
      <c r="BJ217">
        <v>305</v>
      </c>
      <c r="BK217">
        <v>0</v>
      </c>
      <c r="BL217">
        <v>460</v>
      </c>
      <c r="BM217">
        <v>39</v>
      </c>
      <c r="BN217" s="128">
        <v>461</v>
      </c>
      <c r="BO217" s="128">
        <v>0</v>
      </c>
      <c r="BP217" s="128">
        <v>2097</v>
      </c>
      <c r="BQ217" s="128">
        <f t="shared" si="58"/>
        <v>46640979.978433594</v>
      </c>
      <c r="BR217">
        <v>25463</v>
      </c>
      <c r="BS217" s="128">
        <f t="shared" si="45"/>
        <v>1831.7158221118327</v>
      </c>
      <c r="BT217" t="s">
        <v>118</v>
      </c>
      <c r="BU217" s="129">
        <f t="shared" si="59"/>
        <v>1914.0706114139573</v>
      </c>
      <c r="BZ217" t="s">
        <v>324</v>
      </c>
      <c r="CA217">
        <v>1616.8589726821733</v>
      </c>
      <c r="CB217" t="s">
        <v>467</v>
      </c>
    </row>
    <row r="218" spans="1:80" ht="14.5" x14ac:dyDescent="0.25">
      <c r="A218" t="s">
        <v>267</v>
      </c>
      <c r="B218">
        <v>1097</v>
      </c>
      <c r="C218">
        <v>1194</v>
      </c>
      <c r="D218">
        <v>983</v>
      </c>
      <c r="E218">
        <f t="shared" si="46"/>
        <v>4354</v>
      </c>
      <c r="F218">
        <f t="shared" si="47"/>
        <v>1107</v>
      </c>
      <c r="G218">
        <f t="shared" si="48"/>
        <v>973</v>
      </c>
      <c r="H218">
        <f t="shared" si="49"/>
        <v>22</v>
      </c>
      <c r="I218">
        <f t="shared" si="50"/>
        <v>564</v>
      </c>
      <c r="J218">
        <f t="shared" si="51"/>
        <v>1439</v>
      </c>
      <c r="K218">
        <f t="shared" si="52"/>
        <v>2254</v>
      </c>
      <c r="L218">
        <f t="shared" si="53"/>
        <v>4057</v>
      </c>
      <c r="M218">
        <f t="shared" si="54"/>
        <v>3049</v>
      </c>
      <c r="N218">
        <f t="shared" si="55"/>
        <v>838</v>
      </c>
      <c r="O218">
        <f t="shared" si="56"/>
        <v>21931</v>
      </c>
      <c r="Q218">
        <v>5296</v>
      </c>
      <c r="R218">
        <v>864</v>
      </c>
      <c r="S218">
        <v>78</v>
      </c>
      <c r="T218">
        <v>1110</v>
      </c>
      <c r="U218">
        <v>0</v>
      </c>
      <c r="V218">
        <v>3</v>
      </c>
      <c r="W218">
        <v>1456</v>
      </c>
      <c r="X218">
        <v>0</v>
      </c>
      <c r="Y218">
        <v>483</v>
      </c>
      <c r="Z218" s="271">
        <v>22</v>
      </c>
      <c r="AA218">
        <v>0</v>
      </c>
      <c r="AB218">
        <v>0</v>
      </c>
      <c r="AC218">
        <v>635</v>
      </c>
      <c r="AD218">
        <v>0</v>
      </c>
      <c r="AE218">
        <v>71</v>
      </c>
      <c r="AF218">
        <v>1661</v>
      </c>
      <c r="AG218">
        <v>0</v>
      </c>
      <c r="AH218">
        <v>222</v>
      </c>
      <c r="AI218">
        <v>2487</v>
      </c>
      <c r="AJ218">
        <v>233</v>
      </c>
      <c r="AK218">
        <v>0</v>
      </c>
      <c r="AL218">
        <v>4057</v>
      </c>
      <c r="AM218">
        <v>0</v>
      </c>
      <c r="AN218">
        <v>0</v>
      </c>
      <c r="AO218">
        <v>3386</v>
      </c>
      <c r="AP218">
        <v>0</v>
      </c>
      <c r="AQ218">
        <v>337</v>
      </c>
      <c r="AR218">
        <v>838</v>
      </c>
      <c r="AS218">
        <v>0</v>
      </c>
      <c r="AT218">
        <v>0</v>
      </c>
      <c r="AU218">
        <v>0</v>
      </c>
      <c r="AV218">
        <v>0</v>
      </c>
      <c r="AW218">
        <v>0</v>
      </c>
      <c r="AX218">
        <f t="shared" si="57"/>
        <v>21931</v>
      </c>
      <c r="AZ218" t="s">
        <v>267</v>
      </c>
      <c r="BA218" s="128">
        <v>19754</v>
      </c>
      <c r="BB218" s="128">
        <v>300464</v>
      </c>
      <c r="BC218" s="128">
        <v>0</v>
      </c>
      <c r="BD218" s="128">
        <v>227575</v>
      </c>
      <c r="BE218" s="128">
        <v>269531</v>
      </c>
      <c r="BF218" s="128">
        <v>1406930</v>
      </c>
      <c r="BG218" s="272">
        <v>193485.44344829395</v>
      </c>
      <c r="BH218">
        <v>1456</v>
      </c>
      <c r="BI218">
        <v>1382</v>
      </c>
      <c r="BJ218">
        <v>143</v>
      </c>
      <c r="BK218">
        <v>125</v>
      </c>
      <c r="BL218">
        <v>220</v>
      </c>
      <c r="BM218">
        <v>38</v>
      </c>
      <c r="BN218" s="128">
        <v>292</v>
      </c>
      <c r="BO218" s="128">
        <v>0</v>
      </c>
      <c r="BP218" s="128">
        <v>588</v>
      </c>
      <c r="BQ218" s="128">
        <f t="shared" si="58"/>
        <v>13112014.556551706</v>
      </c>
      <c r="BR218">
        <v>9686</v>
      </c>
      <c r="BS218" s="128">
        <f t="shared" si="45"/>
        <v>1353.7078831872502</v>
      </c>
      <c r="BT218" t="s">
        <v>467</v>
      </c>
      <c r="BU218" s="129">
        <f t="shared" si="59"/>
        <v>1414.4140570464285</v>
      </c>
      <c r="BZ218" t="s">
        <v>325</v>
      </c>
      <c r="CA218">
        <v>1890.4606617207141</v>
      </c>
      <c r="CB218" t="s">
        <v>467</v>
      </c>
    </row>
    <row r="219" spans="1:80" ht="14.5" x14ac:dyDescent="0.25">
      <c r="A219" t="s">
        <v>268</v>
      </c>
      <c r="B219">
        <v>7867</v>
      </c>
      <c r="C219">
        <v>6002</v>
      </c>
      <c r="D219">
        <v>247</v>
      </c>
      <c r="E219">
        <f t="shared" si="46"/>
        <v>2574</v>
      </c>
      <c r="F219">
        <f t="shared" si="47"/>
        <v>830</v>
      </c>
      <c r="G219">
        <f t="shared" si="48"/>
        <v>996</v>
      </c>
      <c r="H219">
        <f t="shared" si="49"/>
        <v>2875</v>
      </c>
      <c r="I219">
        <f t="shared" si="50"/>
        <v>526</v>
      </c>
      <c r="J219">
        <f t="shared" si="51"/>
        <v>1731</v>
      </c>
      <c r="K219">
        <f t="shared" si="52"/>
        <v>2624</v>
      </c>
      <c r="L219">
        <f t="shared" si="53"/>
        <v>4873</v>
      </c>
      <c r="M219">
        <f t="shared" si="54"/>
        <v>3023</v>
      </c>
      <c r="N219">
        <f t="shared" si="55"/>
        <v>5053</v>
      </c>
      <c r="O219">
        <f t="shared" si="56"/>
        <v>39221</v>
      </c>
      <c r="Q219">
        <v>7153</v>
      </c>
      <c r="R219">
        <v>4382</v>
      </c>
      <c r="S219">
        <v>197</v>
      </c>
      <c r="T219">
        <v>1030</v>
      </c>
      <c r="U219">
        <v>200</v>
      </c>
      <c r="V219">
        <v>0</v>
      </c>
      <c r="W219">
        <v>1140</v>
      </c>
      <c r="X219">
        <v>112</v>
      </c>
      <c r="Y219">
        <v>32</v>
      </c>
      <c r="Z219" s="271">
        <v>2910</v>
      </c>
      <c r="AA219">
        <v>35</v>
      </c>
      <c r="AB219">
        <v>0</v>
      </c>
      <c r="AC219">
        <v>729</v>
      </c>
      <c r="AD219">
        <v>91</v>
      </c>
      <c r="AE219">
        <v>112</v>
      </c>
      <c r="AF219">
        <v>2720</v>
      </c>
      <c r="AG219">
        <v>703</v>
      </c>
      <c r="AH219">
        <v>286</v>
      </c>
      <c r="AI219">
        <v>2760</v>
      </c>
      <c r="AJ219">
        <v>136</v>
      </c>
      <c r="AK219">
        <v>0</v>
      </c>
      <c r="AL219">
        <v>6036</v>
      </c>
      <c r="AM219">
        <v>1094</v>
      </c>
      <c r="AN219">
        <v>69</v>
      </c>
      <c r="AO219">
        <v>3395</v>
      </c>
      <c r="AP219">
        <v>279</v>
      </c>
      <c r="AQ219">
        <v>93</v>
      </c>
      <c r="AR219">
        <v>11101</v>
      </c>
      <c r="AS219">
        <v>835</v>
      </c>
      <c r="AT219">
        <v>5213</v>
      </c>
      <c r="AU219">
        <v>1893</v>
      </c>
      <c r="AV219">
        <v>0</v>
      </c>
      <c r="AW219">
        <v>0</v>
      </c>
      <c r="AX219">
        <f t="shared" si="57"/>
        <v>41114</v>
      </c>
      <c r="AZ219" t="s">
        <v>268</v>
      </c>
      <c r="BA219" s="128">
        <v>32972</v>
      </c>
      <c r="BB219" s="128">
        <v>462785</v>
      </c>
      <c r="BC219" s="128">
        <v>0</v>
      </c>
      <c r="BD219" s="128">
        <v>437919</v>
      </c>
      <c r="BE219" s="128">
        <v>290805</v>
      </c>
      <c r="BF219" s="128">
        <v>1517690</v>
      </c>
      <c r="BG219" s="272">
        <v>105871.3711265102</v>
      </c>
      <c r="BH219">
        <v>1133</v>
      </c>
      <c r="BI219">
        <v>0</v>
      </c>
      <c r="BJ219">
        <v>136</v>
      </c>
      <c r="BK219">
        <v>0</v>
      </c>
      <c r="BL219">
        <v>164</v>
      </c>
      <c r="BM219">
        <v>24</v>
      </c>
      <c r="BN219" s="128">
        <v>70</v>
      </c>
      <c r="BO219" s="128">
        <v>0</v>
      </c>
      <c r="BP219" s="128">
        <v>10</v>
      </c>
      <c r="BQ219" s="128">
        <f t="shared" si="58"/>
        <v>28619929.62887349</v>
      </c>
      <c r="BR219">
        <v>12005</v>
      </c>
      <c r="BS219" s="128">
        <f t="shared" si="45"/>
        <v>2384.0008020719274</v>
      </c>
      <c r="BT219" t="s">
        <v>467</v>
      </c>
      <c r="BU219" s="129">
        <f t="shared" si="59"/>
        <v>2384.8337883276545</v>
      </c>
      <c r="BZ219" t="s">
        <v>162</v>
      </c>
      <c r="CA219">
        <v>1485.9045615919988</v>
      </c>
      <c r="CB219" t="s">
        <v>467</v>
      </c>
    </row>
    <row r="220" spans="1:80" ht="14.5" x14ac:dyDescent="0.25">
      <c r="A220" t="s">
        <v>134</v>
      </c>
      <c r="B220">
        <v>15408</v>
      </c>
      <c r="C220">
        <v>3415</v>
      </c>
      <c r="D220">
        <v>314</v>
      </c>
      <c r="E220">
        <f t="shared" si="46"/>
        <v>9536</v>
      </c>
      <c r="F220">
        <f t="shared" si="47"/>
        <v>1878</v>
      </c>
      <c r="G220">
        <f t="shared" si="48"/>
        <v>2243</v>
      </c>
      <c r="H220">
        <f t="shared" si="49"/>
        <v>631</v>
      </c>
      <c r="I220">
        <f t="shared" si="50"/>
        <v>1735</v>
      </c>
      <c r="J220">
        <f t="shared" si="51"/>
        <v>3486</v>
      </c>
      <c r="K220">
        <f t="shared" si="52"/>
        <v>14886</v>
      </c>
      <c r="L220">
        <f t="shared" si="53"/>
        <v>16501</v>
      </c>
      <c r="M220">
        <f t="shared" si="54"/>
        <v>5768</v>
      </c>
      <c r="N220">
        <f t="shared" si="55"/>
        <v>602</v>
      </c>
      <c r="O220">
        <f t="shared" si="56"/>
        <v>76403</v>
      </c>
      <c r="Q220">
        <v>15653</v>
      </c>
      <c r="R220">
        <v>5571</v>
      </c>
      <c r="S220">
        <v>546</v>
      </c>
      <c r="T220">
        <v>2075</v>
      </c>
      <c r="U220">
        <v>197</v>
      </c>
      <c r="V220">
        <v>0</v>
      </c>
      <c r="W220">
        <v>3279</v>
      </c>
      <c r="X220">
        <v>707</v>
      </c>
      <c r="Y220">
        <v>329</v>
      </c>
      <c r="Z220" s="271">
        <v>903</v>
      </c>
      <c r="AA220">
        <v>219</v>
      </c>
      <c r="AB220">
        <v>53</v>
      </c>
      <c r="AC220">
        <v>3306</v>
      </c>
      <c r="AD220">
        <v>742</v>
      </c>
      <c r="AE220">
        <v>829</v>
      </c>
      <c r="AF220">
        <v>5709</v>
      </c>
      <c r="AG220">
        <v>1419</v>
      </c>
      <c r="AH220">
        <v>804</v>
      </c>
      <c r="AI220">
        <v>16697</v>
      </c>
      <c r="AJ220">
        <v>1811</v>
      </c>
      <c r="AK220">
        <v>0</v>
      </c>
      <c r="AL220">
        <v>19477</v>
      </c>
      <c r="AM220">
        <v>2926</v>
      </c>
      <c r="AN220">
        <v>50</v>
      </c>
      <c r="AO220">
        <v>7379</v>
      </c>
      <c r="AP220">
        <v>1022</v>
      </c>
      <c r="AQ220">
        <v>589</v>
      </c>
      <c r="AR220">
        <v>1611</v>
      </c>
      <c r="AS220">
        <v>794</v>
      </c>
      <c r="AT220">
        <v>215</v>
      </c>
      <c r="AU220">
        <v>1611</v>
      </c>
      <c r="AV220">
        <v>0</v>
      </c>
      <c r="AW220">
        <v>0</v>
      </c>
      <c r="AX220">
        <f t="shared" si="57"/>
        <v>78014</v>
      </c>
      <c r="AZ220" t="s">
        <v>134</v>
      </c>
      <c r="BA220" s="128">
        <v>72674</v>
      </c>
      <c r="BB220" s="128">
        <v>2004972</v>
      </c>
      <c r="BC220" s="128">
        <v>0</v>
      </c>
      <c r="BD220" s="128">
        <v>3314598</v>
      </c>
      <c r="BE220" s="128">
        <v>602275</v>
      </c>
      <c r="BF220" s="128">
        <v>8715941.4942445718</v>
      </c>
      <c r="BG220" s="272">
        <v>0</v>
      </c>
      <c r="BH220">
        <v>2810</v>
      </c>
      <c r="BI220">
        <v>3073</v>
      </c>
      <c r="BJ220">
        <v>264</v>
      </c>
      <c r="BK220">
        <v>150</v>
      </c>
      <c r="BL220">
        <v>676</v>
      </c>
      <c r="BM220">
        <v>28</v>
      </c>
      <c r="BN220" s="128">
        <v>148</v>
      </c>
      <c r="BO220" s="128">
        <v>0</v>
      </c>
      <c r="BP220" s="128">
        <v>1979</v>
      </c>
      <c r="BQ220" s="128">
        <f t="shared" si="58"/>
        <v>48908213.505755424</v>
      </c>
      <c r="BR220">
        <v>29810</v>
      </c>
      <c r="BS220" s="128">
        <f t="shared" si="45"/>
        <v>1640.6646597033018</v>
      </c>
      <c r="BT220" t="s">
        <v>118</v>
      </c>
      <c r="BU220" s="129">
        <f t="shared" si="59"/>
        <v>1707.0517781199405</v>
      </c>
      <c r="BZ220" t="s">
        <v>279</v>
      </c>
      <c r="CA220">
        <v>1576.3960819908737</v>
      </c>
      <c r="CB220" t="s">
        <v>467</v>
      </c>
    </row>
    <row r="221" spans="1:80" ht="14.5" x14ac:dyDescent="0.25">
      <c r="A221" t="s">
        <v>383</v>
      </c>
      <c r="B221">
        <v>54577</v>
      </c>
      <c r="C221">
        <v>9530</v>
      </c>
      <c r="D221">
        <v>2049</v>
      </c>
      <c r="E221">
        <f t="shared" si="46"/>
        <v>-21773</v>
      </c>
      <c r="F221">
        <f t="shared" si="47"/>
        <v>9418</v>
      </c>
      <c r="G221">
        <f t="shared" si="48"/>
        <v>11999</v>
      </c>
      <c r="H221">
        <f t="shared" si="49"/>
        <v>13774</v>
      </c>
      <c r="I221">
        <f t="shared" si="50"/>
        <v>7577</v>
      </c>
      <c r="J221">
        <f t="shared" si="51"/>
        <v>21563</v>
      </c>
      <c r="K221">
        <f t="shared" si="52"/>
        <v>59014</v>
      </c>
      <c r="L221">
        <f t="shared" si="53"/>
        <v>82522</v>
      </c>
      <c r="M221">
        <f t="shared" si="54"/>
        <v>30761</v>
      </c>
      <c r="N221">
        <f t="shared" si="55"/>
        <v>10097</v>
      </c>
      <c r="O221">
        <f t="shared" si="56"/>
        <v>291108</v>
      </c>
      <c r="Q221">
        <v>35196</v>
      </c>
      <c r="R221">
        <v>54151</v>
      </c>
      <c r="S221">
        <v>2818</v>
      </c>
      <c r="T221">
        <v>9491</v>
      </c>
      <c r="U221">
        <v>73</v>
      </c>
      <c r="V221">
        <v>0</v>
      </c>
      <c r="W221">
        <v>13265</v>
      </c>
      <c r="X221">
        <v>0</v>
      </c>
      <c r="Y221">
        <v>1266</v>
      </c>
      <c r="Z221" s="271">
        <v>13774</v>
      </c>
      <c r="AA221">
        <v>0</v>
      </c>
      <c r="AB221">
        <v>0</v>
      </c>
      <c r="AC221">
        <v>9847</v>
      </c>
      <c r="AD221">
        <v>0</v>
      </c>
      <c r="AE221">
        <v>2270</v>
      </c>
      <c r="AF221">
        <v>23508</v>
      </c>
      <c r="AG221">
        <v>276</v>
      </c>
      <c r="AH221">
        <v>1669</v>
      </c>
      <c r="AI221">
        <v>59014</v>
      </c>
      <c r="AJ221">
        <v>0</v>
      </c>
      <c r="AK221">
        <v>0</v>
      </c>
      <c r="AL221">
        <v>83509</v>
      </c>
      <c r="AM221">
        <v>0</v>
      </c>
      <c r="AN221">
        <v>987</v>
      </c>
      <c r="AO221">
        <v>31209</v>
      </c>
      <c r="AP221">
        <v>0</v>
      </c>
      <c r="AQ221">
        <v>448</v>
      </c>
      <c r="AR221">
        <v>10211</v>
      </c>
      <c r="AS221">
        <v>77</v>
      </c>
      <c r="AT221">
        <v>37</v>
      </c>
      <c r="AU221">
        <v>9070</v>
      </c>
      <c r="AV221">
        <v>0</v>
      </c>
      <c r="AW221">
        <v>35</v>
      </c>
      <c r="AX221">
        <f t="shared" si="57"/>
        <v>300143</v>
      </c>
      <c r="AZ221" t="s">
        <v>383</v>
      </c>
      <c r="BA221" s="128">
        <v>279494</v>
      </c>
      <c r="BB221" s="128">
        <v>3680356</v>
      </c>
      <c r="BC221" s="128">
        <v>16310774</v>
      </c>
      <c r="BD221" s="128">
        <v>19155456</v>
      </c>
      <c r="BE221" s="128">
        <v>5217094</v>
      </c>
      <c r="BF221" s="128">
        <v>26413892.032730121</v>
      </c>
      <c r="BG221" s="272">
        <v>3082248.1118910722</v>
      </c>
      <c r="BH221">
        <v>8157</v>
      </c>
      <c r="BI221">
        <v>12034</v>
      </c>
      <c r="BJ221">
        <v>1139</v>
      </c>
      <c r="BK221">
        <v>0</v>
      </c>
      <c r="BL221">
        <v>2818</v>
      </c>
      <c r="BM221">
        <v>1038</v>
      </c>
      <c r="BN221" s="128">
        <v>176</v>
      </c>
      <c r="BO221" s="128">
        <v>2039</v>
      </c>
      <c r="BP221" s="128">
        <v>1091</v>
      </c>
      <c r="BQ221" s="128">
        <f t="shared" si="58"/>
        <v>177142179.85537881</v>
      </c>
      <c r="BR221">
        <v>92517</v>
      </c>
      <c r="BS221" s="128">
        <f t="shared" si="45"/>
        <v>1914.6987024587784</v>
      </c>
      <c r="BT221" t="s">
        <v>441</v>
      </c>
      <c r="BU221" s="129">
        <f t="shared" si="59"/>
        <v>1926.491129796457</v>
      </c>
      <c r="BZ221" t="s">
        <v>234</v>
      </c>
      <c r="CA221">
        <v>1458.9250111677659</v>
      </c>
      <c r="CB221" t="s">
        <v>467</v>
      </c>
    </row>
    <row r="222" spans="1:80" ht="14.5" x14ac:dyDescent="0.25">
      <c r="A222" t="s">
        <v>197</v>
      </c>
      <c r="B222">
        <v>22106</v>
      </c>
      <c r="C222">
        <v>6737</v>
      </c>
      <c r="D222">
        <v>0</v>
      </c>
      <c r="E222">
        <f t="shared" si="46"/>
        <v>3914</v>
      </c>
      <c r="F222">
        <f t="shared" si="47"/>
        <v>2498</v>
      </c>
      <c r="G222">
        <f t="shared" si="48"/>
        <v>2873</v>
      </c>
      <c r="H222">
        <f t="shared" si="49"/>
        <v>1091</v>
      </c>
      <c r="I222">
        <f t="shared" si="50"/>
        <v>2608</v>
      </c>
      <c r="J222">
        <f t="shared" si="51"/>
        <v>7578</v>
      </c>
      <c r="K222">
        <f t="shared" si="52"/>
        <v>18387</v>
      </c>
      <c r="L222">
        <f t="shared" si="53"/>
        <v>23048</v>
      </c>
      <c r="M222">
        <f t="shared" si="54"/>
        <v>8970</v>
      </c>
      <c r="N222">
        <f t="shared" si="55"/>
        <v>1177</v>
      </c>
      <c r="O222">
        <f t="shared" si="56"/>
        <v>100987</v>
      </c>
      <c r="Q222">
        <v>15685</v>
      </c>
      <c r="R222">
        <v>10913</v>
      </c>
      <c r="S222">
        <v>858</v>
      </c>
      <c r="T222">
        <v>2671</v>
      </c>
      <c r="U222">
        <v>135</v>
      </c>
      <c r="V222">
        <v>38</v>
      </c>
      <c r="W222">
        <v>6347</v>
      </c>
      <c r="X222">
        <v>1675</v>
      </c>
      <c r="Y222">
        <v>1799</v>
      </c>
      <c r="Z222" s="271">
        <v>1881</v>
      </c>
      <c r="AA222">
        <v>711</v>
      </c>
      <c r="AB222">
        <v>79</v>
      </c>
      <c r="AC222">
        <v>3890</v>
      </c>
      <c r="AD222">
        <v>589</v>
      </c>
      <c r="AE222">
        <v>693</v>
      </c>
      <c r="AF222">
        <v>12009</v>
      </c>
      <c r="AG222">
        <v>3404</v>
      </c>
      <c r="AH222">
        <v>1027</v>
      </c>
      <c r="AI222">
        <v>18671</v>
      </c>
      <c r="AJ222">
        <v>284</v>
      </c>
      <c r="AK222">
        <v>0</v>
      </c>
      <c r="AL222">
        <v>24245</v>
      </c>
      <c r="AM222">
        <v>1193</v>
      </c>
      <c r="AN222">
        <v>4</v>
      </c>
      <c r="AO222">
        <v>12485</v>
      </c>
      <c r="AP222">
        <v>1641</v>
      </c>
      <c r="AQ222">
        <v>1874</v>
      </c>
      <c r="AR222">
        <v>2863</v>
      </c>
      <c r="AS222">
        <v>1321</v>
      </c>
      <c r="AT222">
        <v>365</v>
      </c>
      <c r="AU222">
        <v>240</v>
      </c>
      <c r="AV222">
        <v>240</v>
      </c>
      <c r="AW222">
        <v>0</v>
      </c>
      <c r="AX222">
        <f t="shared" si="57"/>
        <v>100987</v>
      </c>
      <c r="AZ222" t="s">
        <v>197</v>
      </c>
      <c r="BA222" s="128">
        <v>94010</v>
      </c>
      <c r="BB222" s="128">
        <v>1578380</v>
      </c>
      <c r="BC222" s="128">
        <v>0</v>
      </c>
      <c r="BD222" s="128">
        <v>5105278</v>
      </c>
      <c r="BE222" s="128">
        <v>685328</v>
      </c>
      <c r="BF222" s="128">
        <v>8778547.1648061331</v>
      </c>
      <c r="BG222" s="272">
        <v>859073.48313024826</v>
      </c>
      <c r="BH222">
        <v>4130</v>
      </c>
      <c r="BI222">
        <v>3187</v>
      </c>
      <c r="BJ222">
        <v>382</v>
      </c>
      <c r="BK222">
        <v>126</v>
      </c>
      <c r="BL222">
        <v>534</v>
      </c>
      <c r="BM222">
        <v>109</v>
      </c>
      <c r="BN222" s="128">
        <v>206</v>
      </c>
      <c r="BO222" s="128">
        <v>0</v>
      </c>
      <c r="BP222" s="128">
        <v>316</v>
      </c>
      <c r="BQ222" s="128">
        <f t="shared" si="58"/>
        <v>68013393.352063626</v>
      </c>
      <c r="BR222">
        <v>39349</v>
      </c>
      <c r="BS222" s="128">
        <f t="shared" si="45"/>
        <v>1728.4656116308834</v>
      </c>
      <c r="BT222" t="s">
        <v>118</v>
      </c>
      <c r="BU222" s="129">
        <f t="shared" si="59"/>
        <v>1736.4963112674686</v>
      </c>
      <c r="BZ222" t="s">
        <v>398</v>
      </c>
      <c r="CA222">
        <v>1522.0150318697845</v>
      </c>
      <c r="CB222" t="s">
        <v>467</v>
      </c>
    </row>
    <row r="223" spans="1:80" ht="14.5" x14ac:dyDescent="0.25">
      <c r="A223" t="s">
        <v>269</v>
      </c>
      <c r="B223">
        <v>3664</v>
      </c>
      <c r="C223">
        <v>1395</v>
      </c>
      <c r="D223">
        <v>13</v>
      </c>
      <c r="E223">
        <f t="shared" si="46"/>
        <v>7023</v>
      </c>
      <c r="F223">
        <f t="shared" si="47"/>
        <v>1024</v>
      </c>
      <c r="G223">
        <f t="shared" si="48"/>
        <v>2003</v>
      </c>
      <c r="H223">
        <f t="shared" si="49"/>
        <v>255</v>
      </c>
      <c r="I223">
        <f t="shared" si="50"/>
        <v>783</v>
      </c>
      <c r="J223">
        <f t="shared" si="51"/>
        <v>1753</v>
      </c>
      <c r="K223">
        <f t="shared" si="52"/>
        <v>4843</v>
      </c>
      <c r="L223">
        <f t="shared" si="53"/>
        <v>6350</v>
      </c>
      <c r="M223">
        <f t="shared" si="54"/>
        <v>4148</v>
      </c>
      <c r="N223">
        <f t="shared" si="55"/>
        <v>3503</v>
      </c>
      <c r="O223">
        <f t="shared" si="56"/>
        <v>36757</v>
      </c>
      <c r="Q223">
        <v>8400</v>
      </c>
      <c r="R223">
        <v>1023</v>
      </c>
      <c r="S223">
        <v>354</v>
      </c>
      <c r="T223">
        <v>1243</v>
      </c>
      <c r="U223">
        <v>215</v>
      </c>
      <c r="V223">
        <v>4</v>
      </c>
      <c r="W223">
        <v>2271</v>
      </c>
      <c r="X223">
        <v>142</v>
      </c>
      <c r="Y223">
        <v>126</v>
      </c>
      <c r="Z223" s="271">
        <v>255</v>
      </c>
      <c r="AA223">
        <v>0</v>
      </c>
      <c r="AB223">
        <v>0</v>
      </c>
      <c r="AC223">
        <v>1101</v>
      </c>
      <c r="AD223">
        <v>121</v>
      </c>
      <c r="AE223">
        <v>197</v>
      </c>
      <c r="AF223">
        <v>2074</v>
      </c>
      <c r="AG223">
        <v>62</v>
      </c>
      <c r="AH223">
        <v>259</v>
      </c>
      <c r="AI223">
        <v>4990</v>
      </c>
      <c r="AJ223">
        <v>147</v>
      </c>
      <c r="AK223">
        <v>0</v>
      </c>
      <c r="AL223">
        <v>6735</v>
      </c>
      <c r="AM223">
        <v>384</v>
      </c>
      <c r="AN223">
        <v>1</v>
      </c>
      <c r="AO223">
        <v>4831</v>
      </c>
      <c r="AP223">
        <v>229</v>
      </c>
      <c r="AQ223">
        <v>454</v>
      </c>
      <c r="AR223">
        <v>4844</v>
      </c>
      <c r="AS223">
        <v>1341</v>
      </c>
      <c r="AT223">
        <v>0</v>
      </c>
      <c r="AU223">
        <v>0</v>
      </c>
      <c r="AV223">
        <v>0</v>
      </c>
      <c r="AW223">
        <v>0</v>
      </c>
      <c r="AX223">
        <f t="shared" si="57"/>
        <v>36757</v>
      </c>
      <c r="AZ223" t="s">
        <v>269</v>
      </c>
      <c r="BA223" s="128">
        <v>35349</v>
      </c>
      <c r="BB223" s="128">
        <v>337286</v>
      </c>
      <c r="BC223" s="128">
        <v>0</v>
      </c>
      <c r="BD223" s="128">
        <v>207235</v>
      </c>
      <c r="BE223" s="128">
        <v>361518</v>
      </c>
      <c r="BF223" s="128">
        <v>2457206</v>
      </c>
      <c r="BG223" s="272">
        <v>48723.085049346089</v>
      </c>
      <c r="BH223">
        <v>1874</v>
      </c>
      <c r="BI223">
        <v>1903</v>
      </c>
      <c r="BJ223">
        <v>223</v>
      </c>
      <c r="BK223">
        <v>204</v>
      </c>
      <c r="BL223">
        <v>516</v>
      </c>
      <c r="BM223">
        <v>105</v>
      </c>
      <c r="BN223" s="128">
        <v>483</v>
      </c>
      <c r="BO223" s="128">
        <v>675</v>
      </c>
      <c r="BP223" s="128">
        <v>2</v>
      </c>
      <c r="BQ223" s="128">
        <f t="shared" si="58"/>
        <v>25952031.914950654</v>
      </c>
      <c r="BR223">
        <v>14127</v>
      </c>
      <c r="BS223" s="128">
        <f t="shared" si="45"/>
        <v>1837.0518804382143</v>
      </c>
      <c r="BT223" t="s">
        <v>467</v>
      </c>
      <c r="BU223" s="129">
        <f t="shared" si="59"/>
        <v>1837.1934533128515</v>
      </c>
      <c r="BZ223" t="s">
        <v>235</v>
      </c>
      <c r="CA223">
        <v>1725.7092410532184</v>
      </c>
      <c r="CB223" t="s">
        <v>467</v>
      </c>
    </row>
    <row r="224" spans="1:80" ht="14.5" x14ac:dyDescent="0.25">
      <c r="A224" t="s">
        <v>226</v>
      </c>
      <c r="B224">
        <v>748</v>
      </c>
      <c r="C224">
        <v>510</v>
      </c>
      <c r="D224">
        <v>139</v>
      </c>
      <c r="E224">
        <f t="shared" si="46"/>
        <v>6199</v>
      </c>
      <c r="F224">
        <f t="shared" si="47"/>
        <v>732</v>
      </c>
      <c r="G224">
        <f t="shared" si="48"/>
        <v>1563</v>
      </c>
      <c r="H224">
        <f t="shared" si="49"/>
        <v>96</v>
      </c>
      <c r="I224">
        <f t="shared" si="50"/>
        <v>519</v>
      </c>
      <c r="J224">
        <f t="shared" si="51"/>
        <v>1077</v>
      </c>
      <c r="K224">
        <f t="shared" si="52"/>
        <v>2530</v>
      </c>
      <c r="L224">
        <f t="shared" si="53"/>
        <v>4180</v>
      </c>
      <c r="M224">
        <f t="shared" si="54"/>
        <v>3181</v>
      </c>
      <c r="N224">
        <f t="shared" si="55"/>
        <v>2707</v>
      </c>
      <c r="O224">
        <f t="shared" si="56"/>
        <v>24181</v>
      </c>
      <c r="Q224">
        <v>6996</v>
      </c>
      <c r="R224">
        <v>748</v>
      </c>
      <c r="S224">
        <v>49</v>
      </c>
      <c r="T224">
        <v>746</v>
      </c>
      <c r="U224">
        <v>0</v>
      </c>
      <c r="V224">
        <v>14</v>
      </c>
      <c r="W224">
        <v>1644</v>
      </c>
      <c r="X224">
        <v>0</v>
      </c>
      <c r="Y224">
        <v>81</v>
      </c>
      <c r="Z224" s="271">
        <v>96</v>
      </c>
      <c r="AA224">
        <v>0</v>
      </c>
      <c r="AB224">
        <v>0</v>
      </c>
      <c r="AC224">
        <v>727</v>
      </c>
      <c r="AD224">
        <v>0</v>
      </c>
      <c r="AE224">
        <v>208</v>
      </c>
      <c r="AF224">
        <v>1150</v>
      </c>
      <c r="AG224">
        <v>0</v>
      </c>
      <c r="AH224">
        <v>73</v>
      </c>
      <c r="AI224">
        <v>2530</v>
      </c>
      <c r="AJ224">
        <v>0</v>
      </c>
      <c r="AK224">
        <v>0</v>
      </c>
      <c r="AL224">
        <v>4193</v>
      </c>
      <c r="AM224">
        <v>0</v>
      </c>
      <c r="AN224">
        <v>13</v>
      </c>
      <c r="AO224">
        <v>3253</v>
      </c>
      <c r="AP224">
        <v>0</v>
      </c>
      <c r="AQ224">
        <v>72</v>
      </c>
      <c r="AR224">
        <v>2707</v>
      </c>
      <c r="AS224">
        <v>0</v>
      </c>
      <c r="AT224">
        <v>0</v>
      </c>
      <c r="AU224">
        <v>0</v>
      </c>
      <c r="AV224">
        <v>0</v>
      </c>
      <c r="AW224">
        <v>0</v>
      </c>
      <c r="AX224">
        <f t="shared" si="57"/>
        <v>24181</v>
      </c>
      <c r="AZ224" t="s">
        <v>226</v>
      </c>
      <c r="BA224" s="128">
        <v>23532</v>
      </c>
      <c r="BB224" s="128">
        <v>330564</v>
      </c>
      <c r="BC224" s="128">
        <v>0</v>
      </c>
      <c r="BD224" s="128">
        <v>509719</v>
      </c>
      <c r="BE224" s="128">
        <v>315348</v>
      </c>
      <c r="BF224" s="128">
        <v>1135585</v>
      </c>
      <c r="BG224" s="272">
        <v>0</v>
      </c>
      <c r="BH224">
        <v>1295</v>
      </c>
      <c r="BI224">
        <v>979</v>
      </c>
      <c r="BJ224">
        <v>160</v>
      </c>
      <c r="BK224">
        <v>6</v>
      </c>
      <c r="BL224">
        <v>304</v>
      </c>
      <c r="BM224">
        <v>73</v>
      </c>
      <c r="BN224" s="128">
        <v>12</v>
      </c>
      <c r="BO224" s="128">
        <v>0</v>
      </c>
      <c r="BP224" s="128">
        <v>14</v>
      </c>
      <c r="BQ224" s="128">
        <f t="shared" si="58"/>
        <v>18397784</v>
      </c>
      <c r="BR224">
        <v>10136</v>
      </c>
      <c r="BS224" s="128">
        <f t="shared" si="45"/>
        <v>1815.093133385951</v>
      </c>
      <c r="BT224" t="s">
        <v>467</v>
      </c>
      <c r="BU224" s="129">
        <f t="shared" si="59"/>
        <v>1816.4743488555644</v>
      </c>
      <c r="BZ224" t="s">
        <v>280</v>
      </c>
      <c r="CA224">
        <v>1597.0786319593246</v>
      </c>
      <c r="CB224" t="s">
        <v>467</v>
      </c>
    </row>
    <row r="225" spans="1:81" ht="14.5" x14ac:dyDescent="0.25">
      <c r="A225" t="s">
        <v>198</v>
      </c>
      <c r="B225">
        <v>25996</v>
      </c>
      <c r="C225">
        <v>5870</v>
      </c>
      <c r="D225">
        <v>170</v>
      </c>
      <c r="E225">
        <f t="shared" si="46"/>
        <v>9357</v>
      </c>
      <c r="F225">
        <f t="shared" si="47"/>
        <v>2728</v>
      </c>
      <c r="G225">
        <f t="shared" si="48"/>
        <v>3599</v>
      </c>
      <c r="H225">
        <f t="shared" si="49"/>
        <v>230</v>
      </c>
      <c r="I225">
        <f t="shared" si="50"/>
        <v>2923</v>
      </c>
      <c r="J225">
        <f t="shared" si="51"/>
        <v>5888</v>
      </c>
      <c r="K225">
        <f t="shared" si="52"/>
        <v>16527</v>
      </c>
      <c r="L225">
        <f t="shared" si="53"/>
        <v>31005</v>
      </c>
      <c r="M225">
        <f t="shared" si="54"/>
        <v>7603</v>
      </c>
      <c r="N225">
        <f t="shared" si="55"/>
        <v>285</v>
      </c>
      <c r="O225">
        <f t="shared" si="56"/>
        <v>112181</v>
      </c>
      <c r="Q225">
        <v>23615</v>
      </c>
      <c r="R225">
        <v>13093</v>
      </c>
      <c r="S225">
        <v>1165</v>
      </c>
      <c r="T225">
        <v>3657</v>
      </c>
      <c r="U225">
        <v>907</v>
      </c>
      <c r="V225">
        <v>22</v>
      </c>
      <c r="W225">
        <v>5313</v>
      </c>
      <c r="X225">
        <v>577</v>
      </c>
      <c r="Y225">
        <v>1137</v>
      </c>
      <c r="Z225" s="271">
        <v>439</v>
      </c>
      <c r="AA225">
        <v>209</v>
      </c>
      <c r="AB225">
        <v>0</v>
      </c>
      <c r="AC225">
        <v>5120</v>
      </c>
      <c r="AD225">
        <v>458</v>
      </c>
      <c r="AE225">
        <v>1739</v>
      </c>
      <c r="AF225">
        <v>8700</v>
      </c>
      <c r="AG225">
        <v>2291</v>
      </c>
      <c r="AH225">
        <v>521</v>
      </c>
      <c r="AI225">
        <v>18094</v>
      </c>
      <c r="AJ225">
        <v>1567</v>
      </c>
      <c r="AK225">
        <v>0</v>
      </c>
      <c r="AL225">
        <v>34672</v>
      </c>
      <c r="AM225">
        <v>3085</v>
      </c>
      <c r="AN225">
        <v>582</v>
      </c>
      <c r="AO225">
        <v>9870</v>
      </c>
      <c r="AP225">
        <v>1634</v>
      </c>
      <c r="AQ225">
        <v>633</v>
      </c>
      <c r="AR225">
        <v>2149</v>
      </c>
      <c r="AS225">
        <v>1807</v>
      </c>
      <c r="AT225">
        <v>57</v>
      </c>
      <c r="AU225">
        <v>393</v>
      </c>
      <c r="AV225">
        <v>368</v>
      </c>
      <c r="AW225">
        <v>14</v>
      </c>
      <c r="AX225">
        <f t="shared" si="57"/>
        <v>112192</v>
      </c>
      <c r="AZ225" t="s">
        <v>198</v>
      </c>
      <c r="BA225" s="128">
        <v>105759</v>
      </c>
      <c r="BB225" s="128">
        <v>4419373</v>
      </c>
      <c r="BC225" s="128">
        <v>0</v>
      </c>
      <c r="BD225" s="128">
        <v>3785967</v>
      </c>
      <c r="BE225" s="128">
        <v>691468</v>
      </c>
      <c r="BF225" s="128">
        <v>9280999.0414982419</v>
      </c>
      <c r="BG225" s="272">
        <v>512609.66047984548</v>
      </c>
      <c r="BH225">
        <v>2052</v>
      </c>
      <c r="BI225">
        <v>5866</v>
      </c>
      <c r="BJ225">
        <v>568</v>
      </c>
      <c r="BK225">
        <v>54</v>
      </c>
      <c r="BL225">
        <v>1018</v>
      </c>
      <c r="BM225">
        <v>804</v>
      </c>
      <c r="BN225" s="128">
        <v>0</v>
      </c>
      <c r="BO225" s="128">
        <v>0</v>
      </c>
      <c r="BP225" s="128">
        <v>2883</v>
      </c>
      <c r="BQ225" s="128">
        <f t="shared" si="58"/>
        <v>73823583.298021913</v>
      </c>
      <c r="BR225">
        <v>48214</v>
      </c>
      <c r="BS225" s="128">
        <f t="shared" si="45"/>
        <v>1531.1648753063823</v>
      </c>
      <c r="BT225" t="s">
        <v>467</v>
      </c>
      <c r="BU225" s="129">
        <f t="shared" si="59"/>
        <v>1590.9607852080705</v>
      </c>
      <c r="BZ225" t="s">
        <v>236</v>
      </c>
      <c r="CA225">
        <v>1481.5678133939705</v>
      </c>
      <c r="CB225" t="s">
        <v>467</v>
      </c>
    </row>
    <row r="226" spans="1:81" ht="14.5" x14ac:dyDescent="0.25">
      <c r="A226" t="s">
        <v>312</v>
      </c>
      <c r="B226">
        <v>13542</v>
      </c>
      <c r="C226">
        <v>3302</v>
      </c>
      <c r="D226">
        <v>1164</v>
      </c>
      <c r="E226">
        <f t="shared" si="46"/>
        <v>8824</v>
      </c>
      <c r="F226">
        <f t="shared" si="47"/>
        <v>2461</v>
      </c>
      <c r="G226">
        <f t="shared" si="48"/>
        <v>3500</v>
      </c>
      <c r="H226">
        <f t="shared" si="49"/>
        <v>833</v>
      </c>
      <c r="I226">
        <f t="shared" si="50"/>
        <v>1912</v>
      </c>
      <c r="J226">
        <f t="shared" si="51"/>
        <v>5448</v>
      </c>
      <c r="K226">
        <f t="shared" si="52"/>
        <v>13826</v>
      </c>
      <c r="L226">
        <f t="shared" si="53"/>
        <v>18580</v>
      </c>
      <c r="M226">
        <f t="shared" si="54"/>
        <v>6667</v>
      </c>
      <c r="N226">
        <f t="shared" si="55"/>
        <v>1009</v>
      </c>
      <c r="O226">
        <f t="shared" si="56"/>
        <v>81068</v>
      </c>
      <c r="Q226">
        <v>16454</v>
      </c>
      <c r="R226">
        <v>7307</v>
      </c>
      <c r="S226">
        <v>323</v>
      </c>
      <c r="T226">
        <v>2553</v>
      </c>
      <c r="U226">
        <v>80</v>
      </c>
      <c r="V226">
        <v>12</v>
      </c>
      <c r="W226">
        <v>5352</v>
      </c>
      <c r="X226">
        <v>1414</v>
      </c>
      <c r="Y226">
        <v>438</v>
      </c>
      <c r="Z226" s="271">
        <v>1276</v>
      </c>
      <c r="AA226">
        <v>212</v>
      </c>
      <c r="AB226">
        <v>231</v>
      </c>
      <c r="AC226">
        <v>2708</v>
      </c>
      <c r="AD226">
        <v>185</v>
      </c>
      <c r="AE226">
        <v>611</v>
      </c>
      <c r="AF226">
        <v>7402</v>
      </c>
      <c r="AG226">
        <v>1191</v>
      </c>
      <c r="AH226">
        <v>763</v>
      </c>
      <c r="AI226">
        <v>13897</v>
      </c>
      <c r="AJ226">
        <v>71</v>
      </c>
      <c r="AK226">
        <v>0</v>
      </c>
      <c r="AL226">
        <v>19284</v>
      </c>
      <c r="AM226">
        <v>577</v>
      </c>
      <c r="AN226">
        <v>127</v>
      </c>
      <c r="AO226">
        <v>8037</v>
      </c>
      <c r="AP226">
        <v>629</v>
      </c>
      <c r="AQ226">
        <v>741</v>
      </c>
      <c r="AR226">
        <v>2588</v>
      </c>
      <c r="AS226">
        <v>1523</v>
      </c>
      <c r="AT226">
        <v>56</v>
      </c>
      <c r="AU226">
        <v>10761</v>
      </c>
      <c r="AV226">
        <v>353</v>
      </c>
      <c r="AW226">
        <v>0</v>
      </c>
      <c r="AX226">
        <f t="shared" si="57"/>
        <v>91476</v>
      </c>
      <c r="AZ226" t="s">
        <v>312</v>
      </c>
      <c r="BA226" s="128">
        <v>76249</v>
      </c>
      <c r="BB226" s="128">
        <v>987416</v>
      </c>
      <c r="BC226" s="128">
        <v>0</v>
      </c>
      <c r="BD226" s="128">
        <v>1814956</v>
      </c>
      <c r="BE226" s="128">
        <v>518989</v>
      </c>
      <c r="BF226" s="128">
        <v>7848354.0390031729</v>
      </c>
      <c r="BG226" s="272">
        <v>147274.07830508612</v>
      </c>
      <c r="BH226">
        <v>2377</v>
      </c>
      <c r="BI226">
        <v>4563</v>
      </c>
      <c r="BJ226">
        <v>344</v>
      </c>
      <c r="BK226">
        <v>408</v>
      </c>
      <c r="BL226">
        <v>745</v>
      </c>
      <c r="BM226">
        <v>30</v>
      </c>
      <c r="BN226" s="128">
        <v>36</v>
      </c>
      <c r="BO226" s="128">
        <v>40</v>
      </c>
      <c r="BP226" s="128">
        <v>2410</v>
      </c>
      <c r="BQ226" s="128">
        <f t="shared" si="58"/>
        <v>53979010.882691741</v>
      </c>
      <c r="BR226">
        <v>32164</v>
      </c>
      <c r="BS226" s="128">
        <f t="shared" si="45"/>
        <v>1678.2430942262076</v>
      </c>
      <c r="BT226" t="s">
        <v>467</v>
      </c>
      <c r="BU226" s="129">
        <f t="shared" si="59"/>
        <v>1753.1715857073666</v>
      </c>
      <c r="BZ226" t="s">
        <v>211</v>
      </c>
      <c r="CA226">
        <v>1800.2493390251752</v>
      </c>
      <c r="CB226" t="s">
        <v>467</v>
      </c>
    </row>
    <row r="227" spans="1:81" ht="14.5" x14ac:dyDescent="0.25">
      <c r="A227" t="s">
        <v>417</v>
      </c>
      <c r="B227">
        <v>24052</v>
      </c>
      <c r="C227">
        <v>6384</v>
      </c>
      <c r="D227">
        <v>1327</v>
      </c>
      <c r="E227">
        <f t="shared" si="46"/>
        <v>5709</v>
      </c>
      <c r="F227">
        <f t="shared" si="47"/>
        <v>3292</v>
      </c>
      <c r="G227">
        <f t="shared" si="48"/>
        <v>2987</v>
      </c>
      <c r="H227">
        <f t="shared" si="49"/>
        <v>958</v>
      </c>
      <c r="I227">
        <f t="shared" si="50"/>
        <v>2668</v>
      </c>
      <c r="J227">
        <f t="shared" si="51"/>
        <v>5856</v>
      </c>
      <c r="K227">
        <f t="shared" si="52"/>
        <v>18309</v>
      </c>
      <c r="L227">
        <f t="shared" si="53"/>
        <v>17525</v>
      </c>
      <c r="M227">
        <f t="shared" si="54"/>
        <v>6501</v>
      </c>
      <c r="N227">
        <f t="shared" si="55"/>
        <v>1637</v>
      </c>
      <c r="O227">
        <f t="shared" si="56"/>
        <v>97205</v>
      </c>
      <c r="Q227">
        <v>15538</v>
      </c>
      <c r="R227">
        <v>11019</v>
      </c>
      <c r="S227">
        <v>-1190</v>
      </c>
      <c r="T227">
        <v>3664</v>
      </c>
      <c r="U227">
        <v>275</v>
      </c>
      <c r="V227">
        <v>97</v>
      </c>
      <c r="W227">
        <v>5322</v>
      </c>
      <c r="X227">
        <v>658</v>
      </c>
      <c r="Y227">
        <v>1677</v>
      </c>
      <c r="Z227" s="271">
        <v>1409</v>
      </c>
      <c r="AA227">
        <v>444</v>
      </c>
      <c r="AB227">
        <v>7</v>
      </c>
      <c r="AC227">
        <v>4064</v>
      </c>
      <c r="AD227">
        <v>178</v>
      </c>
      <c r="AE227">
        <v>1218</v>
      </c>
      <c r="AF227">
        <v>8047</v>
      </c>
      <c r="AG227">
        <v>1293</v>
      </c>
      <c r="AH227">
        <v>898</v>
      </c>
      <c r="AI227">
        <v>20067</v>
      </c>
      <c r="AJ227">
        <v>1726</v>
      </c>
      <c r="AK227">
        <v>32</v>
      </c>
      <c r="AL227">
        <v>21510</v>
      </c>
      <c r="AM227">
        <v>2905</v>
      </c>
      <c r="AN227">
        <v>1080</v>
      </c>
      <c r="AO227">
        <v>10689</v>
      </c>
      <c r="AP227">
        <v>1988</v>
      </c>
      <c r="AQ227">
        <v>2200</v>
      </c>
      <c r="AR227">
        <v>4926</v>
      </c>
      <c r="AS227">
        <v>3051</v>
      </c>
      <c r="AT227">
        <v>238</v>
      </c>
      <c r="AU227">
        <v>818</v>
      </c>
      <c r="AV227">
        <v>515</v>
      </c>
      <c r="AW227">
        <v>127</v>
      </c>
      <c r="AX227">
        <f t="shared" si="57"/>
        <v>97381</v>
      </c>
      <c r="AZ227" t="s">
        <v>417</v>
      </c>
      <c r="BA227" s="128">
        <v>88852</v>
      </c>
      <c r="BB227" s="128">
        <v>904566</v>
      </c>
      <c r="BC227" s="128">
        <v>0</v>
      </c>
      <c r="BD227" s="128">
        <v>5835526</v>
      </c>
      <c r="BE227" s="128">
        <v>647203</v>
      </c>
      <c r="BF227" s="128">
        <v>6382350.0065162415</v>
      </c>
      <c r="BG227" s="272">
        <v>1212785.5419795206</v>
      </c>
      <c r="BH227">
        <v>5717</v>
      </c>
      <c r="BI227">
        <v>3577</v>
      </c>
      <c r="BJ227">
        <v>590</v>
      </c>
      <c r="BK227">
        <v>43</v>
      </c>
      <c r="BL227">
        <v>741</v>
      </c>
      <c r="BM227">
        <v>152</v>
      </c>
      <c r="BN227" s="128">
        <v>868</v>
      </c>
      <c r="BO227" s="128">
        <v>0</v>
      </c>
      <c r="BP227" s="128">
        <v>389</v>
      </c>
      <c r="BQ227" s="128">
        <f t="shared" si="58"/>
        <v>61792569.45150423</v>
      </c>
      <c r="BR227">
        <v>43658</v>
      </c>
      <c r="BS227" s="128">
        <f t="shared" si="45"/>
        <v>1415.3779250424718</v>
      </c>
      <c r="BT227" t="s">
        <v>467</v>
      </c>
      <c r="BU227" s="129">
        <f t="shared" si="59"/>
        <v>1424.288090418806</v>
      </c>
      <c r="BZ227" t="s">
        <v>434</v>
      </c>
      <c r="CA227">
        <v>1651.6386060033831</v>
      </c>
      <c r="CB227" t="s">
        <v>467</v>
      </c>
    </row>
    <row r="228" spans="1:81" ht="14.5" x14ac:dyDescent="0.25">
      <c r="A228" t="s">
        <v>124</v>
      </c>
      <c r="B228">
        <v>818</v>
      </c>
      <c r="C228">
        <v>1104</v>
      </c>
      <c r="D228">
        <v>312</v>
      </c>
      <c r="E228">
        <f t="shared" si="46"/>
        <v>4307</v>
      </c>
      <c r="F228">
        <f t="shared" si="47"/>
        <v>1280</v>
      </c>
      <c r="G228">
        <f t="shared" si="48"/>
        <v>1602</v>
      </c>
      <c r="H228">
        <f t="shared" si="49"/>
        <v>208</v>
      </c>
      <c r="I228">
        <f t="shared" si="50"/>
        <v>1395</v>
      </c>
      <c r="J228">
        <f t="shared" si="51"/>
        <v>2442</v>
      </c>
      <c r="K228">
        <f t="shared" si="52"/>
        <v>15546</v>
      </c>
      <c r="L228">
        <f t="shared" si="53"/>
        <v>11548</v>
      </c>
      <c r="M228">
        <f t="shared" si="54"/>
        <v>2924</v>
      </c>
      <c r="N228">
        <f t="shared" si="55"/>
        <v>988</v>
      </c>
      <c r="O228">
        <f t="shared" si="56"/>
        <v>44474</v>
      </c>
      <c r="Q228">
        <v>5228</v>
      </c>
      <c r="R228">
        <v>818</v>
      </c>
      <c r="S228">
        <v>103</v>
      </c>
      <c r="T228">
        <v>1280</v>
      </c>
      <c r="U228">
        <v>0</v>
      </c>
      <c r="V228">
        <v>0</v>
      </c>
      <c r="W228">
        <v>1731</v>
      </c>
      <c r="X228">
        <v>0</v>
      </c>
      <c r="Y228">
        <v>129</v>
      </c>
      <c r="Z228" s="271">
        <v>208</v>
      </c>
      <c r="AA228">
        <v>0</v>
      </c>
      <c r="AB228">
        <v>0</v>
      </c>
      <c r="AC228">
        <v>1676</v>
      </c>
      <c r="AD228">
        <v>0</v>
      </c>
      <c r="AE228">
        <v>281</v>
      </c>
      <c r="AF228">
        <v>2551</v>
      </c>
      <c r="AG228">
        <v>0</v>
      </c>
      <c r="AH228">
        <v>109</v>
      </c>
      <c r="AI228">
        <v>15546</v>
      </c>
      <c r="AJ228">
        <v>0</v>
      </c>
      <c r="AK228">
        <v>0</v>
      </c>
      <c r="AL228">
        <v>11572</v>
      </c>
      <c r="AM228">
        <v>0</v>
      </c>
      <c r="AN228">
        <v>24</v>
      </c>
      <c r="AO228">
        <v>3207</v>
      </c>
      <c r="AP228">
        <v>0</v>
      </c>
      <c r="AQ228">
        <v>283</v>
      </c>
      <c r="AR228">
        <v>1163</v>
      </c>
      <c r="AS228">
        <v>0</v>
      </c>
      <c r="AT228">
        <v>175</v>
      </c>
      <c r="AU228">
        <v>0</v>
      </c>
      <c r="AV228">
        <v>0</v>
      </c>
      <c r="AW228">
        <v>0</v>
      </c>
      <c r="AX228">
        <f t="shared" si="57"/>
        <v>44474</v>
      </c>
      <c r="AZ228" t="s">
        <v>124</v>
      </c>
      <c r="BA228" s="128">
        <v>43058</v>
      </c>
      <c r="BB228" s="128">
        <v>614634</v>
      </c>
      <c r="BC228" s="128">
        <v>0</v>
      </c>
      <c r="BD228" s="128">
        <v>4954433</v>
      </c>
      <c r="BE228" s="128">
        <v>429926</v>
      </c>
      <c r="BF228" s="128">
        <v>6418974</v>
      </c>
      <c r="BG228" s="272">
        <v>148205.41927716509</v>
      </c>
      <c r="BH228">
        <v>1109</v>
      </c>
      <c r="BI228">
        <v>1654</v>
      </c>
      <c r="BJ228">
        <v>191</v>
      </c>
      <c r="BK228">
        <v>58</v>
      </c>
      <c r="BL228">
        <v>140</v>
      </c>
      <c r="BM228">
        <v>21</v>
      </c>
      <c r="BN228" s="128">
        <v>0</v>
      </c>
      <c r="BO228" s="128">
        <v>0</v>
      </c>
      <c r="BP228" s="128">
        <v>5</v>
      </c>
      <c r="BQ228" s="128">
        <f t="shared" si="58"/>
        <v>27313827.580722835</v>
      </c>
      <c r="BR228">
        <v>12166</v>
      </c>
      <c r="BS228" s="128">
        <f t="shared" si="45"/>
        <v>2245.0951488346896</v>
      </c>
      <c r="BT228" t="s">
        <v>441</v>
      </c>
      <c r="BU228" s="129">
        <f t="shared" si="59"/>
        <v>2245.5061302583294</v>
      </c>
      <c r="BZ228" t="s">
        <v>327</v>
      </c>
      <c r="CA228">
        <v>1681.8867770081315</v>
      </c>
      <c r="CB228" t="s">
        <v>467</v>
      </c>
    </row>
    <row r="229" spans="1:81" ht="14.5" x14ac:dyDescent="0.25">
      <c r="A229" t="s">
        <v>313</v>
      </c>
      <c r="B229">
        <v>31782</v>
      </c>
      <c r="C229">
        <v>8778</v>
      </c>
      <c r="D229">
        <v>3072</v>
      </c>
      <c r="E229">
        <f t="shared" si="46"/>
        <v>8229</v>
      </c>
      <c r="F229">
        <f t="shared" si="47"/>
        <v>3852</v>
      </c>
      <c r="G229">
        <f t="shared" si="48"/>
        <v>3645</v>
      </c>
      <c r="H229">
        <f t="shared" si="49"/>
        <v>5223</v>
      </c>
      <c r="I229">
        <f t="shared" si="50"/>
        <v>2534</v>
      </c>
      <c r="J229">
        <f t="shared" si="51"/>
        <v>6314</v>
      </c>
      <c r="K229">
        <f t="shared" si="52"/>
        <v>12565</v>
      </c>
      <c r="L229">
        <f t="shared" si="53"/>
        <v>18759</v>
      </c>
      <c r="M229">
        <f t="shared" si="54"/>
        <v>12355</v>
      </c>
      <c r="N229">
        <f t="shared" si="55"/>
        <v>1644</v>
      </c>
      <c r="O229">
        <f t="shared" si="56"/>
        <v>118752</v>
      </c>
      <c r="Q229">
        <v>24581</v>
      </c>
      <c r="R229">
        <v>14398</v>
      </c>
      <c r="S229">
        <v>1954</v>
      </c>
      <c r="T229">
        <v>4883</v>
      </c>
      <c r="U229">
        <v>1031</v>
      </c>
      <c r="V229">
        <v>0</v>
      </c>
      <c r="W229">
        <v>7601</v>
      </c>
      <c r="X229">
        <v>2879</v>
      </c>
      <c r="Y229">
        <v>1077</v>
      </c>
      <c r="Z229" s="271">
        <v>5976</v>
      </c>
      <c r="AA229">
        <v>753</v>
      </c>
      <c r="AB229">
        <v>0</v>
      </c>
      <c r="AC229">
        <v>4842</v>
      </c>
      <c r="AD229">
        <v>706</v>
      </c>
      <c r="AE229">
        <v>1602</v>
      </c>
      <c r="AF229">
        <v>8887</v>
      </c>
      <c r="AG229">
        <v>906</v>
      </c>
      <c r="AH229">
        <v>1667</v>
      </c>
      <c r="AI229">
        <v>14609</v>
      </c>
      <c r="AJ229">
        <v>2044</v>
      </c>
      <c r="AK229">
        <v>0</v>
      </c>
      <c r="AL229">
        <v>22672</v>
      </c>
      <c r="AM229">
        <v>3885</v>
      </c>
      <c r="AN229">
        <v>28</v>
      </c>
      <c r="AO229">
        <v>15888</v>
      </c>
      <c r="AP229">
        <v>1602</v>
      </c>
      <c r="AQ229">
        <v>1931</v>
      </c>
      <c r="AR229">
        <v>4304</v>
      </c>
      <c r="AS229">
        <v>2141</v>
      </c>
      <c r="AT229">
        <v>519</v>
      </c>
      <c r="AU229">
        <v>42369</v>
      </c>
      <c r="AV229">
        <v>1437</v>
      </c>
      <c r="AW229">
        <v>0</v>
      </c>
      <c r="AX229">
        <f t="shared" si="57"/>
        <v>159684</v>
      </c>
      <c r="AZ229" t="s">
        <v>313</v>
      </c>
      <c r="BA229" s="128">
        <v>105465</v>
      </c>
      <c r="BB229" s="128">
        <v>1238185</v>
      </c>
      <c r="BC229" s="128">
        <v>0</v>
      </c>
      <c r="BD229" s="128">
        <v>273602</v>
      </c>
      <c r="BE229" s="128">
        <v>626214.16333333333</v>
      </c>
      <c r="BF229" s="128">
        <v>7571475.4562963294</v>
      </c>
      <c r="BG229" s="272">
        <v>459199.18303076457</v>
      </c>
      <c r="BH229">
        <v>5245</v>
      </c>
      <c r="BI229">
        <v>7468</v>
      </c>
      <c r="BJ229">
        <v>754</v>
      </c>
      <c r="BK229">
        <v>0</v>
      </c>
      <c r="BL229">
        <v>2452</v>
      </c>
      <c r="BM229">
        <v>192</v>
      </c>
      <c r="BN229" s="128">
        <v>205</v>
      </c>
      <c r="BO229" s="128">
        <v>0</v>
      </c>
      <c r="BP229" s="128">
        <v>59</v>
      </c>
      <c r="BQ229" s="128">
        <f t="shared" si="58"/>
        <v>78921324.197339579</v>
      </c>
      <c r="BR229">
        <v>55668</v>
      </c>
      <c r="BS229" s="128">
        <f t="shared" si="45"/>
        <v>1417.7143816436655</v>
      </c>
      <c r="BT229" t="s">
        <v>467</v>
      </c>
      <c r="BU229" s="129">
        <f t="shared" si="59"/>
        <v>1418.7742364974415</v>
      </c>
      <c r="BZ229" t="s">
        <v>328</v>
      </c>
      <c r="CA229">
        <v>1409.9684452639156</v>
      </c>
      <c r="CB229" t="s">
        <v>467</v>
      </c>
    </row>
    <row r="230" spans="1:81" x14ac:dyDescent="0.25">
      <c r="A230" t="s">
        <v>270</v>
      </c>
      <c r="B230">
        <v>56202</v>
      </c>
      <c r="C230">
        <v>16612</v>
      </c>
      <c r="D230">
        <v>4175</v>
      </c>
      <c r="E230">
        <v>19222</v>
      </c>
      <c r="F230">
        <v>8152</v>
      </c>
      <c r="G230">
        <v>6565</v>
      </c>
      <c r="H230">
        <v>7565</v>
      </c>
      <c r="I230">
        <v>6425</v>
      </c>
      <c r="J230">
        <v>17672</v>
      </c>
      <c r="K230">
        <v>37357</v>
      </c>
      <c r="L230">
        <v>61804</v>
      </c>
      <c r="M230">
        <v>16933</v>
      </c>
      <c r="N230">
        <v>2759</v>
      </c>
      <c r="O230">
        <v>261443</v>
      </c>
      <c r="P230">
        <v>0</v>
      </c>
      <c r="Q230">
        <v>47745</v>
      </c>
      <c r="R230">
        <v>24784</v>
      </c>
      <c r="S230">
        <v>3739</v>
      </c>
      <c r="T230">
        <v>9886</v>
      </c>
      <c r="U230">
        <v>1606</v>
      </c>
      <c r="V230">
        <v>128</v>
      </c>
      <c r="W230">
        <v>14470</v>
      </c>
      <c r="X230">
        <v>5364</v>
      </c>
      <c r="Y230">
        <v>2541</v>
      </c>
      <c r="Z230">
        <v>7945</v>
      </c>
      <c r="AA230">
        <v>372</v>
      </c>
      <c r="AB230">
        <v>8</v>
      </c>
      <c r="AC230">
        <v>10662</v>
      </c>
      <c r="AD230">
        <v>1087</v>
      </c>
      <c r="AE230">
        <v>3150</v>
      </c>
      <c r="AF230">
        <v>24672</v>
      </c>
      <c r="AG230">
        <v>3564</v>
      </c>
      <c r="AH230">
        <v>3436</v>
      </c>
      <c r="AI230">
        <v>43028</v>
      </c>
      <c r="AJ230">
        <v>5671</v>
      </c>
      <c r="AK230">
        <v>0</v>
      </c>
      <c r="AL230">
        <v>69240</v>
      </c>
      <c r="AM230">
        <v>5879</v>
      </c>
      <c r="AN230">
        <v>1557</v>
      </c>
      <c r="AO230">
        <v>24581</v>
      </c>
      <c r="AP230">
        <v>5595</v>
      </c>
      <c r="AQ230">
        <v>2053</v>
      </c>
      <c r="AR230">
        <v>5039</v>
      </c>
      <c r="AS230">
        <v>2280</v>
      </c>
      <c r="AT230">
        <v>0</v>
      </c>
      <c r="AU230">
        <v>5002</v>
      </c>
      <c r="AV230">
        <v>0</v>
      </c>
      <c r="AW230">
        <v>0</v>
      </c>
      <c r="AX230">
        <v>266445</v>
      </c>
      <c r="AZ230" t="s">
        <v>270</v>
      </c>
      <c r="BA230" s="128">
        <v>240656</v>
      </c>
      <c r="BB230" s="128">
        <v>1812782</v>
      </c>
      <c r="BC230" s="128">
        <v>5906069</v>
      </c>
      <c r="BD230" s="128">
        <v>6660191</v>
      </c>
      <c r="BE230" s="128">
        <v>3016347</v>
      </c>
      <c r="BF230" s="128">
        <v>24826520.740018688</v>
      </c>
      <c r="BG230">
        <v>2353994.7628929056</v>
      </c>
      <c r="BH230">
        <v>8632</v>
      </c>
      <c r="BI230">
        <v>15284</v>
      </c>
      <c r="BJ230">
        <v>932</v>
      </c>
      <c r="BK230">
        <v>604</v>
      </c>
      <c r="BL230">
        <v>2748</v>
      </c>
      <c r="BM230">
        <v>809</v>
      </c>
      <c r="BN230" s="128">
        <v>120</v>
      </c>
      <c r="BO230" s="128">
        <v>3606</v>
      </c>
      <c r="BP230" s="128">
        <v>811</v>
      </c>
      <c r="BQ230" s="128">
        <f t="shared" si="58"/>
        <v>162534095.4970884</v>
      </c>
      <c r="BR230">
        <v>91781</v>
      </c>
      <c r="BS230" s="128">
        <f t="shared" si="45"/>
        <v>1770.8904402554822</v>
      </c>
      <c r="BT230" t="s">
        <v>118</v>
      </c>
      <c r="BU230" s="129">
        <f t="shared" si="59"/>
        <v>1779.726691767233</v>
      </c>
      <c r="BZ230" t="s">
        <v>399</v>
      </c>
      <c r="CA230">
        <v>1595.0717697516125</v>
      </c>
      <c r="CB230" t="s">
        <v>467</v>
      </c>
    </row>
    <row r="231" spans="1:81" ht="14.5" x14ac:dyDescent="0.25">
      <c r="A231" t="s">
        <v>199</v>
      </c>
      <c r="B231">
        <v>12686</v>
      </c>
      <c r="C231">
        <v>3976</v>
      </c>
      <c r="D231">
        <v>-14</v>
      </c>
      <c r="E231">
        <f t="shared" si="46"/>
        <v>3784</v>
      </c>
      <c r="F231">
        <f t="shared" si="47"/>
        <v>1456</v>
      </c>
      <c r="G231">
        <f t="shared" si="48"/>
        <v>1497</v>
      </c>
      <c r="H231">
        <f t="shared" si="49"/>
        <v>266</v>
      </c>
      <c r="I231">
        <f t="shared" si="50"/>
        <v>1852</v>
      </c>
      <c r="J231">
        <f t="shared" si="51"/>
        <v>2729</v>
      </c>
      <c r="K231">
        <f t="shared" si="52"/>
        <v>5694</v>
      </c>
      <c r="L231">
        <f t="shared" si="53"/>
        <v>11810</v>
      </c>
      <c r="M231">
        <f t="shared" si="54"/>
        <v>4869</v>
      </c>
      <c r="N231">
        <f t="shared" si="55"/>
        <v>393</v>
      </c>
      <c r="O231">
        <f t="shared" si="56"/>
        <v>50998</v>
      </c>
      <c r="Q231">
        <v>11307</v>
      </c>
      <c r="R231">
        <v>6238</v>
      </c>
      <c r="S231">
        <v>1285</v>
      </c>
      <c r="T231">
        <v>1906</v>
      </c>
      <c r="U231">
        <v>428</v>
      </c>
      <c r="V231">
        <v>22</v>
      </c>
      <c r="W231">
        <v>3005</v>
      </c>
      <c r="X231">
        <v>696</v>
      </c>
      <c r="Y231">
        <v>812</v>
      </c>
      <c r="Z231" s="271">
        <v>446</v>
      </c>
      <c r="AA231">
        <v>169</v>
      </c>
      <c r="AB231">
        <v>11</v>
      </c>
      <c r="AC231">
        <v>2556</v>
      </c>
      <c r="AD231">
        <v>86</v>
      </c>
      <c r="AE231">
        <v>618</v>
      </c>
      <c r="AF231">
        <v>3952</v>
      </c>
      <c r="AG231">
        <v>604</v>
      </c>
      <c r="AH231">
        <v>619</v>
      </c>
      <c r="AI231">
        <v>6503</v>
      </c>
      <c r="AJ231">
        <v>809</v>
      </c>
      <c r="AK231">
        <v>0</v>
      </c>
      <c r="AL231">
        <v>12965</v>
      </c>
      <c r="AM231">
        <v>1148</v>
      </c>
      <c r="AN231">
        <v>7</v>
      </c>
      <c r="AO231">
        <v>6588</v>
      </c>
      <c r="AP231">
        <v>1123</v>
      </c>
      <c r="AQ231">
        <v>596</v>
      </c>
      <c r="AR231">
        <v>1656</v>
      </c>
      <c r="AS231">
        <v>1257</v>
      </c>
      <c r="AT231">
        <v>6</v>
      </c>
      <c r="AU231">
        <v>3581</v>
      </c>
      <c r="AV231">
        <v>128</v>
      </c>
      <c r="AW231">
        <v>0</v>
      </c>
      <c r="AX231">
        <f t="shared" si="57"/>
        <v>54451</v>
      </c>
      <c r="AZ231" t="s">
        <v>199</v>
      </c>
      <c r="BA231" s="128">
        <v>46908</v>
      </c>
      <c r="BB231" s="128">
        <v>1169771</v>
      </c>
      <c r="BC231" s="128">
        <v>0</v>
      </c>
      <c r="BD231" s="128">
        <v>2011540</v>
      </c>
      <c r="BE231" s="128">
        <v>425976</v>
      </c>
      <c r="BF231" s="128">
        <v>3100119.8356991922</v>
      </c>
      <c r="BG231" s="272">
        <v>110168.46336790267</v>
      </c>
      <c r="BH231">
        <v>2531</v>
      </c>
      <c r="BI231">
        <v>1540</v>
      </c>
      <c r="BJ231">
        <v>352</v>
      </c>
      <c r="BK231">
        <v>407</v>
      </c>
      <c r="BL231">
        <v>663</v>
      </c>
      <c r="BM231">
        <v>200</v>
      </c>
      <c r="BN231" s="128">
        <v>1114</v>
      </c>
      <c r="BO231" s="128">
        <v>0</v>
      </c>
      <c r="BP231" s="128">
        <v>1357</v>
      </c>
      <c r="BQ231" s="128">
        <f t="shared" si="58"/>
        <v>31926424.700932905</v>
      </c>
      <c r="BR231">
        <v>24370</v>
      </c>
      <c r="BS231" s="128">
        <f t="shared" si="45"/>
        <v>1310.0707714785763</v>
      </c>
      <c r="BT231" t="s">
        <v>467</v>
      </c>
      <c r="BU231" s="129">
        <f t="shared" si="59"/>
        <v>1365.7539885487445</v>
      </c>
      <c r="BZ231" t="s">
        <v>163</v>
      </c>
      <c r="CA231">
        <v>1564.5551876334812</v>
      </c>
      <c r="CB231" t="s">
        <v>467</v>
      </c>
      <c r="CC231">
        <f>_xlfn.QUARTILE.INC(CA73:CA231,3)</f>
        <v>1664.2383430262175</v>
      </c>
    </row>
    <row r="232" spans="1:81" ht="14.5" x14ac:dyDescent="0.25">
      <c r="A232" t="s">
        <v>156</v>
      </c>
      <c r="B232">
        <v>18365</v>
      </c>
      <c r="C232">
        <v>4204</v>
      </c>
      <c r="D232">
        <v>2226</v>
      </c>
      <c r="E232">
        <f t="shared" si="46"/>
        <v>6740</v>
      </c>
      <c r="F232">
        <f t="shared" si="47"/>
        <v>3024</v>
      </c>
      <c r="G232">
        <f t="shared" si="48"/>
        <v>4471</v>
      </c>
      <c r="H232">
        <f t="shared" si="49"/>
        <v>1379</v>
      </c>
      <c r="I232">
        <f t="shared" si="50"/>
        <v>2218</v>
      </c>
      <c r="J232">
        <f t="shared" si="51"/>
        <v>6265</v>
      </c>
      <c r="K232">
        <f t="shared" si="52"/>
        <v>12344</v>
      </c>
      <c r="L232">
        <f t="shared" si="53"/>
        <v>20390</v>
      </c>
      <c r="M232">
        <f t="shared" si="54"/>
        <v>8060</v>
      </c>
      <c r="N232">
        <f t="shared" si="55"/>
        <v>1734</v>
      </c>
      <c r="O232">
        <f t="shared" si="56"/>
        <v>91420</v>
      </c>
      <c r="Q232">
        <v>15473</v>
      </c>
      <c r="R232">
        <v>7867</v>
      </c>
      <c r="S232">
        <v>866</v>
      </c>
      <c r="T232">
        <v>3561</v>
      </c>
      <c r="U232">
        <v>492</v>
      </c>
      <c r="V232">
        <v>45</v>
      </c>
      <c r="W232">
        <v>6032</v>
      </c>
      <c r="X232">
        <v>1157</v>
      </c>
      <c r="Y232">
        <v>404</v>
      </c>
      <c r="Z232" s="271">
        <v>1663</v>
      </c>
      <c r="AA232">
        <v>265</v>
      </c>
      <c r="AB232">
        <v>19</v>
      </c>
      <c r="AC232">
        <v>3712</v>
      </c>
      <c r="AD232">
        <v>350</v>
      </c>
      <c r="AE232">
        <v>1144</v>
      </c>
      <c r="AF232">
        <v>8609</v>
      </c>
      <c r="AG232">
        <v>1260</v>
      </c>
      <c r="AH232">
        <v>1084</v>
      </c>
      <c r="AI232">
        <v>14045</v>
      </c>
      <c r="AJ232">
        <v>1701</v>
      </c>
      <c r="AK232">
        <v>0</v>
      </c>
      <c r="AL232">
        <v>22119</v>
      </c>
      <c r="AM232">
        <v>1729</v>
      </c>
      <c r="AN232">
        <v>0</v>
      </c>
      <c r="AO232">
        <v>9710</v>
      </c>
      <c r="AP232">
        <v>1008</v>
      </c>
      <c r="AQ232">
        <v>642</v>
      </c>
      <c r="AR232">
        <v>3662</v>
      </c>
      <c r="AS232">
        <v>1928</v>
      </c>
      <c r="AT232">
        <v>0</v>
      </c>
      <c r="AU232">
        <v>3657</v>
      </c>
      <c r="AV232">
        <v>608</v>
      </c>
      <c r="AW232">
        <v>0</v>
      </c>
      <c r="AX232">
        <f t="shared" si="57"/>
        <v>94469</v>
      </c>
      <c r="AZ232" t="s">
        <v>156</v>
      </c>
      <c r="BA232" s="128">
        <v>84382</v>
      </c>
      <c r="BB232" s="128">
        <v>755786</v>
      </c>
      <c r="BC232" s="128">
        <v>0</v>
      </c>
      <c r="BD232" s="128">
        <v>4164409</v>
      </c>
      <c r="BE232" s="128">
        <v>604174</v>
      </c>
      <c r="BF232" s="128">
        <v>6185837.5501020923</v>
      </c>
      <c r="BG232" s="272">
        <v>0</v>
      </c>
      <c r="BH232">
        <v>3642</v>
      </c>
      <c r="BI232">
        <v>3032</v>
      </c>
      <c r="BJ232">
        <v>364</v>
      </c>
      <c r="BK232">
        <v>233</v>
      </c>
      <c r="BL232">
        <v>903</v>
      </c>
      <c r="BM232">
        <v>172</v>
      </c>
      <c r="BN232" s="128">
        <v>426</v>
      </c>
      <c r="BO232" s="128">
        <v>0</v>
      </c>
      <c r="BP232" s="128">
        <v>48</v>
      </c>
      <c r="BQ232" s="128">
        <f t="shared" si="58"/>
        <v>63851793.449897915</v>
      </c>
      <c r="BR232">
        <v>37915</v>
      </c>
      <c r="BS232" s="128">
        <f t="shared" si="45"/>
        <v>1684.0773691124334</v>
      </c>
      <c r="BT232" t="s">
        <v>467</v>
      </c>
      <c r="BU232" s="129">
        <f t="shared" si="59"/>
        <v>1685.3433588262671</v>
      </c>
      <c r="BZ232" t="s">
        <v>106</v>
      </c>
      <c r="CA232">
        <v>1749.530443446755</v>
      </c>
      <c r="CB232" t="s">
        <v>118</v>
      </c>
    </row>
    <row r="233" spans="1:81" ht="14.5" x14ac:dyDescent="0.25">
      <c r="A233" t="s">
        <v>336</v>
      </c>
      <c r="B233">
        <v>9782</v>
      </c>
      <c r="C233">
        <v>2234</v>
      </c>
      <c r="D233">
        <v>965</v>
      </c>
      <c r="E233">
        <f t="shared" si="46"/>
        <v>3570</v>
      </c>
      <c r="F233">
        <f t="shared" si="47"/>
        <v>1620</v>
      </c>
      <c r="G233">
        <f t="shared" si="48"/>
        <v>3208</v>
      </c>
      <c r="H233">
        <f t="shared" si="49"/>
        <v>1066</v>
      </c>
      <c r="I233">
        <f t="shared" si="50"/>
        <v>2609</v>
      </c>
      <c r="J233">
        <f t="shared" si="51"/>
        <v>2325</v>
      </c>
      <c r="K233">
        <f t="shared" si="52"/>
        <v>7203</v>
      </c>
      <c r="L233">
        <f t="shared" si="53"/>
        <v>14692</v>
      </c>
      <c r="M233">
        <f t="shared" si="54"/>
        <v>6342</v>
      </c>
      <c r="N233">
        <f t="shared" si="55"/>
        <v>583</v>
      </c>
      <c r="O233">
        <f t="shared" si="56"/>
        <v>56199</v>
      </c>
      <c r="Q233">
        <v>8581</v>
      </c>
      <c r="R233">
        <v>4869</v>
      </c>
      <c r="S233">
        <v>142</v>
      </c>
      <c r="T233">
        <v>1892</v>
      </c>
      <c r="U233">
        <v>215</v>
      </c>
      <c r="V233">
        <v>57</v>
      </c>
      <c r="W233">
        <v>4541</v>
      </c>
      <c r="X233">
        <v>480</v>
      </c>
      <c r="Y233">
        <v>853</v>
      </c>
      <c r="Z233" s="271">
        <v>1260</v>
      </c>
      <c r="AA233">
        <v>194</v>
      </c>
      <c r="AB233">
        <v>0</v>
      </c>
      <c r="AC233">
        <v>3317</v>
      </c>
      <c r="AD233">
        <v>98</v>
      </c>
      <c r="AE233">
        <v>610</v>
      </c>
      <c r="AF233">
        <v>3953</v>
      </c>
      <c r="AG233">
        <v>1252</v>
      </c>
      <c r="AH233">
        <v>376</v>
      </c>
      <c r="AI233">
        <v>7203</v>
      </c>
      <c r="AJ233">
        <v>0</v>
      </c>
      <c r="AK233">
        <v>0</v>
      </c>
      <c r="AL233">
        <v>15778</v>
      </c>
      <c r="AM233">
        <v>965</v>
      </c>
      <c r="AN233">
        <v>121</v>
      </c>
      <c r="AO233">
        <v>6855</v>
      </c>
      <c r="AP233">
        <v>438</v>
      </c>
      <c r="AQ233">
        <v>75</v>
      </c>
      <c r="AR233">
        <v>1712</v>
      </c>
      <c r="AS233">
        <v>1129</v>
      </c>
      <c r="AT233">
        <v>0</v>
      </c>
      <c r="AU233">
        <v>499</v>
      </c>
      <c r="AV233">
        <v>142</v>
      </c>
      <c r="AW233">
        <v>0</v>
      </c>
      <c r="AX233">
        <f t="shared" si="57"/>
        <v>56556</v>
      </c>
      <c r="AZ233" t="s">
        <v>336</v>
      </c>
      <c r="BA233" s="128">
        <v>52858</v>
      </c>
      <c r="BB233" s="128">
        <v>1289008</v>
      </c>
      <c r="BC233" s="128">
        <v>0</v>
      </c>
      <c r="BD233" s="128">
        <v>1359772</v>
      </c>
      <c r="BE233" s="128">
        <v>575842.87333333329</v>
      </c>
      <c r="BF233" s="128">
        <v>3953946.1384542035</v>
      </c>
      <c r="BG233" s="272">
        <v>0</v>
      </c>
      <c r="BH233">
        <v>2423</v>
      </c>
      <c r="BI233">
        <v>2779</v>
      </c>
      <c r="BJ233">
        <v>245</v>
      </c>
      <c r="BK233">
        <v>270</v>
      </c>
      <c r="BL233">
        <v>449</v>
      </c>
      <c r="BM233">
        <v>1088</v>
      </c>
      <c r="BN233" s="128">
        <v>32</v>
      </c>
      <c r="BO233" s="128">
        <v>0</v>
      </c>
      <c r="BP233" s="128">
        <v>866</v>
      </c>
      <c r="BQ233" s="128">
        <f t="shared" si="58"/>
        <v>37527430.988212459</v>
      </c>
      <c r="BR233">
        <v>22897</v>
      </c>
      <c r="BS233" s="128">
        <f t="shared" si="45"/>
        <v>1638.9671567547041</v>
      </c>
      <c r="BT233" t="s">
        <v>467</v>
      </c>
      <c r="BU233" s="129">
        <f t="shared" si="59"/>
        <v>1676.788705429203</v>
      </c>
      <c r="BZ233" t="s">
        <v>165</v>
      </c>
      <c r="CA233">
        <v>1627.1699521878072</v>
      </c>
      <c r="CB233" t="s">
        <v>118</v>
      </c>
    </row>
    <row r="234" spans="1:81" ht="14.5" x14ac:dyDescent="0.25">
      <c r="A234" t="s">
        <v>200</v>
      </c>
      <c r="B234">
        <v>17734</v>
      </c>
      <c r="C234">
        <v>3769</v>
      </c>
      <c r="D234">
        <v>801</v>
      </c>
      <c r="E234">
        <f t="shared" si="46"/>
        <v>9801</v>
      </c>
      <c r="F234">
        <f t="shared" si="47"/>
        <v>2173</v>
      </c>
      <c r="G234">
        <f t="shared" si="48"/>
        <v>3112</v>
      </c>
      <c r="H234">
        <f t="shared" si="49"/>
        <v>210</v>
      </c>
      <c r="I234">
        <f t="shared" si="50"/>
        <v>1671</v>
      </c>
      <c r="J234">
        <f t="shared" si="51"/>
        <v>3660</v>
      </c>
      <c r="K234">
        <f t="shared" si="52"/>
        <v>12258</v>
      </c>
      <c r="L234">
        <f t="shared" si="53"/>
        <v>19839</v>
      </c>
      <c r="M234">
        <f t="shared" si="54"/>
        <v>6574</v>
      </c>
      <c r="N234">
        <f t="shared" si="55"/>
        <v>1359</v>
      </c>
      <c r="O234">
        <f t="shared" si="56"/>
        <v>82961</v>
      </c>
      <c r="Q234">
        <v>17434</v>
      </c>
      <c r="R234">
        <v>7497</v>
      </c>
      <c r="S234">
        <v>136</v>
      </c>
      <c r="T234">
        <v>3257</v>
      </c>
      <c r="U234">
        <v>992</v>
      </c>
      <c r="V234">
        <v>92</v>
      </c>
      <c r="W234">
        <v>4015</v>
      </c>
      <c r="X234">
        <v>697</v>
      </c>
      <c r="Y234">
        <v>206</v>
      </c>
      <c r="Z234" s="271">
        <v>383</v>
      </c>
      <c r="AA234">
        <v>165</v>
      </c>
      <c r="AB234">
        <v>8</v>
      </c>
      <c r="AC234">
        <v>3741</v>
      </c>
      <c r="AD234">
        <v>156</v>
      </c>
      <c r="AE234">
        <v>1914</v>
      </c>
      <c r="AF234">
        <v>5676</v>
      </c>
      <c r="AG234">
        <v>1233</v>
      </c>
      <c r="AH234">
        <v>783</v>
      </c>
      <c r="AI234">
        <v>15901</v>
      </c>
      <c r="AJ234">
        <v>3643</v>
      </c>
      <c r="AK234">
        <v>0</v>
      </c>
      <c r="AL234">
        <v>21736</v>
      </c>
      <c r="AM234">
        <v>1894</v>
      </c>
      <c r="AN234">
        <v>3</v>
      </c>
      <c r="AO234">
        <v>7953</v>
      </c>
      <c r="AP234">
        <v>752</v>
      </c>
      <c r="AQ234">
        <v>627</v>
      </c>
      <c r="AR234">
        <v>1995</v>
      </c>
      <c r="AS234">
        <v>636</v>
      </c>
      <c r="AT234">
        <v>0</v>
      </c>
      <c r="AU234">
        <v>95</v>
      </c>
      <c r="AV234">
        <v>69</v>
      </c>
      <c r="AW234">
        <v>0</v>
      </c>
      <c r="AX234">
        <f t="shared" si="57"/>
        <v>82987</v>
      </c>
      <c r="AZ234" t="s">
        <v>200</v>
      </c>
      <c r="BA234" s="128">
        <v>78322</v>
      </c>
      <c r="BB234" s="128">
        <v>2224783</v>
      </c>
      <c r="BC234" s="128">
        <v>0</v>
      </c>
      <c r="BD234" s="128">
        <v>2327545</v>
      </c>
      <c r="BE234" s="128">
        <v>449217</v>
      </c>
      <c r="BF234" s="128">
        <v>8960467.6192169599</v>
      </c>
      <c r="BG234" s="272">
        <v>229288.05213965848</v>
      </c>
      <c r="BH234">
        <v>4244</v>
      </c>
      <c r="BI234">
        <v>4000</v>
      </c>
      <c r="BJ234">
        <v>110</v>
      </c>
      <c r="BK234">
        <v>0</v>
      </c>
      <c r="BL234">
        <v>0</v>
      </c>
      <c r="BM234">
        <v>19</v>
      </c>
      <c r="BN234" s="128">
        <v>477</v>
      </c>
      <c r="BO234" s="128">
        <v>0</v>
      </c>
      <c r="BP234" s="128">
        <v>11</v>
      </c>
      <c r="BQ234" s="128">
        <f t="shared" si="58"/>
        <v>55269699.328643382</v>
      </c>
      <c r="BR234">
        <v>31412</v>
      </c>
      <c r="BS234" s="128">
        <f t="shared" si="45"/>
        <v>1759.509083428097</v>
      </c>
      <c r="BT234" t="s">
        <v>118</v>
      </c>
      <c r="BU234" s="129">
        <f t="shared" si="59"/>
        <v>1759.8592680709087</v>
      </c>
      <c r="BZ234" t="s">
        <v>127</v>
      </c>
      <c r="CA234">
        <v>1915.3132605521419</v>
      </c>
      <c r="CB234" t="s">
        <v>118</v>
      </c>
    </row>
    <row r="235" spans="1:81" ht="14.5" x14ac:dyDescent="0.25">
      <c r="A235" t="s">
        <v>227</v>
      </c>
      <c r="B235">
        <v>3102</v>
      </c>
      <c r="C235">
        <v>1212</v>
      </c>
      <c r="D235">
        <v>172</v>
      </c>
      <c r="E235">
        <f t="shared" si="46"/>
        <v>1097</v>
      </c>
      <c r="F235">
        <f t="shared" si="47"/>
        <v>415</v>
      </c>
      <c r="G235">
        <f t="shared" si="48"/>
        <v>320</v>
      </c>
      <c r="H235">
        <f t="shared" si="49"/>
        <v>67</v>
      </c>
      <c r="I235">
        <f t="shared" si="50"/>
        <v>195</v>
      </c>
      <c r="J235">
        <f t="shared" si="51"/>
        <v>463</v>
      </c>
      <c r="K235">
        <f t="shared" si="52"/>
        <v>979</v>
      </c>
      <c r="L235">
        <f t="shared" si="53"/>
        <v>2118</v>
      </c>
      <c r="M235">
        <f t="shared" si="54"/>
        <v>1449</v>
      </c>
      <c r="N235">
        <f t="shared" si="55"/>
        <v>2399</v>
      </c>
      <c r="O235">
        <f t="shared" si="56"/>
        <v>13988</v>
      </c>
      <c r="Q235">
        <v>2847</v>
      </c>
      <c r="R235">
        <v>1715</v>
      </c>
      <c r="S235">
        <v>35</v>
      </c>
      <c r="T235">
        <v>499</v>
      </c>
      <c r="U235">
        <v>23</v>
      </c>
      <c r="V235">
        <v>61</v>
      </c>
      <c r="W235">
        <v>517</v>
      </c>
      <c r="X235">
        <v>95</v>
      </c>
      <c r="Y235">
        <v>102</v>
      </c>
      <c r="Z235" s="271">
        <v>67</v>
      </c>
      <c r="AA235">
        <v>0</v>
      </c>
      <c r="AB235">
        <v>0</v>
      </c>
      <c r="AC235">
        <v>312</v>
      </c>
      <c r="AD235">
        <v>40</v>
      </c>
      <c r="AE235">
        <v>77</v>
      </c>
      <c r="AF235">
        <v>738</v>
      </c>
      <c r="AG235">
        <v>189</v>
      </c>
      <c r="AH235">
        <v>86</v>
      </c>
      <c r="AI235">
        <v>979</v>
      </c>
      <c r="AJ235">
        <v>0</v>
      </c>
      <c r="AK235">
        <v>0</v>
      </c>
      <c r="AL235">
        <v>2346</v>
      </c>
      <c r="AM235">
        <v>228</v>
      </c>
      <c r="AN235">
        <v>0</v>
      </c>
      <c r="AO235">
        <v>1860</v>
      </c>
      <c r="AP235">
        <v>301</v>
      </c>
      <c r="AQ235">
        <v>110</v>
      </c>
      <c r="AR235">
        <v>3651</v>
      </c>
      <c r="AS235">
        <v>511</v>
      </c>
      <c r="AT235">
        <v>741</v>
      </c>
      <c r="AU235">
        <v>0</v>
      </c>
      <c r="AV235">
        <v>0</v>
      </c>
      <c r="AW235">
        <v>0</v>
      </c>
      <c r="AX235">
        <f t="shared" si="57"/>
        <v>13988</v>
      </c>
      <c r="AZ235" t="s">
        <v>227</v>
      </c>
      <c r="BA235" s="128">
        <v>12604</v>
      </c>
      <c r="BB235" s="128">
        <v>154912</v>
      </c>
      <c r="BC235" s="128">
        <v>0</v>
      </c>
      <c r="BD235" s="128">
        <v>266253</v>
      </c>
      <c r="BE235" s="128">
        <v>153523</v>
      </c>
      <c r="BF235" s="128">
        <v>495010</v>
      </c>
      <c r="BG235" s="272">
        <v>0</v>
      </c>
      <c r="BH235">
        <v>612</v>
      </c>
      <c r="BI235">
        <v>701</v>
      </c>
      <c r="BJ235">
        <v>107</v>
      </c>
      <c r="BK235">
        <v>63</v>
      </c>
      <c r="BL235">
        <v>212</v>
      </c>
      <c r="BM235">
        <v>16</v>
      </c>
      <c r="BN235" s="128">
        <v>47</v>
      </c>
      <c r="BO235" s="128">
        <v>0</v>
      </c>
      <c r="BP235" s="128">
        <v>354</v>
      </c>
      <c r="BQ235" s="128">
        <f t="shared" si="58"/>
        <v>9422302</v>
      </c>
      <c r="BR235">
        <v>5557</v>
      </c>
      <c r="BS235" s="128">
        <f t="shared" si="45"/>
        <v>1695.5735108871693</v>
      </c>
      <c r="BT235" t="s">
        <v>467</v>
      </c>
      <c r="BU235" s="129">
        <f t="shared" si="59"/>
        <v>1759.2769479935216</v>
      </c>
      <c r="BZ235" t="s">
        <v>215</v>
      </c>
      <c r="CA235">
        <v>1715.8738297520463</v>
      </c>
      <c r="CB235" t="s">
        <v>118</v>
      </c>
    </row>
    <row r="236" spans="1:81" ht="14.5" x14ac:dyDescent="0.25">
      <c r="A236" t="s">
        <v>384</v>
      </c>
      <c r="B236">
        <v>5819</v>
      </c>
      <c r="C236">
        <v>1371</v>
      </c>
      <c r="D236">
        <v>123</v>
      </c>
      <c r="E236">
        <f t="shared" si="46"/>
        <v>3199</v>
      </c>
      <c r="F236">
        <f t="shared" si="47"/>
        <v>1149</v>
      </c>
      <c r="G236">
        <f t="shared" si="48"/>
        <v>1104</v>
      </c>
      <c r="H236">
        <f t="shared" si="49"/>
        <v>1439</v>
      </c>
      <c r="I236">
        <f t="shared" si="50"/>
        <v>532</v>
      </c>
      <c r="J236">
        <f t="shared" si="51"/>
        <v>1667</v>
      </c>
      <c r="K236">
        <f t="shared" si="52"/>
        <v>5324</v>
      </c>
      <c r="L236">
        <f t="shared" si="53"/>
        <v>5945</v>
      </c>
      <c r="M236">
        <f t="shared" si="54"/>
        <v>2238</v>
      </c>
      <c r="N236">
        <f t="shared" si="55"/>
        <v>847</v>
      </c>
      <c r="O236">
        <f t="shared" si="56"/>
        <v>30757</v>
      </c>
      <c r="Q236">
        <v>6734</v>
      </c>
      <c r="R236">
        <v>3405</v>
      </c>
      <c r="S236">
        <v>130</v>
      </c>
      <c r="T236">
        <v>1266</v>
      </c>
      <c r="U236">
        <v>103</v>
      </c>
      <c r="V236">
        <v>14</v>
      </c>
      <c r="W236">
        <v>1796</v>
      </c>
      <c r="X236">
        <v>244</v>
      </c>
      <c r="Y236">
        <v>448</v>
      </c>
      <c r="Z236" s="271">
        <v>1566</v>
      </c>
      <c r="AA236">
        <v>125</v>
      </c>
      <c r="AB236">
        <v>2</v>
      </c>
      <c r="AC236">
        <v>848</v>
      </c>
      <c r="AD236">
        <v>112</v>
      </c>
      <c r="AE236">
        <v>204</v>
      </c>
      <c r="AF236">
        <v>2218</v>
      </c>
      <c r="AG236">
        <v>376</v>
      </c>
      <c r="AH236">
        <v>175</v>
      </c>
      <c r="AI236">
        <v>5371</v>
      </c>
      <c r="AJ236">
        <v>47</v>
      </c>
      <c r="AK236">
        <v>0</v>
      </c>
      <c r="AL236">
        <v>6516</v>
      </c>
      <c r="AM236">
        <v>472</v>
      </c>
      <c r="AN236">
        <v>99</v>
      </c>
      <c r="AO236">
        <v>2788</v>
      </c>
      <c r="AP236">
        <v>257</v>
      </c>
      <c r="AQ236">
        <v>293</v>
      </c>
      <c r="AR236">
        <v>1409</v>
      </c>
      <c r="AS236">
        <v>556</v>
      </c>
      <c r="AT236">
        <v>6</v>
      </c>
      <c r="AU236">
        <v>3125</v>
      </c>
      <c r="AV236">
        <v>122</v>
      </c>
      <c r="AW236">
        <v>0</v>
      </c>
      <c r="AX236">
        <f t="shared" si="57"/>
        <v>33760</v>
      </c>
      <c r="AZ236" t="s">
        <v>384</v>
      </c>
      <c r="BA236" s="128">
        <v>29141</v>
      </c>
      <c r="BB236" s="128">
        <v>527820</v>
      </c>
      <c r="BC236" s="128">
        <v>0</v>
      </c>
      <c r="BD236" s="128">
        <v>2506890</v>
      </c>
      <c r="BE236" s="128">
        <v>272514</v>
      </c>
      <c r="BF236" s="128">
        <v>1414706</v>
      </c>
      <c r="BG236" s="272">
        <v>0</v>
      </c>
      <c r="BH236">
        <v>1374</v>
      </c>
      <c r="BI236">
        <v>725</v>
      </c>
      <c r="BJ236">
        <v>106</v>
      </c>
      <c r="BK236">
        <v>0</v>
      </c>
      <c r="BL236">
        <v>361</v>
      </c>
      <c r="BM236">
        <v>340</v>
      </c>
      <c r="BN236" s="128">
        <v>201</v>
      </c>
      <c r="BO236" s="128">
        <v>0</v>
      </c>
      <c r="BP236" s="128">
        <v>145</v>
      </c>
      <c r="BQ236" s="128">
        <f t="shared" si="58"/>
        <v>21167070</v>
      </c>
      <c r="BR236">
        <v>13127</v>
      </c>
      <c r="BS236" s="128">
        <f t="shared" si="45"/>
        <v>1612.483431096214</v>
      </c>
      <c r="BT236" t="s">
        <v>467</v>
      </c>
      <c r="BU236" s="129">
        <f t="shared" si="59"/>
        <v>1623.529366953607</v>
      </c>
      <c r="BZ236" t="s">
        <v>400</v>
      </c>
      <c r="CA236">
        <v>1871.4150192974105</v>
      </c>
      <c r="CB236" t="s">
        <v>118</v>
      </c>
    </row>
    <row r="237" spans="1:81" ht="14.5" x14ac:dyDescent="0.25">
      <c r="A237" t="s">
        <v>201</v>
      </c>
      <c r="B237">
        <v>27755</v>
      </c>
      <c r="C237">
        <v>4451</v>
      </c>
      <c r="D237">
        <v>805</v>
      </c>
      <c r="E237">
        <f t="shared" si="46"/>
        <v>11621</v>
      </c>
      <c r="F237">
        <f t="shared" si="47"/>
        <v>3098</v>
      </c>
      <c r="G237">
        <f t="shared" si="48"/>
        <v>2518</v>
      </c>
      <c r="H237">
        <f t="shared" si="49"/>
        <v>430</v>
      </c>
      <c r="I237">
        <f t="shared" si="50"/>
        <v>3198</v>
      </c>
      <c r="J237">
        <f t="shared" si="51"/>
        <v>3417</v>
      </c>
      <c r="K237">
        <f t="shared" si="52"/>
        <v>25864</v>
      </c>
      <c r="L237">
        <f t="shared" si="53"/>
        <v>28702</v>
      </c>
      <c r="M237">
        <f t="shared" si="54"/>
        <v>7698</v>
      </c>
      <c r="N237">
        <f t="shared" si="55"/>
        <v>1285</v>
      </c>
      <c r="O237">
        <f t="shared" si="56"/>
        <v>120842</v>
      </c>
      <c r="Q237">
        <v>20611</v>
      </c>
      <c r="R237">
        <v>8677</v>
      </c>
      <c r="S237">
        <v>313</v>
      </c>
      <c r="T237">
        <v>4134</v>
      </c>
      <c r="U237">
        <v>967</v>
      </c>
      <c r="V237">
        <v>69</v>
      </c>
      <c r="W237">
        <v>4378</v>
      </c>
      <c r="X237">
        <v>866</v>
      </c>
      <c r="Y237">
        <v>994</v>
      </c>
      <c r="Z237" s="271">
        <v>582</v>
      </c>
      <c r="AA237">
        <v>145</v>
      </c>
      <c r="AB237">
        <v>7</v>
      </c>
      <c r="AC237">
        <v>4677</v>
      </c>
      <c r="AD237">
        <v>316</v>
      </c>
      <c r="AE237">
        <v>1163</v>
      </c>
      <c r="AF237">
        <v>7899</v>
      </c>
      <c r="AG237">
        <v>3690</v>
      </c>
      <c r="AH237">
        <v>792</v>
      </c>
      <c r="AI237">
        <v>29654</v>
      </c>
      <c r="AJ237">
        <v>3790</v>
      </c>
      <c r="AK237">
        <v>0</v>
      </c>
      <c r="AL237">
        <v>33477</v>
      </c>
      <c r="AM237">
        <v>4641</v>
      </c>
      <c r="AN237">
        <v>134</v>
      </c>
      <c r="AO237">
        <v>10861</v>
      </c>
      <c r="AP237">
        <v>2184</v>
      </c>
      <c r="AQ237">
        <v>979</v>
      </c>
      <c r="AR237">
        <v>3705</v>
      </c>
      <c r="AS237">
        <v>2420</v>
      </c>
      <c r="AT237">
        <v>0</v>
      </c>
      <c r="AU237">
        <v>59</v>
      </c>
      <c r="AV237">
        <v>59</v>
      </c>
      <c r="AW237">
        <v>0</v>
      </c>
      <c r="AX237">
        <f t="shared" si="57"/>
        <v>120842</v>
      </c>
      <c r="AZ237" t="s">
        <v>201</v>
      </c>
      <c r="BA237" s="128">
        <v>115527</v>
      </c>
      <c r="BB237" s="128">
        <v>2092936</v>
      </c>
      <c r="BC237" s="128">
        <v>0</v>
      </c>
      <c r="BD237" s="128">
        <v>6176320</v>
      </c>
      <c r="BE237" s="128">
        <v>766338</v>
      </c>
      <c r="BF237" s="128">
        <v>14916737.350675177</v>
      </c>
      <c r="BG237" s="272">
        <v>1498202.2276912816</v>
      </c>
      <c r="BH237">
        <v>4582</v>
      </c>
      <c r="BI237">
        <v>4363</v>
      </c>
      <c r="BJ237">
        <v>585</v>
      </c>
      <c r="BK237">
        <v>504</v>
      </c>
      <c r="BL237">
        <v>450</v>
      </c>
      <c r="BM237">
        <v>106</v>
      </c>
      <c r="BN237" s="128">
        <v>328</v>
      </c>
      <c r="BO237" s="128">
        <v>54</v>
      </c>
      <c r="BP237" s="128">
        <v>149</v>
      </c>
      <c r="BQ237" s="128">
        <f t="shared" si="58"/>
        <v>78955466.421633542</v>
      </c>
      <c r="BR237">
        <v>43536</v>
      </c>
      <c r="BS237" s="128">
        <f t="shared" si="45"/>
        <v>1813.5673103094805</v>
      </c>
      <c r="BT237" t="s">
        <v>118</v>
      </c>
      <c r="BU237" s="129">
        <f t="shared" si="59"/>
        <v>1816.9897652892673</v>
      </c>
      <c r="BZ237" t="s">
        <v>599</v>
      </c>
      <c r="CA237">
        <v>1586.7079767241653</v>
      </c>
      <c r="CB237" t="s">
        <v>118</v>
      </c>
    </row>
    <row r="238" spans="1:81" ht="14.5" x14ac:dyDescent="0.25">
      <c r="A238" t="s">
        <v>228</v>
      </c>
      <c r="B238">
        <v>12823</v>
      </c>
      <c r="C238">
        <v>2083</v>
      </c>
      <c r="D238">
        <v>1120</v>
      </c>
      <c r="E238">
        <f t="shared" si="46"/>
        <v>2908</v>
      </c>
      <c r="F238">
        <f t="shared" si="47"/>
        <v>1366</v>
      </c>
      <c r="G238">
        <f t="shared" si="48"/>
        <v>1089</v>
      </c>
      <c r="H238">
        <f t="shared" si="49"/>
        <v>115</v>
      </c>
      <c r="I238">
        <f t="shared" si="50"/>
        <v>1481</v>
      </c>
      <c r="J238">
        <f t="shared" si="51"/>
        <v>2285</v>
      </c>
      <c r="K238">
        <f t="shared" si="52"/>
        <v>7138</v>
      </c>
      <c r="L238">
        <f t="shared" si="53"/>
        <v>9172</v>
      </c>
      <c r="M238">
        <f t="shared" si="54"/>
        <v>2979</v>
      </c>
      <c r="N238">
        <f t="shared" si="55"/>
        <v>656</v>
      </c>
      <c r="O238">
        <f t="shared" si="56"/>
        <v>45215</v>
      </c>
      <c r="Q238">
        <v>9295</v>
      </c>
      <c r="R238">
        <v>6121</v>
      </c>
      <c r="S238">
        <v>266</v>
      </c>
      <c r="T238">
        <v>1957</v>
      </c>
      <c r="U238">
        <v>542</v>
      </c>
      <c r="V238">
        <v>49</v>
      </c>
      <c r="W238">
        <v>1832</v>
      </c>
      <c r="X238">
        <v>298</v>
      </c>
      <c r="Y238">
        <v>445</v>
      </c>
      <c r="Z238" s="271">
        <v>290</v>
      </c>
      <c r="AA238">
        <v>175</v>
      </c>
      <c r="AB238">
        <v>0</v>
      </c>
      <c r="AC238">
        <v>1842</v>
      </c>
      <c r="AD238">
        <v>133</v>
      </c>
      <c r="AE238">
        <v>228</v>
      </c>
      <c r="AF238">
        <v>3562</v>
      </c>
      <c r="AG238">
        <v>918</v>
      </c>
      <c r="AH238">
        <v>359</v>
      </c>
      <c r="AI238">
        <v>7214</v>
      </c>
      <c r="AJ238">
        <v>76</v>
      </c>
      <c r="AK238">
        <v>0</v>
      </c>
      <c r="AL238">
        <v>11632</v>
      </c>
      <c r="AM238">
        <v>2287</v>
      </c>
      <c r="AN238">
        <v>173</v>
      </c>
      <c r="AO238">
        <v>4940</v>
      </c>
      <c r="AP238">
        <v>1420</v>
      </c>
      <c r="AQ238">
        <v>541</v>
      </c>
      <c r="AR238">
        <v>1550</v>
      </c>
      <c r="AS238">
        <v>872</v>
      </c>
      <c r="AT238">
        <v>22</v>
      </c>
      <c r="AU238">
        <v>247</v>
      </c>
      <c r="AV238">
        <v>-19</v>
      </c>
      <c r="AW238">
        <v>0</v>
      </c>
      <c r="AX238">
        <f t="shared" si="57"/>
        <v>45481</v>
      </c>
      <c r="AZ238" t="s">
        <v>228</v>
      </c>
      <c r="BA238" s="128">
        <v>42031</v>
      </c>
      <c r="BB238" s="128">
        <v>378534</v>
      </c>
      <c r="BC238" s="128">
        <v>0</v>
      </c>
      <c r="BD238" s="128">
        <v>1378570</v>
      </c>
      <c r="BE238" s="128">
        <v>359375.72</v>
      </c>
      <c r="BF238" s="128">
        <v>3880760.2735289028</v>
      </c>
      <c r="BG238" s="272">
        <v>275197.87963425461</v>
      </c>
      <c r="BH238">
        <v>1284</v>
      </c>
      <c r="BI238">
        <v>2668</v>
      </c>
      <c r="BJ238">
        <v>183</v>
      </c>
      <c r="BK238">
        <v>543</v>
      </c>
      <c r="BL238">
        <v>577</v>
      </c>
      <c r="BM238">
        <v>105</v>
      </c>
      <c r="BN238" s="128">
        <v>107</v>
      </c>
      <c r="BO238" s="128">
        <v>24</v>
      </c>
      <c r="BP238" s="128">
        <v>1274</v>
      </c>
      <c r="BQ238" s="128">
        <f t="shared" si="58"/>
        <v>28993562.126836844</v>
      </c>
      <c r="BR238">
        <v>20203</v>
      </c>
      <c r="BS238" s="128">
        <f t="shared" si="45"/>
        <v>1435.1117223598892</v>
      </c>
      <c r="BT238" t="s">
        <v>467</v>
      </c>
      <c r="BU238" s="129">
        <f t="shared" si="59"/>
        <v>1498.1716639527222</v>
      </c>
      <c r="BZ238" t="s">
        <v>401</v>
      </c>
      <c r="CA238">
        <v>1852.8044268681178</v>
      </c>
      <c r="CB238" t="s">
        <v>118</v>
      </c>
    </row>
    <row r="239" spans="1:81" ht="14.5" x14ac:dyDescent="0.25">
      <c r="A239" t="s">
        <v>314</v>
      </c>
      <c r="B239">
        <v>1736</v>
      </c>
      <c r="C239">
        <v>4870</v>
      </c>
      <c r="D239">
        <v>1388</v>
      </c>
      <c r="E239">
        <f t="shared" si="46"/>
        <v>19239</v>
      </c>
      <c r="F239">
        <f t="shared" si="47"/>
        <v>3690</v>
      </c>
      <c r="G239">
        <f t="shared" si="48"/>
        <v>7512</v>
      </c>
      <c r="H239">
        <f t="shared" si="49"/>
        <v>4629</v>
      </c>
      <c r="I239">
        <f t="shared" si="50"/>
        <v>2666</v>
      </c>
      <c r="J239">
        <f t="shared" si="51"/>
        <v>10891</v>
      </c>
      <c r="K239">
        <f t="shared" si="52"/>
        <v>18694</v>
      </c>
      <c r="L239">
        <f t="shared" si="53"/>
        <v>31711</v>
      </c>
      <c r="M239">
        <f t="shared" si="54"/>
        <v>18155</v>
      </c>
      <c r="N239">
        <f t="shared" si="55"/>
        <v>2703</v>
      </c>
      <c r="O239">
        <f t="shared" si="56"/>
        <v>127884</v>
      </c>
      <c r="Q239">
        <v>21741</v>
      </c>
      <c r="R239">
        <v>1736</v>
      </c>
      <c r="S239">
        <v>766</v>
      </c>
      <c r="T239">
        <v>3690</v>
      </c>
      <c r="U239">
        <v>0</v>
      </c>
      <c r="V239">
        <v>0</v>
      </c>
      <c r="W239">
        <v>8267</v>
      </c>
      <c r="X239">
        <v>0</v>
      </c>
      <c r="Y239">
        <v>755</v>
      </c>
      <c r="Z239" s="271">
        <v>4631</v>
      </c>
      <c r="AA239">
        <v>0</v>
      </c>
      <c r="AB239">
        <v>2</v>
      </c>
      <c r="AC239">
        <v>3846</v>
      </c>
      <c r="AD239">
        <v>0</v>
      </c>
      <c r="AE239">
        <v>1180</v>
      </c>
      <c r="AF239">
        <v>11849</v>
      </c>
      <c r="AG239">
        <v>0</v>
      </c>
      <c r="AH239">
        <v>958</v>
      </c>
      <c r="AI239">
        <v>18694</v>
      </c>
      <c r="AJ239">
        <v>0</v>
      </c>
      <c r="AK239">
        <v>0</v>
      </c>
      <c r="AL239">
        <v>31813</v>
      </c>
      <c r="AM239">
        <v>0</v>
      </c>
      <c r="AN239">
        <v>102</v>
      </c>
      <c r="AO239">
        <v>19219</v>
      </c>
      <c r="AP239">
        <v>0</v>
      </c>
      <c r="AQ239">
        <v>1064</v>
      </c>
      <c r="AR239">
        <v>2746</v>
      </c>
      <c r="AS239">
        <v>0</v>
      </c>
      <c r="AT239">
        <v>43</v>
      </c>
      <c r="AU239">
        <v>4453</v>
      </c>
      <c r="AV239">
        <v>0</v>
      </c>
      <c r="AW239">
        <v>0</v>
      </c>
      <c r="AX239">
        <f t="shared" si="57"/>
        <v>132337</v>
      </c>
      <c r="AZ239" t="s">
        <v>314</v>
      </c>
      <c r="BA239" s="128">
        <v>121626</v>
      </c>
      <c r="BB239" s="128">
        <v>1318986</v>
      </c>
      <c r="BC239" s="128">
        <v>0</v>
      </c>
      <c r="BD239" s="128">
        <v>317046</v>
      </c>
      <c r="BE239" s="128">
        <v>653365</v>
      </c>
      <c r="BF239" s="128">
        <v>13706272.908300158</v>
      </c>
      <c r="BG239" s="272">
        <v>0</v>
      </c>
      <c r="BH239">
        <v>4209</v>
      </c>
      <c r="BI239">
        <v>6117</v>
      </c>
      <c r="BJ239">
        <v>578</v>
      </c>
      <c r="BK239">
        <v>219</v>
      </c>
      <c r="BL239">
        <v>931</v>
      </c>
      <c r="BM239">
        <v>968</v>
      </c>
      <c r="BN239" s="128">
        <v>0</v>
      </c>
      <c r="BO239" s="128">
        <v>282</v>
      </c>
      <c r="BP239" s="128">
        <v>1250</v>
      </c>
      <c r="BQ239" s="128">
        <f t="shared" si="58"/>
        <v>91076330.091699839</v>
      </c>
      <c r="BR239">
        <v>46665</v>
      </c>
      <c r="BS239" s="128">
        <f t="shared" si="45"/>
        <v>1951.7053485845888</v>
      </c>
      <c r="BT239" t="s">
        <v>118</v>
      </c>
      <c r="BU239" s="129">
        <f t="shared" si="59"/>
        <v>1978.4920195371228</v>
      </c>
      <c r="BZ239" t="s">
        <v>527</v>
      </c>
      <c r="CA239">
        <v>2463.6236489048838</v>
      </c>
      <c r="CB239" t="s">
        <v>118</v>
      </c>
    </row>
    <row r="240" spans="1:81" ht="14.5" x14ac:dyDescent="0.25">
      <c r="A240" t="s">
        <v>157</v>
      </c>
      <c r="B240">
        <v>21280</v>
      </c>
      <c r="C240">
        <v>3812</v>
      </c>
      <c r="D240">
        <v>1226</v>
      </c>
      <c r="E240">
        <f t="shared" si="46"/>
        <v>14104</v>
      </c>
      <c r="F240">
        <f t="shared" si="47"/>
        <v>2659</v>
      </c>
      <c r="G240">
        <f t="shared" si="48"/>
        <v>2277</v>
      </c>
      <c r="H240">
        <f t="shared" si="49"/>
        <v>76</v>
      </c>
      <c r="I240">
        <f t="shared" si="50"/>
        <v>2218</v>
      </c>
      <c r="J240">
        <f t="shared" si="51"/>
        <v>5724</v>
      </c>
      <c r="K240">
        <f t="shared" si="52"/>
        <v>10583</v>
      </c>
      <c r="L240">
        <f t="shared" si="53"/>
        <v>22605</v>
      </c>
      <c r="M240">
        <f t="shared" si="54"/>
        <v>5831</v>
      </c>
      <c r="N240">
        <f t="shared" si="55"/>
        <v>187</v>
      </c>
      <c r="O240">
        <f t="shared" si="56"/>
        <v>92582</v>
      </c>
      <c r="Q240">
        <v>23163</v>
      </c>
      <c r="R240">
        <v>8267</v>
      </c>
      <c r="S240">
        <v>792</v>
      </c>
      <c r="T240">
        <v>3295</v>
      </c>
      <c r="U240">
        <v>636</v>
      </c>
      <c r="V240">
        <v>0</v>
      </c>
      <c r="W240">
        <v>3968</v>
      </c>
      <c r="X240">
        <v>1363</v>
      </c>
      <c r="Y240">
        <v>328</v>
      </c>
      <c r="Z240" s="271">
        <v>517</v>
      </c>
      <c r="AA240">
        <v>263</v>
      </c>
      <c r="AB240">
        <v>178</v>
      </c>
      <c r="AC240">
        <v>3651</v>
      </c>
      <c r="AD240">
        <v>259</v>
      </c>
      <c r="AE240">
        <v>1174</v>
      </c>
      <c r="AF240">
        <v>9230</v>
      </c>
      <c r="AG240">
        <v>2904</v>
      </c>
      <c r="AH240">
        <v>602</v>
      </c>
      <c r="AI240">
        <v>12595</v>
      </c>
      <c r="AJ240">
        <v>2012</v>
      </c>
      <c r="AK240">
        <v>0</v>
      </c>
      <c r="AL240">
        <v>24760</v>
      </c>
      <c r="AM240">
        <v>2130</v>
      </c>
      <c r="AN240">
        <v>25</v>
      </c>
      <c r="AO240">
        <v>8015</v>
      </c>
      <c r="AP240">
        <v>1515</v>
      </c>
      <c r="AQ240">
        <v>669</v>
      </c>
      <c r="AR240">
        <v>1854</v>
      </c>
      <c r="AS240">
        <v>1623</v>
      </c>
      <c r="AT240">
        <v>44</v>
      </c>
      <c r="AU240">
        <v>313</v>
      </c>
      <c r="AV240">
        <v>308</v>
      </c>
      <c r="AW240">
        <v>0</v>
      </c>
      <c r="AX240">
        <f t="shared" si="57"/>
        <v>92587</v>
      </c>
      <c r="AZ240" t="s">
        <v>157</v>
      </c>
      <c r="BA240" s="128">
        <v>87236</v>
      </c>
      <c r="BB240" s="128">
        <v>1884531</v>
      </c>
      <c r="BC240" s="128">
        <v>0</v>
      </c>
      <c r="BD240" s="128">
        <v>3085123</v>
      </c>
      <c r="BE240" s="128">
        <v>489181</v>
      </c>
      <c r="BF240" s="128">
        <v>6225921.9547249982</v>
      </c>
      <c r="BG240" s="272">
        <v>39613.373782276176</v>
      </c>
      <c r="BH240">
        <v>3299</v>
      </c>
      <c r="BI240">
        <v>2613</v>
      </c>
      <c r="BJ240">
        <v>557</v>
      </c>
      <c r="BK240">
        <v>563</v>
      </c>
      <c r="BL240">
        <v>824</v>
      </c>
      <c r="BM240">
        <v>143</v>
      </c>
      <c r="BN240" s="128">
        <v>538</v>
      </c>
      <c r="BO240" s="128">
        <v>0</v>
      </c>
      <c r="BP240" s="128">
        <v>120</v>
      </c>
      <c r="BQ240" s="128">
        <f t="shared" si="58"/>
        <v>66854629.671492726</v>
      </c>
      <c r="BR240">
        <v>38202</v>
      </c>
      <c r="BS240" s="128">
        <f t="shared" si="45"/>
        <v>1750.0295710039454</v>
      </c>
      <c r="BT240" t="s">
        <v>467</v>
      </c>
      <c r="BU240" s="129">
        <f t="shared" si="59"/>
        <v>1753.1707677999248</v>
      </c>
      <c r="BZ240" t="s">
        <v>436</v>
      </c>
      <c r="CA240">
        <v>2035.4630675101998</v>
      </c>
      <c r="CB240" t="s">
        <v>118</v>
      </c>
    </row>
    <row r="241" spans="1:80" ht="14.5" x14ac:dyDescent="0.25">
      <c r="A241" t="s">
        <v>315</v>
      </c>
      <c r="B241">
        <v>36957</v>
      </c>
      <c r="C241">
        <v>11261</v>
      </c>
      <c r="D241">
        <v>2991</v>
      </c>
      <c r="E241">
        <f t="shared" si="46"/>
        <v>9712</v>
      </c>
      <c r="F241">
        <f t="shared" si="47"/>
        <v>5098</v>
      </c>
      <c r="G241">
        <f t="shared" si="48"/>
        <v>4662</v>
      </c>
      <c r="H241">
        <f t="shared" si="49"/>
        <v>528</v>
      </c>
      <c r="I241">
        <f t="shared" si="50"/>
        <v>3257</v>
      </c>
      <c r="J241">
        <f t="shared" si="51"/>
        <v>9011</v>
      </c>
      <c r="K241">
        <f t="shared" si="52"/>
        <v>29873</v>
      </c>
      <c r="L241">
        <f t="shared" si="53"/>
        <v>34821</v>
      </c>
      <c r="M241">
        <f t="shared" si="54"/>
        <v>12384</v>
      </c>
      <c r="N241">
        <f t="shared" si="55"/>
        <v>1505</v>
      </c>
      <c r="O241">
        <f t="shared" si="56"/>
        <v>162060</v>
      </c>
      <c r="Q241">
        <v>33383</v>
      </c>
      <c r="R241">
        <v>22219</v>
      </c>
      <c r="S241">
        <v>1452</v>
      </c>
      <c r="T241">
        <v>6930</v>
      </c>
      <c r="U241">
        <v>1643</v>
      </c>
      <c r="V241">
        <v>189</v>
      </c>
      <c r="W241">
        <v>9114</v>
      </c>
      <c r="X241">
        <v>1892</v>
      </c>
      <c r="Y241">
        <v>2560</v>
      </c>
      <c r="Z241" s="271">
        <v>863</v>
      </c>
      <c r="AA241">
        <v>228</v>
      </c>
      <c r="AB241">
        <v>107</v>
      </c>
      <c r="AC241">
        <v>5790</v>
      </c>
      <c r="AD241">
        <v>632</v>
      </c>
      <c r="AE241">
        <v>1901</v>
      </c>
      <c r="AF241">
        <v>13098</v>
      </c>
      <c r="AG241">
        <v>2075</v>
      </c>
      <c r="AH241">
        <v>2012</v>
      </c>
      <c r="AI241">
        <v>31041</v>
      </c>
      <c r="AJ241">
        <v>1126</v>
      </c>
      <c r="AK241">
        <v>42</v>
      </c>
      <c r="AL241">
        <v>38808</v>
      </c>
      <c r="AM241">
        <v>3800</v>
      </c>
      <c r="AN241">
        <v>187</v>
      </c>
      <c r="AO241">
        <v>15750</v>
      </c>
      <c r="AP241">
        <v>852</v>
      </c>
      <c r="AQ241">
        <v>2514</v>
      </c>
      <c r="AR241">
        <v>3700</v>
      </c>
      <c r="AS241">
        <v>1898</v>
      </c>
      <c r="AT241">
        <v>297</v>
      </c>
      <c r="AU241">
        <v>38627</v>
      </c>
      <c r="AV241">
        <v>592</v>
      </c>
      <c r="AW241">
        <v>0</v>
      </c>
      <c r="AX241">
        <f t="shared" si="57"/>
        <v>200095</v>
      </c>
      <c r="AZ241" t="s">
        <v>315</v>
      </c>
      <c r="BA241" s="128">
        <v>147216</v>
      </c>
      <c r="BB241" s="128">
        <v>1267254</v>
      </c>
      <c r="BC241" s="128">
        <v>0</v>
      </c>
      <c r="BD241" s="128">
        <v>2342201</v>
      </c>
      <c r="BE241" s="128">
        <v>838571</v>
      </c>
      <c r="BF241" s="128">
        <v>22513243.951284088</v>
      </c>
      <c r="BG241" s="272">
        <v>636897.91791232675</v>
      </c>
      <c r="BH241">
        <v>5791</v>
      </c>
      <c r="BI241">
        <v>11312</v>
      </c>
      <c r="BJ241">
        <v>722</v>
      </c>
      <c r="BK241">
        <v>0</v>
      </c>
      <c r="BL241">
        <v>1577</v>
      </c>
      <c r="BM241">
        <v>125</v>
      </c>
      <c r="BN241" s="128">
        <v>325</v>
      </c>
      <c r="BO241" s="128">
        <v>2888</v>
      </c>
      <c r="BP241" s="128">
        <v>1051</v>
      </c>
      <c r="BQ241" s="128">
        <f t="shared" si="58"/>
        <v>95826832.130803585</v>
      </c>
      <c r="BR241">
        <v>55205</v>
      </c>
      <c r="BS241" s="128">
        <f t="shared" si="45"/>
        <v>1735.8361041717885</v>
      </c>
      <c r="BT241" t="s">
        <v>118</v>
      </c>
      <c r="BU241" s="129">
        <f t="shared" si="59"/>
        <v>1754.8742347759005</v>
      </c>
      <c r="BZ241" t="s">
        <v>169</v>
      </c>
      <c r="CA241">
        <v>1880.5107400792797</v>
      </c>
      <c r="CB241" t="s">
        <v>118</v>
      </c>
    </row>
    <row r="242" spans="1:80" ht="14.5" x14ac:dyDescent="0.25">
      <c r="A242" t="s">
        <v>418</v>
      </c>
      <c r="B242">
        <v>7801</v>
      </c>
      <c r="C242">
        <v>4204</v>
      </c>
      <c r="D242">
        <v>77</v>
      </c>
      <c r="E242">
        <f t="shared" si="46"/>
        <v>7056</v>
      </c>
      <c r="F242">
        <f t="shared" si="47"/>
        <v>2038</v>
      </c>
      <c r="G242">
        <f t="shared" si="48"/>
        <v>1797</v>
      </c>
      <c r="H242">
        <f t="shared" si="49"/>
        <v>385</v>
      </c>
      <c r="I242">
        <f t="shared" si="50"/>
        <v>1205</v>
      </c>
      <c r="J242">
        <f t="shared" si="51"/>
        <v>2940</v>
      </c>
      <c r="K242">
        <f t="shared" si="52"/>
        <v>10044</v>
      </c>
      <c r="L242">
        <f t="shared" si="53"/>
        <v>10217</v>
      </c>
      <c r="M242">
        <f t="shared" si="54"/>
        <v>4315</v>
      </c>
      <c r="N242">
        <f t="shared" si="55"/>
        <v>1548</v>
      </c>
      <c r="O242">
        <f t="shared" si="56"/>
        <v>53627</v>
      </c>
      <c r="Q242">
        <v>13538</v>
      </c>
      <c r="R242">
        <v>4017</v>
      </c>
      <c r="S242">
        <v>2465</v>
      </c>
      <c r="T242">
        <v>2181</v>
      </c>
      <c r="U242">
        <v>143</v>
      </c>
      <c r="V242">
        <v>0</v>
      </c>
      <c r="W242">
        <v>2685</v>
      </c>
      <c r="X242">
        <v>462</v>
      </c>
      <c r="Y242">
        <v>426</v>
      </c>
      <c r="Z242" s="271">
        <v>566</v>
      </c>
      <c r="AA242">
        <v>138</v>
      </c>
      <c r="AB242">
        <v>43</v>
      </c>
      <c r="AC242">
        <v>1752</v>
      </c>
      <c r="AD242">
        <v>100</v>
      </c>
      <c r="AE242">
        <v>447</v>
      </c>
      <c r="AF242">
        <v>3921</v>
      </c>
      <c r="AG242">
        <v>681</v>
      </c>
      <c r="AH242">
        <v>300</v>
      </c>
      <c r="AI242">
        <v>10161</v>
      </c>
      <c r="AJ242">
        <v>117</v>
      </c>
      <c r="AK242">
        <v>0</v>
      </c>
      <c r="AL242">
        <v>10892</v>
      </c>
      <c r="AM242">
        <v>658</v>
      </c>
      <c r="AN242">
        <v>17</v>
      </c>
      <c r="AO242">
        <v>5541</v>
      </c>
      <c r="AP242">
        <v>722</v>
      </c>
      <c r="AQ242">
        <v>504</v>
      </c>
      <c r="AR242">
        <v>2304</v>
      </c>
      <c r="AS242">
        <v>754</v>
      </c>
      <c r="AT242">
        <v>2</v>
      </c>
      <c r="AU242">
        <v>331</v>
      </c>
      <c r="AV242">
        <v>9</v>
      </c>
      <c r="AW242">
        <v>0</v>
      </c>
      <c r="AX242">
        <f t="shared" si="57"/>
        <v>53949</v>
      </c>
      <c r="AZ242" t="s">
        <v>418</v>
      </c>
      <c r="BA242" s="128">
        <v>49337</v>
      </c>
      <c r="BB242" s="128">
        <v>941111</v>
      </c>
      <c r="BC242" s="128">
        <v>0</v>
      </c>
      <c r="BD242" s="128">
        <v>2689335</v>
      </c>
      <c r="BE242" s="128">
        <v>425728.6166666667</v>
      </c>
      <c r="BF242" s="128">
        <v>3949221.2014094526</v>
      </c>
      <c r="BG242" s="272">
        <v>20200.275787441991</v>
      </c>
      <c r="BH242">
        <v>2191</v>
      </c>
      <c r="BI242">
        <v>2553</v>
      </c>
      <c r="BJ242">
        <v>393</v>
      </c>
      <c r="BK242">
        <v>40</v>
      </c>
      <c r="BL242">
        <v>405</v>
      </c>
      <c r="BM242">
        <v>33</v>
      </c>
      <c r="BN242" s="128">
        <v>400</v>
      </c>
      <c r="BO242" s="128">
        <v>0</v>
      </c>
      <c r="BP242" s="128">
        <v>279</v>
      </c>
      <c r="BQ242" s="128">
        <f t="shared" si="58"/>
        <v>35017403.906136438</v>
      </c>
      <c r="BR242">
        <v>20602</v>
      </c>
      <c r="BS242" s="128">
        <f t="shared" si="45"/>
        <v>1699.7089557390757</v>
      </c>
      <c r="BT242" t="s">
        <v>118</v>
      </c>
      <c r="BU242" s="129">
        <f t="shared" si="59"/>
        <v>1713.2513302658208</v>
      </c>
      <c r="BZ242" t="s">
        <v>243</v>
      </c>
      <c r="CA242">
        <v>1714.6978601467904</v>
      </c>
      <c r="CB242" t="s">
        <v>118</v>
      </c>
    </row>
    <row r="243" spans="1:80" ht="14.5" x14ac:dyDescent="0.25">
      <c r="A243" t="s">
        <v>419</v>
      </c>
      <c r="B243">
        <v>47251</v>
      </c>
      <c r="C243">
        <v>7222</v>
      </c>
      <c r="D243">
        <v>2024</v>
      </c>
      <c r="E243">
        <f t="shared" si="46"/>
        <v>13303</v>
      </c>
      <c r="F243">
        <f t="shared" si="47"/>
        <v>5357</v>
      </c>
      <c r="G243">
        <f t="shared" si="48"/>
        <v>6962</v>
      </c>
      <c r="H243">
        <f t="shared" si="49"/>
        <v>2244</v>
      </c>
      <c r="I243">
        <f t="shared" si="50"/>
        <v>3019</v>
      </c>
      <c r="J243">
        <f t="shared" si="51"/>
        <v>10614</v>
      </c>
      <c r="K243">
        <f t="shared" si="52"/>
        <v>45017</v>
      </c>
      <c r="L243">
        <f t="shared" si="53"/>
        <v>41355</v>
      </c>
      <c r="M243">
        <f t="shared" si="54"/>
        <v>10941</v>
      </c>
      <c r="N243">
        <f t="shared" si="55"/>
        <v>630</v>
      </c>
      <c r="O243">
        <f t="shared" si="56"/>
        <v>195939</v>
      </c>
      <c r="Q243">
        <v>33106</v>
      </c>
      <c r="R243">
        <v>18847</v>
      </c>
      <c r="S243">
        <v>956</v>
      </c>
      <c r="T243">
        <v>8539</v>
      </c>
      <c r="U243">
        <v>3136</v>
      </c>
      <c r="V243">
        <v>46</v>
      </c>
      <c r="W243">
        <v>11459</v>
      </c>
      <c r="X243">
        <v>2674</v>
      </c>
      <c r="Y243">
        <v>1823</v>
      </c>
      <c r="Z243" s="271">
        <v>3288</v>
      </c>
      <c r="AA243">
        <v>992</v>
      </c>
      <c r="AB243">
        <v>52</v>
      </c>
      <c r="AC243">
        <v>4931</v>
      </c>
      <c r="AD243">
        <v>702</v>
      </c>
      <c r="AE243">
        <v>1210</v>
      </c>
      <c r="AF243">
        <v>15693</v>
      </c>
      <c r="AG243">
        <v>4108</v>
      </c>
      <c r="AH243">
        <v>971</v>
      </c>
      <c r="AI243">
        <v>51411</v>
      </c>
      <c r="AJ243">
        <v>6394</v>
      </c>
      <c r="AK243">
        <v>0</v>
      </c>
      <c r="AL243">
        <v>46640</v>
      </c>
      <c r="AM243">
        <v>4503</v>
      </c>
      <c r="AN243">
        <v>782</v>
      </c>
      <c r="AO243">
        <v>14697</v>
      </c>
      <c r="AP243">
        <v>2576</v>
      </c>
      <c r="AQ243">
        <v>1180</v>
      </c>
      <c r="AR243">
        <v>4151</v>
      </c>
      <c r="AS243">
        <v>3319</v>
      </c>
      <c r="AT243">
        <v>202</v>
      </c>
      <c r="AU243">
        <v>2428</v>
      </c>
      <c r="AV243">
        <v>0</v>
      </c>
      <c r="AW243">
        <v>0</v>
      </c>
      <c r="AX243">
        <f t="shared" si="57"/>
        <v>198367</v>
      </c>
      <c r="AZ243" t="s">
        <v>419</v>
      </c>
      <c r="BA243" s="128">
        <v>186693</v>
      </c>
      <c r="BB243" s="128">
        <v>3756496</v>
      </c>
      <c r="BC243" s="128">
        <v>0</v>
      </c>
      <c r="BD243" s="128">
        <v>11356282</v>
      </c>
      <c r="BE243" s="128">
        <v>1704543</v>
      </c>
      <c r="BF243" s="128">
        <v>28420477.891633905</v>
      </c>
      <c r="BG243" s="272">
        <v>0</v>
      </c>
      <c r="BH243">
        <v>5747</v>
      </c>
      <c r="BI243">
        <v>6796</v>
      </c>
      <c r="BJ243">
        <v>577</v>
      </c>
      <c r="BK243">
        <v>262</v>
      </c>
      <c r="BL243">
        <v>1303</v>
      </c>
      <c r="BM243">
        <v>1815</v>
      </c>
      <c r="BN243" s="128">
        <v>691</v>
      </c>
      <c r="BO243" s="128">
        <v>2245</v>
      </c>
      <c r="BP243" s="128">
        <v>1035</v>
      </c>
      <c r="BQ243" s="128">
        <f t="shared" si="58"/>
        <v>120984201.1083661</v>
      </c>
      <c r="BR243">
        <v>58806</v>
      </c>
      <c r="BS243" s="128">
        <f t="shared" si="45"/>
        <v>2057.3445075054606</v>
      </c>
      <c r="BT243" t="s">
        <v>441</v>
      </c>
      <c r="BU243" s="129">
        <f t="shared" si="59"/>
        <v>2074.9447523784324</v>
      </c>
      <c r="BZ243" t="s">
        <v>108</v>
      </c>
      <c r="CA243">
        <v>1656.1085070716492</v>
      </c>
      <c r="CB243" t="s">
        <v>118</v>
      </c>
    </row>
    <row r="244" spans="1:80" ht="14.5" x14ac:dyDescent="0.25">
      <c r="A244" t="s">
        <v>385</v>
      </c>
      <c r="B244">
        <v>34233</v>
      </c>
      <c r="C244">
        <v>12121</v>
      </c>
      <c r="D244">
        <v>2485</v>
      </c>
      <c r="E244">
        <f t="shared" si="46"/>
        <v>9607</v>
      </c>
      <c r="F244">
        <f t="shared" si="47"/>
        <v>7163</v>
      </c>
      <c r="G244">
        <f t="shared" si="48"/>
        <v>9872</v>
      </c>
      <c r="H244">
        <f t="shared" si="49"/>
        <v>11415</v>
      </c>
      <c r="I244">
        <f t="shared" si="50"/>
        <v>8265</v>
      </c>
      <c r="J244">
        <f t="shared" si="51"/>
        <v>13315</v>
      </c>
      <c r="K244">
        <f t="shared" si="52"/>
        <v>60745</v>
      </c>
      <c r="L244">
        <f t="shared" si="53"/>
        <v>49002</v>
      </c>
      <c r="M244">
        <f t="shared" si="54"/>
        <v>20554</v>
      </c>
      <c r="N244">
        <f t="shared" si="55"/>
        <v>1058</v>
      </c>
      <c r="O244">
        <f t="shared" si="56"/>
        <v>239835</v>
      </c>
      <c r="Q244">
        <v>33094</v>
      </c>
      <c r="R244">
        <v>18378</v>
      </c>
      <c r="S244">
        <v>5109</v>
      </c>
      <c r="T244">
        <v>10051</v>
      </c>
      <c r="U244">
        <v>2738</v>
      </c>
      <c r="V244">
        <v>150</v>
      </c>
      <c r="W244">
        <v>13849</v>
      </c>
      <c r="X244">
        <v>1630</v>
      </c>
      <c r="Y244">
        <v>2347</v>
      </c>
      <c r="Z244" s="271">
        <v>13565</v>
      </c>
      <c r="AA244">
        <v>1785</v>
      </c>
      <c r="AB244">
        <v>365</v>
      </c>
      <c r="AC244">
        <v>10688</v>
      </c>
      <c r="AD244">
        <v>823</v>
      </c>
      <c r="AE244">
        <v>1600</v>
      </c>
      <c r="AF244">
        <v>17236</v>
      </c>
      <c r="AG244">
        <v>2478</v>
      </c>
      <c r="AH244">
        <v>1443</v>
      </c>
      <c r="AI244">
        <v>60771</v>
      </c>
      <c r="AJ244">
        <v>26</v>
      </c>
      <c r="AK244">
        <v>0</v>
      </c>
      <c r="AL244">
        <v>52630</v>
      </c>
      <c r="AM244">
        <v>3434</v>
      </c>
      <c r="AN244">
        <v>194</v>
      </c>
      <c r="AO244">
        <v>21896</v>
      </c>
      <c r="AP244">
        <v>884</v>
      </c>
      <c r="AQ244">
        <v>458</v>
      </c>
      <c r="AR244">
        <v>3570</v>
      </c>
      <c r="AS244">
        <v>2057</v>
      </c>
      <c r="AT244">
        <v>455</v>
      </c>
      <c r="AU244">
        <v>0</v>
      </c>
      <c r="AV244">
        <v>0</v>
      </c>
      <c r="AW244">
        <v>0</v>
      </c>
      <c r="AX244">
        <f t="shared" si="57"/>
        <v>239835</v>
      </c>
      <c r="AZ244" t="s">
        <v>385</v>
      </c>
      <c r="BA244" s="128">
        <v>225229</v>
      </c>
      <c r="BB244" s="128">
        <v>2174923</v>
      </c>
      <c r="BC244" s="128">
        <v>0</v>
      </c>
      <c r="BD244" s="128">
        <v>14401474</v>
      </c>
      <c r="BE244" s="128">
        <v>1464319</v>
      </c>
      <c r="BF244" s="128">
        <v>32815789.895035312</v>
      </c>
      <c r="BG244" s="272">
        <v>211463.70677338541</v>
      </c>
      <c r="BH244">
        <v>12710</v>
      </c>
      <c r="BI244">
        <v>9972</v>
      </c>
      <c r="BJ244">
        <v>983</v>
      </c>
      <c r="BK244">
        <v>0</v>
      </c>
      <c r="BL244">
        <v>1473</v>
      </c>
      <c r="BM244">
        <v>354</v>
      </c>
      <c r="BN244" s="128">
        <v>185</v>
      </c>
      <c r="BO244" s="128">
        <v>1955</v>
      </c>
      <c r="BP244" s="128">
        <v>270</v>
      </c>
      <c r="BQ244" s="128">
        <f t="shared" si="58"/>
        <v>146259030.39819127</v>
      </c>
      <c r="BR244">
        <v>77201</v>
      </c>
      <c r="BS244" s="128">
        <f t="shared" si="45"/>
        <v>1894.522485436604</v>
      </c>
      <c r="BT244" t="s">
        <v>441</v>
      </c>
      <c r="BU244" s="129">
        <f t="shared" si="59"/>
        <v>1898.0198494603862</v>
      </c>
      <c r="BZ244" t="s">
        <v>142</v>
      </c>
      <c r="CA244">
        <v>1774.3188538944098</v>
      </c>
      <c r="CB244" t="s">
        <v>118</v>
      </c>
    </row>
    <row r="245" spans="1:80" ht="14.5" x14ac:dyDescent="0.25">
      <c r="A245" t="s">
        <v>316</v>
      </c>
      <c r="B245">
        <v>1008126</v>
      </c>
      <c r="C245">
        <v>138753</v>
      </c>
      <c r="D245">
        <v>20478</v>
      </c>
      <c r="E245">
        <f t="shared" si="46"/>
        <v>197317</v>
      </c>
      <c r="F245">
        <f t="shared" si="47"/>
        <v>100740</v>
      </c>
      <c r="G245">
        <f t="shared" si="48"/>
        <v>161884</v>
      </c>
      <c r="H245">
        <f t="shared" si="49"/>
        <v>29629</v>
      </c>
      <c r="I245">
        <f t="shared" si="50"/>
        <v>199172</v>
      </c>
      <c r="J245">
        <f t="shared" si="51"/>
        <v>287098</v>
      </c>
      <c r="K245">
        <f t="shared" si="52"/>
        <v>716188</v>
      </c>
      <c r="L245">
        <f t="shared" si="53"/>
        <v>676121</v>
      </c>
      <c r="M245">
        <f t="shared" si="54"/>
        <v>220222</v>
      </c>
      <c r="N245">
        <f t="shared" si="55"/>
        <v>30308</v>
      </c>
      <c r="O245">
        <f t="shared" si="56"/>
        <v>3786036</v>
      </c>
      <c r="Q245">
        <v>674112</v>
      </c>
      <c r="R245">
        <v>391550</v>
      </c>
      <c r="S245">
        <v>85245</v>
      </c>
      <c r="T245">
        <v>160856</v>
      </c>
      <c r="U245">
        <v>59022</v>
      </c>
      <c r="V245">
        <v>1094</v>
      </c>
      <c r="W245">
        <v>284366</v>
      </c>
      <c r="X245">
        <v>96190</v>
      </c>
      <c r="Y245">
        <v>26292</v>
      </c>
      <c r="Z245" s="271">
        <v>37357</v>
      </c>
      <c r="AA245">
        <v>7728</v>
      </c>
      <c r="AB245">
        <v>0</v>
      </c>
      <c r="AC245">
        <v>214471</v>
      </c>
      <c r="AD245">
        <v>15295</v>
      </c>
      <c r="AE245">
        <v>4</v>
      </c>
      <c r="AF245">
        <v>311424</v>
      </c>
      <c r="AG245">
        <v>21626</v>
      </c>
      <c r="AH245">
        <v>2700</v>
      </c>
      <c r="AI245">
        <v>898023</v>
      </c>
      <c r="AJ245">
        <v>179782</v>
      </c>
      <c r="AK245">
        <v>2053</v>
      </c>
      <c r="AL245">
        <v>764228</v>
      </c>
      <c r="AM245">
        <v>87327</v>
      </c>
      <c r="AN245">
        <v>780</v>
      </c>
      <c r="AO245">
        <v>278208</v>
      </c>
      <c r="AP245">
        <v>42449</v>
      </c>
      <c r="AQ245">
        <v>15537</v>
      </c>
      <c r="AR245">
        <v>136382</v>
      </c>
      <c r="AS245">
        <v>101026</v>
      </c>
      <c r="AT245">
        <v>5048</v>
      </c>
      <c r="AU245">
        <v>70250</v>
      </c>
      <c r="AV245">
        <v>6131</v>
      </c>
      <c r="AW245">
        <v>0</v>
      </c>
      <c r="AX245">
        <f t="shared" si="57"/>
        <v>3850155</v>
      </c>
      <c r="AZ245" t="s">
        <v>316</v>
      </c>
      <c r="BA245" s="128">
        <v>3620674</v>
      </c>
      <c r="BB245" s="128">
        <v>30760784</v>
      </c>
      <c r="BC245" s="128">
        <v>96062756</v>
      </c>
      <c r="BD245" s="128">
        <v>52398680</v>
      </c>
      <c r="BE245" s="128">
        <v>100023172</v>
      </c>
      <c r="BF245" s="128">
        <v>578388523.96028996</v>
      </c>
      <c r="BG245" s="272">
        <v>140667876.70112085</v>
      </c>
      <c r="BH245">
        <v>82176</v>
      </c>
      <c r="BI245">
        <v>103636</v>
      </c>
      <c r="BJ245">
        <v>8525</v>
      </c>
      <c r="BK245">
        <v>4858</v>
      </c>
      <c r="BL245">
        <v>22282</v>
      </c>
      <c r="BM245">
        <v>24625</v>
      </c>
      <c r="BN245" s="128">
        <v>13216</v>
      </c>
      <c r="BO245" s="128">
        <v>123213</v>
      </c>
      <c r="BP245" s="128">
        <v>39291</v>
      </c>
      <c r="BQ245" s="128">
        <f t="shared" si="58"/>
        <v>2200550207.3385892</v>
      </c>
      <c r="BR245">
        <v>652541</v>
      </c>
      <c r="BS245" s="128">
        <f t="shared" si="45"/>
        <v>3372.2788412354003</v>
      </c>
      <c r="BT245" t="s">
        <v>441</v>
      </c>
      <c r="BU245" s="129">
        <f t="shared" si="59"/>
        <v>3432.4911497340231</v>
      </c>
      <c r="BZ245" t="s">
        <v>353</v>
      </c>
      <c r="CA245">
        <v>1641.9366928415404</v>
      </c>
      <c r="CB245" t="s">
        <v>118</v>
      </c>
    </row>
    <row r="246" spans="1:80" ht="14.5" x14ac:dyDescent="0.25">
      <c r="A246" t="s">
        <v>202</v>
      </c>
      <c r="B246">
        <v>1204</v>
      </c>
      <c r="C246">
        <v>193</v>
      </c>
      <c r="D246">
        <v>0</v>
      </c>
      <c r="E246">
        <f t="shared" si="46"/>
        <v>709</v>
      </c>
      <c r="F246">
        <f t="shared" si="47"/>
        <v>88</v>
      </c>
      <c r="G246">
        <f t="shared" si="48"/>
        <v>97</v>
      </c>
      <c r="H246">
        <f t="shared" si="49"/>
        <v>4</v>
      </c>
      <c r="I246">
        <f t="shared" si="50"/>
        <v>401</v>
      </c>
      <c r="J246">
        <f t="shared" si="51"/>
        <v>144</v>
      </c>
      <c r="K246">
        <f t="shared" si="52"/>
        <v>146</v>
      </c>
      <c r="L246">
        <f t="shared" si="53"/>
        <v>459</v>
      </c>
      <c r="M246">
        <f t="shared" si="54"/>
        <v>378</v>
      </c>
      <c r="N246">
        <f t="shared" si="55"/>
        <v>42</v>
      </c>
      <c r="O246">
        <f t="shared" si="56"/>
        <v>3865</v>
      </c>
      <c r="Q246">
        <v>1949</v>
      </c>
      <c r="R246">
        <v>1204</v>
      </c>
      <c r="S246">
        <v>36</v>
      </c>
      <c r="T246">
        <v>88</v>
      </c>
      <c r="U246">
        <v>0</v>
      </c>
      <c r="V246">
        <v>0</v>
      </c>
      <c r="W246">
        <v>126</v>
      </c>
      <c r="X246">
        <v>0</v>
      </c>
      <c r="Y246">
        <v>29</v>
      </c>
      <c r="Z246" s="271">
        <v>4</v>
      </c>
      <c r="AA246">
        <v>0</v>
      </c>
      <c r="AB246">
        <v>0</v>
      </c>
      <c r="AC246">
        <v>511</v>
      </c>
      <c r="AD246">
        <v>0</v>
      </c>
      <c r="AE246">
        <v>110</v>
      </c>
      <c r="AF246">
        <v>146</v>
      </c>
      <c r="AG246">
        <v>0</v>
      </c>
      <c r="AH246">
        <v>2</v>
      </c>
      <c r="AI246">
        <v>146</v>
      </c>
      <c r="AJ246">
        <v>0</v>
      </c>
      <c r="AK246">
        <v>0</v>
      </c>
      <c r="AL246">
        <v>459</v>
      </c>
      <c r="AM246">
        <v>0</v>
      </c>
      <c r="AN246">
        <v>0</v>
      </c>
      <c r="AO246">
        <v>394</v>
      </c>
      <c r="AP246">
        <v>0</v>
      </c>
      <c r="AQ246">
        <v>16</v>
      </c>
      <c r="AR246">
        <v>42</v>
      </c>
      <c r="AS246">
        <v>0</v>
      </c>
      <c r="AT246">
        <v>0</v>
      </c>
      <c r="AU246">
        <v>305</v>
      </c>
      <c r="AV246">
        <v>0</v>
      </c>
      <c r="AW246">
        <v>0</v>
      </c>
      <c r="AX246">
        <f t="shared" si="57"/>
        <v>4170</v>
      </c>
      <c r="AZ246" t="s">
        <v>202</v>
      </c>
      <c r="BA246" s="128">
        <v>3672</v>
      </c>
      <c r="BB246" s="128">
        <v>20076</v>
      </c>
      <c r="BC246" s="128">
        <v>0</v>
      </c>
      <c r="BD246" s="128">
        <v>53543</v>
      </c>
      <c r="BE246" s="128">
        <v>115761</v>
      </c>
      <c r="BF246" s="128">
        <v>78995</v>
      </c>
      <c r="BG246" s="272">
        <v>0</v>
      </c>
      <c r="BH246">
        <v>157</v>
      </c>
      <c r="BI246">
        <v>160</v>
      </c>
      <c r="BJ246">
        <v>19</v>
      </c>
      <c r="BK246">
        <v>65</v>
      </c>
      <c r="BL246">
        <v>0</v>
      </c>
      <c r="BM246">
        <v>3</v>
      </c>
      <c r="BN246" s="128">
        <v>0</v>
      </c>
      <c r="BO246" s="128">
        <v>0</v>
      </c>
      <c r="BP246" s="128">
        <v>10</v>
      </c>
      <c r="BQ246" s="128">
        <f t="shared" si="58"/>
        <v>2989625</v>
      </c>
      <c r="BR246">
        <v>1726</v>
      </c>
      <c r="BS246" s="128">
        <f t="shared" si="45"/>
        <v>1732.111819235226</v>
      </c>
      <c r="BT246" t="s">
        <v>467</v>
      </c>
      <c r="BU246" s="129">
        <f t="shared" si="59"/>
        <v>1737.9055619930475</v>
      </c>
      <c r="BZ246" t="s">
        <v>172</v>
      </c>
      <c r="CA246">
        <v>1674.9731898081125</v>
      </c>
      <c r="CB246" t="s">
        <v>118</v>
      </c>
    </row>
    <row r="247" spans="1:80" ht="14.5" x14ac:dyDescent="0.25">
      <c r="A247" t="s">
        <v>386</v>
      </c>
      <c r="B247">
        <v>11351</v>
      </c>
      <c r="C247">
        <v>4123</v>
      </c>
      <c r="D247">
        <v>423</v>
      </c>
      <c r="E247">
        <f t="shared" si="46"/>
        <v>3501</v>
      </c>
      <c r="F247">
        <f t="shared" si="47"/>
        <v>1373</v>
      </c>
      <c r="G247">
        <f t="shared" si="48"/>
        <v>1684</v>
      </c>
      <c r="H247">
        <f t="shared" si="49"/>
        <v>273</v>
      </c>
      <c r="I247">
        <f t="shared" si="50"/>
        <v>891</v>
      </c>
      <c r="J247">
        <f t="shared" si="51"/>
        <v>2321</v>
      </c>
      <c r="K247">
        <f t="shared" si="52"/>
        <v>14376</v>
      </c>
      <c r="L247">
        <f t="shared" si="53"/>
        <v>12818</v>
      </c>
      <c r="M247">
        <f t="shared" si="54"/>
        <v>4248</v>
      </c>
      <c r="N247">
        <f t="shared" si="55"/>
        <v>202</v>
      </c>
      <c r="O247">
        <f t="shared" si="56"/>
        <v>57584</v>
      </c>
      <c r="Q247">
        <v>9793</v>
      </c>
      <c r="R247">
        <v>5574</v>
      </c>
      <c r="S247">
        <v>718</v>
      </c>
      <c r="T247">
        <v>1978</v>
      </c>
      <c r="U247">
        <v>564</v>
      </c>
      <c r="V247">
        <v>41</v>
      </c>
      <c r="W247">
        <v>4123</v>
      </c>
      <c r="X247">
        <v>869</v>
      </c>
      <c r="Y247">
        <v>1570</v>
      </c>
      <c r="Z247" s="271">
        <v>424</v>
      </c>
      <c r="AA247">
        <v>148</v>
      </c>
      <c r="AB247">
        <v>3</v>
      </c>
      <c r="AC247">
        <v>1616</v>
      </c>
      <c r="AD247">
        <v>188</v>
      </c>
      <c r="AE247">
        <v>537</v>
      </c>
      <c r="AF247">
        <v>3364</v>
      </c>
      <c r="AG247">
        <v>631</v>
      </c>
      <c r="AH247">
        <v>412</v>
      </c>
      <c r="AI247">
        <v>14599</v>
      </c>
      <c r="AJ247">
        <v>223</v>
      </c>
      <c r="AK247">
        <v>0</v>
      </c>
      <c r="AL247">
        <v>14521</v>
      </c>
      <c r="AM247">
        <v>1432</v>
      </c>
      <c r="AN247">
        <v>271</v>
      </c>
      <c r="AO247">
        <v>5353</v>
      </c>
      <c r="AP247">
        <v>573</v>
      </c>
      <c r="AQ247">
        <v>532</v>
      </c>
      <c r="AR247">
        <v>1287</v>
      </c>
      <c r="AS247">
        <v>1081</v>
      </c>
      <c r="AT247">
        <v>4</v>
      </c>
      <c r="AU247">
        <v>6577</v>
      </c>
      <c r="AV247">
        <v>68</v>
      </c>
      <c r="AW247">
        <v>35</v>
      </c>
      <c r="AX247">
        <f t="shared" si="57"/>
        <v>64058</v>
      </c>
      <c r="AZ247" t="s">
        <v>386</v>
      </c>
      <c r="BA247" s="128">
        <v>52935</v>
      </c>
      <c r="BB247" s="128">
        <v>326995</v>
      </c>
      <c r="BC247" s="128">
        <v>0</v>
      </c>
      <c r="BD247" s="128">
        <v>6244849</v>
      </c>
      <c r="BE247" s="128">
        <v>381687</v>
      </c>
      <c r="BF247" s="128">
        <v>4998369.6184270754</v>
      </c>
      <c r="BG247" s="272">
        <v>507615.55595351011</v>
      </c>
      <c r="BH247">
        <v>2299</v>
      </c>
      <c r="BI247">
        <v>2693</v>
      </c>
      <c r="BJ247">
        <v>311</v>
      </c>
      <c r="BK247">
        <v>25</v>
      </c>
      <c r="BL247">
        <v>396</v>
      </c>
      <c r="BM247">
        <v>99</v>
      </c>
      <c r="BN247" s="128">
        <v>0</v>
      </c>
      <c r="BO247" s="128">
        <v>0</v>
      </c>
      <c r="BP247" s="128">
        <v>55</v>
      </c>
      <c r="BQ247" s="128">
        <f t="shared" si="58"/>
        <v>34597483.825619414</v>
      </c>
      <c r="BR247">
        <v>23081</v>
      </c>
      <c r="BS247" s="128">
        <f t="shared" si="45"/>
        <v>1498.9594829348562</v>
      </c>
      <c r="BT247" t="s">
        <v>118</v>
      </c>
      <c r="BU247" s="129">
        <f t="shared" si="59"/>
        <v>1501.3423952870073</v>
      </c>
      <c r="BZ247" t="s">
        <v>289</v>
      </c>
      <c r="CA247">
        <v>2149.8026000740006</v>
      </c>
      <c r="CB247" t="s">
        <v>118</v>
      </c>
    </row>
    <row r="248" spans="1:80" ht="14.5" x14ac:dyDescent="0.25">
      <c r="A248" t="s">
        <v>271</v>
      </c>
      <c r="B248">
        <v>30309</v>
      </c>
      <c r="C248">
        <v>6673</v>
      </c>
      <c r="D248">
        <v>1721</v>
      </c>
      <c r="E248">
        <f t="shared" si="46"/>
        <v>8066</v>
      </c>
      <c r="F248">
        <f t="shared" si="47"/>
        <v>4182</v>
      </c>
      <c r="G248">
        <f t="shared" si="48"/>
        <v>3772</v>
      </c>
      <c r="H248">
        <f t="shared" si="49"/>
        <v>491</v>
      </c>
      <c r="I248">
        <f t="shared" si="50"/>
        <v>1695</v>
      </c>
      <c r="J248">
        <f t="shared" si="51"/>
        <v>9023</v>
      </c>
      <c r="K248">
        <f t="shared" si="52"/>
        <v>14394</v>
      </c>
      <c r="L248">
        <f t="shared" si="53"/>
        <v>20923</v>
      </c>
      <c r="M248">
        <f t="shared" si="54"/>
        <v>10387</v>
      </c>
      <c r="N248">
        <f t="shared" si="55"/>
        <v>676</v>
      </c>
      <c r="O248">
        <f t="shared" si="56"/>
        <v>112312</v>
      </c>
      <c r="Q248">
        <v>23077</v>
      </c>
      <c r="R248">
        <v>14220</v>
      </c>
      <c r="S248">
        <v>791</v>
      </c>
      <c r="T248">
        <v>4720</v>
      </c>
      <c r="U248">
        <v>252</v>
      </c>
      <c r="V248">
        <v>286</v>
      </c>
      <c r="W248">
        <v>7737</v>
      </c>
      <c r="X248">
        <v>2761</v>
      </c>
      <c r="Y248">
        <v>1204</v>
      </c>
      <c r="Z248" s="271">
        <v>1299</v>
      </c>
      <c r="AA248">
        <v>808</v>
      </c>
      <c r="AB248">
        <v>0</v>
      </c>
      <c r="AC248">
        <v>4097</v>
      </c>
      <c r="AD248">
        <v>198</v>
      </c>
      <c r="AE248">
        <v>2204</v>
      </c>
      <c r="AF248">
        <v>12569</v>
      </c>
      <c r="AG248">
        <v>2200</v>
      </c>
      <c r="AH248">
        <v>1346</v>
      </c>
      <c r="AI248">
        <v>14525</v>
      </c>
      <c r="AJ248">
        <v>131</v>
      </c>
      <c r="AK248">
        <v>0</v>
      </c>
      <c r="AL248">
        <v>24183</v>
      </c>
      <c r="AM248">
        <v>3211</v>
      </c>
      <c r="AN248">
        <v>49</v>
      </c>
      <c r="AO248">
        <v>13207</v>
      </c>
      <c r="AP248">
        <v>2052</v>
      </c>
      <c r="AQ248">
        <v>768</v>
      </c>
      <c r="AR248">
        <v>4883</v>
      </c>
      <c r="AS248">
        <v>4182</v>
      </c>
      <c r="AT248">
        <v>25</v>
      </c>
      <c r="AU248">
        <v>3755</v>
      </c>
      <c r="AV248">
        <v>294</v>
      </c>
      <c r="AW248">
        <v>0</v>
      </c>
      <c r="AX248">
        <f t="shared" si="57"/>
        <v>115773</v>
      </c>
      <c r="AZ248" t="s">
        <v>271</v>
      </c>
      <c r="BA248" s="128">
        <v>103624</v>
      </c>
      <c r="BB248" s="128">
        <v>1557703</v>
      </c>
      <c r="BC248" s="128">
        <v>0</v>
      </c>
      <c r="BD248" s="128">
        <v>4554273</v>
      </c>
      <c r="BE248" s="128">
        <v>830966</v>
      </c>
      <c r="BF248" s="128">
        <v>9420763.0222188774</v>
      </c>
      <c r="BG248" s="272">
        <v>0</v>
      </c>
      <c r="BH248">
        <v>4411</v>
      </c>
      <c r="BI248">
        <v>6767</v>
      </c>
      <c r="BJ248">
        <v>503</v>
      </c>
      <c r="BK248">
        <v>288</v>
      </c>
      <c r="BL248">
        <v>1200</v>
      </c>
      <c r="BM248">
        <v>2374</v>
      </c>
      <c r="BN248" s="128">
        <v>2961</v>
      </c>
      <c r="BO248" s="128">
        <v>0</v>
      </c>
      <c r="BP248" s="128">
        <v>357</v>
      </c>
      <c r="BQ248" s="128">
        <f t="shared" si="58"/>
        <v>68399294.977781117</v>
      </c>
      <c r="BR248">
        <v>46528</v>
      </c>
      <c r="BS248" s="128">
        <f t="shared" si="45"/>
        <v>1470.0673783051307</v>
      </c>
      <c r="BT248" t="s">
        <v>118</v>
      </c>
      <c r="BU248" s="129">
        <f t="shared" si="59"/>
        <v>1477.7401774798211</v>
      </c>
      <c r="BZ248" t="s">
        <v>109</v>
      </c>
      <c r="CA248">
        <v>1778.0552869609458</v>
      </c>
      <c r="CB248" t="s">
        <v>118</v>
      </c>
    </row>
    <row r="249" spans="1:80" ht="14.5" x14ac:dyDescent="0.25">
      <c r="A249" t="s">
        <v>203</v>
      </c>
      <c r="B249">
        <v>6969</v>
      </c>
      <c r="C249">
        <v>827</v>
      </c>
      <c r="D249">
        <v>-7</v>
      </c>
      <c r="E249">
        <f t="shared" si="46"/>
        <v>3035</v>
      </c>
      <c r="F249">
        <f t="shared" si="47"/>
        <v>575</v>
      </c>
      <c r="G249">
        <f t="shared" si="48"/>
        <v>818</v>
      </c>
      <c r="H249">
        <f t="shared" si="49"/>
        <v>61</v>
      </c>
      <c r="I249">
        <f t="shared" si="50"/>
        <v>498</v>
      </c>
      <c r="J249">
        <f t="shared" si="51"/>
        <v>1360</v>
      </c>
      <c r="K249">
        <f t="shared" si="52"/>
        <v>1397</v>
      </c>
      <c r="L249">
        <f t="shared" si="53"/>
        <v>4036</v>
      </c>
      <c r="M249">
        <f t="shared" si="54"/>
        <v>1653</v>
      </c>
      <c r="N249">
        <f t="shared" si="55"/>
        <v>760</v>
      </c>
      <c r="O249">
        <f t="shared" si="56"/>
        <v>21982</v>
      </c>
      <c r="Q249">
        <v>6333</v>
      </c>
      <c r="R249">
        <v>3120</v>
      </c>
      <c r="S249">
        <v>178</v>
      </c>
      <c r="T249">
        <v>829</v>
      </c>
      <c r="U249">
        <v>238</v>
      </c>
      <c r="V249">
        <v>16</v>
      </c>
      <c r="W249">
        <v>1287</v>
      </c>
      <c r="X249">
        <v>377</v>
      </c>
      <c r="Y249">
        <v>92</v>
      </c>
      <c r="Z249" s="271">
        <v>206</v>
      </c>
      <c r="AA249">
        <v>145</v>
      </c>
      <c r="AB249">
        <v>0</v>
      </c>
      <c r="AC249">
        <v>826</v>
      </c>
      <c r="AD249">
        <v>114</v>
      </c>
      <c r="AE249">
        <v>214</v>
      </c>
      <c r="AF249">
        <v>1836</v>
      </c>
      <c r="AG249">
        <v>376</v>
      </c>
      <c r="AH249">
        <v>100</v>
      </c>
      <c r="AI249">
        <v>1729</v>
      </c>
      <c r="AJ249">
        <v>332</v>
      </c>
      <c r="AK249">
        <v>0</v>
      </c>
      <c r="AL249">
        <v>5205</v>
      </c>
      <c r="AM249">
        <v>1169</v>
      </c>
      <c r="AN249">
        <v>0</v>
      </c>
      <c r="AO249">
        <v>2393</v>
      </c>
      <c r="AP249">
        <v>513</v>
      </c>
      <c r="AQ249">
        <v>227</v>
      </c>
      <c r="AR249">
        <v>1190</v>
      </c>
      <c r="AS249">
        <v>430</v>
      </c>
      <c r="AT249">
        <v>0</v>
      </c>
      <c r="AU249">
        <v>3184</v>
      </c>
      <c r="AV249">
        <v>155</v>
      </c>
      <c r="AW249">
        <v>0</v>
      </c>
      <c r="AX249">
        <f t="shared" si="57"/>
        <v>25011</v>
      </c>
      <c r="AZ249" t="s">
        <v>203</v>
      </c>
      <c r="BA249" s="128">
        <v>21007</v>
      </c>
      <c r="BB249" s="128">
        <v>97724</v>
      </c>
      <c r="BC249" s="128">
        <v>0</v>
      </c>
      <c r="BD249" s="128">
        <v>198489</v>
      </c>
      <c r="BE249" s="128">
        <v>221817</v>
      </c>
      <c r="BF249" s="128">
        <v>1009200</v>
      </c>
      <c r="BG249" s="272">
        <v>40609.676877640188</v>
      </c>
      <c r="BH249">
        <v>1161</v>
      </c>
      <c r="BI249">
        <v>955</v>
      </c>
      <c r="BJ249">
        <v>159</v>
      </c>
      <c r="BK249">
        <v>147</v>
      </c>
      <c r="BL249">
        <v>320</v>
      </c>
      <c r="BM249">
        <v>111</v>
      </c>
      <c r="BN249" s="128">
        <v>100</v>
      </c>
      <c r="BO249" s="128">
        <v>0</v>
      </c>
      <c r="BP249" s="128">
        <v>28</v>
      </c>
      <c r="BQ249" s="128">
        <f t="shared" si="58"/>
        <v>16458160.32312236</v>
      </c>
      <c r="BR249">
        <v>10129</v>
      </c>
      <c r="BS249" s="128">
        <f t="shared" si="45"/>
        <v>1624.8553976821365</v>
      </c>
      <c r="BT249" t="s">
        <v>467</v>
      </c>
      <c r="BU249" s="129">
        <f t="shared" si="59"/>
        <v>1627.6197376959581</v>
      </c>
      <c r="BZ249" t="s">
        <v>174</v>
      </c>
      <c r="CA249">
        <v>1735.5657510520166</v>
      </c>
      <c r="CB249" t="s">
        <v>118</v>
      </c>
    </row>
    <row r="250" spans="1:80" ht="14.5" x14ac:dyDescent="0.25">
      <c r="A250" t="s">
        <v>317</v>
      </c>
      <c r="B250">
        <v>41426</v>
      </c>
      <c r="C250">
        <v>11481</v>
      </c>
      <c r="D250">
        <v>8023</v>
      </c>
      <c r="E250">
        <f t="shared" si="46"/>
        <v>19600</v>
      </c>
      <c r="F250">
        <f t="shared" si="47"/>
        <v>7476</v>
      </c>
      <c r="G250">
        <f t="shared" si="48"/>
        <v>10134</v>
      </c>
      <c r="H250">
        <f t="shared" si="49"/>
        <v>12170</v>
      </c>
      <c r="I250">
        <f t="shared" si="50"/>
        <v>12284</v>
      </c>
      <c r="J250">
        <f t="shared" si="51"/>
        <v>20914</v>
      </c>
      <c r="K250">
        <f t="shared" si="52"/>
        <v>61913</v>
      </c>
      <c r="L250">
        <f t="shared" si="53"/>
        <v>58717</v>
      </c>
      <c r="M250">
        <f t="shared" si="54"/>
        <v>23094</v>
      </c>
      <c r="N250">
        <f t="shared" si="55"/>
        <v>4322</v>
      </c>
      <c r="O250">
        <f t="shared" si="56"/>
        <v>291554</v>
      </c>
      <c r="Q250">
        <v>43932</v>
      </c>
      <c r="R250">
        <v>22172</v>
      </c>
      <c r="S250">
        <v>2160</v>
      </c>
      <c r="T250">
        <v>11991</v>
      </c>
      <c r="U250">
        <v>4515</v>
      </c>
      <c r="V250">
        <v>0</v>
      </c>
      <c r="W250">
        <v>15617</v>
      </c>
      <c r="X250">
        <v>2015</v>
      </c>
      <c r="Y250">
        <v>3468</v>
      </c>
      <c r="Z250" s="271">
        <v>13248</v>
      </c>
      <c r="AA250">
        <v>1078</v>
      </c>
      <c r="AB250">
        <v>0</v>
      </c>
      <c r="AC250">
        <v>15522</v>
      </c>
      <c r="AD250">
        <v>597</v>
      </c>
      <c r="AE250">
        <v>2641</v>
      </c>
      <c r="AF250">
        <v>24499</v>
      </c>
      <c r="AG250">
        <v>2413</v>
      </c>
      <c r="AH250">
        <v>1172</v>
      </c>
      <c r="AI250">
        <v>62808</v>
      </c>
      <c r="AJ250">
        <v>895</v>
      </c>
      <c r="AK250">
        <v>0</v>
      </c>
      <c r="AL250">
        <v>60382</v>
      </c>
      <c r="AM250">
        <v>1665</v>
      </c>
      <c r="AN250">
        <v>0</v>
      </c>
      <c r="AO250">
        <v>26117</v>
      </c>
      <c r="AP250">
        <v>1492</v>
      </c>
      <c r="AQ250">
        <v>1531</v>
      </c>
      <c r="AR250">
        <v>9415</v>
      </c>
      <c r="AS250">
        <v>4584</v>
      </c>
      <c r="AT250">
        <v>509</v>
      </c>
      <c r="AU250">
        <v>7984</v>
      </c>
      <c r="AV250">
        <v>0</v>
      </c>
      <c r="AW250">
        <v>0</v>
      </c>
      <c r="AX250">
        <f t="shared" si="57"/>
        <v>299538</v>
      </c>
      <c r="AZ250" t="s">
        <v>317</v>
      </c>
      <c r="BA250" s="128">
        <v>272050</v>
      </c>
      <c r="BB250" s="128">
        <v>2328183</v>
      </c>
      <c r="BC250" s="128">
        <v>0</v>
      </c>
      <c r="BD250" s="128">
        <v>10092345</v>
      </c>
      <c r="BE250" s="128">
        <v>1899038</v>
      </c>
      <c r="BF250" s="128">
        <v>40581137.322030447</v>
      </c>
      <c r="BG250" s="272">
        <v>5545407.116994448</v>
      </c>
      <c r="BH250">
        <v>10365</v>
      </c>
      <c r="BI250">
        <v>12813</v>
      </c>
      <c r="BJ250">
        <v>854</v>
      </c>
      <c r="BK250">
        <v>0</v>
      </c>
      <c r="BL250">
        <v>1129</v>
      </c>
      <c r="BM250">
        <v>1777</v>
      </c>
      <c r="BN250" s="128">
        <v>0</v>
      </c>
      <c r="BO250" s="128">
        <v>3452</v>
      </c>
      <c r="BP250" s="128">
        <v>10858</v>
      </c>
      <c r="BQ250" s="128">
        <f t="shared" si="58"/>
        <v>170355889.5609751</v>
      </c>
      <c r="BR250">
        <v>79356</v>
      </c>
      <c r="BS250" s="128">
        <f t="shared" si="45"/>
        <v>2146.7297943567605</v>
      </c>
      <c r="BT250" t="s">
        <v>441</v>
      </c>
      <c r="BU250" s="129">
        <f t="shared" si="59"/>
        <v>2283.5562473029777</v>
      </c>
      <c r="BZ250" t="s">
        <v>129</v>
      </c>
      <c r="CA250">
        <v>1737.1512321942182</v>
      </c>
      <c r="CB250" t="s">
        <v>118</v>
      </c>
    </row>
    <row r="251" spans="1:80" ht="14.5" x14ac:dyDescent="0.25">
      <c r="A251" t="s">
        <v>135</v>
      </c>
      <c r="B251">
        <v>2299</v>
      </c>
      <c r="C251">
        <v>485</v>
      </c>
      <c r="D251">
        <v>77</v>
      </c>
      <c r="E251">
        <f t="shared" si="46"/>
        <v>1197</v>
      </c>
      <c r="F251">
        <f t="shared" si="47"/>
        <v>329</v>
      </c>
      <c r="G251">
        <f t="shared" si="48"/>
        <v>386</v>
      </c>
      <c r="H251">
        <f t="shared" si="49"/>
        <v>103</v>
      </c>
      <c r="I251">
        <f t="shared" si="50"/>
        <v>252</v>
      </c>
      <c r="J251">
        <f t="shared" si="51"/>
        <v>635</v>
      </c>
      <c r="K251">
        <f t="shared" si="52"/>
        <v>228</v>
      </c>
      <c r="L251">
        <f t="shared" si="53"/>
        <v>573</v>
      </c>
      <c r="M251">
        <f t="shared" si="54"/>
        <v>466</v>
      </c>
      <c r="N251">
        <f t="shared" si="55"/>
        <v>685</v>
      </c>
      <c r="O251">
        <f t="shared" si="56"/>
        <v>7715</v>
      </c>
      <c r="Q251">
        <v>2490</v>
      </c>
      <c r="R251">
        <v>1169</v>
      </c>
      <c r="S251">
        <v>124</v>
      </c>
      <c r="T251">
        <v>425</v>
      </c>
      <c r="U251">
        <v>91</v>
      </c>
      <c r="V251">
        <v>5</v>
      </c>
      <c r="W251">
        <v>597</v>
      </c>
      <c r="X251">
        <v>131</v>
      </c>
      <c r="Y251">
        <v>80</v>
      </c>
      <c r="Z251" s="271">
        <v>135</v>
      </c>
      <c r="AA251">
        <v>30</v>
      </c>
      <c r="AB251">
        <v>2</v>
      </c>
      <c r="AC251">
        <v>333</v>
      </c>
      <c r="AD251">
        <v>24</v>
      </c>
      <c r="AE251">
        <v>57</v>
      </c>
      <c r="AF251">
        <v>945</v>
      </c>
      <c r="AG251">
        <v>255</v>
      </c>
      <c r="AH251">
        <v>55</v>
      </c>
      <c r="AI251">
        <v>232</v>
      </c>
      <c r="AJ251">
        <v>4</v>
      </c>
      <c r="AK251">
        <v>0</v>
      </c>
      <c r="AL251">
        <v>779</v>
      </c>
      <c r="AM251">
        <v>189</v>
      </c>
      <c r="AN251">
        <v>17</v>
      </c>
      <c r="AO251">
        <v>648</v>
      </c>
      <c r="AP251">
        <v>89</v>
      </c>
      <c r="AQ251">
        <v>93</v>
      </c>
      <c r="AR251">
        <v>1054</v>
      </c>
      <c r="AS251">
        <v>317</v>
      </c>
      <c r="AT251">
        <v>52</v>
      </c>
      <c r="AU251">
        <v>0</v>
      </c>
      <c r="AV251">
        <v>0</v>
      </c>
      <c r="AW251">
        <v>0</v>
      </c>
      <c r="AX251">
        <f t="shared" si="57"/>
        <v>7715</v>
      </c>
      <c r="AZ251" t="s">
        <v>135</v>
      </c>
      <c r="BA251" s="128">
        <v>7153</v>
      </c>
      <c r="BB251" s="128">
        <v>3306</v>
      </c>
      <c r="BC251" s="128">
        <v>0</v>
      </c>
      <c r="BD251" s="128">
        <v>7698</v>
      </c>
      <c r="BE251" s="128">
        <v>151713</v>
      </c>
      <c r="BF251" s="128">
        <v>145745</v>
      </c>
      <c r="BG251" s="272">
        <v>50338.26280657202</v>
      </c>
      <c r="BH251">
        <v>201</v>
      </c>
      <c r="BI251">
        <v>386</v>
      </c>
      <c r="BJ251">
        <v>29</v>
      </c>
      <c r="BK251">
        <v>37</v>
      </c>
      <c r="BL251">
        <v>101</v>
      </c>
      <c r="BM251">
        <v>69</v>
      </c>
      <c r="BN251" s="128">
        <v>1464</v>
      </c>
      <c r="BO251" s="128">
        <v>0</v>
      </c>
      <c r="BP251" s="128">
        <v>99</v>
      </c>
      <c r="BQ251" s="128">
        <f t="shared" si="58"/>
        <v>4408199.737193428</v>
      </c>
      <c r="BR251">
        <v>931</v>
      </c>
      <c r="BS251" s="128">
        <f t="shared" si="45"/>
        <v>4734.9084180380532</v>
      </c>
      <c r="BT251" t="s">
        <v>118</v>
      </c>
      <c r="BU251" s="129">
        <f t="shared" si="59"/>
        <v>4841.2456897888596</v>
      </c>
      <c r="BZ251" t="s">
        <v>529</v>
      </c>
      <c r="CA251">
        <v>1736.9465442546323</v>
      </c>
      <c r="CB251" t="s">
        <v>118</v>
      </c>
    </row>
    <row r="252" spans="1:80" ht="14.5" x14ac:dyDescent="0.25">
      <c r="A252" t="s">
        <v>337</v>
      </c>
      <c r="B252">
        <v>29712</v>
      </c>
      <c r="C252">
        <v>6115</v>
      </c>
      <c r="D252">
        <v>1944</v>
      </c>
      <c r="E252">
        <f t="shared" si="46"/>
        <v>7464</v>
      </c>
      <c r="F252">
        <f t="shared" si="47"/>
        <v>3826</v>
      </c>
      <c r="G252">
        <f t="shared" si="48"/>
        <v>8418</v>
      </c>
      <c r="H252">
        <f t="shared" si="49"/>
        <v>1341</v>
      </c>
      <c r="I252">
        <f t="shared" si="50"/>
        <v>2689</v>
      </c>
      <c r="J252">
        <f t="shared" si="51"/>
        <v>8233</v>
      </c>
      <c r="K252">
        <f t="shared" si="52"/>
        <v>11933</v>
      </c>
      <c r="L252">
        <f t="shared" si="53"/>
        <v>20953</v>
      </c>
      <c r="M252">
        <f t="shared" si="54"/>
        <v>10683</v>
      </c>
      <c r="N252">
        <f t="shared" si="55"/>
        <v>1411</v>
      </c>
      <c r="O252">
        <f t="shared" si="56"/>
        <v>114722</v>
      </c>
      <c r="Q252">
        <v>18212</v>
      </c>
      <c r="R252">
        <v>9615</v>
      </c>
      <c r="S252">
        <v>1133</v>
      </c>
      <c r="T252">
        <v>5272</v>
      </c>
      <c r="U252">
        <v>1326</v>
      </c>
      <c r="V252">
        <v>120</v>
      </c>
      <c r="W252">
        <v>11309</v>
      </c>
      <c r="X252">
        <v>1702</v>
      </c>
      <c r="Y252">
        <v>1189</v>
      </c>
      <c r="Z252" s="271">
        <v>1750</v>
      </c>
      <c r="AA252">
        <v>377</v>
      </c>
      <c r="AB252">
        <v>32</v>
      </c>
      <c r="AC252">
        <v>3404</v>
      </c>
      <c r="AD252">
        <v>166</v>
      </c>
      <c r="AE252">
        <v>549</v>
      </c>
      <c r="AF252">
        <v>12692</v>
      </c>
      <c r="AG252">
        <v>2445</v>
      </c>
      <c r="AH252">
        <v>2014</v>
      </c>
      <c r="AI252">
        <v>18987</v>
      </c>
      <c r="AJ252">
        <v>6689</v>
      </c>
      <c r="AK252">
        <v>365</v>
      </c>
      <c r="AL252">
        <v>23421</v>
      </c>
      <c r="AM252">
        <v>2441</v>
      </c>
      <c r="AN252">
        <v>27</v>
      </c>
      <c r="AO252">
        <v>13412</v>
      </c>
      <c r="AP252">
        <v>2054</v>
      </c>
      <c r="AQ252">
        <v>675</v>
      </c>
      <c r="AR252">
        <v>4155</v>
      </c>
      <c r="AS252">
        <v>2733</v>
      </c>
      <c r="AT252">
        <v>11</v>
      </c>
      <c r="AU252">
        <v>1270</v>
      </c>
      <c r="AV252">
        <v>164</v>
      </c>
      <c r="AW252">
        <v>0</v>
      </c>
      <c r="AX252">
        <f t="shared" si="57"/>
        <v>115828</v>
      </c>
      <c r="AZ252" t="s">
        <v>337</v>
      </c>
      <c r="BA252" s="128">
        <v>106499</v>
      </c>
      <c r="BB252" s="128">
        <v>1337641</v>
      </c>
      <c r="BC252" s="128">
        <v>0</v>
      </c>
      <c r="BD252" s="128">
        <v>4639365</v>
      </c>
      <c r="BE252" s="128">
        <v>758125</v>
      </c>
      <c r="BF252" s="128">
        <v>7161781.8299718536</v>
      </c>
      <c r="BG252" s="272">
        <v>43057.294720944017</v>
      </c>
      <c r="BH252">
        <v>6918</v>
      </c>
      <c r="BI252">
        <v>4839</v>
      </c>
      <c r="BJ252">
        <v>408</v>
      </c>
      <c r="BK252">
        <v>524</v>
      </c>
      <c r="BL252">
        <v>1423</v>
      </c>
      <c r="BM252">
        <v>1084</v>
      </c>
      <c r="BN252" s="128">
        <v>10038</v>
      </c>
      <c r="BO252" s="128">
        <v>1609</v>
      </c>
      <c r="BP252" s="128">
        <v>2545</v>
      </c>
      <c r="BQ252" s="128">
        <f t="shared" si="58"/>
        <v>63171029.875307202</v>
      </c>
      <c r="BR252">
        <v>34054</v>
      </c>
      <c r="BS252" s="128">
        <f t="shared" si="45"/>
        <v>1855.02525034672</v>
      </c>
      <c r="BT252" t="s">
        <v>118</v>
      </c>
      <c r="BU252" s="129">
        <f t="shared" si="59"/>
        <v>1929.7594959566336</v>
      </c>
      <c r="BZ252" t="s">
        <v>290</v>
      </c>
      <c r="CA252">
        <v>2084.8020354668661</v>
      </c>
      <c r="CB252" t="s">
        <v>118</v>
      </c>
    </row>
    <row r="253" spans="1:80" ht="14.5" x14ac:dyDescent="0.25">
      <c r="A253" t="s">
        <v>443</v>
      </c>
      <c r="B253">
        <v>650840</v>
      </c>
      <c r="C253">
        <v>98256</v>
      </c>
      <c r="D253">
        <v>29136</v>
      </c>
      <c r="E253">
        <f t="shared" si="46"/>
        <v>68347</v>
      </c>
      <c r="F253">
        <f t="shared" si="47"/>
        <v>66270</v>
      </c>
      <c r="G253">
        <f t="shared" si="48"/>
        <v>107464</v>
      </c>
      <c r="H253">
        <f t="shared" si="49"/>
        <v>31425</v>
      </c>
      <c r="I253">
        <f t="shared" si="50"/>
        <v>105035</v>
      </c>
      <c r="J253">
        <f t="shared" si="51"/>
        <v>149436</v>
      </c>
      <c r="K253">
        <f t="shared" si="52"/>
        <v>493934</v>
      </c>
      <c r="L253">
        <f t="shared" si="53"/>
        <v>522058</v>
      </c>
      <c r="M253">
        <f t="shared" si="54"/>
        <v>139304</v>
      </c>
      <c r="N253">
        <f t="shared" si="55"/>
        <v>23340</v>
      </c>
      <c r="O253">
        <f t="shared" si="56"/>
        <v>2484845</v>
      </c>
      <c r="Q253">
        <v>359679</v>
      </c>
      <c r="R253">
        <v>253270</v>
      </c>
      <c r="S253">
        <v>38062</v>
      </c>
      <c r="T253">
        <v>89757</v>
      </c>
      <c r="U253">
        <v>23485</v>
      </c>
      <c r="V253">
        <v>2</v>
      </c>
      <c r="W253">
        <v>174509</v>
      </c>
      <c r="X253">
        <v>47970</v>
      </c>
      <c r="Y253">
        <v>19075</v>
      </c>
      <c r="Z253" s="271">
        <v>42765</v>
      </c>
      <c r="AA253">
        <v>8890</v>
      </c>
      <c r="AB253">
        <v>2450</v>
      </c>
      <c r="AC253">
        <v>130606</v>
      </c>
      <c r="AD253">
        <v>9496</v>
      </c>
      <c r="AE253">
        <v>16075</v>
      </c>
      <c r="AF253">
        <v>207031</v>
      </c>
      <c r="AG253">
        <v>43776</v>
      </c>
      <c r="AH253">
        <v>13819</v>
      </c>
      <c r="AI253">
        <v>598155</v>
      </c>
      <c r="AJ253">
        <v>103863</v>
      </c>
      <c r="AK253">
        <v>358</v>
      </c>
      <c r="AL253">
        <v>590569</v>
      </c>
      <c r="AM253">
        <v>64613</v>
      </c>
      <c r="AN253">
        <v>3898</v>
      </c>
      <c r="AO253">
        <v>192076</v>
      </c>
      <c r="AP253">
        <v>49167</v>
      </c>
      <c r="AQ253">
        <v>3605</v>
      </c>
      <c r="AR253">
        <v>67022</v>
      </c>
      <c r="AS253">
        <v>42770</v>
      </c>
      <c r="AT253">
        <v>912</v>
      </c>
      <c r="AU253">
        <v>82692</v>
      </c>
      <c r="AV253">
        <v>3540</v>
      </c>
      <c r="AW253">
        <v>0</v>
      </c>
      <c r="AX253">
        <f t="shared" si="57"/>
        <v>2563997</v>
      </c>
      <c r="AZ253" t="s">
        <v>443</v>
      </c>
      <c r="BA253" s="128">
        <v>2353913</v>
      </c>
      <c r="BB253" s="128">
        <v>16229117</v>
      </c>
      <c r="BC253" s="128">
        <v>71032035</v>
      </c>
      <c r="BD253" s="128">
        <v>43305014</v>
      </c>
      <c r="BE253" s="128">
        <v>72641105</v>
      </c>
      <c r="BF253" s="128">
        <v>377837835.52290958</v>
      </c>
      <c r="BG253" s="272">
        <v>48125603.411841691</v>
      </c>
      <c r="BH253">
        <v>42774</v>
      </c>
      <c r="BI253">
        <v>80050</v>
      </c>
      <c r="BJ253">
        <v>8399</v>
      </c>
      <c r="BK253">
        <v>2106</v>
      </c>
      <c r="BL253">
        <v>25152</v>
      </c>
      <c r="BM253">
        <v>4467</v>
      </c>
      <c r="BN253" s="128">
        <v>10545</v>
      </c>
      <c r="BO253" s="128">
        <v>75925</v>
      </c>
      <c r="BP253" s="128">
        <v>36058</v>
      </c>
      <c r="BQ253" s="128">
        <f t="shared" si="58"/>
        <v>1439266290.0652487</v>
      </c>
      <c r="BR253">
        <v>547757</v>
      </c>
      <c r="BS253" s="128">
        <f t="shared" ref="BS253:BS314" si="60">BQ253/BR253</f>
        <v>2627.5634817359683</v>
      </c>
      <c r="BT253" t="s">
        <v>441</v>
      </c>
      <c r="BU253" s="129">
        <f t="shared" si="59"/>
        <v>2693.3919421664145</v>
      </c>
      <c r="BZ253" t="s">
        <v>357</v>
      </c>
      <c r="CA253">
        <v>1771.2967052162603</v>
      </c>
      <c r="CB253" t="s">
        <v>118</v>
      </c>
    </row>
    <row r="254" spans="1:80" ht="14.5" x14ac:dyDescent="0.25">
      <c r="A254" t="s">
        <v>480</v>
      </c>
      <c r="B254">
        <v>152919</v>
      </c>
      <c r="C254">
        <v>41236</v>
      </c>
      <c r="D254">
        <v>4774</v>
      </c>
      <c r="E254">
        <f t="shared" ref="E254:E315" si="61">SUM(Q254,-R254,-S254)</f>
        <v>16874</v>
      </c>
      <c r="F254">
        <f t="shared" ref="F254:F315" si="62">SUM(T254,-U254,-V254)</f>
        <v>14250</v>
      </c>
      <c r="G254">
        <f t="shared" ref="G254:G315" si="63">SUM(W254,-X254,-Y254)</f>
        <v>24929</v>
      </c>
      <c r="H254">
        <f t="shared" ref="H254:H315" si="64">SUM(Z254,-AA254,-AB254)</f>
        <v>4881</v>
      </c>
      <c r="I254">
        <f t="shared" ref="I254:I315" si="65">SUM(AC254,-AD254,-AE254)</f>
        <v>26307</v>
      </c>
      <c r="J254">
        <f t="shared" ref="J254:J315" si="66">SUM(AF254,-AG254,-AH254)</f>
        <v>41142</v>
      </c>
      <c r="K254">
        <f t="shared" ref="K254:K315" si="67">SUM(AI254,-AJ254,-AK254)</f>
        <v>88770</v>
      </c>
      <c r="L254">
        <f t="shared" ref="L254:L315" si="68">SUM(AL254,-AM254,-AN254)</f>
        <v>252644</v>
      </c>
      <c r="M254">
        <f t="shared" ref="M254:M315" si="69">SUM(AO254,-AP254,-AQ254)</f>
        <v>50748</v>
      </c>
      <c r="N254">
        <f t="shared" ref="N254:N315" si="70">SUM(AR254,-AS254,-AT254)</f>
        <v>2733</v>
      </c>
      <c r="O254">
        <f t="shared" ref="O254:O315" si="71">SUM(B254:N254)</f>
        <v>722207</v>
      </c>
      <c r="Q254">
        <v>71411</v>
      </c>
      <c r="R254">
        <v>50133</v>
      </c>
      <c r="S254">
        <v>4404</v>
      </c>
      <c r="T254">
        <v>17591</v>
      </c>
      <c r="U254">
        <v>3223</v>
      </c>
      <c r="V254">
        <v>118</v>
      </c>
      <c r="W254">
        <v>42274</v>
      </c>
      <c r="X254">
        <v>6570</v>
      </c>
      <c r="Y254">
        <v>10775</v>
      </c>
      <c r="Z254" s="271">
        <v>6841</v>
      </c>
      <c r="AA254">
        <v>1607</v>
      </c>
      <c r="AB254">
        <v>353</v>
      </c>
      <c r="AC254">
        <v>42137</v>
      </c>
      <c r="AD254">
        <v>8122</v>
      </c>
      <c r="AE254">
        <v>7708</v>
      </c>
      <c r="AF254">
        <v>57248</v>
      </c>
      <c r="AG254">
        <v>6592</v>
      </c>
      <c r="AH254">
        <v>9514</v>
      </c>
      <c r="AI254">
        <v>128578</v>
      </c>
      <c r="AJ254">
        <v>38862</v>
      </c>
      <c r="AK254">
        <v>946</v>
      </c>
      <c r="AL254">
        <v>265350</v>
      </c>
      <c r="AM254">
        <v>11584</v>
      </c>
      <c r="AN254">
        <v>1122</v>
      </c>
      <c r="AO254">
        <v>72656</v>
      </c>
      <c r="AP254">
        <v>16780</v>
      </c>
      <c r="AQ254">
        <v>5128</v>
      </c>
      <c r="AR254">
        <v>11030</v>
      </c>
      <c r="AS254">
        <v>8248</v>
      </c>
      <c r="AT254">
        <v>49</v>
      </c>
      <c r="AU254">
        <v>51105</v>
      </c>
      <c r="AV254">
        <v>1198</v>
      </c>
      <c r="AW254">
        <v>1119</v>
      </c>
      <c r="AX254">
        <f t="shared" ref="AX254:AX315" si="72">SUM(D254,Q254,T254,W254,Z254,AC254,AF254,AI254,AL254,AO254,AR254,AU254)</f>
        <v>770995</v>
      </c>
      <c r="AZ254" t="s">
        <v>480</v>
      </c>
      <c r="BA254" s="128">
        <v>673880</v>
      </c>
      <c r="BB254" s="128">
        <v>4966624</v>
      </c>
      <c r="BC254" s="128">
        <v>25725367</v>
      </c>
      <c r="BD254" s="128">
        <v>23109776</v>
      </c>
      <c r="BE254" s="128">
        <v>16165712</v>
      </c>
      <c r="BF254" s="128">
        <v>60752387.969574608</v>
      </c>
      <c r="BG254" s="272">
        <v>2416051.2354185209</v>
      </c>
      <c r="BH254">
        <v>11584</v>
      </c>
      <c r="BI254">
        <v>38982</v>
      </c>
      <c r="BJ254">
        <v>2071</v>
      </c>
      <c r="BK254">
        <v>112</v>
      </c>
      <c r="BL254">
        <v>3818</v>
      </c>
      <c r="BM254">
        <v>46088</v>
      </c>
      <c r="BN254" s="128">
        <v>1298</v>
      </c>
      <c r="BO254" s="128">
        <v>20633</v>
      </c>
      <c r="BP254" s="128">
        <v>3929</v>
      </c>
      <c r="BQ254" s="128">
        <f t="shared" si="58"/>
        <v>412229081.79500687</v>
      </c>
      <c r="BR254">
        <v>155496</v>
      </c>
      <c r="BS254" s="128">
        <f t="shared" si="60"/>
        <v>2651.0590741562924</v>
      </c>
      <c r="BT254" t="s">
        <v>441</v>
      </c>
      <c r="BU254" s="129">
        <f t="shared" si="59"/>
        <v>2676.3266051538744</v>
      </c>
      <c r="BZ254" t="s">
        <v>248</v>
      </c>
      <c r="CA254">
        <v>1568.9916437265281</v>
      </c>
      <c r="CB254" t="s">
        <v>118</v>
      </c>
    </row>
    <row r="255" spans="1:80" ht="14.5" x14ac:dyDescent="0.25">
      <c r="A255" t="s">
        <v>420</v>
      </c>
      <c r="B255">
        <v>6018</v>
      </c>
      <c r="C255">
        <v>942</v>
      </c>
      <c r="D255">
        <v>184</v>
      </c>
      <c r="E255">
        <f t="shared" si="61"/>
        <v>2154</v>
      </c>
      <c r="F255">
        <f t="shared" si="62"/>
        <v>914</v>
      </c>
      <c r="G255">
        <f t="shared" si="63"/>
        <v>811</v>
      </c>
      <c r="H255">
        <f t="shared" si="64"/>
        <v>124</v>
      </c>
      <c r="I255">
        <f t="shared" si="65"/>
        <v>330</v>
      </c>
      <c r="J255">
        <f t="shared" si="66"/>
        <v>1300</v>
      </c>
      <c r="K255">
        <f t="shared" si="67"/>
        <v>5777</v>
      </c>
      <c r="L255">
        <f t="shared" si="68"/>
        <v>6119</v>
      </c>
      <c r="M255">
        <f t="shared" si="69"/>
        <v>1681</v>
      </c>
      <c r="N255">
        <f t="shared" si="70"/>
        <v>23</v>
      </c>
      <c r="O255">
        <f t="shared" si="71"/>
        <v>26377</v>
      </c>
      <c r="Q255">
        <v>6166</v>
      </c>
      <c r="R255">
        <v>3780</v>
      </c>
      <c r="S255">
        <v>232</v>
      </c>
      <c r="T255">
        <v>1254</v>
      </c>
      <c r="U255">
        <v>313</v>
      </c>
      <c r="V255">
        <v>27</v>
      </c>
      <c r="W255">
        <v>1078</v>
      </c>
      <c r="X255">
        <v>226</v>
      </c>
      <c r="Y255">
        <v>41</v>
      </c>
      <c r="Z255" s="271">
        <v>216</v>
      </c>
      <c r="AA255">
        <v>92</v>
      </c>
      <c r="AB255">
        <v>0</v>
      </c>
      <c r="AC255">
        <v>510</v>
      </c>
      <c r="AD255">
        <v>37</v>
      </c>
      <c r="AE255">
        <v>143</v>
      </c>
      <c r="AF255">
        <v>1582</v>
      </c>
      <c r="AG255">
        <v>201</v>
      </c>
      <c r="AH255">
        <v>81</v>
      </c>
      <c r="AI255">
        <v>5834</v>
      </c>
      <c r="AJ255">
        <v>57</v>
      </c>
      <c r="AK255">
        <v>0</v>
      </c>
      <c r="AL255">
        <v>6687</v>
      </c>
      <c r="AM255">
        <v>538</v>
      </c>
      <c r="AN255">
        <v>30</v>
      </c>
      <c r="AO255">
        <v>2344</v>
      </c>
      <c r="AP255">
        <v>275</v>
      </c>
      <c r="AQ255">
        <v>388</v>
      </c>
      <c r="AR255">
        <v>491</v>
      </c>
      <c r="AS255">
        <v>468</v>
      </c>
      <c r="AT255">
        <v>0</v>
      </c>
      <c r="AU255">
        <v>39</v>
      </c>
      <c r="AV255">
        <v>31</v>
      </c>
      <c r="AW255">
        <v>0</v>
      </c>
      <c r="AX255">
        <f t="shared" si="72"/>
        <v>26385</v>
      </c>
      <c r="AZ255" t="s">
        <v>420</v>
      </c>
      <c r="BA255" s="128">
        <v>25220</v>
      </c>
      <c r="BB255" s="128">
        <v>951506</v>
      </c>
      <c r="BC255" s="128">
        <v>0</v>
      </c>
      <c r="BD255" s="128">
        <v>2378402</v>
      </c>
      <c r="BE255" s="128">
        <v>258976</v>
      </c>
      <c r="BF255" s="128">
        <v>1939374</v>
      </c>
      <c r="BG255" s="272">
        <v>0</v>
      </c>
      <c r="BH255">
        <v>1207</v>
      </c>
      <c r="BI255">
        <v>1179</v>
      </c>
      <c r="BJ255">
        <v>110</v>
      </c>
      <c r="BK255">
        <v>40</v>
      </c>
      <c r="BL255">
        <v>70</v>
      </c>
      <c r="BM255">
        <v>11</v>
      </c>
      <c r="BN255" s="128">
        <v>0</v>
      </c>
      <c r="BO255" s="128">
        <v>0</v>
      </c>
      <c r="BP255" s="128">
        <v>35</v>
      </c>
      <c r="BQ255" s="128">
        <f t="shared" si="58"/>
        <v>17039742</v>
      </c>
      <c r="BR255">
        <v>10481</v>
      </c>
      <c r="BS255" s="128">
        <f t="shared" si="60"/>
        <v>1625.7744490029577</v>
      </c>
      <c r="BT255" t="s">
        <v>118</v>
      </c>
      <c r="BU255" s="129">
        <f t="shared" si="59"/>
        <v>1629.1138250166969</v>
      </c>
      <c r="BZ255" t="s">
        <v>867</v>
      </c>
      <c r="CA255">
        <v>1834.1001165187563</v>
      </c>
      <c r="CB255" t="s">
        <v>118</v>
      </c>
    </row>
    <row r="256" spans="1:80" ht="14.5" x14ac:dyDescent="0.25">
      <c r="A256" t="s">
        <v>387</v>
      </c>
      <c r="B256">
        <v>1141</v>
      </c>
      <c r="C256">
        <v>2955</v>
      </c>
      <c r="D256">
        <v>185</v>
      </c>
      <c r="E256">
        <f t="shared" si="61"/>
        <v>7509</v>
      </c>
      <c r="F256">
        <f t="shared" si="62"/>
        <v>2694</v>
      </c>
      <c r="G256">
        <f t="shared" si="63"/>
        <v>2875</v>
      </c>
      <c r="H256">
        <f t="shared" si="64"/>
        <v>717</v>
      </c>
      <c r="I256">
        <f t="shared" si="65"/>
        <v>3167</v>
      </c>
      <c r="J256">
        <f t="shared" si="66"/>
        <v>5000</v>
      </c>
      <c r="K256">
        <f t="shared" si="67"/>
        <v>10369</v>
      </c>
      <c r="L256">
        <f t="shared" si="68"/>
        <v>17961</v>
      </c>
      <c r="M256">
        <f t="shared" si="69"/>
        <v>7017</v>
      </c>
      <c r="N256">
        <f t="shared" si="70"/>
        <v>3090</v>
      </c>
      <c r="O256">
        <f t="shared" si="71"/>
        <v>64680</v>
      </c>
      <c r="Q256">
        <v>10416</v>
      </c>
      <c r="R256">
        <v>1141</v>
      </c>
      <c r="S256">
        <v>1766</v>
      </c>
      <c r="T256">
        <v>2694</v>
      </c>
      <c r="U256">
        <v>0</v>
      </c>
      <c r="V256">
        <v>0</v>
      </c>
      <c r="W256">
        <v>2984</v>
      </c>
      <c r="X256">
        <v>0</v>
      </c>
      <c r="Y256">
        <v>109</v>
      </c>
      <c r="Z256" s="271">
        <v>717</v>
      </c>
      <c r="AA256">
        <v>0</v>
      </c>
      <c r="AB256">
        <v>0</v>
      </c>
      <c r="AC256">
        <v>3435</v>
      </c>
      <c r="AD256">
        <v>0</v>
      </c>
      <c r="AE256">
        <v>268</v>
      </c>
      <c r="AF256">
        <v>5299</v>
      </c>
      <c r="AG256">
        <v>0</v>
      </c>
      <c r="AH256">
        <v>299</v>
      </c>
      <c r="AI256">
        <v>10369</v>
      </c>
      <c r="AJ256">
        <v>0</v>
      </c>
      <c r="AK256">
        <v>0</v>
      </c>
      <c r="AL256">
        <v>18228</v>
      </c>
      <c r="AM256">
        <v>0</v>
      </c>
      <c r="AN256">
        <v>267</v>
      </c>
      <c r="AO256">
        <v>7263</v>
      </c>
      <c r="AP256">
        <v>0</v>
      </c>
      <c r="AQ256">
        <v>246</v>
      </c>
      <c r="AR256">
        <v>3090</v>
      </c>
      <c r="AS256">
        <v>0</v>
      </c>
      <c r="AT256">
        <v>0</v>
      </c>
      <c r="AU256">
        <v>4914</v>
      </c>
      <c r="AV256">
        <v>0</v>
      </c>
      <c r="AW256">
        <v>0</v>
      </c>
      <c r="AX256">
        <f t="shared" si="72"/>
        <v>69594</v>
      </c>
      <c r="AZ256" t="s">
        <v>387</v>
      </c>
      <c r="BA256" s="128">
        <v>61540</v>
      </c>
      <c r="BB256" s="128">
        <v>529931</v>
      </c>
      <c r="BC256" s="128">
        <v>0</v>
      </c>
      <c r="BD256" s="128">
        <v>4184121</v>
      </c>
      <c r="BE256" s="128">
        <v>342963.29666666663</v>
      </c>
      <c r="BF256" s="128">
        <v>3781611.7814700478</v>
      </c>
      <c r="BG256" s="272">
        <v>0</v>
      </c>
      <c r="BH256">
        <v>1792</v>
      </c>
      <c r="BI256">
        <v>2904</v>
      </c>
      <c r="BJ256">
        <v>411</v>
      </c>
      <c r="BK256">
        <v>3</v>
      </c>
      <c r="BL256">
        <v>774</v>
      </c>
      <c r="BM256">
        <v>76</v>
      </c>
      <c r="BN256" s="128">
        <v>107</v>
      </c>
      <c r="BO256" s="128">
        <v>0</v>
      </c>
      <c r="BP256" s="128">
        <v>31</v>
      </c>
      <c r="BQ256" s="128">
        <f t="shared" si="58"/>
        <v>46603372.921863288</v>
      </c>
      <c r="BR256">
        <v>29512</v>
      </c>
      <c r="BS256" s="128">
        <f t="shared" si="60"/>
        <v>1579.1329940994608</v>
      </c>
      <c r="BT256" t="s">
        <v>467</v>
      </c>
      <c r="BU256" s="129">
        <f t="shared" si="59"/>
        <v>1580.183414267528</v>
      </c>
      <c r="BZ256" t="s">
        <v>177</v>
      </c>
      <c r="CA256">
        <v>1605.3005775282052</v>
      </c>
      <c r="CB256" t="s">
        <v>118</v>
      </c>
    </row>
    <row r="257" spans="1:80" ht="14.5" x14ac:dyDescent="0.25">
      <c r="A257" t="s">
        <v>421</v>
      </c>
      <c r="B257">
        <v>59795</v>
      </c>
      <c r="C257">
        <v>15740</v>
      </c>
      <c r="D257">
        <v>8351</v>
      </c>
      <c r="E257">
        <f t="shared" si="61"/>
        <v>22944</v>
      </c>
      <c r="F257">
        <f t="shared" si="62"/>
        <v>9558</v>
      </c>
      <c r="G257">
        <f t="shared" si="63"/>
        <v>11732</v>
      </c>
      <c r="H257">
        <f t="shared" si="64"/>
        <v>6925</v>
      </c>
      <c r="I257">
        <f t="shared" si="65"/>
        <v>6205</v>
      </c>
      <c r="J257">
        <f t="shared" si="66"/>
        <v>26137</v>
      </c>
      <c r="K257">
        <f t="shared" si="67"/>
        <v>66202</v>
      </c>
      <c r="L257">
        <f t="shared" si="68"/>
        <v>73237</v>
      </c>
      <c r="M257">
        <f t="shared" si="69"/>
        <v>18290</v>
      </c>
      <c r="N257">
        <f t="shared" si="70"/>
        <v>2213</v>
      </c>
      <c r="O257">
        <f t="shared" si="71"/>
        <v>327329</v>
      </c>
      <c r="Q257">
        <v>48777</v>
      </c>
      <c r="R257">
        <v>25004</v>
      </c>
      <c r="S257">
        <v>829</v>
      </c>
      <c r="T257">
        <v>14419</v>
      </c>
      <c r="U257">
        <v>4752</v>
      </c>
      <c r="V257">
        <v>109</v>
      </c>
      <c r="W257">
        <v>21070</v>
      </c>
      <c r="X257">
        <v>3721</v>
      </c>
      <c r="Y257">
        <v>5617</v>
      </c>
      <c r="Z257" s="271">
        <v>9670</v>
      </c>
      <c r="AA257">
        <v>2034</v>
      </c>
      <c r="AB257">
        <v>711</v>
      </c>
      <c r="AC257">
        <v>10056</v>
      </c>
      <c r="AD257">
        <v>1515</v>
      </c>
      <c r="AE257">
        <v>2336</v>
      </c>
      <c r="AF257">
        <v>31375</v>
      </c>
      <c r="AG257">
        <v>2360</v>
      </c>
      <c r="AH257">
        <v>2878</v>
      </c>
      <c r="AI257">
        <v>74837</v>
      </c>
      <c r="AJ257">
        <v>8635</v>
      </c>
      <c r="AK257">
        <v>0</v>
      </c>
      <c r="AL257">
        <v>79678</v>
      </c>
      <c r="AM257">
        <v>6095</v>
      </c>
      <c r="AN257">
        <v>346</v>
      </c>
      <c r="AO257">
        <v>23067</v>
      </c>
      <c r="AP257">
        <v>2288</v>
      </c>
      <c r="AQ257">
        <v>2489</v>
      </c>
      <c r="AR257">
        <v>6019</v>
      </c>
      <c r="AS257">
        <v>3383</v>
      </c>
      <c r="AT257">
        <v>423</v>
      </c>
      <c r="AU257">
        <v>-446</v>
      </c>
      <c r="AV257">
        <v>8</v>
      </c>
      <c r="AW257">
        <v>2</v>
      </c>
      <c r="AX257">
        <f t="shared" si="72"/>
        <v>326873</v>
      </c>
      <c r="AZ257" t="s">
        <v>421</v>
      </c>
      <c r="BA257" s="128">
        <v>303228</v>
      </c>
      <c r="BB257" s="128">
        <v>2365947</v>
      </c>
      <c r="BC257" s="128">
        <v>0</v>
      </c>
      <c r="BD257" s="128">
        <v>13993602</v>
      </c>
      <c r="BE257" s="128">
        <v>2737426</v>
      </c>
      <c r="BF257" s="128">
        <v>43133916.686392121</v>
      </c>
      <c r="BG257" s="272">
        <v>0</v>
      </c>
      <c r="BH257">
        <v>9681</v>
      </c>
      <c r="BI257">
        <v>13233</v>
      </c>
      <c r="BJ257">
        <v>1049</v>
      </c>
      <c r="BK257">
        <v>414</v>
      </c>
      <c r="BL257">
        <v>2152</v>
      </c>
      <c r="BM257">
        <v>4173</v>
      </c>
      <c r="BN257" s="128">
        <v>278</v>
      </c>
      <c r="BO257" s="128">
        <v>2800</v>
      </c>
      <c r="BP257" s="128">
        <v>1072</v>
      </c>
      <c r="BQ257" s="128">
        <f t="shared" si="58"/>
        <v>206145108.31360787</v>
      </c>
      <c r="BR257">
        <v>91724</v>
      </c>
      <c r="BS257" s="128">
        <f t="shared" si="60"/>
        <v>2247.4500492085808</v>
      </c>
      <c r="BT257" t="s">
        <v>441</v>
      </c>
      <c r="BU257" s="129">
        <f t="shared" si="59"/>
        <v>2259.1372848284841</v>
      </c>
      <c r="BZ257" t="s">
        <v>403</v>
      </c>
      <c r="CA257">
        <v>1589.4170773435023</v>
      </c>
      <c r="CB257" t="s">
        <v>118</v>
      </c>
    </row>
    <row r="258" spans="1:80" ht="14.5" x14ac:dyDescent="0.25">
      <c r="A258" t="s">
        <v>318</v>
      </c>
      <c r="B258">
        <v>9832</v>
      </c>
      <c r="C258">
        <v>2586</v>
      </c>
      <c r="D258">
        <v>376</v>
      </c>
      <c r="E258">
        <f t="shared" si="61"/>
        <v>7984</v>
      </c>
      <c r="F258">
        <f t="shared" si="62"/>
        <v>2204</v>
      </c>
      <c r="G258">
        <f t="shared" si="63"/>
        <v>1403</v>
      </c>
      <c r="H258">
        <f t="shared" si="64"/>
        <v>4060</v>
      </c>
      <c r="I258">
        <f t="shared" si="65"/>
        <v>1593</v>
      </c>
      <c r="J258">
        <f t="shared" si="66"/>
        <v>3556</v>
      </c>
      <c r="K258">
        <f t="shared" si="67"/>
        <v>12891</v>
      </c>
      <c r="L258">
        <f t="shared" si="68"/>
        <v>18428</v>
      </c>
      <c r="M258">
        <f t="shared" si="69"/>
        <v>5492</v>
      </c>
      <c r="N258">
        <f t="shared" si="70"/>
        <v>1274</v>
      </c>
      <c r="O258">
        <f t="shared" si="71"/>
        <v>71679</v>
      </c>
      <c r="Q258">
        <v>13726</v>
      </c>
      <c r="R258">
        <v>5098</v>
      </c>
      <c r="S258">
        <v>644</v>
      </c>
      <c r="T258">
        <v>2467</v>
      </c>
      <c r="U258">
        <v>259</v>
      </c>
      <c r="V258">
        <v>4</v>
      </c>
      <c r="W258">
        <v>2479</v>
      </c>
      <c r="X258">
        <v>645</v>
      </c>
      <c r="Y258">
        <v>431</v>
      </c>
      <c r="Z258" s="271">
        <v>4236</v>
      </c>
      <c r="AA258">
        <v>114</v>
      </c>
      <c r="AB258">
        <v>62</v>
      </c>
      <c r="AC258">
        <v>2142</v>
      </c>
      <c r="AD258">
        <v>54</v>
      </c>
      <c r="AE258">
        <v>495</v>
      </c>
      <c r="AF258">
        <v>5290</v>
      </c>
      <c r="AG258">
        <v>1224</v>
      </c>
      <c r="AH258">
        <v>510</v>
      </c>
      <c r="AI258">
        <v>12972</v>
      </c>
      <c r="AJ258">
        <v>81</v>
      </c>
      <c r="AK258">
        <v>0</v>
      </c>
      <c r="AL258">
        <v>18819</v>
      </c>
      <c r="AM258">
        <v>249</v>
      </c>
      <c r="AN258">
        <v>142</v>
      </c>
      <c r="AO258">
        <v>7077</v>
      </c>
      <c r="AP258">
        <v>1287</v>
      </c>
      <c r="AQ258">
        <v>298</v>
      </c>
      <c r="AR258">
        <v>2095</v>
      </c>
      <c r="AS258">
        <v>821</v>
      </c>
      <c r="AT258">
        <v>0</v>
      </c>
      <c r="AU258">
        <v>0</v>
      </c>
      <c r="AV258">
        <v>0</v>
      </c>
      <c r="AW258">
        <v>0</v>
      </c>
      <c r="AX258">
        <f t="shared" si="72"/>
        <v>71679</v>
      </c>
      <c r="AZ258" t="s">
        <v>318</v>
      </c>
      <c r="BA258" s="128">
        <v>68717</v>
      </c>
      <c r="BB258" s="128">
        <v>887937</v>
      </c>
      <c r="BC258" s="128">
        <v>0</v>
      </c>
      <c r="BD258" s="128">
        <v>2377096</v>
      </c>
      <c r="BE258" s="128">
        <v>502327</v>
      </c>
      <c r="BF258" s="128">
        <v>7250065.0477934079</v>
      </c>
      <c r="BG258" s="272">
        <v>287131.73005522322</v>
      </c>
      <c r="BH258">
        <v>2940</v>
      </c>
      <c r="BI258">
        <v>3178</v>
      </c>
      <c r="BJ258">
        <v>253</v>
      </c>
      <c r="BK258">
        <v>434</v>
      </c>
      <c r="BL258">
        <v>475</v>
      </c>
      <c r="BM258">
        <v>198</v>
      </c>
      <c r="BN258" s="128">
        <v>0</v>
      </c>
      <c r="BO258" s="128">
        <v>0</v>
      </c>
      <c r="BP258" s="128">
        <v>916</v>
      </c>
      <c r="BQ258" s="128">
        <f t="shared" si="58"/>
        <v>49018443.222151369</v>
      </c>
      <c r="BR258">
        <v>25589</v>
      </c>
      <c r="BS258" s="128">
        <f t="shared" si="60"/>
        <v>1915.6060503400433</v>
      </c>
      <c r="BT258" t="s">
        <v>118</v>
      </c>
      <c r="BU258" s="129">
        <f t="shared" si="59"/>
        <v>1951.4026817050831</v>
      </c>
      <c r="BZ258" t="s">
        <v>251</v>
      </c>
      <c r="CA258">
        <v>1973.4906912237984</v>
      </c>
      <c r="CB258" t="s">
        <v>118</v>
      </c>
    </row>
    <row r="259" spans="1:80" ht="14.5" x14ac:dyDescent="0.25">
      <c r="A259" t="s">
        <v>338</v>
      </c>
      <c r="B259">
        <v>15985</v>
      </c>
      <c r="C259">
        <v>5239</v>
      </c>
      <c r="D259">
        <v>1662</v>
      </c>
      <c r="E259">
        <f t="shared" si="61"/>
        <v>4163</v>
      </c>
      <c r="F259">
        <f t="shared" si="62"/>
        <v>2787</v>
      </c>
      <c r="G259">
        <f t="shared" si="63"/>
        <v>6026</v>
      </c>
      <c r="H259">
        <f t="shared" si="64"/>
        <v>1719</v>
      </c>
      <c r="I259">
        <f t="shared" si="65"/>
        <v>1653</v>
      </c>
      <c r="J259">
        <f t="shared" si="66"/>
        <v>6655</v>
      </c>
      <c r="K259">
        <f t="shared" si="67"/>
        <v>12743</v>
      </c>
      <c r="L259">
        <f t="shared" si="68"/>
        <v>8283</v>
      </c>
      <c r="M259">
        <f t="shared" si="69"/>
        <v>5787</v>
      </c>
      <c r="N259">
        <f t="shared" si="70"/>
        <v>521</v>
      </c>
      <c r="O259">
        <f t="shared" si="71"/>
        <v>73223</v>
      </c>
      <c r="Q259">
        <v>12087</v>
      </c>
      <c r="R259">
        <v>7489</v>
      </c>
      <c r="S259">
        <v>435</v>
      </c>
      <c r="T259">
        <v>3124</v>
      </c>
      <c r="U259">
        <v>204</v>
      </c>
      <c r="V259">
        <v>133</v>
      </c>
      <c r="W259">
        <v>7932</v>
      </c>
      <c r="X259">
        <v>873</v>
      </c>
      <c r="Y259">
        <v>1033</v>
      </c>
      <c r="Z259" s="271">
        <v>2320</v>
      </c>
      <c r="AA259">
        <v>339</v>
      </c>
      <c r="AB259">
        <v>262</v>
      </c>
      <c r="AC259">
        <v>1941</v>
      </c>
      <c r="AD259">
        <v>22</v>
      </c>
      <c r="AE259">
        <v>266</v>
      </c>
      <c r="AF259">
        <v>8724</v>
      </c>
      <c r="AG259">
        <v>1278</v>
      </c>
      <c r="AH259">
        <v>791</v>
      </c>
      <c r="AI259">
        <v>13858</v>
      </c>
      <c r="AJ259">
        <v>1115</v>
      </c>
      <c r="AK259">
        <v>0</v>
      </c>
      <c r="AL259">
        <v>10472</v>
      </c>
      <c r="AM259">
        <v>1356</v>
      </c>
      <c r="AN259">
        <v>833</v>
      </c>
      <c r="AO259">
        <v>8306</v>
      </c>
      <c r="AP259">
        <v>1111</v>
      </c>
      <c r="AQ259">
        <v>1408</v>
      </c>
      <c r="AR259">
        <v>2471</v>
      </c>
      <c r="AS259">
        <v>1872</v>
      </c>
      <c r="AT259">
        <v>78</v>
      </c>
      <c r="AU259">
        <v>554</v>
      </c>
      <c r="AV259">
        <v>326</v>
      </c>
      <c r="AW259">
        <v>0</v>
      </c>
      <c r="AX259">
        <f t="shared" si="72"/>
        <v>73451</v>
      </c>
      <c r="AZ259" t="s">
        <v>338</v>
      </c>
      <c r="BA259" s="128">
        <v>65996</v>
      </c>
      <c r="BB259" s="128">
        <v>813298</v>
      </c>
      <c r="BC259" s="128">
        <v>0</v>
      </c>
      <c r="BD259" s="128">
        <v>2044500</v>
      </c>
      <c r="BE259" s="128">
        <v>803415</v>
      </c>
      <c r="BF259" s="128">
        <v>4506490.8103637137</v>
      </c>
      <c r="BG259" s="272">
        <v>218685.04332611337</v>
      </c>
      <c r="BH259">
        <v>4588</v>
      </c>
      <c r="BI259">
        <v>3553</v>
      </c>
      <c r="BJ259">
        <v>518</v>
      </c>
      <c r="BK259">
        <v>214</v>
      </c>
      <c r="BL259">
        <v>742</v>
      </c>
      <c r="BM259">
        <v>171</v>
      </c>
      <c r="BN259" s="128">
        <v>7135</v>
      </c>
      <c r="BO259" s="128">
        <v>2191</v>
      </c>
      <c r="BP259" s="128">
        <v>632</v>
      </c>
      <c r="BQ259" s="128">
        <f t="shared" ref="BQ259:BQ322" si="73">SUM(1000*BA259,-BB259,-BC259,-BD259,-BE259,-BF259,-BG259,-1000*BH259,-1000*BI259,-1000*BJ259,-1000*BK259,-1000*BL259,-1000*BM259,-1000*BN259,-1000*BO259,-1000*BP259)</f>
        <v>37865611.14631018</v>
      </c>
      <c r="BR259">
        <v>23161</v>
      </c>
      <c r="BS259" s="128">
        <f t="shared" si="60"/>
        <v>1634.8867124178653</v>
      </c>
      <c r="BT259" t="s">
        <v>118</v>
      </c>
      <c r="BU259" s="129">
        <f t="shared" ref="BU259:BU322" si="74">SUM(BQ259,1000*BP259)/BR259</f>
        <v>1662.1739625365994</v>
      </c>
      <c r="BZ259" t="s">
        <v>181</v>
      </c>
      <c r="CA259">
        <v>1446.653033595371</v>
      </c>
      <c r="CB259" t="s">
        <v>118</v>
      </c>
    </row>
    <row r="260" spans="1:80" ht="14.5" x14ac:dyDescent="0.25">
      <c r="A260" t="s">
        <v>136</v>
      </c>
      <c r="B260">
        <v>34986</v>
      </c>
      <c r="C260">
        <v>6476</v>
      </c>
      <c r="D260">
        <v>1258</v>
      </c>
      <c r="E260">
        <f t="shared" si="61"/>
        <v>8640</v>
      </c>
      <c r="F260">
        <f t="shared" si="62"/>
        <v>3616</v>
      </c>
      <c r="G260">
        <f t="shared" si="63"/>
        <v>4903</v>
      </c>
      <c r="H260">
        <f t="shared" si="64"/>
        <v>1034</v>
      </c>
      <c r="I260">
        <f t="shared" si="65"/>
        <v>6190</v>
      </c>
      <c r="J260">
        <f t="shared" si="66"/>
        <v>13893</v>
      </c>
      <c r="K260">
        <f t="shared" si="67"/>
        <v>44070</v>
      </c>
      <c r="L260">
        <f t="shared" si="68"/>
        <v>52932</v>
      </c>
      <c r="M260">
        <f t="shared" si="69"/>
        <v>10318</v>
      </c>
      <c r="N260">
        <f t="shared" si="70"/>
        <v>662</v>
      </c>
      <c r="O260">
        <f t="shared" si="71"/>
        <v>188978</v>
      </c>
      <c r="Q260">
        <v>22849</v>
      </c>
      <c r="R260">
        <v>13057</v>
      </c>
      <c r="S260">
        <v>1152</v>
      </c>
      <c r="T260">
        <v>4460</v>
      </c>
      <c r="U260">
        <v>844</v>
      </c>
      <c r="V260">
        <v>0</v>
      </c>
      <c r="W260">
        <v>8832</v>
      </c>
      <c r="X260">
        <v>3149</v>
      </c>
      <c r="Y260">
        <v>780</v>
      </c>
      <c r="Z260" s="271">
        <v>1514</v>
      </c>
      <c r="AA260">
        <v>480</v>
      </c>
      <c r="AB260">
        <v>0</v>
      </c>
      <c r="AC260">
        <v>10374</v>
      </c>
      <c r="AD260">
        <v>1414</v>
      </c>
      <c r="AE260">
        <v>2770</v>
      </c>
      <c r="AF260">
        <v>15939</v>
      </c>
      <c r="AG260">
        <v>1759</v>
      </c>
      <c r="AH260">
        <v>287</v>
      </c>
      <c r="AI260">
        <v>50177</v>
      </c>
      <c r="AJ260">
        <v>6107</v>
      </c>
      <c r="AK260">
        <v>0</v>
      </c>
      <c r="AL260">
        <v>54418</v>
      </c>
      <c r="AM260">
        <v>1409</v>
      </c>
      <c r="AN260">
        <v>77</v>
      </c>
      <c r="AO260">
        <v>15085</v>
      </c>
      <c r="AP260">
        <v>3377</v>
      </c>
      <c r="AQ260">
        <v>1390</v>
      </c>
      <c r="AR260">
        <v>3836</v>
      </c>
      <c r="AS260">
        <v>3155</v>
      </c>
      <c r="AT260">
        <v>19</v>
      </c>
      <c r="AU260">
        <v>3900</v>
      </c>
      <c r="AV260">
        <v>235</v>
      </c>
      <c r="AW260">
        <v>1</v>
      </c>
      <c r="AX260">
        <f t="shared" si="72"/>
        <v>192642</v>
      </c>
      <c r="AZ260" t="s">
        <v>136</v>
      </c>
      <c r="BA260" s="128">
        <v>181008</v>
      </c>
      <c r="BB260" s="128">
        <v>4444462</v>
      </c>
      <c r="BC260" s="128">
        <v>0</v>
      </c>
      <c r="BD260" s="128">
        <v>10886002</v>
      </c>
      <c r="BE260" s="128">
        <v>1322043</v>
      </c>
      <c r="BF260" s="128">
        <v>28309157.276816033</v>
      </c>
      <c r="BG260" s="272">
        <v>1665553.5269718394</v>
      </c>
      <c r="BH260">
        <v>6852</v>
      </c>
      <c r="BI260">
        <v>6444</v>
      </c>
      <c r="BJ260">
        <v>637</v>
      </c>
      <c r="BK260">
        <v>434</v>
      </c>
      <c r="BL260">
        <v>1107</v>
      </c>
      <c r="BM260">
        <v>315</v>
      </c>
      <c r="BN260" s="128">
        <v>14</v>
      </c>
      <c r="BO260" s="128">
        <v>2431</v>
      </c>
      <c r="BP260" s="128">
        <v>216</v>
      </c>
      <c r="BQ260" s="128">
        <f t="shared" si="73"/>
        <v>115930782.19621211</v>
      </c>
      <c r="BR260">
        <v>56047</v>
      </c>
      <c r="BS260" s="128">
        <f t="shared" si="60"/>
        <v>2068.45651321591</v>
      </c>
      <c r="BT260" t="s">
        <v>441</v>
      </c>
      <c r="BU260" s="129">
        <f t="shared" si="74"/>
        <v>2072.3104215428498</v>
      </c>
      <c r="BZ260" t="s">
        <v>182</v>
      </c>
      <c r="CA260">
        <v>1895.501358521693</v>
      </c>
      <c r="CB260" t="s">
        <v>118</v>
      </c>
    </row>
    <row r="261" spans="1:80" ht="14.5" x14ac:dyDescent="0.25">
      <c r="A261" t="s">
        <v>229</v>
      </c>
      <c r="B261">
        <v>21567</v>
      </c>
      <c r="C261">
        <v>9567</v>
      </c>
      <c r="D261">
        <v>0</v>
      </c>
      <c r="E261">
        <f t="shared" si="61"/>
        <v>7551</v>
      </c>
      <c r="F261">
        <f t="shared" si="62"/>
        <v>3262</v>
      </c>
      <c r="G261">
        <f t="shared" si="63"/>
        <v>6007</v>
      </c>
      <c r="H261">
        <f t="shared" si="64"/>
        <v>273</v>
      </c>
      <c r="I261">
        <f t="shared" si="65"/>
        <v>2860</v>
      </c>
      <c r="J261">
        <f t="shared" si="66"/>
        <v>7897</v>
      </c>
      <c r="K261">
        <f t="shared" si="67"/>
        <v>19271</v>
      </c>
      <c r="L261">
        <f t="shared" si="68"/>
        <v>28066</v>
      </c>
      <c r="M261">
        <f t="shared" si="69"/>
        <v>10767</v>
      </c>
      <c r="N261">
        <f t="shared" si="70"/>
        <v>1110</v>
      </c>
      <c r="O261">
        <f t="shared" si="71"/>
        <v>118198</v>
      </c>
      <c r="Q261">
        <v>24366</v>
      </c>
      <c r="R261">
        <v>11530</v>
      </c>
      <c r="S261">
        <v>5285</v>
      </c>
      <c r="T261">
        <v>4099</v>
      </c>
      <c r="U261">
        <v>728</v>
      </c>
      <c r="V261">
        <v>109</v>
      </c>
      <c r="W261">
        <v>7477</v>
      </c>
      <c r="X261">
        <v>1276</v>
      </c>
      <c r="Y261">
        <v>194</v>
      </c>
      <c r="Z261" s="271">
        <v>478</v>
      </c>
      <c r="AA261">
        <v>197</v>
      </c>
      <c r="AB261">
        <v>8</v>
      </c>
      <c r="AC261">
        <v>4440</v>
      </c>
      <c r="AD261">
        <v>518</v>
      </c>
      <c r="AE261">
        <v>1062</v>
      </c>
      <c r="AF261">
        <v>11364</v>
      </c>
      <c r="AG261">
        <v>1668</v>
      </c>
      <c r="AH261">
        <v>1799</v>
      </c>
      <c r="AI261">
        <v>19305</v>
      </c>
      <c r="AJ261">
        <v>34</v>
      </c>
      <c r="AK261">
        <v>0</v>
      </c>
      <c r="AL261">
        <v>29236</v>
      </c>
      <c r="AM261">
        <v>1159</v>
      </c>
      <c r="AN261">
        <v>11</v>
      </c>
      <c r="AO261">
        <v>13125</v>
      </c>
      <c r="AP261">
        <v>1259</v>
      </c>
      <c r="AQ261">
        <v>1099</v>
      </c>
      <c r="AR261">
        <v>3133</v>
      </c>
      <c r="AS261">
        <v>2023</v>
      </c>
      <c r="AT261">
        <v>0</v>
      </c>
      <c r="AU261">
        <v>9871</v>
      </c>
      <c r="AV261">
        <v>1175</v>
      </c>
      <c r="AW261">
        <v>0</v>
      </c>
      <c r="AX261">
        <f t="shared" si="72"/>
        <v>126894</v>
      </c>
      <c r="AZ261" t="s">
        <v>229</v>
      </c>
      <c r="BA261" s="128">
        <v>107456</v>
      </c>
      <c r="BB261" s="128">
        <v>1462182</v>
      </c>
      <c r="BC261" s="128">
        <v>0</v>
      </c>
      <c r="BD261" s="128">
        <v>2924376</v>
      </c>
      <c r="BE261" s="128">
        <v>695398.41999999993</v>
      </c>
      <c r="BF261" s="128">
        <v>11645038.581749042</v>
      </c>
      <c r="BG261" s="272">
        <v>811412.28415209986</v>
      </c>
      <c r="BH261">
        <v>4551</v>
      </c>
      <c r="BI261">
        <v>0</v>
      </c>
      <c r="BJ261">
        <v>485</v>
      </c>
      <c r="BK261">
        <v>0</v>
      </c>
      <c r="BL261">
        <v>1228</v>
      </c>
      <c r="BM261">
        <v>135</v>
      </c>
      <c r="BN261" s="128">
        <v>0</v>
      </c>
      <c r="BO261" s="128">
        <v>0</v>
      </c>
      <c r="BP261" s="128">
        <v>130</v>
      </c>
      <c r="BQ261" s="128">
        <f t="shared" si="73"/>
        <v>83388592.714098856</v>
      </c>
      <c r="BR261">
        <v>46900</v>
      </c>
      <c r="BS261" s="128">
        <f t="shared" si="60"/>
        <v>1778.0083734349437</v>
      </c>
      <c r="BT261" t="s">
        <v>118</v>
      </c>
      <c r="BU261" s="129">
        <f t="shared" si="74"/>
        <v>1780.7802284456045</v>
      </c>
      <c r="BZ261" t="s">
        <v>362</v>
      </c>
      <c r="CA261">
        <v>1642.545113680608</v>
      </c>
      <c r="CB261" t="s">
        <v>118</v>
      </c>
    </row>
    <row r="262" spans="1:80" ht="14.5" x14ac:dyDescent="0.25">
      <c r="A262" t="s">
        <v>388</v>
      </c>
      <c r="B262">
        <v>8985</v>
      </c>
      <c r="C262">
        <v>1873</v>
      </c>
      <c r="D262">
        <v>0</v>
      </c>
      <c r="E262">
        <f t="shared" si="61"/>
        <v>3793</v>
      </c>
      <c r="F262">
        <f t="shared" si="62"/>
        <v>1528</v>
      </c>
      <c r="G262">
        <f t="shared" si="63"/>
        <v>2007</v>
      </c>
      <c r="H262">
        <f t="shared" si="64"/>
        <v>2005</v>
      </c>
      <c r="I262">
        <f t="shared" si="65"/>
        <v>797</v>
      </c>
      <c r="J262">
        <f t="shared" si="66"/>
        <v>3089</v>
      </c>
      <c r="K262">
        <f t="shared" si="67"/>
        <v>6293</v>
      </c>
      <c r="L262">
        <f t="shared" si="68"/>
        <v>10775</v>
      </c>
      <c r="M262">
        <f t="shared" si="69"/>
        <v>3649</v>
      </c>
      <c r="N262">
        <f t="shared" si="70"/>
        <v>675</v>
      </c>
      <c r="O262">
        <f t="shared" si="71"/>
        <v>45469</v>
      </c>
      <c r="Q262">
        <v>8870</v>
      </c>
      <c r="R262">
        <v>4936</v>
      </c>
      <c r="S262">
        <v>141</v>
      </c>
      <c r="T262">
        <v>2064</v>
      </c>
      <c r="U262">
        <v>509</v>
      </c>
      <c r="V262">
        <v>27</v>
      </c>
      <c r="W262">
        <v>2809</v>
      </c>
      <c r="X262">
        <v>243</v>
      </c>
      <c r="Y262">
        <v>559</v>
      </c>
      <c r="Z262" s="271">
        <v>2236</v>
      </c>
      <c r="AA262">
        <v>227</v>
      </c>
      <c r="AB262">
        <v>4</v>
      </c>
      <c r="AC262">
        <v>1389</v>
      </c>
      <c r="AD262">
        <v>167</v>
      </c>
      <c r="AE262">
        <v>425</v>
      </c>
      <c r="AF262">
        <v>4198</v>
      </c>
      <c r="AG262">
        <v>773</v>
      </c>
      <c r="AH262">
        <v>336</v>
      </c>
      <c r="AI262">
        <v>6348</v>
      </c>
      <c r="AJ262">
        <v>55</v>
      </c>
      <c r="AK262">
        <v>0</v>
      </c>
      <c r="AL262">
        <v>11477</v>
      </c>
      <c r="AM262">
        <v>405</v>
      </c>
      <c r="AN262">
        <v>297</v>
      </c>
      <c r="AO262">
        <v>4243</v>
      </c>
      <c r="AP262">
        <v>554</v>
      </c>
      <c r="AQ262">
        <v>40</v>
      </c>
      <c r="AR262">
        <v>1510</v>
      </c>
      <c r="AS262">
        <v>830</v>
      </c>
      <c r="AT262">
        <v>5</v>
      </c>
      <c r="AU262">
        <v>1574</v>
      </c>
      <c r="AV262">
        <v>286</v>
      </c>
      <c r="AW262">
        <v>39</v>
      </c>
      <c r="AX262">
        <f t="shared" si="72"/>
        <v>46718</v>
      </c>
      <c r="AZ262" t="s">
        <v>388</v>
      </c>
      <c r="BA262" s="128">
        <v>43271</v>
      </c>
      <c r="BB262" s="128">
        <v>233573</v>
      </c>
      <c r="BC262" s="128">
        <v>0</v>
      </c>
      <c r="BD262" s="128">
        <v>1757505</v>
      </c>
      <c r="BE262" s="128">
        <v>326333</v>
      </c>
      <c r="BF262" s="128">
        <v>2974702.3673887858</v>
      </c>
      <c r="BG262" s="272">
        <v>72601.235602299683</v>
      </c>
      <c r="BH262">
        <v>1091</v>
      </c>
      <c r="BI262">
        <v>1994</v>
      </c>
      <c r="BJ262">
        <v>284</v>
      </c>
      <c r="BK262">
        <v>0</v>
      </c>
      <c r="BL262">
        <v>788</v>
      </c>
      <c r="BM262">
        <v>354</v>
      </c>
      <c r="BN262" s="128">
        <v>245</v>
      </c>
      <c r="BO262" s="128">
        <v>0</v>
      </c>
      <c r="BP262" s="128">
        <v>52</v>
      </c>
      <c r="BQ262" s="128">
        <f t="shared" si="73"/>
        <v>33098285.397008918</v>
      </c>
      <c r="BR262">
        <v>19418</v>
      </c>
      <c r="BS262" s="128">
        <f t="shared" si="60"/>
        <v>1704.5156760227067</v>
      </c>
      <c r="BT262" t="s">
        <v>467</v>
      </c>
      <c r="BU262" s="129">
        <f t="shared" si="74"/>
        <v>1707.1936037186588</v>
      </c>
      <c r="BZ262" t="s">
        <v>363</v>
      </c>
      <c r="CA262">
        <v>1603.5157711181303</v>
      </c>
      <c r="CB262" t="s">
        <v>118</v>
      </c>
    </row>
    <row r="263" spans="1:80" ht="14.5" x14ac:dyDescent="0.25">
      <c r="A263" t="s">
        <v>389</v>
      </c>
      <c r="B263">
        <v>6863</v>
      </c>
      <c r="C263">
        <v>1974</v>
      </c>
      <c r="D263">
        <v>62</v>
      </c>
      <c r="E263">
        <f t="shared" si="61"/>
        <v>6809</v>
      </c>
      <c r="F263">
        <f t="shared" si="62"/>
        <v>1163</v>
      </c>
      <c r="G263">
        <f t="shared" si="63"/>
        <v>1136</v>
      </c>
      <c r="H263">
        <f t="shared" si="64"/>
        <v>78</v>
      </c>
      <c r="I263">
        <f t="shared" si="65"/>
        <v>633</v>
      </c>
      <c r="J263">
        <f t="shared" si="66"/>
        <v>2037</v>
      </c>
      <c r="K263">
        <f t="shared" si="67"/>
        <v>5035</v>
      </c>
      <c r="L263">
        <f t="shared" si="68"/>
        <v>8124</v>
      </c>
      <c r="M263">
        <f t="shared" si="69"/>
        <v>3008</v>
      </c>
      <c r="N263">
        <f t="shared" si="70"/>
        <v>141</v>
      </c>
      <c r="O263">
        <f t="shared" si="71"/>
        <v>37063</v>
      </c>
      <c r="Q263">
        <v>9199</v>
      </c>
      <c r="R263">
        <v>1979</v>
      </c>
      <c r="S263">
        <v>411</v>
      </c>
      <c r="T263">
        <v>1510</v>
      </c>
      <c r="U263">
        <v>347</v>
      </c>
      <c r="V263">
        <v>0</v>
      </c>
      <c r="W263">
        <v>1658</v>
      </c>
      <c r="X263">
        <v>281</v>
      </c>
      <c r="Y263">
        <v>241</v>
      </c>
      <c r="Z263" s="271">
        <v>253</v>
      </c>
      <c r="AA263">
        <v>175</v>
      </c>
      <c r="AB263">
        <v>0</v>
      </c>
      <c r="AC263">
        <v>1384</v>
      </c>
      <c r="AD263">
        <v>123</v>
      </c>
      <c r="AE263">
        <v>628</v>
      </c>
      <c r="AF263">
        <v>3161</v>
      </c>
      <c r="AG263">
        <v>712</v>
      </c>
      <c r="AH263">
        <v>412</v>
      </c>
      <c r="AI263">
        <v>5513</v>
      </c>
      <c r="AJ263">
        <v>478</v>
      </c>
      <c r="AK263">
        <v>0</v>
      </c>
      <c r="AL263">
        <v>9150</v>
      </c>
      <c r="AM263">
        <v>964</v>
      </c>
      <c r="AN263">
        <v>62</v>
      </c>
      <c r="AO263">
        <v>3797</v>
      </c>
      <c r="AP263">
        <v>569</v>
      </c>
      <c r="AQ263">
        <v>220</v>
      </c>
      <c r="AR263">
        <v>1250</v>
      </c>
      <c r="AS263">
        <v>1109</v>
      </c>
      <c r="AT263">
        <v>0</v>
      </c>
      <c r="AU263">
        <v>3295</v>
      </c>
      <c r="AV263">
        <v>126</v>
      </c>
      <c r="AW263">
        <v>0</v>
      </c>
      <c r="AX263">
        <f t="shared" si="72"/>
        <v>40232</v>
      </c>
      <c r="AZ263" t="s">
        <v>389</v>
      </c>
      <c r="BA263" s="128">
        <v>34901</v>
      </c>
      <c r="BB263" s="128">
        <v>387147</v>
      </c>
      <c r="BC263" s="128">
        <v>0</v>
      </c>
      <c r="BD263" s="128">
        <v>874797</v>
      </c>
      <c r="BE263" s="128">
        <v>337356</v>
      </c>
      <c r="BF263" s="128">
        <v>3293309.6979090227</v>
      </c>
      <c r="BG263" s="272">
        <v>0</v>
      </c>
      <c r="BH263">
        <v>1373</v>
      </c>
      <c r="BI263">
        <v>1971</v>
      </c>
      <c r="BJ263">
        <v>225</v>
      </c>
      <c r="BK263">
        <v>0</v>
      </c>
      <c r="BL263">
        <v>709</v>
      </c>
      <c r="BM263">
        <v>76</v>
      </c>
      <c r="BN263" s="128">
        <v>0</v>
      </c>
      <c r="BO263" s="128">
        <v>0</v>
      </c>
      <c r="BP263" s="128">
        <v>151</v>
      </c>
      <c r="BQ263" s="128">
        <f t="shared" si="73"/>
        <v>25503390.302090976</v>
      </c>
      <c r="BR263">
        <v>17553</v>
      </c>
      <c r="BS263" s="128">
        <f t="shared" si="60"/>
        <v>1452.9362674238578</v>
      </c>
      <c r="BT263" t="s">
        <v>467</v>
      </c>
      <c r="BU263" s="129">
        <f t="shared" si="74"/>
        <v>1461.5387855119338</v>
      </c>
      <c r="BZ263" t="s">
        <v>364</v>
      </c>
      <c r="CA263">
        <v>1540.9956455056131</v>
      </c>
      <c r="CB263" t="s">
        <v>118</v>
      </c>
    </row>
    <row r="264" spans="1:80" ht="14.5" x14ac:dyDescent="0.25">
      <c r="A264" t="s">
        <v>125</v>
      </c>
      <c r="B264">
        <v>18759</v>
      </c>
      <c r="C264">
        <v>3664</v>
      </c>
      <c r="D264">
        <v>1009</v>
      </c>
      <c r="E264">
        <f t="shared" si="61"/>
        <v>4336</v>
      </c>
      <c r="F264">
        <f t="shared" si="62"/>
        <v>2122</v>
      </c>
      <c r="G264">
        <f t="shared" si="63"/>
        <v>6694</v>
      </c>
      <c r="H264">
        <f t="shared" si="64"/>
        <v>146</v>
      </c>
      <c r="I264">
        <f t="shared" si="65"/>
        <v>2408</v>
      </c>
      <c r="J264">
        <f t="shared" si="66"/>
        <v>4314</v>
      </c>
      <c r="K264">
        <f t="shared" si="67"/>
        <v>38902</v>
      </c>
      <c r="L264">
        <f t="shared" si="68"/>
        <v>32593</v>
      </c>
      <c r="M264">
        <f t="shared" si="69"/>
        <v>5569</v>
      </c>
      <c r="N264">
        <f t="shared" si="70"/>
        <v>1383</v>
      </c>
      <c r="O264">
        <f t="shared" si="71"/>
        <v>121899</v>
      </c>
      <c r="Q264">
        <v>13846</v>
      </c>
      <c r="R264">
        <v>8952</v>
      </c>
      <c r="S264">
        <v>558</v>
      </c>
      <c r="T264">
        <v>2636</v>
      </c>
      <c r="U264">
        <v>514</v>
      </c>
      <c r="V264">
        <v>0</v>
      </c>
      <c r="W264">
        <v>8106</v>
      </c>
      <c r="X264">
        <v>868</v>
      </c>
      <c r="Y264">
        <v>544</v>
      </c>
      <c r="Z264" s="271">
        <v>302</v>
      </c>
      <c r="AA264">
        <v>156</v>
      </c>
      <c r="AB264">
        <v>0</v>
      </c>
      <c r="AC264">
        <v>4032</v>
      </c>
      <c r="AD264">
        <v>427</v>
      </c>
      <c r="AE264">
        <v>1197</v>
      </c>
      <c r="AF264">
        <v>5855</v>
      </c>
      <c r="AG264">
        <v>970</v>
      </c>
      <c r="AH264">
        <v>571</v>
      </c>
      <c r="AI264">
        <v>41326</v>
      </c>
      <c r="AJ264">
        <v>2421</v>
      </c>
      <c r="AK264">
        <v>3</v>
      </c>
      <c r="AL264">
        <v>35666</v>
      </c>
      <c r="AM264">
        <v>2886</v>
      </c>
      <c r="AN264">
        <v>187</v>
      </c>
      <c r="AO264">
        <v>6706</v>
      </c>
      <c r="AP264">
        <v>635</v>
      </c>
      <c r="AQ264">
        <v>502</v>
      </c>
      <c r="AR264">
        <v>2403</v>
      </c>
      <c r="AS264">
        <v>918</v>
      </c>
      <c r="AT264">
        <v>102</v>
      </c>
      <c r="AU264">
        <v>18</v>
      </c>
      <c r="AV264">
        <v>12</v>
      </c>
      <c r="AW264">
        <v>0</v>
      </c>
      <c r="AX264">
        <f t="shared" si="72"/>
        <v>121905</v>
      </c>
      <c r="AZ264" t="s">
        <v>125</v>
      </c>
      <c r="BA264" s="128">
        <v>117214</v>
      </c>
      <c r="BB264" s="128">
        <v>2661926</v>
      </c>
      <c r="BC264" s="128">
        <v>0</v>
      </c>
      <c r="BD264" s="128">
        <v>16722090</v>
      </c>
      <c r="BE264" s="128">
        <v>785574</v>
      </c>
      <c r="BF264" s="128">
        <v>14998561.225806557</v>
      </c>
      <c r="BG264" s="272">
        <v>0</v>
      </c>
      <c r="BH264">
        <v>2841</v>
      </c>
      <c r="BI264">
        <v>2964</v>
      </c>
      <c r="BJ264">
        <v>348</v>
      </c>
      <c r="BK264">
        <v>50</v>
      </c>
      <c r="BL264">
        <v>300</v>
      </c>
      <c r="BM264">
        <v>98</v>
      </c>
      <c r="BN264" s="128">
        <v>104</v>
      </c>
      <c r="BO264" s="128">
        <v>0</v>
      </c>
      <c r="BP264" s="128">
        <v>51</v>
      </c>
      <c r="BQ264" s="128">
        <f t="shared" si="73"/>
        <v>75289848.774193436</v>
      </c>
      <c r="BR264">
        <v>31757</v>
      </c>
      <c r="BS264" s="128">
        <f t="shared" si="60"/>
        <v>2370.8111211447376</v>
      </c>
      <c r="BT264" t="s">
        <v>441</v>
      </c>
      <c r="BU264" s="129">
        <f t="shared" si="74"/>
        <v>2372.4170662906899</v>
      </c>
      <c r="BZ264" t="s">
        <v>365</v>
      </c>
      <c r="CA264">
        <v>1575.3970551001732</v>
      </c>
      <c r="CB264" t="s">
        <v>118</v>
      </c>
    </row>
    <row r="265" spans="1:80" ht="14.5" x14ac:dyDescent="0.25">
      <c r="A265" t="s">
        <v>158</v>
      </c>
      <c r="B265">
        <v>11808</v>
      </c>
      <c r="C265">
        <v>1778</v>
      </c>
      <c r="D265">
        <v>4</v>
      </c>
      <c r="E265">
        <f t="shared" si="61"/>
        <v>3257</v>
      </c>
      <c r="F265">
        <f t="shared" si="62"/>
        <v>1171</v>
      </c>
      <c r="G265">
        <f t="shared" si="63"/>
        <v>2059</v>
      </c>
      <c r="H265">
        <f t="shared" si="64"/>
        <v>83</v>
      </c>
      <c r="I265">
        <f t="shared" si="65"/>
        <v>1124</v>
      </c>
      <c r="J265">
        <f t="shared" si="66"/>
        <v>2506</v>
      </c>
      <c r="K265">
        <f t="shared" si="67"/>
        <v>3906</v>
      </c>
      <c r="L265">
        <f t="shared" si="68"/>
        <v>5829</v>
      </c>
      <c r="M265">
        <f t="shared" si="69"/>
        <v>4189</v>
      </c>
      <c r="N265">
        <f t="shared" si="70"/>
        <v>311</v>
      </c>
      <c r="O265">
        <f t="shared" si="71"/>
        <v>38025</v>
      </c>
      <c r="Q265">
        <v>9659</v>
      </c>
      <c r="R265">
        <v>6080</v>
      </c>
      <c r="S265">
        <v>322</v>
      </c>
      <c r="T265">
        <v>1449</v>
      </c>
      <c r="U265">
        <v>268</v>
      </c>
      <c r="V265">
        <v>10</v>
      </c>
      <c r="W265">
        <v>2903</v>
      </c>
      <c r="X265">
        <v>540</v>
      </c>
      <c r="Y265">
        <v>304</v>
      </c>
      <c r="Z265" s="271">
        <v>201</v>
      </c>
      <c r="AA265">
        <v>113</v>
      </c>
      <c r="AB265">
        <v>5</v>
      </c>
      <c r="AC265">
        <v>1671</v>
      </c>
      <c r="AD265">
        <v>83</v>
      </c>
      <c r="AE265">
        <v>464</v>
      </c>
      <c r="AF265">
        <v>3611</v>
      </c>
      <c r="AG265">
        <v>834</v>
      </c>
      <c r="AH265">
        <v>271</v>
      </c>
      <c r="AI265">
        <v>4274</v>
      </c>
      <c r="AJ265">
        <v>368</v>
      </c>
      <c r="AK265">
        <v>0</v>
      </c>
      <c r="AL265">
        <v>7252</v>
      </c>
      <c r="AM265">
        <v>1423</v>
      </c>
      <c r="AN265">
        <v>0</v>
      </c>
      <c r="AO265">
        <v>5383</v>
      </c>
      <c r="AP265">
        <v>792</v>
      </c>
      <c r="AQ265">
        <v>402</v>
      </c>
      <c r="AR265">
        <v>1484</v>
      </c>
      <c r="AS265">
        <v>1173</v>
      </c>
      <c r="AT265">
        <v>0</v>
      </c>
      <c r="AU265">
        <v>1002</v>
      </c>
      <c r="AV265">
        <v>134</v>
      </c>
      <c r="AW265">
        <v>0</v>
      </c>
      <c r="AX265">
        <f t="shared" si="72"/>
        <v>38893</v>
      </c>
      <c r="AZ265" t="s">
        <v>158</v>
      </c>
      <c r="BA265" s="128">
        <v>36109</v>
      </c>
      <c r="BB265" s="128">
        <v>457088</v>
      </c>
      <c r="BC265" s="128">
        <v>0</v>
      </c>
      <c r="BD265" s="128">
        <v>1126310</v>
      </c>
      <c r="BE265" s="128">
        <v>361985.45666666667</v>
      </c>
      <c r="BF265" s="128">
        <v>1930804.231929535</v>
      </c>
      <c r="BG265" s="272">
        <v>31799.187929129228</v>
      </c>
      <c r="BH265">
        <v>1709</v>
      </c>
      <c r="BI265">
        <v>1211</v>
      </c>
      <c r="BJ265">
        <v>196</v>
      </c>
      <c r="BK265">
        <v>345</v>
      </c>
      <c r="BL265">
        <v>563</v>
      </c>
      <c r="BM265">
        <v>128</v>
      </c>
      <c r="BN265" s="128">
        <v>165</v>
      </c>
      <c r="BO265" s="128">
        <v>0</v>
      </c>
      <c r="BP265" s="128">
        <v>29</v>
      </c>
      <c r="BQ265" s="128">
        <f t="shared" si="73"/>
        <v>27855013.123474672</v>
      </c>
      <c r="BR265">
        <v>17261</v>
      </c>
      <c r="BS265" s="128">
        <f t="shared" si="60"/>
        <v>1613.7543087581641</v>
      </c>
      <c r="BT265" t="s">
        <v>467</v>
      </c>
      <c r="BU265" s="129">
        <f t="shared" si="74"/>
        <v>1615.4343968179521</v>
      </c>
      <c r="BZ265" t="s">
        <v>405</v>
      </c>
      <c r="CA265">
        <v>1826.1828305048714</v>
      </c>
      <c r="CB265" t="s">
        <v>118</v>
      </c>
    </row>
    <row r="266" spans="1:80" ht="14.5" x14ac:dyDescent="0.25">
      <c r="A266" t="s">
        <v>272</v>
      </c>
      <c r="B266">
        <v>1599</v>
      </c>
      <c r="C266">
        <v>2339</v>
      </c>
      <c r="D266">
        <v>1809</v>
      </c>
      <c r="E266">
        <f t="shared" si="61"/>
        <v>6334</v>
      </c>
      <c r="F266">
        <f t="shared" si="62"/>
        <v>1661</v>
      </c>
      <c r="G266">
        <f t="shared" si="63"/>
        <v>2301</v>
      </c>
      <c r="H266">
        <f t="shared" si="64"/>
        <v>337</v>
      </c>
      <c r="I266">
        <f t="shared" si="65"/>
        <v>1720</v>
      </c>
      <c r="J266">
        <f t="shared" si="66"/>
        <v>4927</v>
      </c>
      <c r="K266">
        <f t="shared" si="67"/>
        <v>10694</v>
      </c>
      <c r="L266">
        <f t="shared" si="68"/>
        <v>12405</v>
      </c>
      <c r="M266">
        <f t="shared" si="69"/>
        <v>4775</v>
      </c>
      <c r="N266">
        <f t="shared" si="70"/>
        <v>1373</v>
      </c>
      <c r="O266">
        <f t="shared" si="71"/>
        <v>52274</v>
      </c>
      <c r="Q266">
        <v>7540</v>
      </c>
      <c r="R266">
        <v>1070</v>
      </c>
      <c r="S266">
        <v>136</v>
      </c>
      <c r="T266">
        <v>1684</v>
      </c>
      <c r="U266">
        <v>0</v>
      </c>
      <c r="V266">
        <v>23</v>
      </c>
      <c r="W266">
        <v>2721</v>
      </c>
      <c r="X266">
        <v>0</v>
      </c>
      <c r="Y266">
        <v>420</v>
      </c>
      <c r="Z266" s="271">
        <v>337</v>
      </c>
      <c r="AA266">
        <v>0</v>
      </c>
      <c r="AB266">
        <v>0</v>
      </c>
      <c r="AC266">
        <v>2602</v>
      </c>
      <c r="AD266">
        <v>0</v>
      </c>
      <c r="AE266">
        <v>882</v>
      </c>
      <c r="AF266">
        <v>5999</v>
      </c>
      <c r="AG266">
        <v>529</v>
      </c>
      <c r="AH266">
        <v>543</v>
      </c>
      <c r="AI266">
        <v>10694</v>
      </c>
      <c r="AJ266">
        <v>0</v>
      </c>
      <c r="AK266">
        <v>0</v>
      </c>
      <c r="AL266">
        <v>12461</v>
      </c>
      <c r="AM266">
        <v>0</v>
      </c>
      <c r="AN266">
        <v>56</v>
      </c>
      <c r="AO266">
        <v>5051</v>
      </c>
      <c r="AP266">
        <v>0</v>
      </c>
      <c r="AQ266">
        <v>276</v>
      </c>
      <c r="AR266">
        <v>1376</v>
      </c>
      <c r="AS266">
        <v>0</v>
      </c>
      <c r="AT266">
        <v>3</v>
      </c>
      <c r="AU266">
        <v>39</v>
      </c>
      <c r="AV266">
        <v>0</v>
      </c>
      <c r="AW266">
        <v>0</v>
      </c>
      <c r="AX266">
        <f t="shared" si="72"/>
        <v>52313</v>
      </c>
      <c r="AZ266" t="s">
        <v>272</v>
      </c>
      <c r="BA266" s="128">
        <v>48126</v>
      </c>
      <c r="BB266" s="128">
        <v>1395710</v>
      </c>
      <c r="BC266" s="128">
        <v>0</v>
      </c>
      <c r="BD266" s="128">
        <v>2073270</v>
      </c>
      <c r="BE266" s="128">
        <v>408652.91333333333</v>
      </c>
      <c r="BF266" s="128">
        <v>3963514.8443340054</v>
      </c>
      <c r="BG266" s="272">
        <v>426427.12980272714</v>
      </c>
      <c r="BH266">
        <v>1644</v>
      </c>
      <c r="BI266">
        <v>3116</v>
      </c>
      <c r="BJ266">
        <v>271</v>
      </c>
      <c r="BK266">
        <v>9</v>
      </c>
      <c r="BL266">
        <v>275</v>
      </c>
      <c r="BM266">
        <v>46</v>
      </c>
      <c r="BN266" s="128">
        <v>55</v>
      </c>
      <c r="BO266" s="128">
        <v>0</v>
      </c>
      <c r="BP266" s="128">
        <v>26</v>
      </c>
      <c r="BQ266" s="128">
        <f t="shared" si="73"/>
        <v>34416425.112529933</v>
      </c>
      <c r="BR266">
        <v>21749</v>
      </c>
      <c r="BS266" s="128">
        <f t="shared" si="60"/>
        <v>1582.4371287199381</v>
      </c>
      <c r="BT266" t="s">
        <v>118</v>
      </c>
      <c r="BU266" s="129">
        <f t="shared" si="74"/>
        <v>1583.632585982341</v>
      </c>
      <c r="BZ266" t="s">
        <v>366</v>
      </c>
      <c r="CA266">
        <v>1689.3615500324431</v>
      </c>
      <c r="CB266" t="s">
        <v>118</v>
      </c>
    </row>
    <row r="267" spans="1:80" ht="14.5" x14ac:dyDescent="0.25">
      <c r="A267" t="s">
        <v>390</v>
      </c>
      <c r="B267">
        <v>14595</v>
      </c>
      <c r="C267">
        <v>3294</v>
      </c>
      <c r="D267">
        <v>0</v>
      </c>
      <c r="E267">
        <f t="shared" si="61"/>
        <v>4509</v>
      </c>
      <c r="F267">
        <f t="shared" si="62"/>
        <v>1941</v>
      </c>
      <c r="G267">
        <f t="shared" si="63"/>
        <v>3269</v>
      </c>
      <c r="H267">
        <f t="shared" si="64"/>
        <v>461</v>
      </c>
      <c r="I267">
        <f t="shared" si="65"/>
        <v>1492</v>
      </c>
      <c r="J267">
        <f t="shared" si="66"/>
        <v>2984</v>
      </c>
      <c r="K267">
        <f t="shared" si="67"/>
        <v>10124</v>
      </c>
      <c r="L267">
        <f t="shared" si="68"/>
        <v>13151</v>
      </c>
      <c r="M267">
        <f t="shared" si="69"/>
        <v>5382</v>
      </c>
      <c r="N267">
        <f t="shared" si="70"/>
        <v>1028</v>
      </c>
      <c r="O267">
        <f t="shared" si="71"/>
        <v>62230</v>
      </c>
      <c r="Q267">
        <v>12631</v>
      </c>
      <c r="R267">
        <v>7392</v>
      </c>
      <c r="S267">
        <v>730</v>
      </c>
      <c r="T267">
        <v>2450</v>
      </c>
      <c r="U267">
        <v>481</v>
      </c>
      <c r="V267">
        <v>28</v>
      </c>
      <c r="W267">
        <v>4874</v>
      </c>
      <c r="X267">
        <v>911</v>
      </c>
      <c r="Y267">
        <v>694</v>
      </c>
      <c r="Z267" s="271">
        <v>618</v>
      </c>
      <c r="AA267">
        <v>157</v>
      </c>
      <c r="AB267">
        <v>0</v>
      </c>
      <c r="AC267">
        <v>1996</v>
      </c>
      <c r="AD267">
        <v>120</v>
      </c>
      <c r="AE267">
        <v>384</v>
      </c>
      <c r="AF267">
        <v>5018</v>
      </c>
      <c r="AG267">
        <v>1534</v>
      </c>
      <c r="AH267">
        <v>500</v>
      </c>
      <c r="AI267">
        <v>10177</v>
      </c>
      <c r="AJ267">
        <v>53</v>
      </c>
      <c r="AK267">
        <v>0</v>
      </c>
      <c r="AL267">
        <v>14734</v>
      </c>
      <c r="AM267">
        <v>1403</v>
      </c>
      <c r="AN267">
        <v>180</v>
      </c>
      <c r="AO267">
        <v>7160</v>
      </c>
      <c r="AP267">
        <v>1018</v>
      </c>
      <c r="AQ267">
        <v>760</v>
      </c>
      <c r="AR267">
        <v>2522</v>
      </c>
      <c r="AS267">
        <v>1476</v>
      </c>
      <c r="AT267">
        <v>18</v>
      </c>
      <c r="AU267">
        <v>1474</v>
      </c>
      <c r="AV267">
        <v>50</v>
      </c>
      <c r="AW267">
        <v>0</v>
      </c>
      <c r="AX267">
        <f t="shared" si="72"/>
        <v>63654</v>
      </c>
      <c r="AZ267" t="s">
        <v>390</v>
      </c>
      <c r="BA267" s="128">
        <v>58886</v>
      </c>
      <c r="BB267" s="128">
        <v>888891</v>
      </c>
      <c r="BC267" s="128">
        <v>0</v>
      </c>
      <c r="BD267" s="128">
        <v>2550503</v>
      </c>
      <c r="BE267" s="128">
        <v>347598.55333333334</v>
      </c>
      <c r="BF267" s="128">
        <v>5105795.8630602919</v>
      </c>
      <c r="BG267" s="272">
        <v>1459518.2776622735</v>
      </c>
      <c r="BH267">
        <v>1878</v>
      </c>
      <c r="BI267">
        <v>3806</v>
      </c>
      <c r="BJ267">
        <v>462</v>
      </c>
      <c r="BK267">
        <v>33</v>
      </c>
      <c r="BL267">
        <v>707</v>
      </c>
      <c r="BM267">
        <v>64</v>
      </c>
      <c r="BN267" s="128">
        <v>112</v>
      </c>
      <c r="BO267" s="128">
        <v>0</v>
      </c>
      <c r="BP267" s="128">
        <v>93</v>
      </c>
      <c r="BQ267" s="128">
        <f t="shared" si="73"/>
        <v>41378693.3059441</v>
      </c>
      <c r="BR267">
        <v>24304</v>
      </c>
      <c r="BS267" s="128">
        <f t="shared" si="60"/>
        <v>1702.5466304289048</v>
      </c>
      <c r="BT267" t="s">
        <v>118</v>
      </c>
      <c r="BU267" s="129">
        <f t="shared" si="74"/>
        <v>1706.3731610411496</v>
      </c>
      <c r="BZ267" t="s">
        <v>406</v>
      </c>
      <c r="CA267">
        <v>1693.5202342636251</v>
      </c>
      <c r="CB267" t="s">
        <v>118</v>
      </c>
    </row>
    <row r="268" spans="1:80" ht="14.5" x14ac:dyDescent="0.25">
      <c r="A268" t="s">
        <v>159</v>
      </c>
      <c r="B268">
        <v>28705</v>
      </c>
      <c r="C268">
        <v>5141</v>
      </c>
      <c r="D268">
        <v>1355</v>
      </c>
      <c r="E268">
        <f t="shared" si="61"/>
        <v>8357</v>
      </c>
      <c r="F268">
        <f t="shared" si="62"/>
        <v>3334</v>
      </c>
      <c r="G268">
        <f t="shared" si="63"/>
        <v>4960</v>
      </c>
      <c r="H268">
        <f t="shared" si="64"/>
        <v>2228</v>
      </c>
      <c r="I268">
        <f t="shared" si="65"/>
        <v>3573</v>
      </c>
      <c r="J268">
        <f t="shared" si="66"/>
        <v>6645</v>
      </c>
      <c r="K268">
        <f t="shared" si="67"/>
        <v>24316</v>
      </c>
      <c r="L268">
        <f t="shared" si="68"/>
        <v>28745</v>
      </c>
      <c r="M268">
        <f t="shared" si="69"/>
        <v>8701</v>
      </c>
      <c r="N268">
        <f t="shared" si="70"/>
        <v>684</v>
      </c>
      <c r="O268">
        <f t="shared" si="71"/>
        <v>126744</v>
      </c>
      <c r="Q268">
        <v>21773</v>
      </c>
      <c r="R268">
        <v>12232</v>
      </c>
      <c r="S268">
        <v>1184</v>
      </c>
      <c r="T268">
        <v>4302</v>
      </c>
      <c r="U268">
        <v>952</v>
      </c>
      <c r="V268">
        <v>16</v>
      </c>
      <c r="W268">
        <v>7013</v>
      </c>
      <c r="X268">
        <v>1316</v>
      </c>
      <c r="Y268">
        <v>737</v>
      </c>
      <c r="Z268" s="271">
        <v>3224</v>
      </c>
      <c r="AA268">
        <v>982</v>
      </c>
      <c r="AB268">
        <v>14</v>
      </c>
      <c r="AC268">
        <v>4790</v>
      </c>
      <c r="AD268">
        <v>338</v>
      </c>
      <c r="AE268">
        <v>879</v>
      </c>
      <c r="AF268">
        <v>9394</v>
      </c>
      <c r="AG268">
        <v>2132</v>
      </c>
      <c r="AH268">
        <v>617</v>
      </c>
      <c r="AI268">
        <v>27288</v>
      </c>
      <c r="AJ268">
        <v>2972</v>
      </c>
      <c r="AK268">
        <v>0</v>
      </c>
      <c r="AL268">
        <v>31957</v>
      </c>
      <c r="AM268">
        <v>3114</v>
      </c>
      <c r="AN268">
        <v>98</v>
      </c>
      <c r="AO268">
        <v>11833</v>
      </c>
      <c r="AP268">
        <v>1631</v>
      </c>
      <c r="AQ268">
        <v>1501</v>
      </c>
      <c r="AR268">
        <v>3756</v>
      </c>
      <c r="AS268">
        <v>2977</v>
      </c>
      <c r="AT268">
        <v>95</v>
      </c>
      <c r="AU268">
        <v>2344</v>
      </c>
      <c r="AV268">
        <v>59</v>
      </c>
      <c r="AW268">
        <v>0</v>
      </c>
      <c r="AX268">
        <f t="shared" si="72"/>
        <v>129029</v>
      </c>
      <c r="AZ268" t="s">
        <v>159</v>
      </c>
      <c r="BA268" s="128">
        <v>120189</v>
      </c>
      <c r="BB268" s="128">
        <v>2144564</v>
      </c>
      <c r="BC268" s="128">
        <v>0</v>
      </c>
      <c r="BD268" s="128">
        <v>6738828</v>
      </c>
      <c r="BE268" s="128">
        <v>786680</v>
      </c>
      <c r="BF268" s="128">
        <v>13040063.530381927</v>
      </c>
      <c r="BG268" s="272">
        <v>2424296.4737363663</v>
      </c>
      <c r="BH268">
        <v>4819</v>
      </c>
      <c r="BI268">
        <v>4333</v>
      </c>
      <c r="BJ268">
        <v>482</v>
      </c>
      <c r="BK268">
        <v>583</v>
      </c>
      <c r="BL268">
        <v>1417</v>
      </c>
      <c r="BM268">
        <v>767</v>
      </c>
      <c r="BN268" s="128">
        <v>1526</v>
      </c>
      <c r="BO268" s="128">
        <v>11</v>
      </c>
      <c r="BP268" s="128">
        <v>59</v>
      </c>
      <c r="BQ268" s="128">
        <f t="shared" si="73"/>
        <v>81057567.995881706</v>
      </c>
      <c r="BR268">
        <v>44351</v>
      </c>
      <c r="BS268" s="128">
        <f t="shared" si="60"/>
        <v>1827.6378885680526</v>
      </c>
      <c r="BT268" t="s">
        <v>118</v>
      </c>
      <c r="BU268" s="129">
        <f t="shared" si="74"/>
        <v>1828.9681855173887</v>
      </c>
      <c r="BZ268" t="s">
        <v>147</v>
      </c>
      <c r="CA268">
        <v>1570.6247416698855</v>
      </c>
      <c r="CB268" t="s">
        <v>118</v>
      </c>
    </row>
    <row r="269" spans="1:80" ht="14.5" x14ac:dyDescent="0.25">
      <c r="A269" t="s">
        <v>422</v>
      </c>
      <c r="B269">
        <v>11392</v>
      </c>
      <c r="C269">
        <v>4118</v>
      </c>
      <c r="D269">
        <v>1708</v>
      </c>
      <c r="E269">
        <f t="shared" si="61"/>
        <v>4914</v>
      </c>
      <c r="F269">
        <f t="shared" si="62"/>
        <v>1796</v>
      </c>
      <c r="G269">
        <f t="shared" si="63"/>
        <v>2364</v>
      </c>
      <c r="H269">
        <f t="shared" si="64"/>
        <v>775</v>
      </c>
      <c r="I269">
        <f t="shared" si="65"/>
        <v>1982</v>
      </c>
      <c r="J269">
        <f t="shared" si="66"/>
        <v>3196</v>
      </c>
      <c r="K269">
        <f t="shared" si="67"/>
        <v>9699</v>
      </c>
      <c r="L269">
        <f t="shared" si="68"/>
        <v>16352</v>
      </c>
      <c r="M269">
        <f t="shared" si="69"/>
        <v>5886</v>
      </c>
      <c r="N269">
        <f t="shared" si="70"/>
        <v>906</v>
      </c>
      <c r="O269">
        <f t="shared" si="71"/>
        <v>65088</v>
      </c>
      <c r="Q269">
        <v>12235</v>
      </c>
      <c r="R269">
        <v>6654</v>
      </c>
      <c r="S269">
        <v>667</v>
      </c>
      <c r="T269">
        <v>2149</v>
      </c>
      <c r="U269">
        <v>350</v>
      </c>
      <c r="V269">
        <v>3</v>
      </c>
      <c r="W269">
        <v>3639</v>
      </c>
      <c r="X269">
        <v>242</v>
      </c>
      <c r="Y269">
        <v>1033</v>
      </c>
      <c r="Z269" s="271">
        <v>1147</v>
      </c>
      <c r="AA269">
        <v>359</v>
      </c>
      <c r="AB269">
        <v>13</v>
      </c>
      <c r="AC269">
        <v>2632</v>
      </c>
      <c r="AD269">
        <v>165</v>
      </c>
      <c r="AE269">
        <v>485</v>
      </c>
      <c r="AF269">
        <v>4504</v>
      </c>
      <c r="AG269">
        <v>566</v>
      </c>
      <c r="AH269">
        <v>742</v>
      </c>
      <c r="AI269">
        <v>9834</v>
      </c>
      <c r="AJ269">
        <v>135</v>
      </c>
      <c r="AK269">
        <v>0</v>
      </c>
      <c r="AL269">
        <v>18173</v>
      </c>
      <c r="AM269">
        <v>1535</v>
      </c>
      <c r="AN269">
        <v>286</v>
      </c>
      <c r="AO269">
        <v>7255</v>
      </c>
      <c r="AP269">
        <v>513</v>
      </c>
      <c r="AQ269">
        <v>856</v>
      </c>
      <c r="AR269">
        <v>1812</v>
      </c>
      <c r="AS269">
        <v>873</v>
      </c>
      <c r="AT269">
        <v>33</v>
      </c>
      <c r="AU269">
        <v>0</v>
      </c>
      <c r="AV269">
        <v>0</v>
      </c>
      <c r="AW269">
        <v>0</v>
      </c>
      <c r="AX269">
        <f t="shared" si="72"/>
        <v>65088</v>
      </c>
      <c r="AZ269" t="s">
        <v>422</v>
      </c>
      <c r="BA269" s="128">
        <v>59262</v>
      </c>
      <c r="BB269" s="128">
        <v>763924</v>
      </c>
      <c r="BC269" s="128">
        <v>0</v>
      </c>
      <c r="BD269" s="128">
        <v>2857454</v>
      </c>
      <c r="BE269" s="128">
        <v>443350.06333333335</v>
      </c>
      <c r="BF269" s="128">
        <v>4725090.5894028079</v>
      </c>
      <c r="BG269" s="272">
        <v>0</v>
      </c>
      <c r="BH269">
        <v>3003</v>
      </c>
      <c r="BI269">
        <v>3294</v>
      </c>
      <c r="BJ269">
        <v>306</v>
      </c>
      <c r="BK269">
        <v>64</v>
      </c>
      <c r="BL269">
        <v>277</v>
      </c>
      <c r="BM269">
        <v>50</v>
      </c>
      <c r="BN269" s="128">
        <v>166</v>
      </c>
      <c r="BO269" s="128">
        <v>0</v>
      </c>
      <c r="BP269" s="128">
        <v>87</v>
      </c>
      <c r="BQ269" s="128">
        <f t="shared" si="73"/>
        <v>43225181.347263858</v>
      </c>
      <c r="BR269">
        <v>24876</v>
      </c>
      <c r="BS269" s="128">
        <f t="shared" si="60"/>
        <v>1737.6258782466577</v>
      </c>
      <c r="BT269" t="s">
        <v>118</v>
      </c>
      <c r="BU269" s="129">
        <f t="shared" si="74"/>
        <v>1741.1232250869857</v>
      </c>
      <c r="BZ269" t="s">
        <v>370</v>
      </c>
      <c r="CA269">
        <v>1541.9186516064524</v>
      </c>
      <c r="CB269" t="s">
        <v>118</v>
      </c>
    </row>
    <row r="270" spans="1:80" ht="14.5" x14ac:dyDescent="0.25">
      <c r="A270" t="s">
        <v>230</v>
      </c>
      <c r="B270">
        <v>36234</v>
      </c>
      <c r="C270">
        <v>8967</v>
      </c>
      <c r="D270">
        <v>970</v>
      </c>
      <c r="E270">
        <f t="shared" si="61"/>
        <v>9229</v>
      </c>
      <c r="F270">
        <f t="shared" si="62"/>
        <v>4983</v>
      </c>
      <c r="G270">
        <f t="shared" si="63"/>
        <v>6805</v>
      </c>
      <c r="H270">
        <f t="shared" si="64"/>
        <v>580</v>
      </c>
      <c r="I270">
        <f t="shared" si="65"/>
        <v>3235</v>
      </c>
      <c r="J270">
        <f t="shared" si="66"/>
        <v>9758</v>
      </c>
      <c r="K270">
        <f t="shared" si="67"/>
        <v>16348</v>
      </c>
      <c r="L270">
        <f t="shared" si="68"/>
        <v>22708</v>
      </c>
      <c r="M270">
        <f t="shared" si="69"/>
        <v>14671</v>
      </c>
      <c r="N270">
        <f t="shared" si="70"/>
        <v>2141</v>
      </c>
      <c r="O270">
        <f t="shared" si="71"/>
        <v>136629</v>
      </c>
      <c r="Q270">
        <v>25796</v>
      </c>
      <c r="R270">
        <v>15662</v>
      </c>
      <c r="S270">
        <v>905</v>
      </c>
      <c r="T270">
        <v>6248</v>
      </c>
      <c r="U270">
        <v>1022</v>
      </c>
      <c r="V270">
        <v>243</v>
      </c>
      <c r="W270">
        <v>10375</v>
      </c>
      <c r="X270">
        <v>1777</v>
      </c>
      <c r="Y270">
        <v>1793</v>
      </c>
      <c r="Z270" s="271">
        <v>1122</v>
      </c>
      <c r="AA270">
        <v>542</v>
      </c>
      <c r="AB270">
        <v>0</v>
      </c>
      <c r="AC270">
        <v>5479</v>
      </c>
      <c r="AD270">
        <v>436</v>
      </c>
      <c r="AE270">
        <v>1808</v>
      </c>
      <c r="AF270">
        <v>13397</v>
      </c>
      <c r="AG270">
        <v>2325</v>
      </c>
      <c r="AH270">
        <v>1314</v>
      </c>
      <c r="AI270">
        <v>21788</v>
      </c>
      <c r="AJ270">
        <v>5367</v>
      </c>
      <c r="AK270">
        <v>73</v>
      </c>
      <c r="AL270">
        <v>26908</v>
      </c>
      <c r="AM270">
        <v>4101</v>
      </c>
      <c r="AN270">
        <v>99</v>
      </c>
      <c r="AO270">
        <v>18647</v>
      </c>
      <c r="AP270">
        <v>1442</v>
      </c>
      <c r="AQ270">
        <v>2534</v>
      </c>
      <c r="AR270">
        <v>5769</v>
      </c>
      <c r="AS270">
        <v>3430</v>
      </c>
      <c r="AT270">
        <v>198</v>
      </c>
      <c r="AU270">
        <v>2765</v>
      </c>
      <c r="AV270">
        <v>130</v>
      </c>
      <c r="AW270">
        <v>0</v>
      </c>
      <c r="AX270">
        <f t="shared" si="72"/>
        <v>139264</v>
      </c>
      <c r="AZ270" t="s">
        <v>230</v>
      </c>
      <c r="BA270" s="128">
        <v>126562</v>
      </c>
      <c r="BB270" s="128">
        <v>992383</v>
      </c>
      <c r="BC270" s="128">
        <v>0</v>
      </c>
      <c r="BD270" s="128">
        <v>2936362</v>
      </c>
      <c r="BE270" s="128">
        <v>882064</v>
      </c>
      <c r="BF270" s="128">
        <v>11742928.208812026</v>
      </c>
      <c r="BG270" s="272">
        <v>0</v>
      </c>
      <c r="BH270">
        <v>6973</v>
      </c>
      <c r="BI270">
        <v>7954</v>
      </c>
      <c r="BJ270">
        <v>859</v>
      </c>
      <c r="BK270">
        <v>459</v>
      </c>
      <c r="BL270">
        <v>1908</v>
      </c>
      <c r="BM270">
        <v>240</v>
      </c>
      <c r="BN270" s="128">
        <v>440</v>
      </c>
      <c r="BO270" s="128">
        <v>0</v>
      </c>
      <c r="BP270" s="128">
        <v>99</v>
      </c>
      <c r="BQ270" s="128">
        <f t="shared" si="73"/>
        <v>91076262.791187972</v>
      </c>
      <c r="BR270">
        <v>65101</v>
      </c>
      <c r="BS270" s="128">
        <f t="shared" si="60"/>
        <v>1398.999443805594</v>
      </c>
      <c r="BT270" t="s">
        <v>467</v>
      </c>
      <c r="BU270" s="129">
        <f t="shared" si="74"/>
        <v>1400.5201577731214</v>
      </c>
      <c r="BZ270" t="s">
        <v>148</v>
      </c>
      <c r="CA270">
        <v>1865.9505771040119</v>
      </c>
      <c r="CB270" t="s">
        <v>118</v>
      </c>
    </row>
    <row r="271" spans="1:80" ht="14.5" x14ac:dyDescent="0.25">
      <c r="A271" t="s">
        <v>440</v>
      </c>
      <c r="B271">
        <v>63177</v>
      </c>
      <c r="C271">
        <v>12989</v>
      </c>
      <c r="D271">
        <v>4689</v>
      </c>
      <c r="E271">
        <f t="shared" si="61"/>
        <v>12317</v>
      </c>
      <c r="F271">
        <f t="shared" si="62"/>
        <v>6377</v>
      </c>
      <c r="G271">
        <f t="shared" si="63"/>
        <v>16263</v>
      </c>
      <c r="H271">
        <f t="shared" si="64"/>
        <v>3084</v>
      </c>
      <c r="I271">
        <f t="shared" si="65"/>
        <v>5708</v>
      </c>
      <c r="J271">
        <f t="shared" si="66"/>
        <v>15200</v>
      </c>
      <c r="K271">
        <f t="shared" si="67"/>
        <v>59195</v>
      </c>
      <c r="L271">
        <f t="shared" si="68"/>
        <v>54502</v>
      </c>
      <c r="M271">
        <f t="shared" si="69"/>
        <v>16989</v>
      </c>
      <c r="N271">
        <f t="shared" si="70"/>
        <v>1459</v>
      </c>
      <c r="O271">
        <f t="shared" si="71"/>
        <v>271949</v>
      </c>
      <c r="Q271">
        <v>43884</v>
      </c>
      <c r="R271">
        <v>28627</v>
      </c>
      <c r="S271">
        <v>2940</v>
      </c>
      <c r="T271">
        <v>8153</v>
      </c>
      <c r="U271">
        <v>1736</v>
      </c>
      <c r="V271">
        <v>40</v>
      </c>
      <c r="W271">
        <v>23254</v>
      </c>
      <c r="X271">
        <v>5027</v>
      </c>
      <c r="Y271">
        <v>1964</v>
      </c>
      <c r="Z271" s="271">
        <v>3913</v>
      </c>
      <c r="AA271">
        <v>666</v>
      </c>
      <c r="AB271">
        <v>163</v>
      </c>
      <c r="AC271">
        <v>9949</v>
      </c>
      <c r="AD271">
        <v>1214</v>
      </c>
      <c r="AE271">
        <v>3027</v>
      </c>
      <c r="AF271">
        <v>24086</v>
      </c>
      <c r="AG271">
        <v>6298</v>
      </c>
      <c r="AH271">
        <v>2588</v>
      </c>
      <c r="AI271">
        <v>62051</v>
      </c>
      <c r="AJ271">
        <v>2852</v>
      </c>
      <c r="AK271">
        <v>4</v>
      </c>
      <c r="AL271">
        <v>63488</v>
      </c>
      <c r="AM271">
        <v>8824</v>
      </c>
      <c r="AN271">
        <v>162</v>
      </c>
      <c r="AO271">
        <v>23115</v>
      </c>
      <c r="AP271">
        <v>4110</v>
      </c>
      <c r="AQ271">
        <v>2016</v>
      </c>
      <c r="AR271">
        <v>5124</v>
      </c>
      <c r="AS271">
        <v>3580</v>
      </c>
      <c r="AT271">
        <v>85</v>
      </c>
      <c r="AU271">
        <v>115</v>
      </c>
      <c r="AV271">
        <v>243</v>
      </c>
      <c r="AW271">
        <v>0</v>
      </c>
      <c r="AX271">
        <f t="shared" si="72"/>
        <v>271821</v>
      </c>
      <c r="AZ271" t="s">
        <v>440</v>
      </c>
      <c r="BA271" s="128">
        <v>254028</v>
      </c>
      <c r="BB271" s="128">
        <v>3295460</v>
      </c>
      <c r="BC271" s="128">
        <v>0</v>
      </c>
      <c r="BD271" s="128">
        <v>14806595</v>
      </c>
      <c r="BE271" s="128">
        <v>1792044</v>
      </c>
      <c r="BF271" s="128">
        <v>34760293.908848882</v>
      </c>
      <c r="BG271" s="272">
        <v>0</v>
      </c>
      <c r="BH271">
        <v>8368</v>
      </c>
      <c r="BI271">
        <v>10783</v>
      </c>
      <c r="BJ271">
        <v>1524</v>
      </c>
      <c r="BK271">
        <v>625</v>
      </c>
      <c r="BL271">
        <v>1732</v>
      </c>
      <c r="BM271">
        <v>1306</v>
      </c>
      <c r="BN271" s="128">
        <v>2876</v>
      </c>
      <c r="BO271" s="128">
        <v>2077</v>
      </c>
      <c r="BP271" s="128">
        <v>7008</v>
      </c>
      <c r="BQ271" s="128">
        <f t="shared" si="73"/>
        <v>163074607.09115112</v>
      </c>
      <c r="BR271">
        <v>89989</v>
      </c>
      <c r="BS271" s="128">
        <f t="shared" si="60"/>
        <v>1812.161565204093</v>
      </c>
      <c r="BT271" t="s">
        <v>118</v>
      </c>
      <c r="BU271" s="129">
        <f t="shared" si="74"/>
        <v>1890.0377500711322</v>
      </c>
      <c r="BZ271" t="s">
        <v>254</v>
      </c>
      <c r="CA271">
        <v>1697.7392473423611</v>
      </c>
      <c r="CB271" t="s">
        <v>118</v>
      </c>
    </row>
    <row r="272" spans="1:80" ht="14.5" x14ac:dyDescent="0.25">
      <c r="A272" t="s">
        <v>339</v>
      </c>
      <c r="B272">
        <v>31698</v>
      </c>
      <c r="C272">
        <v>9889</v>
      </c>
      <c r="D272">
        <v>4844</v>
      </c>
      <c r="E272">
        <f t="shared" si="61"/>
        <v>9792</v>
      </c>
      <c r="F272">
        <f t="shared" si="62"/>
        <v>4674</v>
      </c>
      <c r="G272">
        <f t="shared" si="63"/>
        <v>5724</v>
      </c>
      <c r="H272">
        <f t="shared" si="64"/>
        <v>2790</v>
      </c>
      <c r="I272">
        <f t="shared" si="65"/>
        <v>6213</v>
      </c>
      <c r="J272">
        <f t="shared" si="66"/>
        <v>10659</v>
      </c>
      <c r="K272">
        <f t="shared" si="67"/>
        <v>30473</v>
      </c>
      <c r="L272">
        <f t="shared" si="68"/>
        <v>37504</v>
      </c>
      <c r="M272">
        <f t="shared" si="69"/>
        <v>9379</v>
      </c>
      <c r="N272">
        <f t="shared" si="70"/>
        <v>1071</v>
      </c>
      <c r="O272">
        <f t="shared" si="71"/>
        <v>164710</v>
      </c>
      <c r="Q272">
        <v>24690</v>
      </c>
      <c r="R272">
        <v>13534</v>
      </c>
      <c r="S272">
        <v>1364</v>
      </c>
      <c r="T272">
        <v>5636</v>
      </c>
      <c r="U272">
        <v>879</v>
      </c>
      <c r="V272">
        <v>83</v>
      </c>
      <c r="W272">
        <v>10448</v>
      </c>
      <c r="X272">
        <v>2145</v>
      </c>
      <c r="Y272">
        <v>2579</v>
      </c>
      <c r="Z272" s="271">
        <v>3341</v>
      </c>
      <c r="AA272">
        <v>535</v>
      </c>
      <c r="AB272">
        <v>16</v>
      </c>
      <c r="AC272">
        <v>8422</v>
      </c>
      <c r="AD272">
        <v>1029</v>
      </c>
      <c r="AE272">
        <v>1180</v>
      </c>
      <c r="AF272">
        <v>16993</v>
      </c>
      <c r="AG272">
        <v>4421</v>
      </c>
      <c r="AH272">
        <v>1913</v>
      </c>
      <c r="AI272">
        <v>32671</v>
      </c>
      <c r="AJ272">
        <v>2198</v>
      </c>
      <c r="AK272">
        <v>0</v>
      </c>
      <c r="AL272">
        <v>39042</v>
      </c>
      <c r="AM272">
        <v>1262</v>
      </c>
      <c r="AN272">
        <v>276</v>
      </c>
      <c r="AO272">
        <v>14443</v>
      </c>
      <c r="AP272">
        <v>3172</v>
      </c>
      <c r="AQ272">
        <v>1892</v>
      </c>
      <c r="AR272">
        <v>4155</v>
      </c>
      <c r="AS272">
        <v>2498</v>
      </c>
      <c r="AT272">
        <v>586</v>
      </c>
      <c r="AU272">
        <v>204</v>
      </c>
      <c r="AV272">
        <v>25</v>
      </c>
      <c r="AW272">
        <v>0</v>
      </c>
      <c r="AX272">
        <f t="shared" si="72"/>
        <v>164889</v>
      </c>
      <c r="AZ272" t="s">
        <v>339</v>
      </c>
      <c r="BA272" s="128">
        <v>149952</v>
      </c>
      <c r="BB272" s="128">
        <v>2447167</v>
      </c>
      <c r="BC272" s="128">
        <v>0</v>
      </c>
      <c r="BD272" s="128">
        <v>9388791</v>
      </c>
      <c r="BE272" s="128">
        <v>1852789</v>
      </c>
      <c r="BF272" s="128">
        <v>16551796.301327594</v>
      </c>
      <c r="BG272" s="272">
        <v>1537628.0086844489</v>
      </c>
      <c r="BH272">
        <v>5324</v>
      </c>
      <c r="BI272">
        <v>7855</v>
      </c>
      <c r="BJ272">
        <v>598</v>
      </c>
      <c r="BK272">
        <v>570</v>
      </c>
      <c r="BL272">
        <v>1166</v>
      </c>
      <c r="BM272">
        <v>230</v>
      </c>
      <c r="BN272" s="128">
        <v>702</v>
      </c>
      <c r="BO272" s="128">
        <v>1036</v>
      </c>
      <c r="BP272" s="128">
        <v>1662</v>
      </c>
      <c r="BQ272" s="128">
        <f t="shared" si="73"/>
        <v>99030828.689987957</v>
      </c>
      <c r="BR272">
        <v>54467</v>
      </c>
      <c r="BS272" s="128">
        <f t="shared" si="60"/>
        <v>1818.1803420417493</v>
      </c>
      <c r="BT272" t="s">
        <v>118</v>
      </c>
      <c r="BU272" s="129">
        <f t="shared" si="74"/>
        <v>1848.6942311856346</v>
      </c>
      <c r="BZ272" t="s">
        <v>149</v>
      </c>
      <c r="CA272">
        <v>1712.2243484687235</v>
      </c>
      <c r="CB272" t="s">
        <v>118</v>
      </c>
    </row>
    <row r="273" spans="1:80" ht="14.5" x14ac:dyDescent="0.25">
      <c r="A273" t="s">
        <v>137</v>
      </c>
      <c r="B273">
        <v>8667</v>
      </c>
      <c r="C273">
        <v>952</v>
      </c>
      <c r="D273">
        <v>0</v>
      </c>
      <c r="E273">
        <f t="shared" si="61"/>
        <v>2128</v>
      </c>
      <c r="F273">
        <f t="shared" si="62"/>
        <v>939</v>
      </c>
      <c r="G273">
        <f t="shared" si="63"/>
        <v>1885</v>
      </c>
      <c r="H273">
        <f t="shared" si="64"/>
        <v>342</v>
      </c>
      <c r="I273">
        <f t="shared" si="65"/>
        <v>940</v>
      </c>
      <c r="J273">
        <f t="shared" si="66"/>
        <v>1366</v>
      </c>
      <c r="K273">
        <f t="shared" si="67"/>
        <v>751</v>
      </c>
      <c r="L273">
        <f t="shared" si="68"/>
        <v>2201</v>
      </c>
      <c r="M273">
        <f t="shared" si="69"/>
        <v>2036</v>
      </c>
      <c r="N273">
        <f t="shared" si="70"/>
        <v>1328</v>
      </c>
      <c r="O273">
        <f t="shared" si="71"/>
        <v>23535</v>
      </c>
      <c r="Q273">
        <v>7387</v>
      </c>
      <c r="R273">
        <v>5016</v>
      </c>
      <c r="S273">
        <v>243</v>
      </c>
      <c r="T273">
        <v>939</v>
      </c>
      <c r="U273">
        <v>0</v>
      </c>
      <c r="V273">
        <v>0</v>
      </c>
      <c r="W273">
        <v>2281</v>
      </c>
      <c r="X273">
        <v>169</v>
      </c>
      <c r="Y273">
        <v>227</v>
      </c>
      <c r="Z273" s="271">
        <v>342</v>
      </c>
      <c r="AA273">
        <v>0</v>
      </c>
      <c r="AB273">
        <v>0</v>
      </c>
      <c r="AC273">
        <v>3995</v>
      </c>
      <c r="AD273">
        <v>2866</v>
      </c>
      <c r="AE273">
        <v>189</v>
      </c>
      <c r="AF273">
        <v>1713</v>
      </c>
      <c r="AG273">
        <v>240</v>
      </c>
      <c r="AH273">
        <v>107</v>
      </c>
      <c r="AI273">
        <v>871</v>
      </c>
      <c r="AJ273">
        <v>120</v>
      </c>
      <c r="AK273">
        <v>0</v>
      </c>
      <c r="AL273">
        <v>2477</v>
      </c>
      <c r="AM273">
        <v>256</v>
      </c>
      <c r="AN273">
        <v>20</v>
      </c>
      <c r="AO273">
        <v>2202</v>
      </c>
      <c r="AP273">
        <v>0</v>
      </c>
      <c r="AQ273">
        <v>166</v>
      </c>
      <c r="AR273">
        <v>1328</v>
      </c>
      <c r="AS273">
        <v>0</v>
      </c>
      <c r="AT273">
        <v>0</v>
      </c>
      <c r="AU273">
        <v>0</v>
      </c>
      <c r="AV273">
        <v>0</v>
      </c>
      <c r="AW273">
        <v>0</v>
      </c>
      <c r="AX273">
        <f t="shared" si="72"/>
        <v>23535</v>
      </c>
      <c r="AZ273" t="s">
        <v>137</v>
      </c>
      <c r="BA273" s="128">
        <v>22583</v>
      </c>
      <c r="BB273" s="128">
        <v>42696</v>
      </c>
      <c r="BC273" s="128">
        <v>0</v>
      </c>
      <c r="BD273" s="128">
        <v>184385</v>
      </c>
      <c r="BE273" s="128">
        <v>194629</v>
      </c>
      <c r="BF273" s="128">
        <v>336752</v>
      </c>
      <c r="BG273" s="272">
        <v>3526261.2743120641</v>
      </c>
      <c r="BH273">
        <v>860</v>
      </c>
      <c r="BI273">
        <v>830</v>
      </c>
      <c r="BJ273">
        <v>150</v>
      </c>
      <c r="BK273">
        <v>7</v>
      </c>
      <c r="BL273">
        <v>457</v>
      </c>
      <c r="BM273">
        <v>272</v>
      </c>
      <c r="BN273" s="128">
        <v>3979</v>
      </c>
      <c r="BO273" s="128">
        <v>0</v>
      </c>
      <c r="BP273" s="128">
        <v>95</v>
      </c>
      <c r="BQ273" s="128">
        <f t="shared" si="73"/>
        <v>11648276.725687936</v>
      </c>
      <c r="BR273">
        <v>4870</v>
      </c>
      <c r="BS273" s="128">
        <f t="shared" si="60"/>
        <v>2391.843270161794</v>
      </c>
      <c r="BT273" t="s">
        <v>467</v>
      </c>
      <c r="BU273" s="129">
        <f t="shared" si="74"/>
        <v>2411.3504570201098</v>
      </c>
      <c r="BZ273" t="s">
        <v>296</v>
      </c>
      <c r="CA273">
        <v>1619.6734763056531</v>
      </c>
      <c r="CB273" t="s">
        <v>118</v>
      </c>
    </row>
    <row r="274" spans="1:80" ht="14.5" x14ac:dyDescent="0.25">
      <c r="A274" t="s">
        <v>273</v>
      </c>
      <c r="B274">
        <v>17260</v>
      </c>
      <c r="C274">
        <v>3217</v>
      </c>
      <c r="D274">
        <v>1420</v>
      </c>
      <c r="E274">
        <f t="shared" si="61"/>
        <v>4492</v>
      </c>
      <c r="F274">
        <f t="shared" si="62"/>
        <v>2292</v>
      </c>
      <c r="G274">
        <f t="shared" si="63"/>
        <v>3647</v>
      </c>
      <c r="H274">
        <f t="shared" si="64"/>
        <v>969</v>
      </c>
      <c r="I274">
        <f t="shared" si="65"/>
        <v>749</v>
      </c>
      <c r="J274">
        <f t="shared" si="66"/>
        <v>4293</v>
      </c>
      <c r="K274">
        <f t="shared" si="67"/>
        <v>3527</v>
      </c>
      <c r="L274">
        <f t="shared" si="68"/>
        <v>7548</v>
      </c>
      <c r="M274">
        <f t="shared" si="69"/>
        <v>6905</v>
      </c>
      <c r="N274">
        <f t="shared" si="70"/>
        <v>405</v>
      </c>
      <c r="O274">
        <f t="shared" si="71"/>
        <v>56724</v>
      </c>
      <c r="Q274">
        <v>11388</v>
      </c>
      <c r="R274">
        <v>6386</v>
      </c>
      <c r="S274">
        <v>510</v>
      </c>
      <c r="T274">
        <v>2800</v>
      </c>
      <c r="U274">
        <v>492</v>
      </c>
      <c r="V274">
        <v>16</v>
      </c>
      <c r="W274">
        <v>6092</v>
      </c>
      <c r="X274">
        <v>1027</v>
      </c>
      <c r="Y274">
        <v>1418</v>
      </c>
      <c r="Z274" s="271">
        <v>1050</v>
      </c>
      <c r="AA274">
        <v>81</v>
      </c>
      <c r="AB274">
        <v>0</v>
      </c>
      <c r="AC274">
        <v>1463</v>
      </c>
      <c r="AD274">
        <v>225</v>
      </c>
      <c r="AE274">
        <v>489</v>
      </c>
      <c r="AF274">
        <v>6118</v>
      </c>
      <c r="AG274">
        <v>1397</v>
      </c>
      <c r="AH274">
        <v>428</v>
      </c>
      <c r="AI274">
        <v>7627</v>
      </c>
      <c r="AJ274">
        <v>3958</v>
      </c>
      <c r="AK274">
        <v>142</v>
      </c>
      <c r="AL274">
        <v>8637</v>
      </c>
      <c r="AM274">
        <v>1084</v>
      </c>
      <c r="AN274">
        <v>5</v>
      </c>
      <c r="AO274">
        <v>8015</v>
      </c>
      <c r="AP274">
        <v>961</v>
      </c>
      <c r="AQ274">
        <v>149</v>
      </c>
      <c r="AR274">
        <v>2114</v>
      </c>
      <c r="AS274">
        <v>1649</v>
      </c>
      <c r="AT274">
        <v>60</v>
      </c>
      <c r="AU274">
        <v>0</v>
      </c>
      <c r="AV274">
        <v>0</v>
      </c>
      <c r="AW274">
        <v>0</v>
      </c>
      <c r="AX274">
        <f t="shared" si="72"/>
        <v>56724</v>
      </c>
      <c r="AZ274" t="s">
        <v>273</v>
      </c>
      <c r="BA274" s="128">
        <v>52087</v>
      </c>
      <c r="BB274" s="128">
        <v>391205</v>
      </c>
      <c r="BC274" s="128">
        <v>0</v>
      </c>
      <c r="BD274" s="128">
        <v>2391518</v>
      </c>
      <c r="BE274" s="128">
        <v>400799</v>
      </c>
      <c r="BF274" s="128">
        <v>1837965</v>
      </c>
      <c r="BG274" s="272">
        <v>798015.40697335452</v>
      </c>
      <c r="BH274">
        <v>3415</v>
      </c>
      <c r="BI274">
        <v>2145</v>
      </c>
      <c r="BJ274">
        <v>213</v>
      </c>
      <c r="BK274">
        <v>0</v>
      </c>
      <c r="BL274">
        <v>1071</v>
      </c>
      <c r="BM274">
        <v>75</v>
      </c>
      <c r="BN274" s="128">
        <v>9148</v>
      </c>
      <c r="BO274" s="128">
        <v>4318</v>
      </c>
      <c r="BP274" s="128">
        <v>273</v>
      </c>
      <c r="BQ274" s="128">
        <f t="shared" si="73"/>
        <v>25609497.593026645</v>
      </c>
      <c r="BR274">
        <v>13657</v>
      </c>
      <c r="BS274" s="128">
        <f t="shared" si="60"/>
        <v>1875.192032878864</v>
      </c>
      <c r="BT274" t="s">
        <v>118</v>
      </c>
      <c r="BU274" s="129">
        <f t="shared" si="74"/>
        <v>1895.1817817256092</v>
      </c>
      <c r="BZ274" t="s">
        <v>600</v>
      </c>
      <c r="CA274">
        <v>2076.4014761275689</v>
      </c>
      <c r="CB274" t="s">
        <v>118</v>
      </c>
    </row>
    <row r="275" spans="1:80" ht="14.5" x14ac:dyDescent="0.25">
      <c r="A275" t="s">
        <v>319</v>
      </c>
      <c r="B275">
        <v>1483</v>
      </c>
      <c r="C275">
        <v>4433</v>
      </c>
      <c r="D275">
        <v>561</v>
      </c>
      <c r="E275">
        <f t="shared" si="61"/>
        <v>12603</v>
      </c>
      <c r="F275">
        <f t="shared" si="62"/>
        <v>3579</v>
      </c>
      <c r="G275">
        <f t="shared" si="63"/>
        <v>3309</v>
      </c>
      <c r="H275">
        <f t="shared" si="64"/>
        <v>1921</v>
      </c>
      <c r="I275">
        <f t="shared" si="65"/>
        <v>2818</v>
      </c>
      <c r="J275">
        <f t="shared" si="66"/>
        <v>5941</v>
      </c>
      <c r="K275">
        <f t="shared" si="67"/>
        <v>9479</v>
      </c>
      <c r="L275">
        <f t="shared" si="68"/>
        <v>20327</v>
      </c>
      <c r="M275">
        <f t="shared" si="69"/>
        <v>7336</v>
      </c>
      <c r="N275">
        <f t="shared" si="70"/>
        <v>3612</v>
      </c>
      <c r="O275">
        <f t="shared" si="71"/>
        <v>77402</v>
      </c>
      <c r="Q275">
        <v>14521</v>
      </c>
      <c r="R275">
        <v>1286</v>
      </c>
      <c r="S275">
        <v>632</v>
      </c>
      <c r="T275">
        <v>3831</v>
      </c>
      <c r="U275">
        <v>197</v>
      </c>
      <c r="V275">
        <v>55</v>
      </c>
      <c r="W275">
        <v>3998</v>
      </c>
      <c r="X275">
        <v>0</v>
      </c>
      <c r="Y275">
        <v>689</v>
      </c>
      <c r="Z275" s="271">
        <v>1940</v>
      </c>
      <c r="AA275">
        <v>0</v>
      </c>
      <c r="AB275">
        <v>19</v>
      </c>
      <c r="AC275">
        <v>3530</v>
      </c>
      <c r="AD275">
        <v>0</v>
      </c>
      <c r="AE275">
        <v>712</v>
      </c>
      <c r="AF275">
        <v>7256</v>
      </c>
      <c r="AG275">
        <v>0</v>
      </c>
      <c r="AH275">
        <v>1315</v>
      </c>
      <c r="AI275">
        <v>9479</v>
      </c>
      <c r="AJ275">
        <v>0</v>
      </c>
      <c r="AK275">
        <v>0</v>
      </c>
      <c r="AL275">
        <v>20586</v>
      </c>
      <c r="AM275">
        <v>0</v>
      </c>
      <c r="AN275">
        <v>259</v>
      </c>
      <c r="AO275">
        <v>8056</v>
      </c>
      <c r="AP275">
        <v>0</v>
      </c>
      <c r="AQ275">
        <v>720</v>
      </c>
      <c r="AR275">
        <v>3622</v>
      </c>
      <c r="AS275">
        <v>0</v>
      </c>
      <c r="AT275">
        <v>10</v>
      </c>
      <c r="AU275">
        <v>8128</v>
      </c>
      <c r="AV275">
        <v>0</v>
      </c>
      <c r="AW275">
        <v>22</v>
      </c>
      <c r="AX275">
        <f t="shared" si="72"/>
        <v>85508</v>
      </c>
      <c r="AZ275" t="s">
        <v>319</v>
      </c>
      <c r="BA275" s="128">
        <v>72386</v>
      </c>
      <c r="BB275" s="128">
        <v>1298236</v>
      </c>
      <c r="BC275" s="128">
        <v>0</v>
      </c>
      <c r="BD275" s="128">
        <v>2823902</v>
      </c>
      <c r="BE275" s="128">
        <v>419369.39666666667</v>
      </c>
      <c r="BF275" s="128">
        <v>5700248.1453874195</v>
      </c>
      <c r="BG275" s="272">
        <v>0</v>
      </c>
      <c r="BH275">
        <v>3046</v>
      </c>
      <c r="BI275">
        <v>0</v>
      </c>
      <c r="BJ275">
        <v>640</v>
      </c>
      <c r="BK275">
        <v>0</v>
      </c>
      <c r="BL275">
        <v>498</v>
      </c>
      <c r="BM275">
        <v>174</v>
      </c>
      <c r="BN275" s="128">
        <v>117</v>
      </c>
      <c r="BO275" s="128">
        <v>11</v>
      </c>
      <c r="BP275" s="128">
        <v>3309</v>
      </c>
      <c r="BQ275" s="128">
        <f t="shared" si="73"/>
        <v>54349244.457945921</v>
      </c>
      <c r="BR275">
        <v>37798</v>
      </c>
      <c r="BS275" s="128">
        <f t="shared" si="60"/>
        <v>1437.8867786111944</v>
      </c>
      <c r="BT275" t="s">
        <v>467</v>
      </c>
      <c r="BU275" s="129">
        <f t="shared" si="74"/>
        <v>1525.4310931251898</v>
      </c>
      <c r="BZ275" t="s">
        <v>298</v>
      </c>
      <c r="CA275">
        <v>1526.9438123037678</v>
      </c>
      <c r="CB275" t="s">
        <v>118</v>
      </c>
    </row>
    <row r="276" spans="1:80" ht="14.5" x14ac:dyDescent="0.25">
      <c r="A276" t="s">
        <v>340</v>
      </c>
      <c r="B276">
        <v>14008</v>
      </c>
      <c r="C276">
        <v>2309</v>
      </c>
      <c r="D276">
        <v>1322</v>
      </c>
      <c r="E276">
        <f t="shared" si="61"/>
        <v>4754</v>
      </c>
      <c r="F276">
        <f t="shared" si="62"/>
        <v>2103</v>
      </c>
      <c r="G276">
        <f t="shared" si="63"/>
        <v>3154</v>
      </c>
      <c r="H276">
        <f t="shared" si="64"/>
        <v>3397</v>
      </c>
      <c r="I276">
        <f t="shared" si="65"/>
        <v>1886</v>
      </c>
      <c r="J276">
        <f t="shared" si="66"/>
        <v>2550</v>
      </c>
      <c r="K276">
        <f t="shared" si="67"/>
        <v>8307</v>
      </c>
      <c r="L276">
        <f t="shared" si="68"/>
        <v>15694</v>
      </c>
      <c r="M276">
        <f t="shared" si="69"/>
        <v>5859</v>
      </c>
      <c r="N276">
        <f t="shared" si="70"/>
        <v>769</v>
      </c>
      <c r="O276">
        <f t="shared" si="71"/>
        <v>66112</v>
      </c>
      <c r="Q276">
        <v>12064</v>
      </c>
      <c r="R276">
        <v>6748</v>
      </c>
      <c r="S276">
        <v>562</v>
      </c>
      <c r="T276">
        <v>2514</v>
      </c>
      <c r="U276">
        <v>376</v>
      </c>
      <c r="V276">
        <v>35</v>
      </c>
      <c r="W276">
        <v>4031</v>
      </c>
      <c r="X276">
        <v>597</v>
      </c>
      <c r="Y276">
        <v>280</v>
      </c>
      <c r="Z276" s="271">
        <v>3658</v>
      </c>
      <c r="AA276">
        <v>261</v>
      </c>
      <c r="AB276">
        <v>0</v>
      </c>
      <c r="AC276">
        <v>3008</v>
      </c>
      <c r="AD276">
        <v>179</v>
      </c>
      <c r="AE276">
        <v>943</v>
      </c>
      <c r="AF276">
        <v>4472</v>
      </c>
      <c r="AG276">
        <v>1588</v>
      </c>
      <c r="AH276">
        <v>334</v>
      </c>
      <c r="AI276">
        <v>9202</v>
      </c>
      <c r="AJ276">
        <v>895</v>
      </c>
      <c r="AK276">
        <v>0</v>
      </c>
      <c r="AL276">
        <v>16990</v>
      </c>
      <c r="AM276">
        <v>1229</v>
      </c>
      <c r="AN276">
        <v>67</v>
      </c>
      <c r="AO276">
        <v>6855</v>
      </c>
      <c r="AP276">
        <v>914</v>
      </c>
      <c r="AQ276">
        <v>82</v>
      </c>
      <c r="AR276">
        <v>1749</v>
      </c>
      <c r="AS276">
        <v>974</v>
      </c>
      <c r="AT276">
        <v>6</v>
      </c>
      <c r="AU276">
        <v>3006</v>
      </c>
      <c r="AV276">
        <v>247</v>
      </c>
      <c r="AW276">
        <v>0</v>
      </c>
      <c r="AX276">
        <f t="shared" si="72"/>
        <v>68871</v>
      </c>
      <c r="AZ276" t="s">
        <v>340</v>
      </c>
      <c r="BA276" s="128">
        <v>62234</v>
      </c>
      <c r="BB276" s="128">
        <v>1143693</v>
      </c>
      <c r="BC276" s="128">
        <v>0</v>
      </c>
      <c r="BD276" s="128">
        <v>2295764</v>
      </c>
      <c r="BE276" s="128">
        <v>620038</v>
      </c>
      <c r="BF276" s="128">
        <v>5042269.5970756272</v>
      </c>
      <c r="BG276" s="272">
        <v>0</v>
      </c>
      <c r="BH276">
        <v>2266</v>
      </c>
      <c r="BI276">
        <v>2674</v>
      </c>
      <c r="BJ276">
        <v>289</v>
      </c>
      <c r="BK276">
        <v>518</v>
      </c>
      <c r="BL276">
        <v>520</v>
      </c>
      <c r="BM276">
        <v>91</v>
      </c>
      <c r="BN276" s="128">
        <v>396</v>
      </c>
      <c r="BO276" s="128">
        <v>11</v>
      </c>
      <c r="BP276" s="128">
        <v>1374</v>
      </c>
      <c r="BQ276" s="128">
        <f t="shared" si="73"/>
        <v>44993235.402924374</v>
      </c>
      <c r="BR276">
        <v>26086</v>
      </c>
      <c r="BS276" s="128">
        <f t="shared" si="60"/>
        <v>1724.8039332563203</v>
      </c>
      <c r="BT276" t="s">
        <v>467</v>
      </c>
      <c r="BU276" s="129">
        <f t="shared" si="74"/>
        <v>1777.4758645604682</v>
      </c>
      <c r="BZ276" t="s">
        <v>261</v>
      </c>
      <c r="CA276">
        <v>1688.4467549041826</v>
      </c>
      <c r="CB276" t="s">
        <v>118</v>
      </c>
    </row>
    <row r="277" spans="1:80" ht="14.5" x14ac:dyDescent="0.25">
      <c r="A277" t="s">
        <v>204</v>
      </c>
      <c r="B277">
        <v>20219</v>
      </c>
      <c r="C277">
        <v>7034</v>
      </c>
      <c r="D277">
        <v>1727</v>
      </c>
      <c r="E277">
        <f t="shared" si="61"/>
        <v>12170</v>
      </c>
      <c r="F277">
        <f t="shared" si="62"/>
        <v>3335</v>
      </c>
      <c r="G277">
        <f t="shared" si="63"/>
        <v>6012</v>
      </c>
      <c r="H277">
        <f t="shared" si="64"/>
        <v>956</v>
      </c>
      <c r="I277">
        <f t="shared" si="65"/>
        <v>6526</v>
      </c>
      <c r="J277">
        <f t="shared" si="66"/>
        <v>9564</v>
      </c>
      <c r="K277">
        <f t="shared" si="67"/>
        <v>34420</v>
      </c>
      <c r="L277">
        <f t="shared" si="68"/>
        <v>27729</v>
      </c>
      <c r="M277">
        <f t="shared" si="69"/>
        <v>9154</v>
      </c>
      <c r="N277">
        <f t="shared" si="70"/>
        <v>574</v>
      </c>
      <c r="O277">
        <f t="shared" si="71"/>
        <v>139420</v>
      </c>
      <c r="Q277">
        <v>20608</v>
      </c>
      <c r="R277">
        <v>7807</v>
      </c>
      <c r="S277">
        <v>631</v>
      </c>
      <c r="T277">
        <v>4193</v>
      </c>
      <c r="U277">
        <v>858</v>
      </c>
      <c r="V277">
        <v>0</v>
      </c>
      <c r="W277">
        <v>7878</v>
      </c>
      <c r="X277">
        <v>768</v>
      </c>
      <c r="Y277">
        <v>1098</v>
      </c>
      <c r="Z277" s="271">
        <v>1290</v>
      </c>
      <c r="AA277">
        <v>334</v>
      </c>
      <c r="AB277">
        <v>0</v>
      </c>
      <c r="AC277">
        <v>10067</v>
      </c>
      <c r="AD277">
        <v>365</v>
      </c>
      <c r="AE277">
        <v>3176</v>
      </c>
      <c r="AF277">
        <v>14929</v>
      </c>
      <c r="AG277">
        <v>3884</v>
      </c>
      <c r="AH277">
        <v>1481</v>
      </c>
      <c r="AI277">
        <v>35166</v>
      </c>
      <c r="AJ277">
        <v>746</v>
      </c>
      <c r="AK277">
        <v>0</v>
      </c>
      <c r="AL277">
        <v>30636</v>
      </c>
      <c r="AM277">
        <v>2907</v>
      </c>
      <c r="AN277">
        <v>0</v>
      </c>
      <c r="AO277">
        <v>10360</v>
      </c>
      <c r="AP277">
        <v>583</v>
      </c>
      <c r="AQ277">
        <v>623</v>
      </c>
      <c r="AR277">
        <v>2520</v>
      </c>
      <c r="AS277">
        <v>1921</v>
      </c>
      <c r="AT277">
        <v>25</v>
      </c>
      <c r="AU277">
        <v>2328</v>
      </c>
      <c r="AV277">
        <v>46</v>
      </c>
      <c r="AW277">
        <v>0</v>
      </c>
      <c r="AX277">
        <f t="shared" si="72"/>
        <v>141702</v>
      </c>
      <c r="AZ277" t="s">
        <v>204</v>
      </c>
      <c r="BA277" s="128">
        <v>130613</v>
      </c>
      <c r="BB277" s="128">
        <v>1143678</v>
      </c>
      <c r="BC277" s="128">
        <v>0</v>
      </c>
      <c r="BD277" s="128">
        <v>8089189</v>
      </c>
      <c r="BE277" s="128">
        <v>1449158</v>
      </c>
      <c r="BF277" s="128">
        <v>18255675.917937744</v>
      </c>
      <c r="BG277" s="272">
        <v>3329687.444598075</v>
      </c>
      <c r="BH277">
        <v>4467</v>
      </c>
      <c r="BI277">
        <v>4712</v>
      </c>
      <c r="BJ277">
        <v>467</v>
      </c>
      <c r="BK277">
        <v>300</v>
      </c>
      <c r="BL277">
        <v>1112</v>
      </c>
      <c r="BM277">
        <v>959</v>
      </c>
      <c r="BN277" s="128">
        <v>175</v>
      </c>
      <c r="BO277" s="128">
        <v>1991</v>
      </c>
      <c r="BP277" s="128">
        <v>3478</v>
      </c>
      <c r="BQ277" s="128">
        <f t="shared" si="73"/>
        <v>80684611.637464181</v>
      </c>
      <c r="BR277">
        <v>41922</v>
      </c>
      <c r="BS277" s="128">
        <f t="shared" si="60"/>
        <v>1924.6365067855584</v>
      </c>
      <c r="BT277" t="s">
        <v>441</v>
      </c>
      <c r="BU277" s="129">
        <f t="shared" si="74"/>
        <v>2007.6001058504885</v>
      </c>
      <c r="BZ277" t="s">
        <v>332</v>
      </c>
      <c r="CA277">
        <v>1585.3306025318441</v>
      </c>
      <c r="CB277" t="s">
        <v>118</v>
      </c>
    </row>
    <row r="278" spans="1:80" ht="14.5" x14ac:dyDescent="0.25">
      <c r="A278" t="s">
        <v>391</v>
      </c>
      <c r="B278">
        <v>174539</v>
      </c>
      <c r="C278">
        <v>50230</v>
      </c>
      <c r="D278">
        <v>1447</v>
      </c>
      <c r="E278">
        <f t="shared" si="61"/>
        <v>6006</v>
      </c>
      <c r="F278">
        <f t="shared" si="62"/>
        <v>23596</v>
      </c>
      <c r="G278">
        <f t="shared" si="63"/>
        <v>27607</v>
      </c>
      <c r="H278">
        <f t="shared" si="64"/>
        <v>16054</v>
      </c>
      <c r="I278">
        <f t="shared" si="65"/>
        <v>28087</v>
      </c>
      <c r="J278">
        <f t="shared" si="66"/>
        <v>53196</v>
      </c>
      <c r="K278">
        <f t="shared" si="67"/>
        <v>177746</v>
      </c>
      <c r="L278">
        <f t="shared" si="68"/>
        <v>226708</v>
      </c>
      <c r="M278">
        <f t="shared" si="69"/>
        <v>28901</v>
      </c>
      <c r="N278">
        <f t="shared" si="70"/>
        <v>15989</v>
      </c>
      <c r="O278">
        <f t="shared" si="71"/>
        <v>830106</v>
      </c>
      <c r="Q278">
        <v>105312</v>
      </c>
      <c r="R278">
        <v>92942</v>
      </c>
      <c r="S278">
        <v>6364</v>
      </c>
      <c r="T278">
        <v>31194</v>
      </c>
      <c r="U278">
        <v>6884</v>
      </c>
      <c r="V278">
        <v>714</v>
      </c>
      <c r="W278">
        <v>48106</v>
      </c>
      <c r="X278">
        <v>6228</v>
      </c>
      <c r="Y278">
        <v>14271</v>
      </c>
      <c r="Z278" s="271">
        <v>19344</v>
      </c>
      <c r="AA278">
        <v>1778</v>
      </c>
      <c r="AB278">
        <v>1512</v>
      </c>
      <c r="AC278">
        <v>36695</v>
      </c>
      <c r="AD278">
        <v>2100</v>
      </c>
      <c r="AE278">
        <v>6508</v>
      </c>
      <c r="AF278">
        <v>74768</v>
      </c>
      <c r="AG278">
        <v>11044</v>
      </c>
      <c r="AH278">
        <v>10528</v>
      </c>
      <c r="AI278">
        <v>192268</v>
      </c>
      <c r="AJ278">
        <v>13913</v>
      </c>
      <c r="AK278">
        <v>609</v>
      </c>
      <c r="AL278">
        <v>249319</v>
      </c>
      <c r="AM278">
        <v>19522</v>
      </c>
      <c r="AN278">
        <v>3089</v>
      </c>
      <c r="AO278">
        <v>45113</v>
      </c>
      <c r="AP278">
        <v>10322</v>
      </c>
      <c r="AQ278">
        <v>5890</v>
      </c>
      <c r="AR278">
        <v>23576</v>
      </c>
      <c r="AS278">
        <v>6947</v>
      </c>
      <c r="AT278">
        <v>640</v>
      </c>
      <c r="AU278">
        <v>31327</v>
      </c>
      <c r="AV278">
        <v>2859</v>
      </c>
      <c r="AW278">
        <v>105</v>
      </c>
      <c r="AX278">
        <f t="shared" si="72"/>
        <v>858469</v>
      </c>
      <c r="AZ278" t="s">
        <v>391</v>
      </c>
      <c r="BA278" s="128">
        <v>775465</v>
      </c>
      <c r="BB278" s="128">
        <v>9064527.3213135414</v>
      </c>
      <c r="BC278" s="128">
        <v>49457729</v>
      </c>
      <c r="BD278" s="128">
        <v>30059400.960299678</v>
      </c>
      <c r="BE278" s="128">
        <v>23216890.002520654</v>
      </c>
      <c r="BF278" s="128">
        <v>110446747.47201368</v>
      </c>
      <c r="BG278" s="272">
        <v>5489246.2836131155</v>
      </c>
      <c r="BH278">
        <v>12899</v>
      </c>
      <c r="BI278">
        <v>26274</v>
      </c>
      <c r="BJ278">
        <v>2453</v>
      </c>
      <c r="BK278">
        <v>225</v>
      </c>
      <c r="BL278">
        <v>6690</v>
      </c>
      <c r="BM278">
        <v>8873</v>
      </c>
      <c r="BN278" s="128">
        <v>455.46380058815294</v>
      </c>
      <c r="BO278" s="128">
        <v>7888</v>
      </c>
      <c r="BP278" s="128">
        <v>3322</v>
      </c>
      <c r="BQ278" s="128">
        <f t="shared" si="73"/>
        <v>478650995.15965116</v>
      </c>
      <c r="BR278">
        <v>221948</v>
      </c>
      <c r="BS278" s="128">
        <f t="shared" si="60"/>
        <v>2156.5907111559968</v>
      </c>
      <c r="BT278" t="s">
        <v>441</v>
      </c>
      <c r="BU278" s="129">
        <f t="shared" si="74"/>
        <v>2171.5581810138015</v>
      </c>
      <c r="BZ278" t="s">
        <v>868</v>
      </c>
      <c r="CA278">
        <v>1629.4449786701723</v>
      </c>
      <c r="CB278" t="s">
        <v>118</v>
      </c>
    </row>
    <row r="279" spans="1:80" ht="14.5" x14ac:dyDescent="0.25">
      <c r="A279" t="s">
        <v>160</v>
      </c>
      <c r="B279">
        <v>901</v>
      </c>
      <c r="C279">
        <v>1445</v>
      </c>
      <c r="D279">
        <v>47</v>
      </c>
      <c r="E279">
        <f t="shared" si="61"/>
        <v>7604</v>
      </c>
      <c r="F279">
        <f t="shared" si="62"/>
        <v>3173</v>
      </c>
      <c r="G279">
        <f t="shared" si="63"/>
        <v>2835</v>
      </c>
      <c r="H279">
        <f t="shared" si="64"/>
        <v>692</v>
      </c>
      <c r="I279">
        <f t="shared" si="65"/>
        <v>1383</v>
      </c>
      <c r="J279">
        <f t="shared" si="66"/>
        <v>3387</v>
      </c>
      <c r="K279">
        <f t="shared" si="67"/>
        <v>5714</v>
      </c>
      <c r="L279">
        <f t="shared" si="68"/>
        <v>11744</v>
      </c>
      <c r="M279">
        <f t="shared" si="69"/>
        <v>3391</v>
      </c>
      <c r="N279">
        <f t="shared" si="70"/>
        <v>1525</v>
      </c>
      <c r="O279">
        <f t="shared" si="71"/>
        <v>43841</v>
      </c>
      <c r="Q279">
        <v>8586</v>
      </c>
      <c r="R279">
        <v>869</v>
      </c>
      <c r="S279">
        <v>113</v>
      </c>
      <c r="T279">
        <v>3173</v>
      </c>
      <c r="U279">
        <v>0</v>
      </c>
      <c r="V279">
        <v>0</v>
      </c>
      <c r="W279">
        <v>3046</v>
      </c>
      <c r="X279">
        <v>0</v>
      </c>
      <c r="Y279">
        <v>211</v>
      </c>
      <c r="Z279" s="271">
        <v>692</v>
      </c>
      <c r="AA279">
        <v>0</v>
      </c>
      <c r="AB279">
        <v>0</v>
      </c>
      <c r="AC279">
        <v>1756</v>
      </c>
      <c r="AD279">
        <v>0</v>
      </c>
      <c r="AE279">
        <v>373</v>
      </c>
      <c r="AF279">
        <v>3664</v>
      </c>
      <c r="AG279">
        <v>0</v>
      </c>
      <c r="AH279">
        <v>277</v>
      </c>
      <c r="AI279">
        <v>5746</v>
      </c>
      <c r="AJ279">
        <v>32</v>
      </c>
      <c r="AK279">
        <v>0</v>
      </c>
      <c r="AL279">
        <v>11750</v>
      </c>
      <c r="AM279">
        <v>0</v>
      </c>
      <c r="AN279">
        <v>6</v>
      </c>
      <c r="AO279">
        <v>3856</v>
      </c>
      <c r="AP279">
        <v>0</v>
      </c>
      <c r="AQ279">
        <v>465</v>
      </c>
      <c r="AR279">
        <v>1525</v>
      </c>
      <c r="AS279">
        <v>0</v>
      </c>
      <c r="AT279">
        <v>0</v>
      </c>
      <c r="AU279">
        <v>598</v>
      </c>
      <c r="AV279">
        <v>0</v>
      </c>
      <c r="AW279">
        <v>0</v>
      </c>
      <c r="AX279">
        <f t="shared" si="72"/>
        <v>44439</v>
      </c>
      <c r="AZ279" t="s">
        <v>160</v>
      </c>
      <c r="BA279" s="128">
        <v>42349</v>
      </c>
      <c r="BB279" s="128">
        <v>444062</v>
      </c>
      <c r="BC279" s="128">
        <v>0</v>
      </c>
      <c r="BD279" s="128">
        <v>2089123</v>
      </c>
      <c r="BE279" s="128">
        <v>387512.68</v>
      </c>
      <c r="BF279" s="128">
        <v>2359305.4508128539</v>
      </c>
      <c r="BG279" s="272">
        <v>0</v>
      </c>
      <c r="BH279">
        <v>2002</v>
      </c>
      <c r="BI279">
        <v>1087</v>
      </c>
      <c r="BJ279">
        <v>274</v>
      </c>
      <c r="BK279">
        <v>0</v>
      </c>
      <c r="BL279">
        <v>440</v>
      </c>
      <c r="BM279">
        <v>81</v>
      </c>
      <c r="BN279" s="128">
        <v>262</v>
      </c>
      <c r="BO279" s="128">
        <v>0</v>
      </c>
      <c r="BP279" s="128">
        <v>0</v>
      </c>
      <c r="BQ279" s="128">
        <f t="shared" si="73"/>
        <v>32922996.869187146</v>
      </c>
      <c r="BR279">
        <v>21311</v>
      </c>
      <c r="BS279" s="128">
        <f t="shared" si="60"/>
        <v>1544.8827774007389</v>
      </c>
      <c r="BT279" t="s">
        <v>467</v>
      </c>
      <c r="BU279" s="129">
        <f t="shared" si="74"/>
        <v>1544.8827774007389</v>
      </c>
      <c r="BZ279" t="s">
        <v>305</v>
      </c>
      <c r="CA279">
        <v>1789.0460230253691</v>
      </c>
      <c r="CB279" t="s">
        <v>118</v>
      </c>
    </row>
    <row r="280" spans="1:80" ht="14.5" x14ac:dyDescent="0.25">
      <c r="A280" t="s">
        <v>161</v>
      </c>
      <c r="B280">
        <v>6359</v>
      </c>
      <c r="C280">
        <v>2396</v>
      </c>
      <c r="D280">
        <v>0</v>
      </c>
      <c r="E280">
        <f t="shared" si="61"/>
        <v>1771</v>
      </c>
      <c r="F280">
        <f t="shared" si="62"/>
        <v>2591</v>
      </c>
      <c r="G280">
        <f t="shared" si="63"/>
        <v>4058</v>
      </c>
      <c r="H280">
        <f t="shared" si="64"/>
        <v>3850</v>
      </c>
      <c r="I280">
        <f t="shared" si="65"/>
        <v>3246</v>
      </c>
      <c r="J280">
        <f t="shared" si="66"/>
        <v>6124</v>
      </c>
      <c r="K280">
        <f t="shared" si="67"/>
        <v>20439</v>
      </c>
      <c r="L280">
        <f t="shared" si="68"/>
        <v>29417</v>
      </c>
      <c r="M280">
        <f t="shared" si="69"/>
        <v>13888</v>
      </c>
      <c r="N280">
        <f t="shared" si="70"/>
        <v>1607</v>
      </c>
      <c r="O280">
        <f t="shared" si="71"/>
        <v>95746</v>
      </c>
      <c r="Q280">
        <v>8138</v>
      </c>
      <c r="R280">
        <v>6359</v>
      </c>
      <c r="S280">
        <v>8</v>
      </c>
      <c r="T280">
        <v>2591</v>
      </c>
      <c r="U280">
        <v>0</v>
      </c>
      <c r="V280">
        <v>0</v>
      </c>
      <c r="W280">
        <v>4461</v>
      </c>
      <c r="X280">
        <v>0</v>
      </c>
      <c r="Y280">
        <v>403</v>
      </c>
      <c r="Z280" s="271">
        <v>3919</v>
      </c>
      <c r="AA280">
        <v>0</v>
      </c>
      <c r="AB280">
        <v>69</v>
      </c>
      <c r="AC280">
        <v>3980</v>
      </c>
      <c r="AD280">
        <v>0</v>
      </c>
      <c r="AE280">
        <v>734</v>
      </c>
      <c r="AF280">
        <v>6507</v>
      </c>
      <c r="AG280">
        <v>0</v>
      </c>
      <c r="AH280">
        <v>383</v>
      </c>
      <c r="AI280">
        <v>20439</v>
      </c>
      <c r="AJ280">
        <v>0</v>
      </c>
      <c r="AK280">
        <v>0</v>
      </c>
      <c r="AL280">
        <v>29546</v>
      </c>
      <c r="AM280">
        <v>0</v>
      </c>
      <c r="AN280">
        <v>129</v>
      </c>
      <c r="AO280">
        <v>14532</v>
      </c>
      <c r="AP280">
        <v>0</v>
      </c>
      <c r="AQ280">
        <v>644</v>
      </c>
      <c r="AR280">
        <v>1633</v>
      </c>
      <c r="AS280">
        <v>0</v>
      </c>
      <c r="AT280">
        <v>26</v>
      </c>
      <c r="AU280">
        <v>1418</v>
      </c>
      <c r="AV280">
        <v>0</v>
      </c>
      <c r="AW280">
        <v>0</v>
      </c>
      <c r="AX280">
        <f t="shared" si="72"/>
        <v>97164</v>
      </c>
      <c r="AZ280" t="s">
        <v>161</v>
      </c>
      <c r="BA280" s="128">
        <v>93350</v>
      </c>
      <c r="BB280" s="128">
        <v>3344797</v>
      </c>
      <c r="BC280" s="128">
        <v>0</v>
      </c>
      <c r="BD280" s="128">
        <v>6537357</v>
      </c>
      <c r="BE280" s="128">
        <v>584622</v>
      </c>
      <c r="BF280" s="128">
        <v>7406069.4408750655</v>
      </c>
      <c r="BG280" s="272">
        <v>0</v>
      </c>
      <c r="BH280">
        <v>3570</v>
      </c>
      <c r="BI280">
        <v>2255</v>
      </c>
      <c r="BJ280">
        <v>418</v>
      </c>
      <c r="BK280">
        <v>580</v>
      </c>
      <c r="BL280">
        <v>790</v>
      </c>
      <c r="BM280">
        <v>29</v>
      </c>
      <c r="BN280" s="128">
        <v>50</v>
      </c>
      <c r="BO280" s="128">
        <v>0</v>
      </c>
      <c r="BP280" s="128">
        <v>100</v>
      </c>
      <c r="BQ280" s="128">
        <f t="shared" si="73"/>
        <v>67685154.559124932</v>
      </c>
      <c r="BR280">
        <v>33705</v>
      </c>
      <c r="BS280" s="128">
        <f t="shared" si="60"/>
        <v>2008.163612494435</v>
      </c>
      <c r="BT280" t="s">
        <v>118</v>
      </c>
      <c r="BU280" s="129">
        <f t="shared" si="74"/>
        <v>2011.1305313492044</v>
      </c>
      <c r="BZ280" t="s">
        <v>152</v>
      </c>
      <c r="CA280">
        <v>1685.6508331580715</v>
      </c>
      <c r="CB280" t="s">
        <v>118</v>
      </c>
    </row>
    <row r="281" spans="1:80" ht="14.5" x14ac:dyDescent="0.25">
      <c r="A281" t="s">
        <v>115</v>
      </c>
      <c r="B281">
        <v>18877</v>
      </c>
      <c r="C281">
        <v>3754</v>
      </c>
      <c r="D281">
        <v>1752</v>
      </c>
      <c r="E281">
        <f t="shared" si="61"/>
        <v>5982</v>
      </c>
      <c r="F281">
        <f t="shared" si="62"/>
        <v>1989</v>
      </c>
      <c r="G281">
        <f t="shared" si="63"/>
        <v>2854</v>
      </c>
      <c r="H281">
        <f t="shared" si="64"/>
        <v>3123</v>
      </c>
      <c r="I281">
        <f t="shared" si="65"/>
        <v>1631</v>
      </c>
      <c r="J281">
        <f t="shared" si="66"/>
        <v>4861</v>
      </c>
      <c r="K281">
        <f t="shared" si="67"/>
        <v>10502</v>
      </c>
      <c r="L281">
        <f t="shared" si="68"/>
        <v>13960</v>
      </c>
      <c r="M281">
        <f t="shared" si="69"/>
        <v>4019</v>
      </c>
      <c r="N281">
        <f t="shared" si="70"/>
        <v>269</v>
      </c>
      <c r="O281">
        <f t="shared" si="71"/>
        <v>73573</v>
      </c>
      <c r="Q281">
        <v>14625</v>
      </c>
      <c r="R281">
        <v>8098</v>
      </c>
      <c r="S281">
        <v>545</v>
      </c>
      <c r="T281">
        <v>2454</v>
      </c>
      <c r="U281">
        <v>465</v>
      </c>
      <c r="V281">
        <v>0</v>
      </c>
      <c r="W281">
        <v>3945</v>
      </c>
      <c r="X281">
        <v>712</v>
      </c>
      <c r="Y281">
        <v>379</v>
      </c>
      <c r="Z281" s="271">
        <v>3374</v>
      </c>
      <c r="AA281">
        <v>246</v>
      </c>
      <c r="AB281">
        <v>5</v>
      </c>
      <c r="AC281">
        <v>3199</v>
      </c>
      <c r="AD281">
        <v>342</v>
      </c>
      <c r="AE281">
        <v>1226</v>
      </c>
      <c r="AF281">
        <v>7414</v>
      </c>
      <c r="AG281">
        <v>2225</v>
      </c>
      <c r="AH281">
        <v>328</v>
      </c>
      <c r="AI281">
        <v>10572</v>
      </c>
      <c r="AJ281">
        <v>70</v>
      </c>
      <c r="AK281">
        <v>0</v>
      </c>
      <c r="AL281">
        <v>17364</v>
      </c>
      <c r="AM281">
        <v>3361</v>
      </c>
      <c r="AN281">
        <v>43</v>
      </c>
      <c r="AO281">
        <v>6818</v>
      </c>
      <c r="AP281">
        <v>1698</v>
      </c>
      <c r="AQ281">
        <v>1101</v>
      </c>
      <c r="AR281">
        <v>1854</v>
      </c>
      <c r="AS281">
        <v>1558</v>
      </c>
      <c r="AT281">
        <v>27</v>
      </c>
      <c r="AU281">
        <v>4618</v>
      </c>
      <c r="AV281">
        <v>102</v>
      </c>
      <c r="AW281">
        <v>100</v>
      </c>
      <c r="AX281">
        <f t="shared" si="72"/>
        <v>77989</v>
      </c>
      <c r="AZ281" t="s">
        <v>115</v>
      </c>
      <c r="BA281" s="128">
        <v>67865</v>
      </c>
      <c r="BB281" s="128">
        <v>1122797</v>
      </c>
      <c r="BC281" s="128">
        <v>0</v>
      </c>
      <c r="BD281" s="128">
        <v>251040</v>
      </c>
      <c r="BE281" s="128">
        <v>466498.80666666664</v>
      </c>
      <c r="BF281" s="128">
        <v>7190372.897611957</v>
      </c>
      <c r="BG281" s="272">
        <v>0</v>
      </c>
      <c r="BH281">
        <v>2755</v>
      </c>
      <c r="BI281">
        <v>2597</v>
      </c>
      <c r="BJ281">
        <v>442</v>
      </c>
      <c r="BK281">
        <v>438</v>
      </c>
      <c r="BL281">
        <v>1104</v>
      </c>
      <c r="BM281">
        <v>328</v>
      </c>
      <c r="BN281" s="128">
        <v>484</v>
      </c>
      <c r="BO281" s="128">
        <v>0</v>
      </c>
      <c r="BP281" s="128">
        <v>115</v>
      </c>
      <c r="BQ281" s="128">
        <f t="shared" si="73"/>
        <v>50571291.295721382</v>
      </c>
      <c r="BR281">
        <v>33974</v>
      </c>
      <c r="BS281" s="128">
        <f t="shared" si="60"/>
        <v>1488.5292075034256</v>
      </c>
      <c r="BT281" t="s">
        <v>467</v>
      </c>
      <c r="BU281" s="129">
        <f t="shared" si="74"/>
        <v>1491.9141489292217</v>
      </c>
      <c r="BZ281" t="s">
        <v>412</v>
      </c>
      <c r="CA281">
        <v>1654.3568678761662</v>
      </c>
      <c r="CB281" t="s">
        <v>118</v>
      </c>
    </row>
    <row r="282" spans="1:80" ht="14.5" x14ac:dyDescent="0.25">
      <c r="A282" t="s">
        <v>138</v>
      </c>
      <c r="B282">
        <v>7132</v>
      </c>
      <c r="C282">
        <v>3842</v>
      </c>
      <c r="D282">
        <v>999</v>
      </c>
      <c r="E282">
        <f t="shared" si="61"/>
        <v>11688</v>
      </c>
      <c r="F282">
        <f t="shared" si="62"/>
        <v>2368</v>
      </c>
      <c r="G282">
        <f t="shared" si="63"/>
        <v>2706</v>
      </c>
      <c r="H282">
        <f t="shared" si="64"/>
        <v>585</v>
      </c>
      <c r="I282">
        <f t="shared" si="65"/>
        <v>3446</v>
      </c>
      <c r="J282">
        <f t="shared" si="66"/>
        <v>4162</v>
      </c>
      <c r="K282">
        <f t="shared" si="67"/>
        <v>15996</v>
      </c>
      <c r="L282">
        <f t="shared" si="68"/>
        <v>24628</v>
      </c>
      <c r="M282">
        <f t="shared" si="69"/>
        <v>6738</v>
      </c>
      <c r="N282">
        <f t="shared" si="70"/>
        <v>2338</v>
      </c>
      <c r="O282">
        <f t="shared" si="71"/>
        <v>86628</v>
      </c>
      <c r="Q282">
        <v>14579</v>
      </c>
      <c r="R282">
        <v>2450</v>
      </c>
      <c r="S282">
        <v>441</v>
      </c>
      <c r="T282">
        <v>2369</v>
      </c>
      <c r="U282">
        <v>0</v>
      </c>
      <c r="V282">
        <v>1</v>
      </c>
      <c r="W282">
        <v>4030</v>
      </c>
      <c r="X282">
        <v>829</v>
      </c>
      <c r="Y282">
        <v>495</v>
      </c>
      <c r="Z282" s="271">
        <v>586</v>
      </c>
      <c r="AA282">
        <v>0</v>
      </c>
      <c r="AB282">
        <v>1</v>
      </c>
      <c r="AC282">
        <v>4351</v>
      </c>
      <c r="AD282">
        <v>4</v>
      </c>
      <c r="AE282">
        <v>901</v>
      </c>
      <c r="AF282">
        <v>7132</v>
      </c>
      <c r="AG282">
        <v>2201</v>
      </c>
      <c r="AH282">
        <v>769</v>
      </c>
      <c r="AI282">
        <v>15996</v>
      </c>
      <c r="AJ282">
        <v>0</v>
      </c>
      <c r="AK282">
        <v>0</v>
      </c>
      <c r="AL282">
        <v>24912</v>
      </c>
      <c r="AM282">
        <v>0</v>
      </c>
      <c r="AN282">
        <v>284</v>
      </c>
      <c r="AO282">
        <v>9097</v>
      </c>
      <c r="AP282">
        <v>1435</v>
      </c>
      <c r="AQ282">
        <v>924</v>
      </c>
      <c r="AR282">
        <v>2577</v>
      </c>
      <c r="AS282">
        <v>213</v>
      </c>
      <c r="AT282">
        <v>26</v>
      </c>
      <c r="AU282">
        <v>160</v>
      </c>
      <c r="AV282">
        <v>0</v>
      </c>
      <c r="AW282">
        <v>0</v>
      </c>
      <c r="AX282">
        <f t="shared" si="72"/>
        <v>86788</v>
      </c>
      <c r="AZ282" t="s">
        <v>138</v>
      </c>
      <c r="BA282" s="128">
        <v>81787</v>
      </c>
      <c r="BB282" s="128">
        <v>2277341</v>
      </c>
      <c r="BC282" s="128">
        <v>0</v>
      </c>
      <c r="BD282" s="128">
        <v>3536858</v>
      </c>
      <c r="BE282" s="128">
        <v>755695</v>
      </c>
      <c r="BF282" s="128">
        <v>9033286.4202971905</v>
      </c>
      <c r="BG282" s="272">
        <v>0</v>
      </c>
      <c r="BH282">
        <v>2235</v>
      </c>
      <c r="BI282">
        <v>3890</v>
      </c>
      <c r="BJ282">
        <v>377</v>
      </c>
      <c r="BK282">
        <v>17</v>
      </c>
      <c r="BL282">
        <v>344</v>
      </c>
      <c r="BM282">
        <v>80</v>
      </c>
      <c r="BN282" s="128">
        <v>432</v>
      </c>
      <c r="BO282" s="128">
        <v>0</v>
      </c>
      <c r="BP282" s="128">
        <v>2262</v>
      </c>
      <c r="BQ282" s="128">
        <f t="shared" si="73"/>
        <v>56546819.579702809</v>
      </c>
      <c r="BR282">
        <v>32056</v>
      </c>
      <c r="BS282" s="128">
        <f t="shared" si="60"/>
        <v>1764.001109923347</v>
      </c>
      <c r="BT282" t="s">
        <v>118</v>
      </c>
      <c r="BU282" s="129">
        <f t="shared" si="74"/>
        <v>1834.5651229006367</v>
      </c>
      <c r="BZ282" t="s">
        <v>869</v>
      </c>
      <c r="CA282">
        <v>1702.3416387956518</v>
      </c>
      <c r="CB282" t="s">
        <v>118</v>
      </c>
    </row>
    <row r="283" spans="1:80" ht="14.5" x14ac:dyDescent="0.25">
      <c r="A283" t="s">
        <v>274</v>
      </c>
      <c r="B283">
        <v>1033</v>
      </c>
      <c r="C283">
        <v>908</v>
      </c>
      <c r="D283">
        <v>99</v>
      </c>
      <c r="E283">
        <f t="shared" si="61"/>
        <v>5508</v>
      </c>
      <c r="F283">
        <f t="shared" si="62"/>
        <v>1106</v>
      </c>
      <c r="G283">
        <f t="shared" si="63"/>
        <v>1527</v>
      </c>
      <c r="H283">
        <f t="shared" si="64"/>
        <v>108</v>
      </c>
      <c r="I283">
        <f t="shared" si="65"/>
        <v>403</v>
      </c>
      <c r="J283">
        <f t="shared" si="66"/>
        <v>1983</v>
      </c>
      <c r="K283">
        <f t="shared" si="67"/>
        <v>4065</v>
      </c>
      <c r="L283">
        <f t="shared" si="68"/>
        <v>5184</v>
      </c>
      <c r="M283">
        <f t="shared" si="69"/>
        <v>2923</v>
      </c>
      <c r="N283">
        <f t="shared" si="70"/>
        <v>1354</v>
      </c>
      <c r="O283">
        <f t="shared" si="71"/>
        <v>26201</v>
      </c>
      <c r="Q283">
        <v>6636</v>
      </c>
      <c r="R283">
        <v>1033</v>
      </c>
      <c r="S283">
        <v>95</v>
      </c>
      <c r="T283">
        <v>1106</v>
      </c>
      <c r="U283">
        <v>0</v>
      </c>
      <c r="V283">
        <v>0</v>
      </c>
      <c r="W283">
        <v>1736</v>
      </c>
      <c r="X283">
        <v>0</v>
      </c>
      <c r="Y283">
        <v>209</v>
      </c>
      <c r="Z283" s="271">
        <v>113</v>
      </c>
      <c r="AA283">
        <v>0</v>
      </c>
      <c r="AB283">
        <v>5</v>
      </c>
      <c r="AC283">
        <v>559</v>
      </c>
      <c r="AD283">
        <v>0</v>
      </c>
      <c r="AE283">
        <v>156</v>
      </c>
      <c r="AF283">
        <v>2106</v>
      </c>
      <c r="AG283">
        <v>0</v>
      </c>
      <c r="AH283">
        <v>123</v>
      </c>
      <c r="AI283">
        <v>4065</v>
      </c>
      <c r="AJ283">
        <v>0</v>
      </c>
      <c r="AK283">
        <v>0</v>
      </c>
      <c r="AL283">
        <v>5239</v>
      </c>
      <c r="AM283">
        <v>0</v>
      </c>
      <c r="AN283">
        <v>55</v>
      </c>
      <c r="AO283">
        <v>3188</v>
      </c>
      <c r="AP283">
        <v>0</v>
      </c>
      <c r="AQ283">
        <v>265</v>
      </c>
      <c r="AR283">
        <v>1354</v>
      </c>
      <c r="AS283">
        <v>0</v>
      </c>
      <c r="AT283">
        <v>0</v>
      </c>
      <c r="AU283">
        <v>160</v>
      </c>
      <c r="AV283">
        <v>0</v>
      </c>
      <c r="AW283">
        <v>0</v>
      </c>
      <c r="AX283">
        <f t="shared" si="72"/>
        <v>26361</v>
      </c>
      <c r="AZ283" t="s">
        <v>274</v>
      </c>
      <c r="BA283" s="128">
        <v>25194</v>
      </c>
      <c r="BB283" s="128">
        <v>110897</v>
      </c>
      <c r="BC283" s="128">
        <v>0</v>
      </c>
      <c r="BD283" s="128">
        <v>821889</v>
      </c>
      <c r="BE283" s="128">
        <v>274863</v>
      </c>
      <c r="BF283" s="128">
        <v>1914768</v>
      </c>
      <c r="BG283" s="272">
        <v>298118.80521285348</v>
      </c>
      <c r="BH283">
        <v>975</v>
      </c>
      <c r="BI283">
        <v>1681</v>
      </c>
      <c r="BJ283">
        <v>128</v>
      </c>
      <c r="BK283">
        <v>15</v>
      </c>
      <c r="BL283">
        <v>191</v>
      </c>
      <c r="BM283">
        <v>252</v>
      </c>
      <c r="BN283" s="128">
        <v>146</v>
      </c>
      <c r="BO283" s="128">
        <v>0</v>
      </c>
      <c r="BP283" s="128">
        <v>126</v>
      </c>
      <c r="BQ283" s="128">
        <f t="shared" si="73"/>
        <v>18259464.194787145</v>
      </c>
      <c r="BR283">
        <v>13633</v>
      </c>
      <c r="BS283" s="128">
        <f t="shared" si="60"/>
        <v>1339.357749195859</v>
      </c>
      <c r="BT283" t="s">
        <v>467</v>
      </c>
      <c r="BU283" s="129">
        <f t="shared" si="74"/>
        <v>1348.6000289582003</v>
      </c>
      <c r="BZ283" t="s">
        <v>307</v>
      </c>
      <c r="CA283">
        <v>1758.5447863989227</v>
      </c>
      <c r="CB283" t="s">
        <v>118</v>
      </c>
    </row>
    <row r="284" spans="1:80" ht="14.5" x14ac:dyDescent="0.25">
      <c r="A284" t="s">
        <v>275</v>
      </c>
      <c r="B284">
        <v>6202</v>
      </c>
      <c r="C284">
        <v>3925</v>
      </c>
      <c r="D284">
        <v>1800</v>
      </c>
      <c r="E284">
        <f t="shared" si="61"/>
        <v>12420</v>
      </c>
      <c r="F284">
        <f t="shared" si="62"/>
        <v>2262</v>
      </c>
      <c r="G284">
        <f t="shared" si="63"/>
        <v>3836</v>
      </c>
      <c r="H284">
        <f t="shared" si="64"/>
        <v>496</v>
      </c>
      <c r="I284">
        <f t="shared" si="65"/>
        <v>2242</v>
      </c>
      <c r="J284">
        <f t="shared" si="66"/>
        <v>3637</v>
      </c>
      <c r="K284">
        <f t="shared" si="67"/>
        <v>9440</v>
      </c>
      <c r="L284">
        <f t="shared" si="68"/>
        <v>15040</v>
      </c>
      <c r="M284">
        <f t="shared" si="69"/>
        <v>5982</v>
      </c>
      <c r="N284">
        <f t="shared" si="70"/>
        <v>1428</v>
      </c>
      <c r="O284">
        <f t="shared" si="71"/>
        <v>68710</v>
      </c>
      <c r="Q284">
        <v>15049</v>
      </c>
      <c r="R284">
        <v>2362</v>
      </c>
      <c r="S284">
        <v>267</v>
      </c>
      <c r="T284">
        <v>2746</v>
      </c>
      <c r="U284">
        <v>484</v>
      </c>
      <c r="V284">
        <v>0</v>
      </c>
      <c r="W284">
        <v>4321</v>
      </c>
      <c r="X284">
        <v>154</v>
      </c>
      <c r="Y284">
        <v>331</v>
      </c>
      <c r="Z284" s="271">
        <v>606</v>
      </c>
      <c r="AA284">
        <v>110</v>
      </c>
      <c r="AB284">
        <v>0</v>
      </c>
      <c r="AC284">
        <v>3796</v>
      </c>
      <c r="AD284">
        <v>114</v>
      </c>
      <c r="AE284">
        <v>1440</v>
      </c>
      <c r="AF284">
        <v>4254</v>
      </c>
      <c r="AG284">
        <v>184</v>
      </c>
      <c r="AH284">
        <v>433</v>
      </c>
      <c r="AI284">
        <v>9743</v>
      </c>
      <c r="AJ284">
        <v>303</v>
      </c>
      <c r="AK284">
        <v>0</v>
      </c>
      <c r="AL284">
        <v>16794</v>
      </c>
      <c r="AM284">
        <v>1645</v>
      </c>
      <c r="AN284">
        <v>109</v>
      </c>
      <c r="AO284">
        <v>7562</v>
      </c>
      <c r="AP284">
        <v>235</v>
      </c>
      <c r="AQ284">
        <v>1345</v>
      </c>
      <c r="AR284">
        <v>2035</v>
      </c>
      <c r="AS284">
        <v>607</v>
      </c>
      <c r="AT284">
        <v>0</v>
      </c>
      <c r="AU284">
        <v>589</v>
      </c>
      <c r="AV284">
        <v>4</v>
      </c>
      <c r="AW284">
        <v>0</v>
      </c>
      <c r="AX284">
        <f t="shared" si="72"/>
        <v>69295</v>
      </c>
      <c r="AZ284" t="s">
        <v>275</v>
      </c>
      <c r="BA284" s="128">
        <v>62981</v>
      </c>
      <c r="BB284" s="128">
        <v>587617</v>
      </c>
      <c r="BC284" s="128">
        <v>0</v>
      </c>
      <c r="BD284" s="128">
        <v>1334483</v>
      </c>
      <c r="BE284" s="128">
        <v>433112</v>
      </c>
      <c r="BF284" s="128">
        <v>5318755.4442120176</v>
      </c>
      <c r="BG284" s="272">
        <v>674589.45630283095</v>
      </c>
      <c r="BH284">
        <v>3619</v>
      </c>
      <c r="BI284">
        <v>3581</v>
      </c>
      <c r="BJ284">
        <v>477</v>
      </c>
      <c r="BK284">
        <v>317</v>
      </c>
      <c r="BL284">
        <v>947</v>
      </c>
      <c r="BM284">
        <v>173</v>
      </c>
      <c r="BN284" s="128">
        <v>58</v>
      </c>
      <c r="BO284" s="128">
        <v>0</v>
      </c>
      <c r="BP284" s="128">
        <v>1532</v>
      </c>
      <c r="BQ284" s="128">
        <f t="shared" si="73"/>
        <v>43928443.099485151</v>
      </c>
      <c r="BR284">
        <v>30205</v>
      </c>
      <c r="BS284" s="128">
        <f t="shared" si="60"/>
        <v>1454.3434232572472</v>
      </c>
      <c r="BT284" t="s">
        <v>467</v>
      </c>
      <c r="BU284" s="129">
        <f t="shared" si="74"/>
        <v>1505.0635027142907</v>
      </c>
      <c r="BZ284" t="s">
        <v>266</v>
      </c>
      <c r="CA284">
        <v>1546.1783663845104</v>
      </c>
      <c r="CB284" t="s">
        <v>118</v>
      </c>
    </row>
    <row r="285" spans="1:80" ht="14.5" x14ac:dyDescent="0.25">
      <c r="A285" t="s">
        <v>433</v>
      </c>
      <c r="B285">
        <v>13168</v>
      </c>
      <c r="C285">
        <v>1981</v>
      </c>
      <c r="D285">
        <v>1539</v>
      </c>
      <c r="E285">
        <f t="shared" si="61"/>
        <v>2955</v>
      </c>
      <c r="F285">
        <f t="shared" si="62"/>
        <v>997</v>
      </c>
      <c r="G285">
        <f t="shared" si="63"/>
        <v>1393</v>
      </c>
      <c r="H285">
        <f t="shared" si="64"/>
        <v>620</v>
      </c>
      <c r="I285">
        <f t="shared" si="65"/>
        <v>3300</v>
      </c>
      <c r="J285">
        <f t="shared" si="66"/>
        <v>2169</v>
      </c>
      <c r="K285">
        <f t="shared" si="67"/>
        <v>6155</v>
      </c>
      <c r="L285">
        <f t="shared" si="68"/>
        <v>8667</v>
      </c>
      <c r="M285">
        <f t="shared" si="69"/>
        <v>4140</v>
      </c>
      <c r="N285">
        <f t="shared" si="70"/>
        <v>345</v>
      </c>
      <c r="O285">
        <f t="shared" si="71"/>
        <v>47429</v>
      </c>
      <c r="Q285">
        <v>9182</v>
      </c>
      <c r="R285">
        <v>5974</v>
      </c>
      <c r="S285">
        <v>253</v>
      </c>
      <c r="T285">
        <v>1226</v>
      </c>
      <c r="U285">
        <v>229</v>
      </c>
      <c r="V285">
        <v>0</v>
      </c>
      <c r="W285">
        <v>2653</v>
      </c>
      <c r="X285">
        <v>957</v>
      </c>
      <c r="Y285">
        <v>303</v>
      </c>
      <c r="Z285" s="271">
        <v>1026</v>
      </c>
      <c r="AA285">
        <v>344</v>
      </c>
      <c r="AB285">
        <v>62</v>
      </c>
      <c r="AC285">
        <v>4039</v>
      </c>
      <c r="AD285">
        <v>308</v>
      </c>
      <c r="AE285">
        <v>431</v>
      </c>
      <c r="AF285">
        <v>3806</v>
      </c>
      <c r="AG285">
        <v>1116</v>
      </c>
      <c r="AH285">
        <v>521</v>
      </c>
      <c r="AI285">
        <v>6638</v>
      </c>
      <c r="AJ285">
        <v>483</v>
      </c>
      <c r="AK285">
        <v>0</v>
      </c>
      <c r="AL285">
        <v>9715</v>
      </c>
      <c r="AM285">
        <v>1022</v>
      </c>
      <c r="AN285">
        <v>26</v>
      </c>
      <c r="AO285">
        <v>5468</v>
      </c>
      <c r="AP285">
        <v>1085</v>
      </c>
      <c r="AQ285">
        <v>243</v>
      </c>
      <c r="AR285">
        <v>1444</v>
      </c>
      <c r="AS285">
        <v>957</v>
      </c>
      <c r="AT285">
        <v>142</v>
      </c>
      <c r="AU285">
        <v>10302</v>
      </c>
      <c r="AV285">
        <v>693</v>
      </c>
      <c r="AW285">
        <v>0</v>
      </c>
      <c r="AX285">
        <f t="shared" si="72"/>
        <v>57038</v>
      </c>
      <c r="AZ285" t="s">
        <v>433</v>
      </c>
      <c r="BA285" s="128">
        <v>43216</v>
      </c>
      <c r="BB285" s="128">
        <v>2870954</v>
      </c>
      <c r="BC285" s="128">
        <v>0</v>
      </c>
      <c r="BD285" s="128">
        <v>1542699</v>
      </c>
      <c r="BE285" s="128">
        <v>417258</v>
      </c>
      <c r="BF285" s="128">
        <v>1955527.4320445242</v>
      </c>
      <c r="BG285" s="272">
        <v>1452998.4751339112</v>
      </c>
      <c r="BH285">
        <v>2057</v>
      </c>
      <c r="BI285">
        <v>1877</v>
      </c>
      <c r="BJ285">
        <v>201</v>
      </c>
      <c r="BK285">
        <v>316</v>
      </c>
      <c r="BL285">
        <v>398</v>
      </c>
      <c r="BM285">
        <v>587</v>
      </c>
      <c r="BN285" s="128">
        <v>42</v>
      </c>
      <c r="BO285" s="128">
        <v>0</v>
      </c>
      <c r="BP285" s="128">
        <v>36</v>
      </c>
      <c r="BQ285" s="128">
        <f t="shared" si="73"/>
        <v>29462563.092821568</v>
      </c>
      <c r="BR285">
        <v>21225</v>
      </c>
      <c r="BS285" s="128">
        <f t="shared" si="60"/>
        <v>1388.1066239256334</v>
      </c>
      <c r="BT285" t="s">
        <v>467</v>
      </c>
      <c r="BU285" s="129">
        <f t="shared" si="74"/>
        <v>1389.8027369998383</v>
      </c>
      <c r="BZ285" t="s">
        <v>414</v>
      </c>
      <c r="CA285">
        <v>1666.9532502110928</v>
      </c>
      <c r="CB285" t="s">
        <v>118</v>
      </c>
    </row>
    <row r="286" spans="1:80" ht="14.5" x14ac:dyDescent="0.25">
      <c r="A286" t="s">
        <v>231</v>
      </c>
      <c r="B286">
        <v>330361</v>
      </c>
      <c r="C286">
        <v>61670</v>
      </c>
      <c r="D286">
        <v>29791</v>
      </c>
      <c r="E286">
        <f t="shared" si="61"/>
        <v>68107</v>
      </c>
      <c r="F286">
        <f t="shared" si="62"/>
        <v>43061</v>
      </c>
      <c r="G286">
        <f t="shared" si="63"/>
        <v>88264</v>
      </c>
      <c r="H286">
        <f t="shared" si="64"/>
        <v>22448</v>
      </c>
      <c r="I286">
        <f t="shared" si="65"/>
        <v>61460</v>
      </c>
      <c r="J286">
        <f t="shared" si="66"/>
        <v>117214</v>
      </c>
      <c r="K286">
        <f t="shared" si="67"/>
        <v>203876</v>
      </c>
      <c r="L286">
        <f t="shared" si="68"/>
        <v>334343</v>
      </c>
      <c r="M286">
        <f t="shared" si="69"/>
        <v>79189</v>
      </c>
      <c r="N286">
        <f t="shared" si="70"/>
        <v>16569</v>
      </c>
      <c r="O286">
        <f t="shared" si="71"/>
        <v>1456353</v>
      </c>
      <c r="Q286">
        <v>259071</v>
      </c>
      <c r="R286">
        <v>183493</v>
      </c>
      <c r="S286">
        <v>7471</v>
      </c>
      <c r="T286">
        <v>56791</v>
      </c>
      <c r="U286">
        <v>13707</v>
      </c>
      <c r="V286">
        <v>23</v>
      </c>
      <c r="W286">
        <v>105358</v>
      </c>
      <c r="X286">
        <v>15064</v>
      </c>
      <c r="Y286">
        <v>2030</v>
      </c>
      <c r="Z286" s="271">
        <v>22800</v>
      </c>
      <c r="AA286">
        <v>308</v>
      </c>
      <c r="AB286">
        <v>44</v>
      </c>
      <c r="AC286">
        <v>86404</v>
      </c>
      <c r="AD286">
        <v>7675</v>
      </c>
      <c r="AE286">
        <v>17269</v>
      </c>
      <c r="AF286">
        <v>146208</v>
      </c>
      <c r="AG286">
        <v>18681</v>
      </c>
      <c r="AH286">
        <v>10313</v>
      </c>
      <c r="AI286">
        <v>232843</v>
      </c>
      <c r="AJ286">
        <v>28967</v>
      </c>
      <c r="AK286">
        <v>0</v>
      </c>
      <c r="AL286">
        <v>349079</v>
      </c>
      <c r="AM286">
        <v>14675</v>
      </c>
      <c r="AN286">
        <v>61</v>
      </c>
      <c r="AO286">
        <v>114607</v>
      </c>
      <c r="AP286">
        <v>30723</v>
      </c>
      <c r="AQ286">
        <v>4695</v>
      </c>
      <c r="AR286">
        <v>51538</v>
      </c>
      <c r="AS286">
        <v>17068</v>
      </c>
      <c r="AT286">
        <v>17901</v>
      </c>
      <c r="AU286">
        <v>84065</v>
      </c>
      <c r="AV286">
        <v>0</v>
      </c>
      <c r="AW286">
        <v>1863</v>
      </c>
      <c r="AX286">
        <f t="shared" si="72"/>
        <v>1538555</v>
      </c>
      <c r="AZ286" t="s">
        <v>231</v>
      </c>
      <c r="BA286" s="128">
        <v>1363029</v>
      </c>
      <c r="BB286" s="128">
        <v>12775912</v>
      </c>
      <c r="BC286" s="128">
        <v>80902493</v>
      </c>
      <c r="BD286" s="128">
        <v>19609889</v>
      </c>
      <c r="BE286" s="128">
        <v>60812862</v>
      </c>
      <c r="BF286" s="128">
        <v>148049189.40346965</v>
      </c>
      <c r="BG286" s="272">
        <v>58440268.569575578</v>
      </c>
      <c r="BH286">
        <v>40889</v>
      </c>
      <c r="BI286">
        <v>40588</v>
      </c>
      <c r="BJ286">
        <v>5048</v>
      </c>
      <c r="BK286">
        <v>1033</v>
      </c>
      <c r="BL286">
        <v>16580</v>
      </c>
      <c r="BM286">
        <v>3245</v>
      </c>
      <c r="BN286" s="128">
        <v>3914</v>
      </c>
      <c r="BO286" s="128">
        <v>39875</v>
      </c>
      <c r="BP286" s="128">
        <v>20150</v>
      </c>
      <c r="BQ286" s="128">
        <f t="shared" si="73"/>
        <v>811116386.02695477</v>
      </c>
      <c r="BR286">
        <v>359376</v>
      </c>
      <c r="BS286" s="128">
        <f t="shared" si="60"/>
        <v>2257.0132285599339</v>
      </c>
      <c r="BT286" t="s">
        <v>441</v>
      </c>
      <c r="BU286" s="129">
        <f t="shared" si="74"/>
        <v>2313.0826377580997</v>
      </c>
      <c r="BZ286" t="s">
        <v>113</v>
      </c>
      <c r="CA286">
        <v>1516.9444758196264</v>
      </c>
      <c r="CB286" t="s">
        <v>118</v>
      </c>
    </row>
    <row r="287" spans="1:80" ht="14.5" x14ac:dyDescent="0.25">
      <c r="A287" t="s">
        <v>232</v>
      </c>
      <c r="B287">
        <v>24224</v>
      </c>
      <c r="C287">
        <v>6813</v>
      </c>
      <c r="D287">
        <v>2742</v>
      </c>
      <c r="E287">
        <f t="shared" si="61"/>
        <v>8994</v>
      </c>
      <c r="F287">
        <f t="shared" si="62"/>
        <v>3710</v>
      </c>
      <c r="G287">
        <f t="shared" si="63"/>
        <v>2544</v>
      </c>
      <c r="H287">
        <f t="shared" si="64"/>
        <v>251</v>
      </c>
      <c r="I287">
        <f t="shared" si="65"/>
        <v>1973</v>
      </c>
      <c r="J287">
        <f t="shared" si="66"/>
        <v>5759</v>
      </c>
      <c r="K287">
        <f t="shared" si="67"/>
        <v>17901</v>
      </c>
      <c r="L287">
        <f t="shared" si="68"/>
        <v>30168</v>
      </c>
      <c r="M287">
        <f t="shared" si="69"/>
        <v>10619</v>
      </c>
      <c r="N287">
        <f t="shared" si="70"/>
        <v>2006</v>
      </c>
      <c r="O287">
        <f t="shared" si="71"/>
        <v>117704</v>
      </c>
      <c r="Q287">
        <v>22352</v>
      </c>
      <c r="R287">
        <v>12054</v>
      </c>
      <c r="S287">
        <v>1304</v>
      </c>
      <c r="T287">
        <v>4515</v>
      </c>
      <c r="U287">
        <v>715</v>
      </c>
      <c r="V287">
        <v>90</v>
      </c>
      <c r="W287">
        <v>4845</v>
      </c>
      <c r="X287">
        <v>1445</v>
      </c>
      <c r="Y287">
        <v>856</v>
      </c>
      <c r="Z287" s="271">
        <v>449</v>
      </c>
      <c r="AA287">
        <v>198</v>
      </c>
      <c r="AB287">
        <v>0</v>
      </c>
      <c r="AC287">
        <v>3637</v>
      </c>
      <c r="AD287">
        <v>225</v>
      </c>
      <c r="AE287">
        <v>1439</v>
      </c>
      <c r="AF287">
        <v>9263</v>
      </c>
      <c r="AG287">
        <v>2480</v>
      </c>
      <c r="AH287">
        <v>1024</v>
      </c>
      <c r="AI287">
        <v>18011</v>
      </c>
      <c r="AJ287">
        <v>110</v>
      </c>
      <c r="AK287">
        <v>0</v>
      </c>
      <c r="AL287">
        <v>31664</v>
      </c>
      <c r="AM287">
        <v>1451</v>
      </c>
      <c r="AN287">
        <v>45</v>
      </c>
      <c r="AO287">
        <v>14792</v>
      </c>
      <c r="AP287">
        <v>2224</v>
      </c>
      <c r="AQ287">
        <v>1949</v>
      </c>
      <c r="AR287">
        <v>5101</v>
      </c>
      <c r="AS287">
        <v>2989</v>
      </c>
      <c r="AT287">
        <v>106</v>
      </c>
      <c r="AU287">
        <v>865</v>
      </c>
      <c r="AV287">
        <v>333</v>
      </c>
      <c r="AW287">
        <v>0</v>
      </c>
      <c r="AX287">
        <f t="shared" si="72"/>
        <v>118236</v>
      </c>
      <c r="AZ287" t="s">
        <v>232</v>
      </c>
      <c r="BA287" s="128">
        <v>107816</v>
      </c>
      <c r="BB287" s="128">
        <v>4657654</v>
      </c>
      <c r="BC287" s="128">
        <v>0</v>
      </c>
      <c r="BD287" s="128">
        <v>1710099</v>
      </c>
      <c r="BE287" s="128">
        <v>782070.95</v>
      </c>
      <c r="BF287" s="128">
        <v>9704897.9539035503</v>
      </c>
      <c r="BG287" s="272">
        <v>522709.9800197091</v>
      </c>
      <c r="BH287">
        <v>6362</v>
      </c>
      <c r="BI287">
        <v>6782</v>
      </c>
      <c r="BJ287">
        <v>750</v>
      </c>
      <c r="BK287">
        <v>940</v>
      </c>
      <c r="BL287">
        <v>1487</v>
      </c>
      <c r="BM287">
        <v>186</v>
      </c>
      <c r="BN287" s="128">
        <v>1469</v>
      </c>
      <c r="BO287" s="128">
        <v>0</v>
      </c>
      <c r="BP287" s="128">
        <v>966</v>
      </c>
      <c r="BQ287" s="128">
        <f t="shared" si="73"/>
        <v>71496568.116076738</v>
      </c>
      <c r="BR287">
        <v>49931</v>
      </c>
      <c r="BS287" s="128">
        <f t="shared" si="60"/>
        <v>1431.9073945259806</v>
      </c>
      <c r="BT287" t="s">
        <v>467</v>
      </c>
      <c r="BU287" s="129">
        <f t="shared" si="74"/>
        <v>1451.2540929698332</v>
      </c>
      <c r="BZ287" t="s">
        <v>190</v>
      </c>
      <c r="CA287">
        <v>1626.8094333608321</v>
      </c>
      <c r="CB287" t="s">
        <v>118</v>
      </c>
    </row>
    <row r="288" spans="1:80" ht="14.5" x14ac:dyDescent="0.25">
      <c r="A288" t="s">
        <v>423</v>
      </c>
      <c r="B288">
        <v>7130</v>
      </c>
      <c r="C288">
        <v>1870</v>
      </c>
      <c r="D288">
        <v>576</v>
      </c>
      <c r="E288">
        <f t="shared" si="61"/>
        <v>2069</v>
      </c>
      <c r="F288">
        <f t="shared" si="62"/>
        <v>904</v>
      </c>
      <c r="G288">
        <f t="shared" si="63"/>
        <v>1231</v>
      </c>
      <c r="H288">
        <f t="shared" si="64"/>
        <v>229</v>
      </c>
      <c r="I288">
        <f t="shared" si="65"/>
        <v>609</v>
      </c>
      <c r="J288">
        <f t="shared" si="66"/>
        <v>1872</v>
      </c>
      <c r="K288">
        <f t="shared" si="67"/>
        <v>7699</v>
      </c>
      <c r="L288">
        <f t="shared" si="68"/>
        <v>4462</v>
      </c>
      <c r="M288">
        <f t="shared" si="69"/>
        <v>2151</v>
      </c>
      <c r="N288">
        <f t="shared" si="70"/>
        <v>273</v>
      </c>
      <c r="O288">
        <f t="shared" si="71"/>
        <v>31075</v>
      </c>
      <c r="Q288">
        <v>6212</v>
      </c>
      <c r="R288">
        <v>3972</v>
      </c>
      <c r="S288">
        <v>171</v>
      </c>
      <c r="T288">
        <v>1276</v>
      </c>
      <c r="U288">
        <v>372</v>
      </c>
      <c r="V288">
        <v>0</v>
      </c>
      <c r="W288">
        <v>2197</v>
      </c>
      <c r="X288">
        <v>310</v>
      </c>
      <c r="Y288">
        <v>656</v>
      </c>
      <c r="Z288" s="271">
        <v>397</v>
      </c>
      <c r="AA288">
        <v>159</v>
      </c>
      <c r="AB288">
        <v>9</v>
      </c>
      <c r="AC288">
        <v>855</v>
      </c>
      <c r="AD288">
        <v>33</v>
      </c>
      <c r="AE288">
        <v>213</v>
      </c>
      <c r="AF288">
        <v>2865</v>
      </c>
      <c r="AG288">
        <v>643</v>
      </c>
      <c r="AH288">
        <v>350</v>
      </c>
      <c r="AI288">
        <v>7737</v>
      </c>
      <c r="AJ288">
        <v>38</v>
      </c>
      <c r="AK288">
        <v>0</v>
      </c>
      <c r="AL288">
        <v>5243</v>
      </c>
      <c r="AM288">
        <v>780</v>
      </c>
      <c r="AN288">
        <v>1</v>
      </c>
      <c r="AO288">
        <v>2801</v>
      </c>
      <c r="AP288">
        <v>256</v>
      </c>
      <c r="AQ288">
        <v>394</v>
      </c>
      <c r="AR288">
        <v>916</v>
      </c>
      <c r="AS288">
        <v>567</v>
      </c>
      <c r="AT288">
        <v>76</v>
      </c>
      <c r="AU288">
        <v>0</v>
      </c>
      <c r="AV288">
        <v>0</v>
      </c>
      <c r="AW288">
        <v>0</v>
      </c>
      <c r="AX288">
        <f t="shared" si="72"/>
        <v>31075</v>
      </c>
      <c r="AZ288" t="s">
        <v>423</v>
      </c>
      <c r="BA288" s="128">
        <v>28629</v>
      </c>
      <c r="BB288" s="128">
        <v>204727</v>
      </c>
      <c r="BC288" s="128">
        <v>0</v>
      </c>
      <c r="BD288" s="128">
        <v>1415684</v>
      </c>
      <c r="BE288" s="128">
        <v>302461</v>
      </c>
      <c r="BF288" s="128">
        <v>4271777</v>
      </c>
      <c r="BG288" s="272">
        <v>265931.41361069679</v>
      </c>
      <c r="BH288">
        <v>1096</v>
      </c>
      <c r="BI288">
        <v>1675</v>
      </c>
      <c r="BJ288">
        <v>134</v>
      </c>
      <c r="BK288">
        <v>0</v>
      </c>
      <c r="BL288">
        <v>155</v>
      </c>
      <c r="BM288">
        <v>48</v>
      </c>
      <c r="BN288" s="128">
        <v>1188</v>
      </c>
      <c r="BO288" s="128">
        <v>727</v>
      </c>
      <c r="BP288" s="128">
        <v>21</v>
      </c>
      <c r="BQ288" s="128">
        <f t="shared" si="73"/>
        <v>17124419.586389303</v>
      </c>
      <c r="BR288">
        <v>10082</v>
      </c>
      <c r="BS288" s="128">
        <f t="shared" si="60"/>
        <v>1698.5141426690441</v>
      </c>
      <c r="BT288" t="s">
        <v>441</v>
      </c>
      <c r="BU288" s="129">
        <f t="shared" si="74"/>
        <v>1700.5970627245888</v>
      </c>
      <c r="BZ288" t="s">
        <v>225</v>
      </c>
      <c r="CA288">
        <v>1963.0372447742961</v>
      </c>
      <c r="CB288" t="s">
        <v>118</v>
      </c>
    </row>
    <row r="289" spans="1:80" ht="14.5" x14ac:dyDescent="0.25">
      <c r="A289" t="s">
        <v>424</v>
      </c>
      <c r="B289">
        <v>9240</v>
      </c>
      <c r="C289">
        <v>4054</v>
      </c>
      <c r="D289">
        <v>324</v>
      </c>
      <c r="E289">
        <f t="shared" si="61"/>
        <v>2910</v>
      </c>
      <c r="F289">
        <f t="shared" si="62"/>
        <v>1678</v>
      </c>
      <c r="G289">
        <f t="shared" si="63"/>
        <v>7045</v>
      </c>
      <c r="H289">
        <f t="shared" si="64"/>
        <v>2377</v>
      </c>
      <c r="I289">
        <f t="shared" si="65"/>
        <v>1036</v>
      </c>
      <c r="J289">
        <f t="shared" si="66"/>
        <v>4312</v>
      </c>
      <c r="K289">
        <f t="shared" si="67"/>
        <v>7491</v>
      </c>
      <c r="L289">
        <f t="shared" si="68"/>
        <v>11541</v>
      </c>
      <c r="M289">
        <f t="shared" si="69"/>
        <v>3265</v>
      </c>
      <c r="N289">
        <f t="shared" si="70"/>
        <v>1157</v>
      </c>
      <c r="O289">
        <f t="shared" si="71"/>
        <v>56430</v>
      </c>
      <c r="Q289">
        <v>8047</v>
      </c>
      <c r="R289">
        <v>4686</v>
      </c>
      <c r="S289">
        <v>451</v>
      </c>
      <c r="T289">
        <v>2763</v>
      </c>
      <c r="U289">
        <v>1024</v>
      </c>
      <c r="V289">
        <v>61</v>
      </c>
      <c r="W289">
        <v>8553</v>
      </c>
      <c r="X289">
        <v>694</v>
      </c>
      <c r="Y289">
        <v>814</v>
      </c>
      <c r="Z289" s="271">
        <v>2774</v>
      </c>
      <c r="AA289">
        <v>386</v>
      </c>
      <c r="AB289">
        <v>11</v>
      </c>
      <c r="AC289">
        <v>1737</v>
      </c>
      <c r="AD289">
        <v>72</v>
      </c>
      <c r="AE289">
        <v>629</v>
      </c>
      <c r="AF289">
        <v>5798</v>
      </c>
      <c r="AG289">
        <v>552</v>
      </c>
      <c r="AH289">
        <v>934</v>
      </c>
      <c r="AI289">
        <v>7528</v>
      </c>
      <c r="AJ289">
        <v>37</v>
      </c>
      <c r="AK289">
        <v>0</v>
      </c>
      <c r="AL289">
        <v>11905</v>
      </c>
      <c r="AM289">
        <v>281</v>
      </c>
      <c r="AN289">
        <v>83</v>
      </c>
      <c r="AO289">
        <v>4639</v>
      </c>
      <c r="AP289">
        <v>568</v>
      </c>
      <c r="AQ289">
        <v>806</v>
      </c>
      <c r="AR289">
        <v>2203</v>
      </c>
      <c r="AS289">
        <v>933</v>
      </c>
      <c r="AT289">
        <v>113</v>
      </c>
      <c r="AU289">
        <v>159</v>
      </c>
      <c r="AV289">
        <v>7</v>
      </c>
      <c r="AW289">
        <v>152</v>
      </c>
      <c r="AX289">
        <f t="shared" si="72"/>
        <v>56430</v>
      </c>
      <c r="AZ289" t="s">
        <v>424</v>
      </c>
      <c r="BA289" s="128">
        <v>51893</v>
      </c>
      <c r="BB289" s="128">
        <v>371062</v>
      </c>
      <c r="BC289" s="128">
        <v>0</v>
      </c>
      <c r="BD289" s="128">
        <v>1733895</v>
      </c>
      <c r="BE289" s="128">
        <v>336562</v>
      </c>
      <c r="BF289" s="128">
        <v>4628717.3744437955</v>
      </c>
      <c r="BG289" s="272">
        <v>0</v>
      </c>
      <c r="BH289">
        <v>2698</v>
      </c>
      <c r="BI289">
        <v>1067</v>
      </c>
      <c r="BJ289">
        <v>202</v>
      </c>
      <c r="BK289">
        <v>152</v>
      </c>
      <c r="BL289">
        <v>266</v>
      </c>
      <c r="BM289">
        <v>384</v>
      </c>
      <c r="BN289" s="128">
        <v>2200</v>
      </c>
      <c r="BO289" s="128">
        <v>2928</v>
      </c>
      <c r="BP289" s="128">
        <v>125</v>
      </c>
      <c r="BQ289" s="128">
        <f t="shared" si="73"/>
        <v>34800763.625556201</v>
      </c>
      <c r="BR289">
        <v>16364</v>
      </c>
      <c r="BS289" s="128">
        <f t="shared" si="60"/>
        <v>2126.666073426803</v>
      </c>
      <c r="BT289" t="s">
        <v>118</v>
      </c>
      <c r="BU289" s="129">
        <f t="shared" si="74"/>
        <v>2134.3047925663773</v>
      </c>
      <c r="BZ289" t="s">
        <v>479</v>
      </c>
      <c r="CA289">
        <v>2005.6058429648767</v>
      </c>
      <c r="CB289" t="s">
        <v>118</v>
      </c>
    </row>
    <row r="290" spans="1:80" ht="14.5" x14ac:dyDescent="0.25">
      <c r="A290" t="s">
        <v>393</v>
      </c>
      <c r="B290">
        <v>13078</v>
      </c>
      <c r="C290">
        <v>4514</v>
      </c>
      <c r="D290">
        <v>996</v>
      </c>
      <c r="E290">
        <f t="shared" si="61"/>
        <v>10781</v>
      </c>
      <c r="F290">
        <f t="shared" si="62"/>
        <v>1761</v>
      </c>
      <c r="G290">
        <f t="shared" si="63"/>
        <v>1790</v>
      </c>
      <c r="H290">
        <f t="shared" si="64"/>
        <v>816</v>
      </c>
      <c r="I290">
        <f t="shared" si="65"/>
        <v>2260</v>
      </c>
      <c r="J290">
        <f t="shared" si="66"/>
        <v>7200</v>
      </c>
      <c r="K290">
        <f t="shared" si="67"/>
        <v>15117</v>
      </c>
      <c r="L290">
        <f t="shared" si="68"/>
        <v>16330</v>
      </c>
      <c r="M290">
        <f t="shared" si="69"/>
        <v>4896</v>
      </c>
      <c r="N290">
        <f t="shared" si="70"/>
        <v>692</v>
      </c>
      <c r="O290">
        <f t="shared" si="71"/>
        <v>80231</v>
      </c>
      <c r="Q290">
        <v>15572</v>
      </c>
      <c r="R290">
        <v>4428</v>
      </c>
      <c r="S290">
        <v>363</v>
      </c>
      <c r="T290">
        <v>2252</v>
      </c>
      <c r="U290">
        <v>491</v>
      </c>
      <c r="V290">
        <v>0</v>
      </c>
      <c r="W290">
        <v>3502</v>
      </c>
      <c r="X290">
        <v>865</v>
      </c>
      <c r="Y290">
        <v>847</v>
      </c>
      <c r="Z290" s="271">
        <v>1067</v>
      </c>
      <c r="AA290">
        <v>251</v>
      </c>
      <c r="AB290">
        <v>0</v>
      </c>
      <c r="AC290">
        <v>2960</v>
      </c>
      <c r="AD290">
        <v>218</v>
      </c>
      <c r="AE290">
        <v>482</v>
      </c>
      <c r="AF290">
        <v>11814</v>
      </c>
      <c r="AG290">
        <v>3320</v>
      </c>
      <c r="AH290">
        <v>1294</v>
      </c>
      <c r="AI290">
        <v>15117</v>
      </c>
      <c r="AJ290">
        <v>0</v>
      </c>
      <c r="AK290">
        <v>0</v>
      </c>
      <c r="AL290">
        <v>17890</v>
      </c>
      <c r="AM290">
        <v>1560</v>
      </c>
      <c r="AN290">
        <v>0</v>
      </c>
      <c r="AO290">
        <v>7120</v>
      </c>
      <c r="AP290">
        <v>710</v>
      </c>
      <c r="AQ290">
        <v>1514</v>
      </c>
      <c r="AR290">
        <v>1838</v>
      </c>
      <c r="AS290">
        <v>1132</v>
      </c>
      <c r="AT290">
        <v>14</v>
      </c>
      <c r="AU290">
        <v>1965</v>
      </c>
      <c r="AV290">
        <v>103</v>
      </c>
      <c r="AW290">
        <v>0</v>
      </c>
      <c r="AX290">
        <f t="shared" si="72"/>
        <v>82093</v>
      </c>
      <c r="AZ290" t="s">
        <v>393</v>
      </c>
      <c r="BA290" s="128">
        <v>74618</v>
      </c>
      <c r="BB290" s="128">
        <v>1185028</v>
      </c>
      <c r="BC290" s="128">
        <v>0</v>
      </c>
      <c r="BD290" s="128">
        <v>3563116</v>
      </c>
      <c r="BE290" s="128">
        <v>366091.6333333333</v>
      </c>
      <c r="BF290" s="128">
        <v>7894313.0541918427</v>
      </c>
      <c r="BG290" s="272">
        <v>0</v>
      </c>
      <c r="BH290">
        <v>3165</v>
      </c>
      <c r="BI290">
        <v>3873</v>
      </c>
      <c r="BJ290">
        <v>269</v>
      </c>
      <c r="BK290">
        <v>188</v>
      </c>
      <c r="BL290">
        <v>570</v>
      </c>
      <c r="BM290">
        <v>174</v>
      </c>
      <c r="BN290" s="128">
        <v>0</v>
      </c>
      <c r="BO290" s="128">
        <v>52</v>
      </c>
      <c r="BP290" s="128">
        <v>380</v>
      </c>
      <c r="BQ290" s="128">
        <f t="shared" si="73"/>
        <v>52938451.312474817</v>
      </c>
      <c r="BR290">
        <v>31228</v>
      </c>
      <c r="BS290" s="128">
        <f t="shared" si="60"/>
        <v>1695.22387961044</v>
      </c>
      <c r="BT290" t="s">
        <v>118</v>
      </c>
      <c r="BU290" s="129">
        <f t="shared" si="74"/>
        <v>1707.3924462813761</v>
      </c>
      <c r="BZ290" t="s">
        <v>604</v>
      </c>
      <c r="CA290">
        <v>2113.1641374260289</v>
      </c>
      <c r="CB290" t="s">
        <v>118</v>
      </c>
    </row>
    <row r="291" spans="1:80" ht="14.5" x14ac:dyDescent="0.25">
      <c r="A291" t="s">
        <v>126</v>
      </c>
      <c r="B291">
        <v>1411</v>
      </c>
      <c r="C291">
        <v>2912</v>
      </c>
      <c r="D291">
        <v>594</v>
      </c>
      <c r="E291">
        <f t="shared" si="61"/>
        <v>6993</v>
      </c>
      <c r="F291">
        <f t="shared" si="62"/>
        <v>2727</v>
      </c>
      <c r="G291">
        <f t="shared" si="63"/>
        <v>4009</v>
      </c>
      <c r="H291">
        <f t="shared" si="64"/>
        <v>3150</v>
      </c>
      <c r="I291">
        <f t="shared" si="65"/>
        <v>3018</v>
      </c>
      <c r="J291">
        <f t="shared" si="66"/>
        <v>9208</v>
      </c>
      <c r="K291">
        <f t="shared" si="67"/>
        <v>30991</v>
      </c>
      <c r="L291">
        <f t="shared" si="68"/>
        <v>24312</v>
      </c>
      <c r="M291">
        <f t="shared" si="69"/>
        <v>6435</v>
      </c>
      <c r="N291">
        <f t="shared" si="70"/>
        <v>2409</v>
      </c>
      <c r="O291">
        <f t="shared" si="71"/>
        <v>98169</v>
      </c>
      <c r="Q291">
        <v>8729</v>
      </c>
      <c r="R291">
        <v>1393</v>
      </c>
      <c r="S291">
        <v>343</v>
      </c>
      <c r="T291">
        <v>2744</v>
      </c>
      <c r="U291">
        <v>0</v>
      </c>
      <c r="V291">
        <v>17</v>
      </c>
      <c r="W291">
        <v>4413</v>
      </c>
      <c r="X291">
        <v>0</v>
      </c>
      <c r="Y291">
        <v>404</v>
      </c>
      <c r="Z291" s="271">
        <v>3162</v>
      </c>
      <c r="AA291">
        <v>0</v>
      </c>
      <c r="AB291">
        <v>12</v>
      </c>
      <c r="AC291">
        <v>3653</v>
      </c>
      <c r="AD291">
        <v>11</v>
      </c>
      <c r="AE291">
        <v>624</v>
      </c>
      <c r="AF291">
        <v>10360</v>
      </c>
      <c r="AG291">
        <v>7</v>
      </c>
      <c r="AH291">
        <v>1145</v>
      </c>
      <c r="AI291">
        <v>30991</v>
      </c>
      <c r="AJ291">
        <v>0</v>
      </c>
      <c r="AK291">
        <v>0</v>
      </c>
      <c r="AL291">
        <v>24312</v>
      </c>
      <c r="AM291">
        <v>0</v>
      </c>
      <c r="AN291">
        <v>0</v>
      </c>
      <c r="AO291">
        <v>6679</v>
      </c>
      <c r="AP291">
        <v>0</v>
      </c>
      <c r="AQ291">
        <v>244</v>
      </c>
      <c r="AR291">
        <v>2532</v>
      </c>
      <c r="AS291">
        <v>0</v>
      </c>
      <c r="AT291">
        <v>123</v>
      </c>
      <c r="AU291">
        <v>1856</v>
      </c>
      <c r="AV291">
        <v>0</v>
      </c>
      <c r="AW291">
        <v>0</v>
      </c>
      <c r="AX291">
        <f t="shared" si="72"/>
        <v>100025</v>
      </c>
      <c r="AZ291" t="s">
        <v>126</v>
      </c>
      <c r="BA291" s="128">
        <v>94663</v>
      </c>
      <c r="BB291" s="128">
        <v>2027544</v>
      </c>
      <c r="BC291" s="128">
        <v>0</v>
      </c>
      <c r="BD291" s="128">
        <v>9015037</v>
      </c>
      <c r="BE291" s="128">
        <v>685111</v>
      </c>
      <c r="BF291" s="128">
        <v>14007917.754333491</v>
      </c>
      <c r="BG291" s="272">
        <v>1760.5014432352036</v>
      </c>
      <c r="BH291">
        <v>1677</v>
      </c>
      <c r="BI291">
        <v>3413</v>
      </c>
      <c r="BJ291">
        <v>515</v>
      </c>
      <c r="BK291">
        <v>133</v>
      </c>
      <c r="BL291">
        <v>252</v>
      </c>
      <c r="BM291">
        <v>48</v>
      </c>
      <c r="BN291" s="128">
        <v>0</v>
      </c>
      <c r="BO291" s="128">
        <v>0</v>
      </c>
      <c r="BP291" s="128">
        <v>197</v>
      </c>
      <c r="BQ291" s="128">
        <f t="shared" si="73"/>
        <v>62690629.744223267</v>
      </c>
      <c r="BR291">
        <v>27419</v>
      </c>
      <c r="BS291" s="128">
        <f t="shared" si="60"/>
        <v>2286.3937322376187</v>
      </c>
      <c r="BT291" t="s">
        <v>441</v>
      </c>
      <c r="BU291" s="129">
        <f t="shared" si="74"/>
        <v>2293.5785310997217</v>
      </c>
      <c r="BZ291" t="s">
        <v>335</v>
      </c>
      <c r="CA291">
        <v>2011.9144487788308</v>
      </c>
      <c r="CB291" t="s">
        <v>118</v>
      </c>
    </row>
    <row r="292" spans="1:80" ht="14.5" x14ac:dyDescent="0.25">
      <c r="A292" t="s">
        <v>233</v>
      </c>
      <c r="B292">
        <v>42234</v>
      </c>
      <c r="C292">
        <v>9854</v>
      </c>
      <c r="D292">
        <v>2082</v>
      </c>
      <c r="E292">
        <f t="shared" si="61"/>
        <v>13201</v>
      </c>
      <c r="F292">
        <f t="shared" si="62"/>
        <v>4047</v>
      </c>
      <c r="G292">
        <f t="shared" si="63"/>
        <v>6564</v>
      </c>
      <c r="H292">
        <f t="shared" si="64"/>
        <v>1649</v>
      </c>
      <c r="I292">
        <f t="shared" si="65"/>
        <v>6924</v>
      </c>
      <c r="J292">
        <f t="shared" si="66"/>
        <v>15886</v>
      </c>
      <c r="K292">
        <f t="shared" si="67"/>
        <v>29324</v>
      </c>
      <c r="L292">
        <f t="shared" si="68"/>
        <v>44752</v>
      </c>
      <c r="M292">
        <f t="shared" si="69"/>
        <v>12776</v>
      </c>
      <c r="N292">
        <f t="shared" si="70"/>
        <v>1938</v>
      </c>
      <c r="O292">
        <f t="shared" si="71"/>
        <v>191231</v>
      </c>
      <c r="Q292">
        <v>32703</v>
      </c>
      <c r="R292">
        <v>17859</v>
      </c>
      <c r="S292">
        <v>1643</v>
      </c>
      <c r="T292">
        <v>5964</v>
      </c>
      <c r="U292">
        <v>1887</v>
      </c>
      <c r="V292">
        <v>30</v>
      </c>
      <c r="W292">
        <v>10109</v>
      </c>
      <c r="X292">
        <v>1604</v>
      </c>
      <c r="Y292">
        <v>1941</v>
      </c>
      <c r="Z292" s="271">
        <v>2081</v>
      </c>
      <c r="AA292">
        <v>431</v>
      </c>
      <c r="AB292">
        <v>1</v>
      </c>
      <c r="AC292">
        <v>16225</v>
      </c>
      <c r="AD292">
        <v>6783</v>
      </c>
      <c r="AE292">
        <v>2518</v>
      </c>
      <c r="AF292">
        <v>20273</v>
      </c>
      <c r="AG292">
        <v>2048</v>
      </c>
      <c r="AH292">
        <v>2339</v>
      </c>
      <c r="AI292">
        <v>34141</v>
      </c>
      <c r="AJ292">
        <v>4817</v>
      </c>
      <c r="AK292">
        <v>0</v>
      </c>
      <c r="AL292">
        <v>48697</v>
      </c>
      <c r="AM292">
        <v>3465</v>
      </c>
      <c r="AN292">
        <v>480</v>
      </c>
      <c r="AO292">
        <v>14668</v>
      </c>
      <c r="AP292">
        <v>996</v>
      </c>
      <c r="AQ292">
        <v>896</v>
      </c>
      <c r="AR292">
        <v>4288</v>
      </c>
      <c r="AS292">
        <v>2344</v>
      </c>
      <c r="AT292">
        <v>6</v>
      </c>
      <c r="AU292">
        <v>9563</v>
      </c>
      <c r="AV292">
        <v>0</v>
      </c>
      <c r="AW292">
        <v>0</v>
      </c>
      <c r="AX292">
        <f t="shared" si="72"/>
        <v>200794</v>
      </c>
      <c r="AZ292" t="s">
        <v>233</v>
      </c>
      <c r="BA292" s="128">
        <v>179295</v>
      </c>
      <c r="BB292" s="128">
        <v>2802497</v>
      </c>
      <c r="BC292" s="128">
        <v>0</v>
      </c>
      <c r="BD292" s="128">
        <v>7102982</v>
      </c>
      <c r="BE292" s="128">
        <v>916973</v>
      </c>
      <c r="BF292" s="128">
        <v>19807601.697407346</v>
      </c>
      <c r="BG292" s="272">
        <v>7971257.2184426077</v>
      </c>
      <c r="BH292">
        <v>3364</v>
      </c>
      <c r="BI292">
        <v>7615</v>
      </c>
      <c r="BJ292">
        <v>1030</v>
      </c>
      <c r="BK292">
        <v>1047</v>
      </c>
      <c r="BL292">
        <v>1840</v>
      </c>
      <c r="BM292">
        <v>128</v>
      </c>
      <c r="BN292" s="128">
        <v>0</v>
      </c>
      <c r="BO292" s="128">
        <v>1747</v>
      </c>
      <c r="BP292" s="128">
        <v>2074</v>
      </c>
      <c r="BQ292" s="128">
        <f t="shared" si="73"/>
        <v>121848689.08415005</v>
      </c>
      <c r="BR292">
        <v>66912</v>
      </c>
      <c r="BS292" s="128">
        <f t="shared" si="60"/>
        <v>1821.0289497272545</v>
      </c>
      <c r="BT292" t="s">
        <v>441</v>
      </c>
      <c r="BU292" s="129">
        <f t="shared" si="74"/>
        <v>1852.0248846866041</v>
      </c>
      <c r="BZ292" t="s">
        <v>114</v>
      </c>
      <c r="CA292">
        <v>1656.3876636429</v>
      </c>
      <c r="CB292" t="s">
        <v>118</v>
      </c>
    </row>
    <row r="293" spans="1:80" ht="14.5" x14ac:dyDescent="0.25">
      <c r="A293" t="s">
        <v>341</v>
      </c>
      <c r="B293">
        <v>15877</v>
      </c>
      <c r="C293">
        <v>3214</v>
      </c>
      <c r="D293">
        <v>777</v>
      </c>
      <c r="E293">
        <f t="shared" si="61"/>
        <v>5508</v>
      </c>
      <c r="F293">
        <f t="shared" si="62"/>
        <v>2320</v>
      </c>
      <c r="G293">
        <f t="shared" si="63"/>
        <v>5609</v>
      </c>
      <c r="H293">
        <f t="shared" si="64"/>
        <v>1269</v>
      </c>
      <c r="I293">
        <f t="shared" si="65"/>
        <v>1744</v>
      </c>
      <c r="J293">
        <f t="shared" si="66"/>
        <v>6660</v>
      </c>
      <c r="K293">
        <f t="shared" si="67"/>
        <v>5306</v>
      </c>
      <c r="L293">
        <f t="shared" si="68"/>
        <v>10985</v>
      </c>
      <c r="M293">
        <f t="shared" si="69"/>
        <v>5361</v>
      </c>
      <c r="N293">
        <f t="shared" si="70"/>
        <v>613</v>
      </c>
      <c r="O293">
        <f t="shared" si="71"/>
        <v>65243</v>
      </c>
      <c r="Q293">
        <v>12799</v>
      </c>
      <c r="R293">
        <v>7014</v>
      </c>
      <c r="S293">
        <v>277</v>
      </c>
      <c r="T293">
        <v>2900</v>
      </c>
      <c r="U293">
        <v>538</v>
      </c>
      <c r="V293">
        <v>42</v>
      </c>
      <c r="W293">
        <v>7636</v>
      </c>
      <c r="X293">
        <v>893</v>
      </c>
      <c r="Y293">
        <v>1134</v>
      </c>
      <c r="Z293" s="271">
        <v>1481</v>
      </c>
      <c r="AA293">
        <v>205</v>
      </c>
      <c r="AB293">
        <v>7</v>
      </c>
      <c r="AC293">
        <v>2325</v>
      </c>
      <c r="AD293">
        <v>201</v>
      </c>
      <c r="AE293">
        <v>380</v>
      </c>
      <c r="AF293">
        <v>8883</v>
      </c>
      <c r="AG293">
        <v>1795</v>
      </c>
      <c r="AH293">
        <v>428</v>
      </c>
      <c r="AI293">
        <v>5368</v>
      </c>
      <c r="AJ293">
        <v>62</v>
      </c>
      <c r="AK293">
        <v>0</v>
      </c>
      <c r="AL293">
        <v>12369</v>
      </c>
      <c r="AM293">
        <v>1294</v>
      </c>
      <c r="AN293">
        <v>90</v>
      </c>
      <c r="AO293">
        <v>7625</v>
      </c>
      <c r="AP293">
        <v>1409</v>
      </c>
      <c r="AQ293">
        <v>855</v>
      </c>
      <c r="AR293">
        <v>3002</v>
      </c>
      <c r="AS293">
        <v>2388</v>
      </c>
      <c r="AT293">
        <v>1</v>
      </c>
      <c r="AU293">
        <v>6527</v>
      </c>
      <c r="AV293">
        <v>78</v>
      </c>
      <c r="AW293">
        <v>0</v>
      </c>
      <c r="AX293">
        <f t="shared" si="72"/>
        <v>71692</v>
      </c>
      <c r="AZ293" t="s">
        <v>341</v>
      </c>
      <c r="BA293" s="128">
        <v>61174</v>
      </c>
      <c r="BB293" s="128">
        <v>545085</v>
      </c>
      <c r="BC293" s="128">
        <v>0</v>
      </c>
      <c r="BD293" s="128">
        <v>1093326</v>
      </c>
      <c r="BE293" s="128">
        <v>492093</v>
      </c>
      <c r="BF293" s="128">
        <v>2613863.3654705361</v>
      </c>
      <c r="BG293" s="272">
        <v>0</v>
      </c>
      <c r="BH293">
        <v>2533</v>
      </c>
      <c r="BI293">
        <v>3717</v>
      </c>
      <c r="BJ293">
        <v>258</v>
      </c>
      <c r="BK293">
        <v>496</v>
      </c>
      <c r="BL293">
        <v>891</v>
      </c>
      <c r="BM293">
        <v>370</v>
      </c>
      <c r="BN293" s="128">
        <v>10325</v>
      </c>
      <c r="BO293" s="128">
        <v>5813</v>
      </c>
      <c r="BP293" s="128">
        <v>454</v>
      </c>
      <c r="BQ293" s="128">
        <f t="shared" si="73"/>
        <v>31572632.634529464</v>
      </c>
      <c r="BR293">
        <v>21950</v>
      </c>
      <c r="BS293" s="128">
        <f t="shared" si="60"/>
        <v>1438.3887305024812</v>
      </c>
      <c r="BT293" t="s">
        <v>467</v>
      </c>
      <c r="BU293" s="129">
        <f t="shared" si="74"/>
        <v>1459.0721018008867</v>
      </c>
      <c r="BZ293" t="s">
        <v>432</v>
      </c>
      <c r="CA293">
        <v>1925.6469875057267</v>
      </c>
      <c r="CB293" t="s">
        <v>118</v>
      </c>
    </row>
    <row r="294" spans="1:80" ht="14.5" x14ac:dyDescent="0.25">
      <c r="A294" t="s">
        <v>394</v>
      </c>
      <c r="B294">
        <v>24719</v>
      </c>
      <c r="C294">
        <v>4883</v>
      </c>
      <c r="D294">
        <v>2623</v>
      </c>
      <c r="E294">
        <f t="shared" si="61"/>
        <v>5274</v>
      </c>
      <c r="F294">
        <f t="shared" si="62"/>
        <v>2664</v>
      </c>
      <c r="G294">
        <f t="shared" si="63"/>
        <v>4205</v>
      </c>
      <c r="H294">
        <f t="shared" si="64"/>
        <v>6757</v>
      </c>
      <c r="I294">
        <f t="shared" si="65"/>
        <v>2699</v>
      </c>
      <c r="J294">
        <f t="shared" si="66"/>
        <v>8277</v>
      </c>
      <c r="K294">
        <f t="shared" si="67"/>
        <v>14301</v>
      </c>
      <c r="L294">
        <f t="shared" si="68"/>
        <v>25992</v>
      </c>
      <c r="M294">
        <f t="shared" si="69"/>
        <v>8642</v>
      </c>
      <c r="N294">
        <f t="shared" si="70"/>
        <v>951</v>
      </c>
      <c r="O294">
        <f t="shared" si="71"/>
        <v>111987</v>
      </c>
      <c r="Q294">
        <v>15278</v>
      </c>
      <c r="R294">
        <v>9695</v>
      </c>
      <c r="S294">
        <v>309</v>
      </c>
      <c r="T294">
        <v>3411</v>
      </c>
      <c r="U294">
        <v>719</v>
      </c>
      <c r="V294">
        <v>28</v>
      </c>
      <c r="W294">
        <v>6033</v>
      </c>
      <c r="X294">
        <v>1118</v>
      </c>
      <c r="Y294">
        <v>710</v>
      </c>
      <c r="Z294" s="271">
        <v>7628</v>
      </c>
      <c r="AA294">
        <v>839</v>
      </c>
      <c r="AB294">
        <v>32</v>
      </c>
      <c r="AC294">
        <v>4905</v>
      </c>
      <c r="AD294">
        <v>442</v>
      </c>
      <c r="AE294">
        <v>1764</v>
      </c>
      <c r="AF294">
        <v>10741</v>
      </c>
      <c r="AG294">
        <v>1394</v>
      </c>
      <c r="AH294">
        <v>1070</v>
      </c>
      <c r="AI294">
        <v>16278</v>
      </c>
      <c r="AJ294">
        <v>1977</v>
      </c>
      <c r="AK294">
        <v>0</v>
      </c>
      <c r="AL294">
        <v>30476</v>
      </c>
      <c r="AM294">
        <v>4164</v>
      </c>
      <c r="AN294">
        <v>320</v>
      </c>
      <c r="AO294">
        <v>10697</v>
      </c>
      <c r="AP294">
        <v>1411</v>
      </c>
      <c r="AQ294">
        <v>644</v>
      </c>
      <c r="AR294">
        <v>3347</v>
      </c>
      <c r="AS294">
        <v>2390</v>
      </c>
      <c r="AT294">
        <v>6</v>
      </c>
      <c r="AU294">
        <v>14100</v>
      </c>
      <c r="AV294">
        <v>570</v>
      </c>
      <c r="AW294">
        <v>0</v>
      </c>
      <c r="AX294">
        <f t="shared" si="72"/>
        <v>125517</v>
      </c>
      <c r="AZ294" t="s">
        <v>394</v>
      </c>
      <c r="BA294" s="128">
        <v>103911</v>
      </c>
      <c r="BB294" s="128">
        <v>2347277</v>
      </c>
      <c r="BC294" s="128">
        <v>0</v>
      </c>
      <c r="BD294" s="128">
        <v>4068244</v>
      </c>
      <c r="BE294" s="128">
        <v>571368</v>
      </c>
      <c r="BF294" s="128">
        <v>8342238.8470347635</v>
      </c>
      <c r="BG294" s="272">
        <v>0</v>
      </c>
      <c r="BH294">
        <v>3766</v>
      </c>
      <c r="BI294">
        <v>4324</v>
      </c>
      <c r="BJ294">
        <v>527</v>
      </c>
      <c r="BK294">
        <v>132</v>
      </c>
      <c r="BL294">
        <v>1325</v>
      </c>
      <c r="BM294">
        <v>77</v>
      </c>
      <c r="BN294" s="128">
        <v>266</v>
      </c>
      <c r="BO294" s="128">
        <v>0</v>
      </c>
      <c r="BP294" s="128">
        <v>127</v>
      </c>
      <c r="BQ294" s="128">
        <f t="shared" si="73"/>
        <v>78037872.152965233</v>
      </c>
      <c r="BR294">
        <v>45500</v>
      </c>
      <c r="BS294" s="128">
        <f t="shared" si="60"/>
        <v>1715.1180692959392</v>
      </c>
      <c r="BT294" t="s">
        <v>467</v>
      </c>
      <c r="BU294" s="129">
        <f t="shared" si="74"/>
        <v>1717.9092780871479</v>
      </c>
      <c r="BZ294" t="s">
        <v>310</v>
      </c>
      <c r="CA294">
        <v>1554.4521218519105</v>
      </c>
      <c r="CB294" t="s">
        <v>118</v>
      </c>
    </row>
    <row r="295" spans="1:80" ht="14.5" x14ac:dyDescent="0.25">
      <c r="A295" t="s">
        <v>276</v>
      </c>
      <c r="B295">
        <v>40490</v>
      </c>
      <c r="C295">
        <v>12309</v>
      </c>
      <c r="D295">
        <v>2096</v>
      </c>
      <c r="E295">
        <f t="shared" si="61"/>
        <v>11731</v>
      </c>
      <c r="F295">
        <f t="shared" si="62"/>
        <v>7299</v>
      </c>
      <c r="G295">
        <f t="shared" si="63"/>
        <v>4909</v>
      </c>
      <c r="H295">
        <f t="shared" si="64"/>
        <v>2558</v>
      </c>
      <c r="I295">
        <f t="shared" si="65"/>
        <v>4281</v>
      </c>
      <c r="J295">
        <f t="shared" si="66"/>
        <v>12078</v>
      </c>
      <c r="K295">
        <f t="shared" si="67"/>
        <v>32496</v>
      </c>
      <c r="L295">
        <f t="shared" si="68"/>
        <v>42818</v>
      </c>
      <c r="M295">
        <f t="shared" si="69"/>
        <v>14798</v>
      </c>
      <c r="N295">
        <f t="shared" si="70"/>
        <v>1984</v>
      </c>
      <c r="O295">
        <f t="shared" si="71"/>
        <v>189847</v>
      </c>
      <c r="Q295">
        <v>33259</v>
      </c>
      <c r="R295">
        <v>17936</v>
      </c>
      <c r="S295">
        <v>3592</v>
      </c>
      <c r="T295">
        <v>9205</v>
      </c>
      <c r="U295">
        <v>1777</v>
      </c>
      <c r="V295">
        <v>129</v>
      </c>
      <c r="W295">
        <v>9239</v>
      </c>
      <c r="X295">
        <v>1844</v>
      </c>
      <c r="Y295">
        <v>2486</v>
      </c>
      <c r="Z295" s="271">
        <v>3132</v>
      </c>
      <c r="AA295">
        <v>527</v>
      </c>
      <c r="AB295">
        <v>47</v>
      </c>
      <c r="AC295">
        <v>7314</v>
      </c>
      <c r="AD295">
        <v>778</v>
      </c>
      <c r="AE295">
        <v>2255</v>
      </c>
      <c r="AF295">
        <v>17968</v>
      </c>
      <c r="AG295">
        <v>4325</v>
      </c>
      <c r="AH295">
        <v>1565</v>
      </c>
      <c r="AI295">
        <v>36020</v>
      </c>
      <c r="AJ295">
        <v>3524</v>
      </c>
      <c r="AK295">
        <v>0</v>
      </c>
      <c r="AL295">
        <v>46780</v>
      </c>
      <c r="AM295">
        <v>3878</v>
      </c>
      <c r="AN295">
        <v>84</v>
      </c>
      <c r="AO295">
        <v>17669</v>
      </c>
      <c r="AP295">
        <v>942</v>
      </c>
      <c r="AQ295">
        <v>1929</v>
      </c>
      <c r="AR295">
        <v>7007</v>
      </c>
      <c r="AS295">
        <v>4801</v>
      </c>
      <c r="AT295">
        <v>222</v>
      </c>
      <c r="AU295">
        <v>1033</v>
      </c>
      <c r="AV295">
        <v>158</v>
      </c>
      <c r="AW295">
        <v>0</v>
      </c>
      <c r="AX295">
        <f t="shared" si="72"/>
        <v>190722</v>
      </c>
      <c r="AZ295" t="s">
        <v>276</v>
      </c>
      <c r="BA295" s="128">
        <v>175284</v>
      </c>
      <c r="BB295" s="128">
        <v>2388264</v>
      </c>
      <c r="BC295" s="128">
        <v>0</v>
      </c>
      <c r="BD295" s="128">
        <v>5384256</v>
      </c>
      <c r="BE295" s="128">
        <v>1091819</v>
      </c>
      <c r="BF295" s="128">
        <v>22034666.581731454</v>
      </c>
      <c r="BG295" s="272">
        <v>0</v>
      </c>
      <c r="BH295">
        <v>5495</v>
      </c>
      <c r="BI295">
        <v>11589</v>
      </c>
      <c r="BJ295">
        <v>683</v>
      </c>
      <c r="BK295">
        <v>337</v>
      </c>
      <c r="BL295">
        <v>1760</v>
      </c>
      <c r="BM295">
        <v>108</v>
      </c>
      <c r="BN295" s="128">
        <v>1030</v>
      </c>
      <c r="BO295" s="128">
        <v>205</v>
      </c>
      <c r="BP295" s="128">
        <v>3798</v>
      </c>
      <c r="BQ295" s="128">
        <f t="shared" si="73"/>
        <v>119379994.41826856</v>
      </c>
      <c r="BR295">
        <v>68607</v>
      </c>
      <c r="BS295" s="128">
        <f t="shared" si="60"/>
        <v>1740.0555980915731</v>
      </c>
      <c r="BT295" t="s">
        <v>118</v>
      </c>
      <c r="BU295" s="129">
        <f t="shared" si="74"/>
        <v>1795.414380723083</v>
      </c>
      <c r="BZ295" t="s">
        <v>153</v>
      </c>
      <c r="CA295">
        <v>1869.4285950384281</v>
      </c>
      <c r="CB295" t="s">
        <v>118</v>
      </c>
    </row>
    <row r="296" spans="1:80" ht="14.5" x14ac:dyDescent="0.25">
      <c r="A296" t="s">
        <v>425</v>
      </c>
      <c r="B296">
        <v>82881</v>
      </c>
      <c r="C296">
        <v>14463</v>
      </c>
      <c r="D296">
        <v>9473</v>
      </c>
      <c r="E296">
        <f t="shared" si="61"/>
        <v>24706</v>
      </c>
      <c r="F296">
        <f t="shared" si="62"/>
        <v>9042</v>
      </c>
      <c r="G296">
        <f t="shared" si="63"/>
        <v>10571</v>
      </c>
      <c r="H296">
        <f t="shared" si="64"/>
        <v>11329</v>
      </c>
      <c r="I296">
        <f t="shared" si="65"/>
        <v>12423</v>
      </c>
      <c r="J296">
        <f t="shared" si="66"/>
        <v>17737</v>
      </c>
      <c r="K296">
        <f t="shared" si="67"/>
        <v>74343</v>
      </c>
      <c r="L296">
        <f t="shared" si="68"/>
        <v>115459</v>
      </c>
      <c r="M296">
        <f t="shared" si="69"/>
        <v>20520</v>
      </c>
      <c r="N296">
        <f t="shared" si="70"/>
        <v>2274</v>
      </c>
      <c r="O296">
        <f t="shared" si="71"/>
        <v>405221</v>
      </c>
      <c r="Q296">
        <v>62496</v>
      </c>
      <c r="R296">
        <v>35081</v>
      </c>
      <c r="S296">
        <v>2709</v>
      </c>
      <c r="T296">
        <v>11295</v>
      </c>
      <c r="U296">
        <v>2184</v>
      </c>
      <c r="V296">
        <v>69</v>
      </c>
      <c r="W296">
        <v>18460</v>
      </c>
      <c r="X296">
        <v>4506</v>
      </c>
      <c r="Y296">
        <v>3383</v>
      </c>
      <c r="Z296" s="271">
        <v>13436</v>
      </c>
      <c r="AA296">
        <v>1769</v>
      </c>
      <c r="AB296">
        <v>338</v>
      </c>
      <c r="AC296">
        <v>15767</v>
      </c>
      <c r="AD296">
        <v>1042</v>
      </c>
      <c r="AE296">
        <v>2302</v>
      </c>
      <c r="AF296">
        <v>28391</v>
      </c>
      <c r="AG296">
        <v>8393</v>
      </c>
      <c r="AH296">
        <v>2261</v>
      </c>
      <c r="AI296">
        <v>81868</v>
      </c>
      <c r="AJ296">
        <v>7515</v>
      </c>
      <c r="AK296">
        <v>10</v>
      </c>
      <c r="AL296">
        <v>127462</v>
      </c>
      <c r="AM296">
        <v>10280</v>
      </c>
      <c r="AN296">
        <v>1723</v>
      </c>
      <c r="AO296">
        <v>24859</v>
      </c>
      <c r="AP296">
        <v>3311</v>
      </c>
      <c r="AQ296">
        <v>1028</v>
      </c>
      <c r="AR296">
        <v>10198</v>
      </c>
      <c r="AS296">
        <v>7284</v>
      </c>
      <c r="AT296">
        <v>640</v>
      </c>
      <c r="AU296">
        <v>21319</v>
      </c>
      <c r="AV296">
        <v>1516</v>
      </c>
      <c r="AW296">
        <v>0</v>
      </c>
      <c r="AX296">
        <f t="shared" si="72"/>
        <v>425024</v>
      </c>
      <c r="AZ296" t="s">
        <v>425</v>
      </c>
      <c r="BA296" s="128">
        <v>379769</v>
      </c>
      <c r="BB296" s="128">
        <v>3592963</v>
      </c>
      <c r="BC296" s="128">
        <v>40609004</v>
      </c>
      <c r="BD296" s="128">
        <v>14114788</v>
      </c>
      <c r="BE296" s="128">
        <v>16216978</v>
      </c>
      <c r="BF296" s="128">
        <v>47119728.568220563</v>
      </c>
      <c r="BG296" s="272">
        <v>6295265.3854021654</v>
      </c>
      <c r="BH296">
        <v>8027</v>
      </c>
      <c r="BI296">
        <v>10612</v>
      </c>
      <c r="BJ296">
        <v>1463</v>
      </c>
      <c r="BK296">
        <v>389</v>
      </c>
      <c r="BL296">
        <v>3644</v>
      </c>
      <c r="BM296">
        <v>1340</v>
      </c>
      <c r="BN296" s="128">
        <v>1937</v>
      </c>
      <c r="BO296" s="128">
        <v>2919</v>
      </c>
      <c r="BP296" s="128">
        <v>1205</v>
      </c>
      <c r="BQ296" s="128">
        <f t="shared" si="73"/>
        <v>220284273.04637727</v>
      </c>
      <c r="BR296">
        <v>101984</v>
      </c>
      <c r="BS296" s="128">
        <f t="shared" si="60"/>
        <v>2159.9885574833038</v>
      </c>
      <c r="BT296" s="207" t="s">
        <v>441</v>
      </c>
      <c r="BU296" s="129">
        <f t="shared" si="74"/>
        <v>2171.8041363976436</v>
      </c>
      <c r="BZ296" t="s">
        <v>196</v>
      </c>
      <c r="CA296">
        <v>1595.2732768274936</v>
      </c>
      <c r="CB296" t="s">
        <v>118</v>
      </c>
    </row>
    <row r="297" spans="1:80" ht="14.5" x14ac:dyDescent="0.25">
      <c r="A297" t="s">
        <v>426</v>
      </c>
      <c r="B297">
        <v>29468</v>
      </c>
      <c r="C297">
        <v>6774</v>
      </c>
      <c r="D297">
        <v>3565</v>
      </c>
      <c r="E297">
        <f t="shared" si="61"/>
        <v>6344</v>
      </c>
      <c r="F297">
        <f t="shared" si="62"/>
        <v>3582</v>
      </c>
      <c r="G297">
        <f t="shared" si="63"/>
        <v>4696</v>
      </c>
      <c r="H297">
        <f t="shared" si="64"/>
        <v>1081</v>
      </c>
      <c r="I297">
        <f t="shared" si="65"/>
        <v>3882</v>
      </c>
      <c r="J297">
        <f t="shared" si="66"/>
        <v>6990</v>
      </c>
      <c r="K297">
        <f t="shared" si="67"/>
        <v>29630</v>
      </c>
      <c r="L297">
        <f t="shared" si="68"/>
        <v>23538</v>
      </c>
      <c r="M297">
        <f t="shared" si="69"/>
        <v>8148</v>
      </c>
      <c r="N297">
        <f t="shared" si="70"/>
        <v>870</v>
      </c>
      <c r="O297">
        <f t="shared" si="71"/>
        <v>128568</v>
      </c>
      <c r="Q297">
        <v>22101</v>
      </c>
      <c r="R297">
        <v>14386</v>
      </c>
      <c r="S297">
        <v>1371</v>
      </c>
      <c r="T297">
        <v>4228</v>
      </c>
      <c r="U297">
        <v>619</v>
      </c>
      <c r="V297">
        <v>27</v>
      </c>
      <c r="W297">
        <v>8253</v>
      </c>
      <c r="X297">
        <v>1389</v>
      </c>
      <c r="Y297">
        <v>2168</v>
      </c>
      <c r="Z297" s="271">
        <v>2308</v>
      </c>
      <c r="AA297">
        <v>1080</v>
      </c>
      <c r="AB297">
        <v>147</v>
      </c>
      <c r="AC297">
        <v>5002</v>
      </c>
      <c r="AD297">
        <v>576</v>
      </c>
      <c r="AE297">
        <v>544</v>
      </c>
      <c r="AF297">
        <v>9329</v>
      </c>
      <c r="AG297">
        <v>1425</v>
      </c>
      <c r="AH297">
        <v>914</v>
      </c>
      <c r="AI297">
        <v>30683</v>
      </c>
      <c r="AJ297">
        <v>1053</v>
      </c>
      <c r="AK297">
        <v>0</v>
      </c>
      <c r="AL297">
        <v>27790</v>
      </c>
      <c r="AM297">
        <v>3574</v>
      </c>
      <c r="AN297">
        <v>678</v>
      </c>
      <c r="AO297">
        <v>11802</v>
      </c>
      <c r="AP297">
        <v>2739</v>
      </c>
      <c r="AQ297">
        <v>915</v>
      </c>
      <c r="AR297">
        <v>3294</v>
      </c>
      <c r="AS297">
        <v>2414</v>
      </c>
      <c r="AT297">
        <v>10</v>
      </c>
      <c r="AU297">
        <v>-199</v>
      </c>
      <c r="AV297">
        <v>213</v>
      </c>
      <c r="AW297">
        <v>0</v>
      </c>
      <c r="AX297">
        <f t="shared" si="72"/>
        <v>128156</v>
      </c>
      <c r="AZ297" t="s">
        <v>426</v>
      </c>
      <c r="BA297" s="128">
        <v>118016</v>
      </c>
      <c r="BB297" s="128">
        <v>1008273</v>
      </c>
      <c r="BC297" s="128">
        <v>0</v>
      </c>
      <c r="BD297" s="128">
        <v>10197454</v>
      </c>
      <c r="BE297" s="128">
        <v>1012833</v>
      </c>
      <c r="BF297" s="128">
        <v>14405897.944155894</v>
      </c>
      <c r="BG297" s="272">
        <v>771167.07961777598</v>
      </c>
      <c r="BH297">
        <v>4375</v>
      </c>
      <c r="BI297">
        <v>4466</v>
      </c>
      <c r="BJ297">
        <v>465</v>
      </c>
      <c r="BK297">
        <v>20</v>
      </c>
      <c r="BL297">
        <v>946</v>
      </c>
      <c r="BM297">
        <v>549</v>
      </c>
      <c r="BN297" s="128">
        <v>467</v>
      </c>
      <c r="BO297" s="128">
        <v>392</v>
      </c>
      <c r="BP297" s="128">
        <v>447</v>
      </c>
      <c r="BQ297" s="128">
        <f t="shared" si="73"/>
        <v>78493374.97622633</v>
      </c>
      <c r="BR297">
        <v>43706</v>
      </c>
      <c r="BS297" s="128">
        <f t="shared" si="60"/>
        <v>1795.9404881761391</v>
      </c>
      <c r="BT297" t="s">
        <v>118</v>
      </c>
      <c r="BU297" s="129">
        <f t="shared" si="74"/>
        <v>1806.1679169044601</v>
      </c>
      <c r="BZ297" t="s">
        <v>382</v>
      </c>
      <c r="CA297">
        <v>1629.1491652830573</v>
      </c>
      <c r="CB297" t="s">
        <v>118</v>
      </c>
    </row>
    <row r="298" spans="1:80" ht="14.5" x14ac:dyDescent="0.25">
      <c r="A298" t="s">
        <v>605</v>
      </c>
      <c r="B298">
        <v>29831</v>
      </c>
      <c r="C298">
        <v>8508</v>
      </c>
      <c r="D298">
        <v>1927</v>
      </c>
      <c r="E298">
        <f t="shared" si="61"/>
        <v>10835</v>
      </c>
      <c r="F298">
        <f t="shared" si="62"/>
        <v>4675</v>
      </c>
      <c r="G298">
        <f t="shared" si="63"/>
        <v>5654</v>
      </c>
      <c r="H298">
        <f t="shared" si="64"/>
        <v>2650</v>
      </c>
      <c r="I298">
        <f t="shared" si="65"/>
        <v>5149</v>
      </c>
      <c r="J298">
        <f t="shared" si="66"/>
        <v>7499</v>
      </c>
      <c r="K298">
        <f t="shared" si="67"/>
        <v>20052</v>
      </c>
      <c r="L298">
        <f t="shared" si="68"/>
        <v>31264</v>
      </c>
      <c r="M298">
        <f t="shared" si="69"/>
        <v>12421</v>
      </c>
      <c r="N298">
        <f t="shared" si="70"/>
        <v>1008</v>
      </c>
      <c r="O298">
        <f t="shared" si="71"/>
        <v>141473</v>
      </c>
      <c r="Q298">
        <v>23055</v>
      </c>
      <c r="R298">
        <v>10731</v>
      </c>
      <c r="S298">
        <v>1489</v>
      </c>
      <c r="T298">
        <v>5988</v>
      </c>
      <c r="U298">
        <v>1211</v>
      </c>
      <c r="V298">
        <v>102</v>
      </c>
      <c r="W298">
        <v>8070</v>
      </c>
      <c r="X298">
        <v>1665</v>
      </c>
      <c r="Y298">
        <v>751</v>
      </c>
      <c r="Z298" s="271">
        <v>3059</v>
      </c>
      <c r="AA298">
        <v>396</v>
      </c>
      <c r="AB298">
        <v>13</v>
      </c>
      <c r="AC298">
        <v>8076</v>
      </c>
      <c r="AD298">
        <v>841</v>
      </c>
      <c r="AE298">
        <v>2086</v>
      </c>
      <c r="AF298">
        <v>13757</v>
      </c>
      <c r="AG298">
        <v>3912</v>
      </c>
      <c r="AH298">
        <v>2346</v>
      </c>
      <c r="AI298">
        <v>20736</v>
      </c>
      <c r="AJ298">
        <v>684</v>
      </c>
      <c r="AK298">
        <v>0</v>
      </c>
      <c r="AL298">
        <v>35254</v>
      </c>
      <c r="AM298">
        <v>3891</v>
      </c>
      <c r="AN298">
        <v>99</v>
      </c>
      <c r="AO298">
        <v>15431</v>
      </c>
      <c r="AP298">
        <v>1454</v>
      </c>
      <c r="AQ298">
        <v>1556</v>
      </c>
      <c r="AR298">
        <v>6120</v>
      </c>
      <c r="AS298">
        <v>5046</v>
      </c>
      <c r="AT298">
        <v>66</v>
      </c>
      <c r="AU298">
        <v>11663</v>
      </c>
      <c r="AV298">
        <v>0</v>
      </c>
      <c r="AW298">
        <v>0</v>
      </c>
      <c r="AX298">
        <f t="shared" si="72"/>
        <v>153136</v>
      </c>
      <c r="AZ298" t="s">
        <v>605</v>
      </c>
      <c r="BA298" s="128">
        <v>131038</v>
      </c>
      <c r="BB298" s="128">
        <v>2089930</v>
      </c>
      <c r="BC298" s="128">
        <v>0</v>
      </c>
      <c r="BD298" s="128">
        <v>3382476</v>
      </c>
      <c r="BE298" s="128">
        <v>1071618</v>
      </c>
      <c r="BF298" s="128">
        <v>11056195.308999412</v>
      </c>
      <c r="BG298" s="272">
        <v>2752651.9456356838</v>
      </c>
      <c r="BH298">
        <v>5483</v>
      </c>
      <c r="BI298">
        <v>7723</v>
      </c>
      <c r="BJ298">
        <v>0</v>
      </c>
      <c r="BK298">
        <v>874</v>
      </c>
      <c r="BL298">
        <v>2302</v>
      </c>
      <c r="BM298">
        <v>1054</v>
      </c>
      <c r="BN298" s="128">
        <v>215</v>
      </c>
      <c r="BO298" s="128">
        <v>509</v>
      </c>
      <c r="BP298" s="128">
        <v>1080</v>
      </c>
      <c r="BQ298" s="128">
        <f t="shared" si="73"/>
        <v>91445128.745364904</v>
      </c>
      <c r="BR298">
        <v>57833</v>
      </c>
      <c r="BS298" s="128">
        <f t="shared" si="60"/>
        <v>1581.1928958443259</v>
      </c>
      <c r="BT298" t="s">
        <v>118</v>
      </c>
      <c r="BU298" s="129">
        <f t="shared" si="74"/>
        <v>1599.8673550631111</v>
      </c>
      <c r="BZ298" t="s">
        <v>133</v>
      </c>
      <c r="CA298">
        <v>1831.7158221118327</v>
      </c>
      <c r="CB298" t="s">
        <v>118</v>
      </c>
    </row>
    <row r="299" spans="1:80" ht="14.5" x14ac:dyDescent="0.25">
      <c r="A299" t="s">
        <v>320</v>
      </c>
      <c r="B299">
        <v>39576</v>
      </c>
      <c r="C299">
        <v>10951</v>
      </c>
      <c r="D299">
        <v>4174</v>
      </c>
      <c r="E299">
        <f t="shared" si="61"/>
        <v>1751</v>
      </c>
      <c r="F299">
        <f t="shared" si="62"/>
        <v>9226</v>
      </c>
      <c r="G299">
        <f t="shared" si="63"/>
        <v>8557</v>
      </c>
      <c r="H299">
        <f t="shared" si="64"/>
        <v>1722</v>
      </c>
      <c r="I299">
        <f t="shared" si="65"/>
        <v>8467</v>
      </c>
      <c r="J299">
        <f t="shared" si="66"/>
        <v>17222</v>
      </c>
      <c r="K299">
        <f t="shared" si="67"/>
        <v>57644</v>
      </c>
      <c r="L299">
        <f t="shared" si="68"/>
        <v>78548</v>
      </c>
      <c r="M299">
        <f t="shared" si="69"/>
        <v>17224</v>
      </c>
      <c r="N299">
        <f t="shared" si="70"/>
        <v>4256</v>
      </c>
      <c r="O299">
        <f t="shared" si="71"/>
        <v>259318</v>
      </c>
      <c r="Q299">
        <v>43187</v>
      </c>
      <c r="R299">
        <v>39576</v>
      </c>
      <c r="S299">
        <v>1860</v>
      </c>
      <c r="T299">
        <v>9226</v>
      </c>
      <c r="U299">
        <v>0</v>
      </c>
      <c r="V299">
        <v>0</v>
      </c>
      <c r="W299">
        <v>12409</v>
      </c>
      <c r="X299">
        <v>0</v>
      </c>
      <c r="Y299">
        <v>3852</v>
      </c>
      <c r="Z299" s="271">
        <v>1893</v>
      </c>
      <c r="AA299">
        <v>0</v>
      </c>
      <c r="AB299">
        <v>171</v>
      </c>
      <c r="AC299">
        <v>10309</v>
      </c>
      <c r="AD299">
        <v>0</v>
      </c>
      <c r="AE299">
        <v>1842</v>
      </c>
      <c r="AF299">
        <v>18764</v>
      </c>
      <c r="AG299">
        <v>0</v>
      </c>
      <c r="AH299">
        <v>1542</v>
      </c>
      <c r="AI299">
        <v>57735</v>
      </c>
      <c r="AJ299">
        <v>0</v>
      </c>
      <c r="AK299">
        <v>91</v>
      </c>
      <c r="AL299">
        <v>78618</v>
      </c>
      <c r="AM299">
        <v>0</v>
      </c>
      <c r="AN299">
        <v>70</v>
      </c>
      <c r="AO299">
        <v>18716</v>
      </c>
      <c r="AP299">
        <v>0</v>
      </c>
      <c r="AQ299">
        <v>1492</v>
      </c>
      <c r="AR299">
        <v>4289</v>
      </c>
      <c r="AS299">
        <v>0</v>
      </c>
      <c r="AT299">
        <v>33</v>
      </c>
      <c r="AU299">
        <v>1961</v>
      </c>
      <c r="AV299">
        <v>0</v>
      </c>
      <c r="AW299">
        <v>-2</v>
      </c>
      <c r="AX299">
        <f t="shared" si="72"/>
        <v>261281</v>
      </c>
      <c r="AZ299" t="s">
        <v>320</v>
      </c>
      <c r="BA299" s="128">
        <v>244195</v>
      </c>
      <c r="BB299" s="128">
        <v>2353713</v>
      </c>
      <c r="BC299" s="128">
        <v>15152670</v>
      </c>
      <c r="BD299" s="128">
        <v>8731354</v>
      </c>
      <c r="BE299" s="128">
        <v>6664792</v>
      </c>
      <c r="BF299" s="128">
        <v>39523735.829392441</v>
      </c>
      <c r="BG299" s="272">
        <v>0</v>
      </c>
      <c r="BH299">
        <v>6073</v>
      </c>
      <c r="BI299">
        <v>11343</v>
      </c>
      <c r="BJ299">
        <v>763</v>
      </c>
      <c r="BK299">
        <v>811</v>
      </c>
      <c r="BL299">
        <v>1135</v>
      </c>
      <c r="BM299">
        <v>23</v>
      </c>
      <c r="BN299" s="128">
        <v>329</v>
      </c>
      <c r="BO299" s="128">
        <v>2561</v>
      </c>
      <c r="BP299" s="128">
        <v>7051</v>
      </c>
      <c r="BQ299" s="128">
        <f t="shared" si="73"/>
        <v>141679735.17060757</v>
      </c>
      <c r="BR299">
        <v>73925</v>
      </c>
      <c r="BS299" s="128">
        <f t="shared" si="60"/>
        <v>1916.5334483680429</v>
      </c>
      <c r="BT299" t="s">
        <v>118</v>
      </c>
      <c r="BU299" s="129">
        <f t="shared" si="74"/>
        <v>2011.9139015300314</v>
      </c>
      <c r="BZ299" t="s">
        <v>134</v>
      </c>
      <c r="CA299">
        <v>1640.6646597033018</v>
      </c>
      <c r="CB299" t="s">
        <v>118</v>
      </c>
    </row>
    <row r="300" spans="1:80" ht="14.5" x14ac:dyDescent="0.25">
      <c r="A300" t="s">
        <v>139</v>
      </c>
      <c r="B300">
        <v>2531</v>
      </c>
      <c r="C300">
        <v>509</v>
      </c>
      <c r="D300">
        <v>382</v>
      </c>
      <c r="E300">
        <f t="shared" si="61"/>
        <v>1460</v>
      </c>
      <c r="F300">
        <f t="shared" si="62"/>
        <v>316</v>
      </c>
      <c r="G300">
        <f t="shared" si="63"/>
        <v>254</v>
      </c>
      <c r="H300">
        <f t="shared" si="64"/>
        <v>205</v>
      </c>
      <c r="I300">
        <f t="shared" si="65"/>
        <v>141</v>
      </c>
      <c r="J300">
        <f t="shared" si="66"/>
        <v>998</v>
      </c>
      <c r="K300">
        <f t="shared" si="67"/>
        <v>239</v>
      </c>
      <c r="L300">
        <f t="shared" si="68"/>
        <v>497</v>
      </c>
      <c r="M300">
        <f t="shared" si="69"/>
        <v>1137</v>
      </c>
      <c r="N300">
        <f t="shared" si="70"/>
        <v>752</v>
      </c>
      <c r="O300">
        <f t="shared" si="71"/>
        <v>9421</v>
      </c>
      <c r="Q300">
        <v>3097</v>
      </c>
      <c r="R300">
        <v>1556</v>
      </c>
      <c r="S300">
        <v>81</v>
      </c>
      <c r="T300">
        <v>409</v>
      </c>
      <c r="U300">
        <v>85</v>
      </c>
      <c r="V300">
        <v>8</v>
      </c>
      <c r="W300">
        <v>495</v>
      </c>
      <c r="X300">
        <v>85</v>
      </c>
      <c r="Y300">
        <v>156</v>
      </c>
      <c r="Z300" s="271">
        <v>268</v>
      </c>
      <c r="AA300">
        <v>53</v>
      </c>
      <c r="AB300">
        <v>10</v>
      </c>
      <c r="AC300">
        <v>321</v>
      </c>
      <c r="AD300">
        <v>69</v>
      </c>
      <c r="AE300">
        <v>111</v>
      </c>
      <c r="AF300">
        <v>1101</v>
      </c>
      <c r="AG300">
        <v>73</v>
      </c>
      <c r="AH300">
        <v>30</v>
      </c>
      <c r="AI300">
        <v>239</v>
      </c>
      <c r="AJ300">
        <v>0</v>
      </c>
      <c r="AK300">
        <v>0</v>
      </c>
      <c r="AL300">
        <v>654</v>
      </c>
      <c r="AM300">
        <v>157</v>
      </c>
      <c r="AN300">
        <v>0</v>
      </c>
      <c r="AO300">
        <v>1562</v>
      </c>
      <c r="AP300">
        <v>313</v>
      </c>
      <c r="AQ300">
        <v>112</v>
      </c>
      <c r="AR300">
        <v>893</v>
      </c>
      <c r="AS300">
        <v>140</v>
      </c>
      <c r="AT300">
        <v>1</v>
      </c>
      <c r="AU300">
        <v>0</v>
      </c>
      <c r="AV300">
        <v>0</v>
      </c>
      <c r="AW300">
        <v>0</v>
      </c>
      <c r="AX300">
        <f t="shared" si="72"/>
        <v>9421</v>
      </c>
      <c r="AZ300" t="s">
        <v>139</v>
      </c>
      <c r="BA300" s="128">
        <v>8530</v>
      </c>
      <c r="BB300" s="128">
        <v>3306</v>
      </c>
      <c r="BC300" s="128">
        <v>0</v>
      </c>
      <c r="BD300" s="128">
        <v>7698</v>
      </c>
      <c r="BE300" s="128">
        <v>147802</v>
      </c>
      <c r="BF300" s="128">
        <v>136949</v>
      </c>
      <c r="BG300" s="272">
        <v>0</v>
      </c>
      <c r="BH300">
        <v>204</v>
      </c>
      <c r="BI300">
        <v>504</v>
      </c>
      <c r="BJ300">
        <v>108</v>
      </c>
      <c r="BK300">
        <v>15</v>
      </c>
      <c r="BL300">
        <v>52</v>
      </c>
      <c r="BM300">
        <v>0</v>
      </c>
      <c r="BN300" s="128">
        <v>1927</v>
      </c>
      <c r="BO300" s="128">
        <v>0</v>
      </c>
      <c r="BP300" s="128">
        <v>43</v>
      </c>
      <c r="BQ300" s="128">
        <f t="shared" si="73"/>
        <v>5381245</v>
      </c>
      <c r="BR300">
        <v>1193</v>
      </c>
      <c r="BS300" s="128">
        <f t="shared" si="60"/>
        <v>4510.6831517183573</v>
      </c>
      <c r="BT300" t="s">
        <v>118</v>
      </c>
      <c r="BU300" s="129">
        <f t="shared" si="74"/>
        <v>4546.7267393126567</v>
      </c>
      <c r="BZ300" t="s">
        <v>197</v>
      </c>
      <c r="CA300">
        <v>1728.4656116308834</v>
      </c>
      <c r="CB300" t="s">
        <v>118</v>
      </c>
    </row>
    <row r="301" spans="1:80" ht="14.5" x14ac:dyDescent="0.25">
      <c r="A301" t="s">
        <v>342</v>
      </c>
      <c r="B301">
        <v>31492</v>
      </c>
      <c r="C301">
        <v>8060</v>
      </c>
      <c r="D301">
        <v>5226</v>
      </c>
      <c r="E301">
        <f t="shared" si="61"/>
        <v>10680</v>
      </c>
      <c r="F301">
        <f t="shared" si="62"/>
        <v>4024</v>
      </c>
      <c r="G301">
        <f t="shared" si="63"/>
        <v>6090</v>
      </c>
      <c r="H301">
        <f t="shared" si="64"/>
        <v>9969</v>
      </c>
      <c r="I301">
        <f t="shared" si="65"/>
        <v>5573</v>
      </c>
      <c r="J301">
        <f t="shared" si="66"/>
        <v>6325</v>
      </c>
      <c r="K301">
        <f t="shared" si="67"/>
        <v>46315</v>
      </c>
      <c r="L301">
        <f t="shared" si="68"/>
        <v>89632</v>
      </c>
      <c r="M301">
        <f t="shared" si="69"/>
        <v>9842</v>
      </c>
      <c r="N301">
        <f t="shared" si="70"/>
        <v>1872</v>
      </c>
      <c r="O301">
        <f t="shared" si="71"/>
        <v>235100</v>
      </c>
      <c r="Q301">
        <v>26270</v>
      </c>
      <c r="R301">
        <v>14888</v>
      </c>
      <c r="S301">
        <v>702</v>
      </c>
      <c r="T301">
        <v>5220</v>
      </c>
      <c r="U301">
        <v>1196</v>
      </c>
      <c r="V301">
        <v>0</v>
      </c>
      <c r="W301">
        <v>11037</v>
      </c>
      <c r="X301">
        <v>1964</v>
      </c>
      <c r="Y301">
        <v>2983</v>
      </c>
      <c r="Z301" s="271">
        <v>11914</v>
      </c>
      <c r="AA301">
        <v>1893</v>
      </c>
      <c r="AB301">
        <v>52</v>
      </c>
      <c r="AC301">
        <v>6352</v>
      </c>
      <c r="AD301">
        <v>218</v>
      </c>
      <c r="AE301">
        <v>561</v>
      </c>
      <c r="AF301">
        <v>9101</v>
      </c>
      <c r="AG301">
        <v>1959</v>
      </c>
      <c r="AH301">
        <v>817</v>
      </c>
      <c r="AI301">
        <v>46439</v>
      </c>
      <c r="AJ301">
        <v>124</v>
      </c>
      <c r="AK301">
        <v>0</v>
      </c>
      <c r="AL301">
        <v>94260</v>
      </c>
      <c r="AM301">
        <v>4505</v>
      </c>
      <c r="AN301">
        <v>123</v>
      </c>
      <c r="AO301">
        <v>13829</v>
      </c>
      <c r="AP301">
        <v>2137</v>
      </c>
      <c r="AQ301">
        <v>1850</v>
      </c>
      <c r="AR301">
        <v>4459</v>
      </c>
      <c r="AS301">
        <v>1615</v>
      </c>
      <c r="AT301">
        <v>972</v>
      </c>
      <c r="AU301">
        <v>12479</v>
      </c>
      <c r="AV301">
        <v>993</v>
      </c>
      <c r="AW301">
        <v>0</v>
      </c>
      <c r="AX301">
        <f t="shared" si="72"/>
        <v>246586</v>
      </c>
      <c r="AZ301" t="s">
        <v>342</v>
      </c>
      <c r="BA301" s="128">
        <v>220821</v>
      </c>
      <c r="BB301" s="128">
        <v>1619930</v>
      </c>
      <c r="BC301" s="128">
        <v>38677256</v>
      </c>
      <c r="BD301" s="128">
        <v>7329210</v>
      </c>
      <c r="BE301" s="128">
        <v>11566911</v>
      </c>
      <c r="BF301" s="128">
        <v>25927378.376259137</v>
      </c>
      <c r="BG301" s="272">
        <v>6414334.2355452292</v>
      </c>
      <c r="BH301">
        <v>6729</v>
      </c>
      <c r="BI301">
        <v>7017</v>
      </c>
      <c r="BJ301">
        <v>528</v>
      </c>
      <c r="BK301">
        <v>518</v>
      </c>
      <c r="BL301">
        <v>2206</v>
      </c>
      <c r="BM301">
        <v>304</v>
      </c>
      <c r="BN301" s="128">
        <v>866</v>
      </c>
      <c r="BO301" s="128">
        <v>3108</v>
      </c>
      <c r="BP301" s="128">
        <v>657</v>
      </c>
      <c r="BQ301" s="128">
        <f t="shared" si="73"/>
        <v>107352980.38819562</v>
      </c>
      <c r="BR301">
        <v>44351</v>
      </c>
      <c r="BS301" s="128">
        <f t="shared" si="60"/>
        <v>2420.5312256363018</v>
      </c>
      <c r="BT301" t="s">
        <v>441</v>
      </c>
      <c r="BU301" s="129">
        <f t="shared" si="74"/>
        <v>2435.3448713263651</v>
      </c>
      <c r="BZ301" t="s">
        <v>270</v>
      </c>
      <c r="CA301">
        <v>1770.8904402554822</v>
      </c>
      <c r="CB301" t="s">
        <v>118</v>
      </c>
    </row>
    <row r="302" spans="1:80" ht="14.5" x14ac:dyDescent="0.25">
      <c r="A302" t="s">
        <v>427</v>
      </c>
      <c r="B302">
        <v>6245</v>
      </c>
      <c r="C302">
        <v>1541</v>
      </c>
      <c r="D302">
        <v>457</v>
      </c>
      <c r="E302">
        <f t="shared" si="61"/>
        <v>2262</v>
      </c>
      <c r="F302">
        <f t="shared" si="62"/>
        <v>883</v>
      </c>
      <c r="G302">
        <f t="shared" si="63"/>
        <v>1239</v>
      </c>
      <c r="H302">
        <f t="shared" si="64"/>
        <v>78</v>
      </c>
      <c r="I302">
        <f t="shared" si="65"/>
        <v>638</v>
      </c>
      <c r="J302">
        <f t="shared" si="66"/>
        <v>2024</v>
      </c>
      <c r="K302">
        <f t="shared" si="67"/>
        <v>4250</v>
      </c>
      <c r="L302">
        <f t="shared" si="68"/>
        <v>5519</v>
      </c>
      <c r="M302">
        <f t="shared" si="69"/>
        <v>2061</v>
      </c>
      <c r="N302">
        <f t="shared" si="70"/>
        <v>331</v>
      </c>
      <c r="O302">
        <f t="shared" si="71"/>
        <v>27528</v>
      </c>
      <c r="Q302">
        <v>5429</v>
      </c>
      <c r="R302">
        <v>3097</v>
      </c>
      <c r="S302">
        <v>70</v>
      </c>
      <c r="T302">
        <v>1225</v>
      </c>
      <c r="U302">
        <v>342</v>
      </c>
      <c r="V302">
        <v>0</v>
      </c>
      <c r="W302">
        <v>1978</v>
      </c>
      <c r="X302">
        <v>410</v>
      </c>
      <c r="Y302">
        <v>329</v>
      </c>
      <c r="Z302" s="271">
        <v>213</v>
      </c>
      <c r="AA302">
        <v>119</v>
      </c>
      <c r="AB302">
        <v>16</v>
      </c>
      <c r="AC302">
        <v>855</v>
      </c>
      <c r="AD302">
        <v>42</v>
      </c>
      <c r="AE302">
        <v>175</v>
      </c>
      <c r="AF302">
        <v>2728</v>
      </c>
      <c r="AG302">
        <v>390</v>
      </c>
      <c r="AH302">
        <v>314</v>
      </c>
      <c r="AI302">
        <v>4305</v>
      </c>
      <c r="AJ302">
        <v>55</v>
      </c>
      <c r="AK302">
        <v>0</v>
      </c>
      <c r="AL302">
        <v>6393</v>
      </c>
      <c r="AM302">
        <v>789</v>
      </c>
      <c r="AN302">
        <v>85</v>
      </c>
      <c r="AO302">
        <v>3041</v>
      </c>
      <c r="AP302">
        <v>466</v>
      </c>
      <c r="AQ302">
        <v>514</v>
      </c>
      <c r="AR302">
        <v>904</v>
      </c>
      <c r="AS302">
        <v>535</v>
      </c>
      <c r="AT302">
        <v>38</v>
      </c>
      <c r="AU302">
        <v>0</v>
      </c>
      <c r="AV302">
        <v>0</v>
      </c>
      <c r="AW302">
        <v>0</v>
      </c>
      <c r="AX302">
        <f t="shared" si="72"/>
        <v>27528</v>
      </c>
      <c r="AZ302" t="s">
        <v>427</v>
      </c>
      <c r="BA302" s="128">
        <v>25530</v>
      </c>
      <c r="BB302" s="128">
        <v>364629</v>
      </c>
      <c r="BC302" s="128">
        <v>0</v>
      </c>
      <c r="BD302" s="128">
        <v>1338835</v>
      </c>
      <c r="BE302" s="128">
        <v>282983</v>
      </c>
      <c r="BF302" s="128">
        <v>1780155</v>
      </c>
      <c r="BG302" s="272">
        <v>0</v>
      </c>
      <c r="BH302">
        <v>1718</v>
      </c>
      <c r="BI302">
        <v>1415</v>
      </c>
      <c r="BJ302">
        <v>130</v>
      </c>
      <c r="BK302">
        <v>17</v>
      </c>
      <c r="BL302">
        <v>132</v>
      </c>
      <c r="BM302">
        <v>58</v>
      </c>
      <c r="BN302" s="128">
        <v>61</v>
      </c>
      <c r="BO302" s="128">
        <v>0</v>
      </c>
      <c r="BP302" s="128">
        <v>53</v>
      </c>
      <c r="BQ302" s="128">
        <f t="shared" si="73"/>
        <v>18179398</v>
      </c>
      <c r="BR302">
        <v>12464</v>
      </c>
      <c r="BS302" s="128">
        <f t="shared" si="60"/>
        <v>1458.5524711168164</v>
      </c>
      <c r="BT302" t="s">
        <v>467</v>
      </c>
      <c r="BU302" s="129">
        <f t="shared" si="74"/>
        <v>1462.8047175866495</v>
      </c>
      <c r="BZ302" t="s">
        <v>200</v>
      </c>
      <c r="CA302">
        <v>1759.509083428097</v>
      </c>
      <c r="CB302" t="s">
        <v>118</v>
      </c>
    </row>
    <row r="303" spans="1:80" ht="14.5" x14ac:dyDescent="0.25">
      <c r="A303" t="s">
        <v>321</v>
      </c>
      <c r="B303">
        <v>1174</v>
      </c>
      <c r="C303">
        <v>2015</v>
      </c>
      <c r="D303">
        <v>480</v>
      </c>
      <c r="E303">
        <f t="shared" si="61"/>
        <v>12412</v>
      </c>
      <c r="F303">
        <f t="shared" si="62"/>
        <v>2158</v>
      </c>
      <c r="G303">
        <f t="shared" si="63"/>
        <v>2901</v>
      </c>
      <c r="H303">
        <f t="shared" si="64"/>
        <v>408</v>
      </c>
      <c r="I303">
        <f t="shared" si="65"/>
        <v>1145</v>
      </c>
      <c r="J303">
        <f t="shared" si="66"/>
        <v>3971</v>
      </c>
      <c r="K303">
        <f t="shared" si="67"/>
        <v>7877</v>
      </c>
      <c r="L303">
        <f t="shared" si="68"/>
        <v>12528</v>
      </c>
      <c r="M303">
        <f t="shared" si="69"/>
        <v>5956</v>
      </c>
      <c r="N303">
        <f t="shared" si="70"/>
        <v>2336</v>
      </c>
      <c r="O303">
        <f t="shared" si="71"/>
        <v>55361</v>
      </c>
      <c r="Q303">
        <v>13623</v>
      </c>
      <c r="R303">
        <v>1174</v>
      </c>
      <c r="S303">
        <v>37</v>
      </c>
      <c r="T303">
        <v>2159</v>
      </c>
      <c r="U303">
        <v>0</v>
      </c>
      <c r="V303">
        <v>1</v>
      </c>
      <c r="W303">
        <v>3429</v>
      </c>
      <c r="X303">
        <v>0</v>
      </c>
      <c r="Y303">
        <v>528</v>
      </c>
      <c r="Z303" s="271">
        <v>408</v>
      </c>
      <c r="AA303">
        <v>0</v>
      </c>
      <c r="AB303">
        <v>0</v>
      </c>
      <c r="AC303">
        <v>1489</v>
      </c>
      <c r="AD303">
        <v>0</v>
      </c>
      <c r="AE303">
        <v>344</v>
      </c>
      <c r="AF303">
        <v>4205</v>
      </c>
      <c r="AG303">
        <v>0</v>
      </c>
      <c r="AH303">
        <v>234</v>
      </c>
      <c r="AI303">
        <v>7881</v>
      </c>
      <c r="AJ303">
        <v>0</v>
      </c>
      <c r="AK303">
        <v>4</v>
      </c>
      <c r="AL303">
        <v>12590</v>
      </c>
      <c r="AM303">
        <v>0</v>
      </c>
      <c r="AN303">
        <v>62</v>
      </c>
      <c r="AO303">
        <v>6731</v>
      </c>
      <c r="AP303">
        <v>0</v>
      </c>
      <c r="AQ303">
        <v>775</v>
      </c>
      <c r="AR303">
        <v>2358</v>
      </c>
      <c r="AS303">
        <v>0</v>
      </c>
      <c r="AT303">
        <v>22</v>
      </c>
      <c r="AU303">
        <v>3266</v>
      </c>
      <c r="AV303">
        <v>0</v>
      </c>
      <c r="AW303">
        <v>8</v>
      </c>
      <c r="AX303">
        <f t="shared" si="72"/>
        <v>58619</v>
      </c>
      <c r="AZ303" t="s">
        <v>321</v>
      </c>
      <c r="BA303" s="128">
        <v>52858</v>
      </c>
      <c r="BB303" s="128">
        <v>452136</v>
      </c>
      <c r="BC303" s="128">
        <v>0</v>
      </c>
      <c r="BD303" s="128">
        <v>151400</v>
      </c>
      <c r="BE303" s="128">
        <v>201728</v>
      </c>
      <c r="BF303" s="128">
        <v>4885843.5116612483</v>
      </c>
      <c r="BG303" s="272">
        <v>0</v>
      </c>
      <c r="BH303">
        <v>2717</v>
      </c>
      <c r="BI303">
        <v>3470</v>
      </c>
      <c r="BJ303">
        <v>299</v>
      </c>
      <c r="BK303">
        <v>314</v>
      </c>
      <c r="BL303">
        <v>594</v>
      </c>
      <c r="BM303">
        <v>84</v>
      </c>
      <c r="BN303" s="128">
        <v>161</v>
      </c>
      <c r="BO303" s="128">
        <v>0</v>
      </c>
      <c r="BP303" s="128">
        <v>1119</v>
      </c>
      <c r="BQ303" s="128">
        <f t="shared" si="73"/>
        <v>38408892.488338754</v>
      </c>
      <c r="BR303">
        <v>25645</v>
      </c>
      <c r="BS303" s="128">
        <f t="shared" si="60"/>
        <v>1497.714661272714</v>
      </c>
      <c r="BT303" t="s">
        <v>467</v>
      </c>
      <c r="BU303" s="129">
        <f t="shared" si="74"/>
        <v>1541.3488979660267</v>
      </c>
      <c r="BZ303" t="s">
        <v>201</v>
      </c>
      <c r="CA303">
        <v>1813.5673103094805</v>
      </c>
      <c r="CB303" t="s">
        <v>118</v>
      </c>
    </row>
    <row r="304" spans="1:80" ht="14.5" x14ac:dyDescent="0.25">
      <c r="A304" t="s">
        <v>205</v>
      </c>
      <c r="B304">
        <v>15624</v>
      </c>
      <c r="C304">
        <v>2756</v>
      </c>
      <c r="D304">
        <v>952</v>
      </c>
      <c r="E304">
        <f t="shared" si="61"/>
        <v>3814</v>
      </c>
      <c r="F304">
        <f t="shared" si="62"/>
        <v>1547</v>
      </c>
      <c r="G304">
        <f t="shared" si="63"/>
        <v>1758</v>
      </c>
      <c r="H304">
        <f t="shared" si="64"/>
        <v>296</v>
      </c>
      <c r="I304">
        <f t="shared" si="65"/>
        <v>1254</v>
      </c>
      <c r="J304">
        <f t="shared" si="66"/>
        <v>4126</v>
      </c>
      <c r="K304">
        <f t="shared" si="67"/>
        <v>5837</v>
      </c>
      <c r="L304">
        <f t="shared" si="68"/>
        <v>15587</v>
      </c>
      <c r="M304">
        <f t="shared" si="69"/>
        <v>5051</v>
      </c>
      <c r="N304">
        <f t="shared" si="70"/>
        <v>215</v>
      </c>
      <c r="O304">
        <f t="shared" si="71"/>
        <v>58817</v>
      </c>
      <c r="Q304">
        <v>10815</v>
      </c>
      <c r="R304">
        <v>6370</v>
      </c>
      <c r="S304">
        <v>631</v>
      </c>
      <c r="T304">
        <v>1847</v>
      </c>
      <c r="U304">
        <v>299</v>
      </c>
      <c r="V304">
        <v>1</v>
      </c>
      <c r="W304">
        <v>3370</v>
      </c>
      <c r="X304">
        <v>793</v>
      </c>
      <c r="Y304">
        <v>819</v>
      </c>
      <c r="Z304" s="271">
        <v>518</v>
      </c>
      <c r="AA304">
        <v>222</v>
      </c>
      <c r="AB304">
        <v>0</v>
      </c>
      <c r="AC304">
        <v>2411</v>
      </c>
      <c r="AD304">
        <v>487</v>
      </c>
      <c r="AE304">
        <v>670</v>
      </c>
      <c r="AF304">
        <v>5290</v>
      </c>
      <c r="AG304">
        <v>1039</v>
      </c>
      <c r="AH304">
        <v>125</v>
      </c>
      <c r="AI304">
        <v>7256</v>
      </c>
      <c r="AJ304">
        <v>1419</v>
      </c>
      <c r="AK304">
        <v>0</v>
      </c>
      <c r="AL304">
        <v>17529</v>
      </c>
      <c r="AM304">
        <v>1910</v>
      </c>
      <c r="AN304">
        <v>32</v>
      </c>
      <c r="AO304">
        <v>6208</v>
      </c>
      <c r="AP304">
        <v>718</v>
      </c>
      <c r="AQ304">
        <v>439</v>
      </c>
      <c r="AR304">
        <v>2343</v>
      </c>
      <c r="AS304">
        <v>2089</v>
      </c>
      <c r="AT304">
        <v>39</v>
      </c>
      <c r="AU304">
        <v>5768</v>
      </c>
      <c r="AV304">
        <v>278</v>
      </c>
      <c r="AW304">
        <v>0</v>
      </c>
      <c r="AX304">
        <f t="shared" si="72"/>
        <v>64307</v>
      </c>
      <c r="AZ304" t="s">
        <v>205</v>
      </c>
      <c r="BA304" s="128">
        <v>54831</v>
      </c>
      <c r="BB304" s="128">
        <v>4408485</v>
      </c>
      <c r="BC304" s="128">
        <v>0</v>
      </c>
      <c r="BD304" s="128">
        <v>1931235</v>
      </c>
      <c r="BE304" s="128">
        <v>355107.81</v>
      </c>
      <c r="BF304" s="128">
        <v>3673697.8683786299</v>
      </c>
      <c r="BG304" s="272">
        <v>0</v>
      </c>
      <c r="BH304">
        <v>2381</v>
      </c>
      <c r="BI304">
        <v>1924</v>
      </c>
      <c r="BJ304">
        <v>289</v>
      </c>
      <c r="BK304">
        <v>205</v>
      </c>
      <c r="BL304">
        <v>907</v>
      </c>
      <c r="BM304">
        <v>177</v>
      </c>
      <c r="BN304" s="128">
        <v>188</v>
      </c>
      <c r="BO304" s="128">
        <v>0</v>
      </c>
      <c r="BP304" s="128">
        <v>1305</v>
      </c>
      <c r="BQ304" s="128">
        <f t="shared" si="73"/>
        <v>37086474.321621366</v>
      </c>
      <c r="BR304">
        <v>24797</v>
      </c>
      <c r="BS304" s="128">
        <f t="shared" si="60"/>
        <v>1495.6032714288569</v>
      </c>
      <c r="BT304" t="s">
        <v>467</v>
      </c>
      <c r="BU304" s="129">
        <f t="shared" si="74"/>
        <v>1548.2306053805446</v>
      </c>
      <c r="BZ304" t="s">
        <v>314</v>
      </c>
      <c r="CA304">
        <v>1951.7053485845888</v>
      </c>
      <c r="CB304" t="s">
        <v>118</v>
      </c>
    </row>
    <row r="305" spans="1:80" ht="14.5" x14ac:dyDescent="0.25">
      <c r="A305" t="s">
        <v>395</v>
      </c>
      <c r="B305">
        <v>16308</v>
      </c>
      <c r="C305">
        <v>7259</v>
      </c>
      <c r="D305">
        <v>1580</v>
      </c>
      <c r="E305">
        <f t="shared" si="61"/>
        <v>6358</v>
      </c>
      <c r="F305">
        <f t="shared" si="62"/>
        <v>1747</v>
      </c>
      <c r="G305">
        <f t="shared" si="63"/>
        <v>7664</v>
      </c>
      <c r="H305">
        <f t="shared" si="64"/>
        <v>259</v>
      </c>
      <c r="I305">
        <f t="shared" si="65"/>
        <v>1787</v>
      </c>
      <c r="J305">
        <f t="shared" si="66"/>
        <v>4102</v>
      </c>
      <c r="K305">
        <f t="shared" si="67"/>
        <v>10226</v>
      </c>
      <c r="L305">
        <f t="shared" si="68"/>
        <v>12623</v>
      </c>
      <c r="M305">
        <f t="shared" si="69"/>
        <v>4264</v>
      </c>
      <c r="N305">
        <f t="shared" si="70"/>
        <v>658</v>
      </c>
      <c r="O305">
        <f t="shared" si="71"/>
        <v>74835</v>
      </c>
      <c r="Q305">
        <v>15064</v>
      </c>
      <c r="R305">
        <v>7793</v>
      </c>
      <c r="S305">
        <v>913</v>
      </c>
      <c r="T305">
        <v>1876</v>
      </c>
      <c r="U305">
        <v>129</v>
      </c>
      <c r="V305">
        <v>0</v>
      </c>
      <c r="W305">
        <v>9261</v>
      </c>
      <c r="X305">
        <v>976</v>
      </c>
      <c r="Y305">
        <v>621</v>
      </c>
      <c r="Z305" s="271">
        <v>411</v>
      </c>
      <c r="AA305">
        <v>152</v>
      </c>
      <c r="AB305">
        <v>0</v>
      </c>
      <c r="AC305">
        <v>4318</v>
      </c>
      <c r="AD305">
        <v>75</v>
      </c>
      <c r="AE305">
        <v>2456</v>
      </c>
      <c r="AF305">
        <v>6326</v>
      </c>
      <c r="AG305">
        <v>1635</v>
      </c>
      <c r="AH305">
        <v>589</v>
      </c>
      <c r="AI305">
        <v>11372</v>
      </c>
      <c r="AJ305">
        <v>1146</v>
      </c>
      <c r="AK305">
        <v>0</v>
      </c>
      <c r="AL305">
        <v>14410</v>
      </c>
      <c r="AM305">
        <v>1653</v>
      </c>
      <c r="AN305">
        <v>134</v>
      </c>
      <c r="AO305">
        <v>6659</v>
      </c>
      <c r="AP305">
        <v>713</v>
      </c>
      <c r="AQ305">
        <v>1682</v>
      </c>
      <c r="AR305">
        <v>3549</v>
      </c>
      <c r="AS305">
        <v>2027</v>
      </c>
      <c r="AT305">
        <v>864</v>
      </c>
      <c r="AU305">
        <v>-29</v>
      </c>
      <c r="AV305">
        <v>9</v>
      </c>
      <c r="AW305">
        <v>0</v>
      </c>
      <c r="AX305">
        <f t="shared" si="72"/>
        <v>74797</v>
      </c>
      <c r="AZ305" t="s">
        <v>395</v>
      </c>
      <c r="BA305" s="128">
        <v>65987</v>
      </c>
      <c r="BB305" s="128">
        <v>780890.97808430193</v>
      </c>
      <c r="BC305" s="128">
        <v>0</v>
      </c>
      <c r="BD305" s="128">
        <v>4657351.1101386361</v>
      </c>
      <c r="BE305" s="128">
        <v>370052.20951500721</v>
      </c>
      <c r="BF305" s="128">
        <v>5602304.704657075</v>
      </c>
      <c r="BG305" s="272">
        <v>479258.0395726515</v>
      </c>
      <c r="BH305">
        <v>3735</v>
      </c>
      <c r="BI305">
        <v>2780</v>
      </c>
      <c r="BJ305">
        <v>425</v>
      </c>
      <c r="BK305">
        <v>14</v>
      </c>
      <c r="BL305">
        <v>1105</v>
      </c>
      <c r="BM305">
        <v>144</v>
      </c>
      <c r="BN305" s="128">
        <v>368.36409466461282</v>
      </c>
      <c r="BO305" s="128">
        <v>0</v>
      </c>
      <c r="BP305" s="128">
        <v>205</v>
      </c>
      <c r="BQ305" s="128">
        <f t="shared" si="73"/>
        <v>45320778.863367721</v>
      </c>
      <c r="BR305">
        <v>31632</v>
      </c>
      <c r="BS305" s="128">
        <f t="shared" si="60"/>
        <v>1432.7509757008006</v>
      </c>
      <c r="BT305" t="s">
        <v>118</v>
      </c>
      <c r="BU305" s="129">
        <f t="shared" si="74"/>
        <v>1439.2317546588176</v>
      </c>
      <c r="BZ305" t="s">
        <v>315</v>
      </c>
      <c r="CA305">
        <v>1735.8361041717885</v>
      </c>
      <c r="CB305" t="s">
        <v>118</v>
      </c>
    </row>
    <row r="306" spans="1:80" ht="14.5" x14ac:dyDescent="0.25">
      <c r="A306" t="s">
        <v>606</v>
      </c>
      <c r="B306">
        <v>22750</v>
      </c>
      <c r="C306">
        <v>3754</v>
      </c>
      <c r="D306">
        <v>1275</v>
      </c>
      <c r="E306">
        <f t="shared" si="61"/>
        <v>8232</v>
      </c>
      <c r="F306">
        <f t="shared" si="62"/>
        <v>3217</v>
      </c>
      <c r="G306">
        <f t="shared" si="63"/>
        <v>5872</v>
      </c>
      <c r="H306">
        <f t="shared" si="64"/>
        <v>11364</v>
      </c>
      <c r="I306">
        <f t="shared" si="65"/>
        <v>3229</v>
      </c>
      <c r="J306">
        <f t="shared" si="66"/>
        <v>6892</v>
      </c>
      <c r="K306">
        <f t="shared" si="67"/>
        <v>32288</v>
      </c>
      <c r="L306">
        <f t="shared" si="68"/>
        <v>25828</v>
      </c>
      <c r="M306">
        <f t="shared" si="69"/>
        <v>11095</v>
      </c>
      <c r="N306">
        <f t="shared" si="70"/>
        <v>1201</v>
      </c>
      <c r="O306">
        <f t="shared" si="71"/>
        <v>136997</v>
      </c>
      <c r="Q306">
        <v>19968</v>
      </c>
      <c r="R306">
        <v>11189</v>
      </c>
      <c r="S306">
        <v>547</v>
      </c>
      <c r="T306">
        <v>3807</v>
      </c>
      <c r="U306">
        <v>590</v>
      </c>
      <c r="V306">
        <v>0</v>
      </c>
      <c r="W306">
        <v>8277</v>
      </c>
      <c r="X306">
        <v>1579</v>
      </c>
      <c r="Y306">
        <v>826</v>
      </c>
      <c r="Z306" s="271">
        <v>11871</v>
      </c>
      <c r="AA306">
        <v>506</v>
      </c>
      <c r="AB306">
        <v>1</v>
      </c>
      <c r="AC306">
        <v>5140</v>
      </c>
      <c r="AD306">
        <v>508</v>
      </c>
      <c r="AE306">
        <v>1403</v>
      </c>
      <c r="AF306">
        <v>8792</v>
      </c>
      <c r="AG306">
        <v>1449</v>
      </c>
      <c r="AH306">
        <v>451</v>
      </c>
      <c r="AI306">
        <v>32288</v>
      </c>
      <c r="AJ306">
        <v>0</v>
      </c>
      <c r="AK306">
        <v>0</v>
      </c>
      <c r="AL306">
        <v>29540</v>
      </c>
      <c r="AM306">
        <v>3712</v>
      </c>
      <c r="AN306">
        <v>0</v>
      </c>
      <c r="AO306">
        <v>13015</v>
      </c>
      <c r="AP306">
        <v>1542</v>
      </c>
      <c r="AQ306">
        <v>378</v>
      </c>
      <c r="AR306">
        <v>2877</v>
      </c>
      <c r="AS306">
        <v>1528</v>
      </c>
      <c r="AT306">
        <v>148</v>
      </c>
      <c r="AU306">
        <v>708</v>
      </c>
      <c r="AV306">
        <v>147</v>
      </c>
      <c r="AW306">
        <v>0</v>
      </c>
      <c r="AX306">
        <f t="shared" si="72"/>
        <v>137558</v>
      </c>
      <c r="AZ306" t="s">
        <v>606</v>
      </c>
      <c r="BA306" s="128">
        <v>131821</v>
      </c>
      <c r="BB306" s="128">
        <v>1637257</v>
      </c>
      <c r="BC306" s="128">
        <v>0</v>
      </c>
      <c r="BD306" s="128">
        <v>5894432</v>
      </c>
      <c r="BE306" s="128">
        <v>1054423</v>
      </c>
      <c r="BF306" s="128">
        <v>16129098.825866029</v>
      </c>
      <c r="BG306" s="272">
        <v>1987451.0436809957</v>
      </c>
      <c r="BH306">
        <v>5571</v>
      </c>
      <c r="BI306">
        <v>5507</v>
      </c>
      <c r="BJ306">
        <v>557</v>
      </c>
      <c r="BK306">
        <v>234</v>
      </c>
      <c r="BL306">
        <v>729</v>
      </c>
      <c r="BM306">
        <v>91</v>
      </c>
      <c r="BN306" s="128">
        <v>0</v>
      </c>
      <c r="BO306" s="128">
        <v>560</v>
      </c>
      <c r="BP306" s="128">
        <v>446</v>
      </c>
      <c r="BQ306" s="128">
        <f t="shared" si="73"/>
        <v>91423338.130452976</v>
      </c>
      <c r="BR306">
        <v>46155</v>
      </c>
      <c r="BS306" s="128">
        <f t="shared" si="60"/>
        <v>1980.7894730896539</v>
      </c>
      <c r="BT306" t="s">
        <v>118</v>
      </c>
      <c r="BU306" s="129">
        <f t="shared" si="74"/>
        <v>1990.4525648456934</v>
      </c>
      <c r="BZ306" t="s">
        <v>418</v>
      </c>
      <c r="CA306">
        <v>1699.7089557390757</v>
      </c>
      <c r="CB306" t="s">
        <v>118</v>
      </c>
    </row>
    <row r="307" spans="1:80" ht="14.5" x14ac:dyDescent="0.25">
      <c r="A307" t="s">
        <v>396</v>
      </c>
      <c r="B307">
        <v>9138</v>
      </c>
      <c r="C307">
        <v>1526</v>
      </c>
      <c r="D307">
        <v>111</v>
      </c>
      <c r="E307">
        <f t="shared" si="61"/>
        <v>2654</v>
      </c>
      <c r="F307">
        <f t="shared" si="62"/>
        <v>866</v>
      </c>
      <c r="G307">
        <f t="shared" si="63"/>
        <v>1231</v>
      </c>
      <c r="H307">
        <f t="shared" si="64"/>
        <v>102</v>
      </c>
      <c r="I307">
        <f t="shared" si="65"/>
        <v>866</v>
      </c>
      <c r="J307">
        <f t="shared" si="66"/>
        <v>2368</v>
      </c>
      <c r="K307">
        <f t="shared" si="67"/>
        <v>5145</v>
      </c>
      <c r="L307">
        <f t="shared" si="68"/>
        <v>6489</v>
      </c>
      <c r="M307">
        <f t="shared" si="69"/>
        <v>3271</v>
      </c>
      <c r="N307">
        <f t="shared" si="70"/>
        <v>253</v>
      </c>
      <c r="O307">
        <f t="shared" si="71"/>
        <v>34020</v>
      </c>
      <c r="Q307">
        <v>7867</v>
      </c>
      <c r="R307">
        <v>4931</v>
      </c>
      <c r="S307">
        <v>282</v>
      </c>
      <c r="T307">
        <v>1051</v>
      </c>
      <c r="U307">
        <v>161</v>
      </c>
      <c r="V307">
        <v>24</v>
      </c>
      <c r="W307">
        <v>1679</v>
      </c>
      <c r="X307">
        <v>290</v>
      </c>
      <c r="Y307">
        <v>158</v>
      </c>
      <c r="Z307" s="271">
        <v>159</v>
      </c>
      <c r="AA307">
        <v>57</v>
      </c>
      <c r="AB307">
        <v>0</v>
      </c>
      <c r="AC307">
        <v>1244</v>
      </c>
      <c r="AD307">
        <v>41</v>
      </c>
      <c r="AE307">
        <v>337</v>
      </c>
      <c r="AF307">
        <v>2873</v>
      </c>
      <c r="AG307">
        <v>216</v>
      </c>
      <c r="AH307">
        <v>289</v>
      </c>
      <c r="AI307">
        <v>5450</v>
      </c>
      <c r="AJ307">
        <v>305</v>
      </c>
      <c r="AK307">
        <v>0</v>
      </c>
      <c r="AL307">
        <v>7611</v>
      </c>
      <c r="AM307">
        <v>1121</v>
      </c>
      <c r="AN307">
        <v>1</v>
      </c>
      <c r="AO307">
        <v>4099</v>
      </c>
      <c r="AP307">
        <v>393</v>
      </c>
      <c r="AQ307">
        <v>435</v>
      </c>
      <c r="AR307">
        <v>1673</v>
      </c>
      <c r="AS307">
        <v>1420</v>
      </c>
      <c r="AT307">
        <v>0</v>
      </c>
      <c r="AU307">
        <v>1057</v>
      </c>
      <c r="AV307">
        <v>203</v>
      </c>
      <c r="AW307">
        <v>0</v>
      </c>
      <c r="AX307">
        <f t="shared" si="72"/>
        <v>34874</v>
      </c>
      <c r="AZ307" t="s">
        <v>396</v>
      </c>
      <c r="BA307" s="128">
        <v>32180</v>
      </c>
      <c r="BB307" s="128">
        <v>515956</v>
      </c>
      <c r="BC307" s="128">
        <v>0</v>
      </c>
      <c r="BD307" s="128">
        <v>1118944</v>
      </c>
      <c r="BE307" s="128">
        <v>264341</v>
      </c>
      <c r="BF307" s="128">
        <v>3072613.3782155821</v>
      </c>
      <c r="BG307" s="272">
        <v>0</v>
      </c>
      <c r="BH307">
        <v>1610</v>
      </c>
      <c r="BI307">
        <v>1513</v>
      </c>
      <c r="BJ307">
        <v>199</v>
      </c>
      <c r="BK307">
        <v>0</v>
      </c>
      <c r="BL307">
        <v>800</v>
      </c>
      <c r="BM307">
        <v>12</v>
      </c>
      <c r="BN307" s="128">
        <v>175</v>
      </c>
      <c r="BO307" s="128">
        <v>0</v>
      </c>
      <c r="BP307" s="128">
        <v>13</v>
      </c>
      <c r="BQ307" s="128">
        <f t="shared" si="73"/>
        <v>22886145.621784419</v>
      </c>
      <c r="BR307">
        <v>17544</v>
      </c>
      <c r="BS307" s="128">
        <f t="shared" si="60"/>
        <v>1304.4998644427963</v>
      </c>
      <c r="BT307" t="s">
        <v>467</v>
      </c>
      <c r="BU307" s="129">
        <f t="shared" si="74"/>
        <v>1305.2408585148437</v>
      </c>
      <c r="BZ307" t="s">
        <v>386</v>
      </c>
      <c r="CA307">
        <v>1498.9594829348562</v>
      </c>
      <c r="CB307" t="s">
        <v>118</v>
      </c>
    </row>
    <row r="308" spans="1:80" ht="14.5" x14ac:dyDescent="0.25">
      <c r="A308" t="s">
        <v>397</v>
      </c>
      <c r="B308">
        <v>28172</v>
      </c>
      <c r="C308">
        <v>8267</v>
      </c>
      <c r="D308">
        <v>2825</v>
      </c>
      <c r="E308">
        <f t="shared" si="61"/>
        <v>6300</v>
      </c>
      <c r="F308">
        <f t="shared" si="62"/>
        <v>3779</v>
      </c>
      <c r="G308">
        <f t="shared" si="63"/>
        <v>2512</v>
      </c>
      <c r="H308">
        <f t="shared" si="64"/>
        <v>28571</v>
      </c>
      <c r="I308">
        <f t="shared" si="65"/>
        <v>5425</v>
      </c>
      <c r="J308">
        <f t="shared" si="66"/>
        <v>12888</v>
      </c>
      <c r="K308">
        <f t="shared" si="67"/>
        <v>23481</v>
      </c>
      <c r="L308">
        <f t="shared" si="68"/>
        <v>29021</v>
      </c>
      <c r="M308">
        <f t="shared" si="69"/>
        <v>5696</v>
      </c>
      <c r="N308">
        <f t="shared" si="70"/>
        <v>1112</v>
      </c>
      <c r="O308">
        <f t="shared" si="71"/>
        <v>158049</v>
      </c>
      <c r="Q308">
        <v>20189</v>
      </c>
      <c r="R308">
        <v>12112</v>
      </c>
      <c r="S308">
        <v>1777</v>
      </c>
      <c r="T308">
        <v>5125</v>
      </c>
      <c r="U308">
        <v>1198</v>
      </c>
      <c r="V308">
        <v>148</v>
      </c>
      <c r="W308">
        <v>6126</v>
      </c>
      <c r="X308">
        <v>1165</v>
      </c>
      <c r="Y308">
        <v>2449</v>
      </c>
      <c r="Z308" s="271">
        <v>29230</v>
      </c>
      <c r="AA308">
        <v>656</v>
      </c>
      <c r="AB308">
        <v>3</v>
      </c>
      <c r="AC308">
        <v>7037</v>
      </c>
      <c r="AD308">
        <v>349</v>
      </c>
      <c r="AE308">
        <v>1263</v>
      </c>
      <c r="AF308">
        <v>17854</v>
      </c>
      <c r="AG308">
        <v>3529</v>
      </c>
      <c r="AH308">
        <v>1437</v>
      </c>
      <c r="AI308">
        <v>23936</v>
      </c>
      <c r="AJ308">
        <v>455</v>
      </c>
      <c r="AK308">
        <v>0</v>
      </c>
      <c r="AL308">
        <v>31967</v>
      </c>
      <c r="AM308">
        <v>2851</v>
      </c>
      <c r="AN308">
        <v>95</v>
      </c>
      <c r="AO308">
        <v>9123</v>
      </c>
      <c r="AP308">
        <v>2466</v>
      </c>
      <c r="AQ308">
        <v>961</v>
      </c>
      <c r="AR308">
        <v>3868</v>
      </c>
      <c r="AS308">
        <v>2622</v>
      </c>
      <c r="AT308">
        <v>134</v>
      </c>
      <c r="AU308">
        <v>7413</v>
      </c>
      <c r="AV308">
        <v>769</v>
      </c>
      <c r="AW308">
        <v>0</v>
      </c>
      <c r="AX308">
        <f t="shared" si="72"/>
        <v>164693</v>
      </c>
      <c r="AZ308" t="s">
        <v>397</v>
      </c>
      <c r="BA308" s="128">
        <v>146188</v>
      </c>
      <c r="BB308" s="128">
        <v>1560472</v>
      </c>
      <c r="BC308" s="128">
        <v>0</v>
      </c>
      <c r="BD308" s="128">
        <v>5521651</v>
      </c>
      <c r="BE308" s="128">
        <v>1036030</v>
      </c>
      <c r="BF308" s="128">
        <v>13474262.645047223</v>
      </c>
      <c r="BG308" s="272">
        <v>192481.56637989916</v>
      </c>
      <c r="BH308">
        <v>3607</v>
      </c>
      <c r="BI308">
        <v>3829</v>
      </c>
      <c r="BJ308">
        <v>830</v>
      </c>
      <c r="BK308">
        <v>322</v>
      </c>
      <c r="BL308">
        <v>1382</v>
      </c>
      <c r="BM308">
        <v>197</v>
      </c>
      <c r="BN308" s="128">
        <v>617</v>
      </c>
      <c r="BO308" s="128">
        <v>655</v>
      </c>
      <c r="BP308" s="128">
        <v>762</v>
      </c>
      <c r="BQ308" s="128">
        <f t="shared" si="73"/>
        <v>112202102.78857288</v>
      </c>
      <c r="BR308">
        <v>48801</v>
      </c>
      <c r="BS308" s="128">
        <f t="shared" si="60"/>
        <v>2299.1763035301096</v>
      </c>
      <c r="BT308" t="s">
        <v>118</v>
      </c>
      <c r="BU308" s="129">
        <f t="shared" si="74"/>
        <v>2314.7907376605576</v>
      </c>
      <c r="BZ308" t="s">
        <v>271</v>
      </c>
      <c r="CA308">
        <v>1470.0673783051307</v>
      </c>
      <c r="CB308" t="s">
        <v>118</v>
      </c>
    </row>
    <row r="309" spans="1:80" ht="14.5" x14ac:dyDescent="0.25">
      <c r="A309" t="s">
        <v>322</v>
      </c>
      <c r="B309">
        <v>13728</v>
      </c>
      <c r="C309">
        <v>4102</v>
      </c>
      <c r="D309">
        <v>1934</v>
      </c>
      <c r="E309">
        <f t="shared" si="61"/>
        <v>5965</v>
      </c>
      <c r="F309">
        <f t="shared" si="62"/>
        <v>1878</v>
      </c>
      <c r="G309">
        <f t="shared" si="63"/>
        <v>2193</v>
      </c>
      <c r="H309">
        <f t="shared" si="64"/>
        <v>822</v>
      </c>
      <c r="I309">
        <f t="shared" si="65"/>
        <v>1827</v>
      </c>
      <c r="J309">
        <f t="shared" si="66"/>
        <v>5930</v>
      </c>
      <c r="K309">
        <f t="shared" si="67"/>
        <v>7698</v>
      </c>
      <c r="L309">
        <f t="shared" si="68"/>
        <v>15367</v>
      </c>
      <c r="M309">
        <f t="shared" si="69"/>
        <v>5842</v>
      </c>
      <c r="N309">
        <f t="shared" si="70"/>
        <v>1686</v>
      </c>
      <c r="O309">
        <f t="shared" si="71"/>
        <v>68972</v>
      </c>
      <c r="Q309">
        <v>13826</v>
      </c>
      <c r="R309">
        <v>7434</v>
      </c>
      <c r="S309">
        <v>427</v>
      </c>
      <c r="T309">
        <v>2362</v>
      </c>
      <c r="U309">
        <v>483</v>
      </c>
      <c r="V309">
        <v>1</v>
      </c>
      <c r="W309">
        <v>3561</v>
      </c>
      <c r="X309">
        <v>697</v>
      </c>
      <c r="Y309">
        <v>671</v>
      </c>
      <c r="Z309" s="271">
        <v>844</v>
      </c>
      <c r="AA309">
        <v>22</v>
      </c>
      <c r="AB309">
        <v>0</v>
      </c>
      <c r="AC309">
        <v>3687</v>
      </c>
      <c r="AD309">
        <v>219</v>
      </c>
      <c r="AE309">
        <v>1641</v>
      </c>
      <c r="AF309">
        <v>7419</v>
      </c>
      <c r="AG309">
        <v>1020</v>
      </c>
      <c r="AH309">
        <v>469</v>
      </c>
      <c r="AI309">
        <v>8693</v>
      </c>
      <c r="AJ309">
        <v>995</v>
      </c>
      <c r="AK309">
        <v>0</v>
      </c>
      <c r="AL309">
        <v>16975</v>
      </c>
      <c r="AM309">
        <v>1607</v>
      </c>
      <c r="AN309">
        <v>1</v>
      </c>
      <c r="AO309">
        <v>7365</v>
      </c>
      <c r="AP309">
        <v>641</v>
      </c>
      <c r="AQ309">
        <v>882</v>
      </c>
      <c r="AR309">
        <v>2306</v>
      </c>
      <c r="AS309">
        <v>610</v>
      </c>
      <c r="AT309">
        <v>10</v>
      </c>
      <c r="AU309">
        <v>24197</v>
      </c>
      <c r="AV309">
        <v>0</v>
      </c>
      <c r="AW309">
        <v>0</v>
      </c>
      <c r="AX309">
        <f t="shared" si="72"/>
        <v>93169</v>
      </c>
      <c r="AZ309" t="s">
        <v>322</v>
      </c>
      <c r="BA309" s="128">
        <v>62936</v>
      </c>
      <c r="BB309" s="128">
        <v>904785</v>
      </c>
      <c r="BC309" s="128">
        <v>0</v>
      </c>
      <c r="BD309" s="128">
        <v>2417392</v>
      </c>
      <c r="BE309" s="128">
        <v>363951.54666666663</v>
      </c>
      <c r="BF309" s="128">
        <v>5421355.3201176208</v>
      </c>
      <c r="BG309" s="272">
        <v>0</v>
      </c>
      <c r="BH309">
        <v>2377</v>
      </c>
      <c r="BI309">
        <v>3766</v>
      </c>
      <c r="BJ309">
        <v>288</v>
      </c>
      <c r="BK309">
        <v>300</v>
      </c>
      <c r="BL309">
        <v>850</v>
      </c>
      <c r="BM309">
        <v>60</v>
      </c>
      <c r="BN309" s="128">
        <v>27</v>
      </c>
      <c r="BO309" s="128">
        <v>0</v>
      </c>
      <c r="BP309" s="128">
        <v>604</v>
      </c>
      <c r="BQ309" s="128">
        <f t="shared" si="73"/>
        <v>45556516.133215711</v>
      </c>
      <c r="BR309">
        <v>30485</v>
      </c>
      <c r="BS309" s="128">
        <f t="shared" si="60"/>
        <v>1494.3912131610862</v>
      </c>
      <c r="BT309" t="s">
        <v>467</v>
      </c>
      <c r="BU309" s="129">
        <f t="shared" si="74"/>
        <v>1514.2042359591835</v>
      </c>
      <c r="BZ309" t="s">
        <v>317</v>
      </c>
      <c r="CA309">
        <v>2146.7297943567605</v>
      </c>
      <c r="CB309" t="s">
        <v>118</v>
      </c>
    </row>
    <row r="310" spans="1:80" ht="14.5" x14ac:dyDescent="0.25">
      <c r="A310" t="s">
        <v>206</v>
      </c>
      <c r="B310">
        <v>28282</v>
      </c>
      <c r="C310">
        <v>5159</v>
      </c>
      <c r="D310">
        <v>1872</v>
      </c>
      <c r="E310">
        <f t="shared" si="61"/>
        <v>5924</v>
      </c>
      <c r="F310">
        <f t="shared" si="62"/>
        <v>1912</v>
      </c>
      <c r="G310">
        <f t="shared" si="63"/>
        <v>3458</v>
      </c>
      <c r="H310">
        <f t="shared" si="64"/>
        <v>380</v>
      </c>
      <c r="I310">
        <f t="shared" si="65"/>
        <v>2284</v>
      </c>
      <c r="J310">
        <f t="shared" si="66"/>
        <v>6674</v>
      </c>
      <c r="K310">
        <f t="shared" si="67"/>
        <v>16894</v>
      </c>
      <c r="L310">
        <f t="shared" si="68"/>
        <v>24053</v>
      </c>
      <c r="M310">
        <f t="shared" si="69"/>
        <v>7227</v>
      </c>
      <c r="N310">
        <f t="shared" si="70"/>
        <v>2811</v>
      </c>
      <c r="O310">
        <f t="shared" si="71"/>
        <v>106930</v>
      </c>
      <c r="Q310">
        <v>17699</v>
      </c>
      <c r="R310">
        <v>10608</v>
      </c>
      <c r="S310">
        <v>1167</v>
      </c>
      <c r="T310">
        <v>2546</v>
      </c>
      <c r="U310">
        <v>634</v>
      </c>
      <c r="V310">
        <v>0</v>
      </c>
      <c r="W310">
        <v>5378</v>
      </c>
      <c r="X310">
        <v>1141</v>
      </c>
      <c r="Y310">
        <v>779</v>
      </c>
      <c r="Z310" s="271">
        <v>505</v>
      </c>
      <c r="AA310">
        <v>125</v>
      </c>
      <c r="AB310">
        <v>0</v>
      </c>
      <c r="AC310">
        <v>3683</v>
      </c>
      <c r="AD310">
        <v>264</v>
      </c>
      <c r="AE310">
        <v>1135</v>
      </c>
      <c r="AF310">
        <v>10395</v>
      </c>
      <c r="AG310">
        <v>2504</v>
      </c>
      <c r="AH310">
        <v>1217</v>
      </c>
      <c r="AI310">
        <v>23153</v>
      </c>
      <c r="AJ310">
        <v>6259</v>
      </c>
      <c r="AK310">
        <v>0</v>
      </c>
      <c r="AL310">
        <v>27545</v>
      </c>
      <c r="AM310">
        <v>3492</v>
      </c>
      <c r="AN310">
        <v>0</v>
      </c>
      <c r="AO310">
        <v>9361</v>
      </c>
      <c r="AP310">
        <v>1321</v>
      </c>
      <c r="AQ310">
        <v>813</v>
      </c>
      <c r="AR310">
        <v>4786</v>
      </c>
      <c r="AS310">
        <v>1927</v>
      </c>
      <c r="AT310">
        <v>48</v>
      </c>
      <c r="AU310">
        <v>86</v>
      </c>
      <c r="AV310">
        <v>7</v>
      </c>
      <c r="AW310">
        <v>0</v>
      </c>
      <c r="AX310">
        <f t="shared" si="72"/>
        <v>107009</v>
      </c>
      <c r="AZ310" t="s">
        <v>206</v>
      </c>
      <c r="BA310" s="128">
        <v>99892</v>
      </c>
      <c r="BB310" s="128">
        <v>523029</v>
      </c>
      <c r="BC310" s="128">
        <v>0</v>
      </c>
      <c r="BD310" s="128">
        <v>3716135</v>
      </c>
      <c r="BE310" s="128">
        <v>508366</v>
      </c>
      <c r="BF310" s="128">
        <v>14216706.251681168</v>
      </c>
      <c r="BG310" s="272">
        <v>0</v>
      </c>
      <c r="BH310">
        <v>1872</v>
      </c>
      <c r="BI310">
        <v>5093</v>
      </c>
      <c r="BJ310">
        <v>465</v>
      </c>
      <c r="BK310">
        <v>421</v>
      </c>
      <c r="BL310">
        <v>1200</v>
      </c>
      <c r="BM310">
        <v>1592</v>
      </c>
      <c r="BN310" s="128">
        <v>231</v>
      </c>
      <c r="BO310" s="128">
        <v>1222</v>
      </c>
      <c r="BP310" s="128">
        <v>199</v>
      </c>
      <c r="BQ310" s="128">
        <f t="shared" si="73"/>
        <v>68632763.748318836</v>
      </c>
      <c r="BR310">
        <v>39643</v>
      </c>
      <c r="BS310" s="128">
        <f t="shared" si="60"/>
        <v>1731.270684567738</v>
      </c>
      <c r="BT310" t="s">
        <v>118</v>
      </c>
      <c r="BU310" s="129">
        <f t="shared" si="74"/>
        <v>1736.2904862981823</v>
      </c>
      <c r="BZ310" t="s">
        <v>135</v>
      </c>
      <c r="CA310">
        <v>4734.9084180380532</v>
      </c>
      <c r="CB310" t="s">
        <v>118</v>
      </c>
    </row>
    <row r="311" spans="1:80" ht="14.5" x14ac:dyDescent="0.25">
      <c r="A311" t="s">
        <v>323</v>
      </c>
      <c r="B311">
        <v>1224</v>
      </c>
      <c r="C311">
        <v>1756</v>
      </c>
      <c r="D311">
        <v>28</v>
      </c>
      <c r="E311">
        <f t="shared" si="61"/>
        <v>12655</v>
      </c>
      <c r="F311">
        <f t="shared" si="62"/>
        <v>3093</v>
      </c>
      <c r="G311">
        <f t="shared" si="63"/>
        <v>3637</v>
      </c>
      <c r="H311">
        <f t="shared" si="64"/>
        <v>644</v>
      </c>
      <c r="I311">
        <f t="shared" si="65"/>
        <v>1844</v>
      </c>
      <c r="J311">
        <f t="shared" si="66"/>
        <v>6024</v>
      </c>
      <c r="K311">
        <f t="shared" si="67"/>
        <v>10775</v>
      </c>
      <c r="L311">
        <f t="shared" si="68"/>
        <v>11145</v>
      </c>
      <c r="M311">
        <f t="shared" si="69"/>
        <v>8415</v>
      </c>
      <c r="N311">
        <f t="shared" si="70"/>
        <v>2299</v>
      </c>
      <c r="O311">
        <f t="shared" si="71"/>
        <v>63539</v>
      </c>
      <c r="Q311">
        <v>13930</v>
      </c>
      <c r="R311">
        <v>1176</v>
      </c>
      <c r="S311">
        <v>99</v>
      </c>
      <c r="T311">
        <v>3152</v>
      </c>
      <c r="U311">
        <v>5</v>
      </c>
      <c r="V311">
        <v>54</v>
      </c>
      <c r="W311">
        <v>3877</v>
      </c>
      <c r="X311">
        <v>0</v>
      </c>
      <c r="Y311">
        <v>240</v>
      </c>
      <c r="Z311" s="271">
        <v>659</v>
      </c>
      <c r="AA311">
        <v>0</v>
      </c>
      <c r="AB311">
        <v>15</v>
      </c>
      <c r="AC311">
        <v>2289</v>
      </c>
      <c r="AD311">
        <v>43</v>
      </c>
      <c r="AE311">
        <v>402</v>
      </c>
      <c r="AF311">
        <v>6680</v>
      </c>
      <c r="AG311">
        <v>0</v>
      </c>
      <c r="AH311">
        <v>656</v>
      </c>
      <c r="AI311">
        <v>10775</v>
      </c>
      <c r="AJ311">
        <v>0</v>
      </c>
      <c r="AK311">
        <v>0</v>
      </c>
      <c r="AL311">
        <v>11157</v>
      </c>
      <c r="AM311">
        <v>0</v>
      </c>
      <c r="AN311">
        <v>12</v>
      </c>
      <c r="AO311">
        <v>8676</v>
      </c>
      <c r="AP311">
        <v>0</v>
      </c>
      <c r="AQ311">
        <v>261</v>
      </c>
      <c r="AR311">
        <v>2312</v>
      </c>
      <c r="AS311">
        <v>0</v>
      </c>
      <c r="AT311">
        <v>13</v>
      </c>
      <c r="AU311">
        <v>8</v>
      </c>
      <c r="AV311">
        <v>0</v>
      </c>
      <c r="AW311">
        <v>4</v>
      </c>
      <c r="AX311">
        <f t="shared" si="72"/>
        <v>63543</v>
      </c>
      <c r="AZ311" t="s">
        <v>323</v>
      </c>
      <c r="BA311" s="128">
        <v>61751</v>
      </c>
      <c r="BB311" s="128">
        <v>358876</v>
      </c>
      <c r="BC311" s="128">
        <v>0</v>
      </c>
      <c r="BD311" s="128">
        <v>994020</v>
      </c>
      <c r="BE311" s="128">
        <v>344478</v>
      </c>
      <c r="BF311" s="128">
        <v>6267102.4248288302</v>
      </c>
      <c r="BG311" s="272">
        <v>0</v>
      </c>
      <c r="BH311">
        <v>2655</v>
      </c>
      <c r="BI311">
        <v>4629</v>
      </c>
      <c r="BJ311">
        <v>404</v>
      </c>
      <c r="BK311">
        <v>50</v>
      </c>
      <c r="BL311">
        <v>1245</v>
      </c>
      <c r="BM311">
        <v>91</v>
      </c>
      <c r="BN311" s="128">
        <v>1176</v>
      </c>
      <c r="BO311" s="128">
        <v>0</v>
      </c>
      <c r="BP311" s="128">
        <v>2015</v>
      </c>
      <c r="BQ311" s="128">
        <f t="shared" si="73"/>
        <v>41521523.575171173</v>
      </c>
      <c r="BR311">
        <v>26939</v>
      </c>
      <c r="BS311" s="128">
        <f t="shared" si="60"/>
        <v>1541.316439926173</v>
      </c>
      <c r="BT311" t="s">
        <v>467</v>
      </c>
      <c r="BU311" s="129">
        <f t="shared" si="74"/>
        <v>1616.1150590285895</v>
      </c>
      <c r="BZ311" t="s">
        <v>337</v>
      </c>
      <c r="CA311">
        <v>1855.02525034672</v>
      </c>
      <c r="CB311" t="s">
        <v>118</v>
      </c>
    </row>
    <row r="312" spans="1:80" ht="14.5" x14ac:dyDescent="0.25">
      <c r="A312" t="s">
        <v>277</v>
      </c>
      <c r="B312">
        <v>11581</v>
      </c>
      <c r="C312">
        <v>2041</v>
      </c>
      <c r="D312">
        <v>23</v>
      </c>
      <c r="E312">
        <f t="shared" si="61"/>
        <v>3663</v>
      </c>
      <c r="F312">
        <f t="shared" si="62"/>
        <v>1752</v>
      </c>
      <c r="G312">
        <f t="shared" si="63"/>
        <v>2168</v>
      </c>
      <c r="H312">
        <f t="shared" si="64"/>
        <v>167</v>
      </c>
      <c r="I312">
        <f t="shared" si="65"/>
        <v>659</v>
      </c>
      <c r="J312">
        <f t="shared" si="66"/>
        <v>1620</v>
      </c>
      <c r="K312">
        <f t="shared" si="67"/>
        <v>3289</v>
      </c>
      <c r="L312">
        <f t="shared" si="68"/>
        <v>6940</v>
      </c>
      <c r="M312">
        <f t="shared" si="69"/>
        <v>3350</v>
      </c>
      <c r="N312">
        <f t="shared" si="70"/>
        <v>208</v>
      </c>
      <c r="O312">
        <f t="shared" si="71"/>
        <v>37461</v>
      </c>
      <c r="Q312">
        <v>9432</v>
      </c>
      <c r="R312">
        <v>5025</v>
      </c>
      <c r="S312">
        <v>744</v>
      </c>
      <c r="T312">
        <v>2076</v>
      </c>
      <c r="U312">
        <v>264</v>
      </c>
      <c r="V312">
        <v>60</v>
      </c>
      <c r="W312">
        <v>3278</v>
      </c>
      <c r="X312">
        <v>1012</v>
      </c>
      <c r="Y312">
        <v>98</v>
      </c>
      <c r="Z312" s="271">
        <v>315</v>
      </c>
      <c r="AA312">
        <v>142</v>
      </c>
      <c r="AB312">
        <v>6</v>
      </c>
      <c r="AC312">
        <v>1209</v>
      </c>
      <c r="AD312">
        <v>158</v>
      </c>
      <c r="AE312">
        <v>392</v>
      </c>
      <c r="AF312">
        <v>2702</v>
      </c>
      <c r="AG312">
        <v>757</v>
      </c>
      <c r="AH312">
        <v>325</v>
      </c>
      <c r="AI312">
        <v>4684</v>
      </c>
      <c r="AJ312">
        <v>1395</v>
      </c>
      <c r="AK312">
        <v>0</v>
      </c>
      <c r="AL312">
        <v>8021</v>
      </c>
      <c r="AM312">
        <v>961</v>
      </c>
      <c r="AN312">
        <v>120</v>
      </c>
      <c r="AO312">
        <v>4330</v>
      </c>
      <c r="AP312">
        <v>703</v>
      </c>
      <c r="AQ312">
        <v>277</v>
      </c>
      <c r="AR312">
        <v>1391</v>
      </c>
      <c r="AS312">
        <v>1164</v>
      </c>
      <c r="AT312">
        <v>19</v>
      </c>
      <c r="AU312">
        <v>0</v>
      </c>
      <c r="AV312">
        <v>0</v>
      </c>
      <c r="AW312">
        <v>0</v>
      </c>
      <c r="AX312">
        <f t="shared" si="72"/>
        <v>37461</v>
      </c>
      <c r="AZ312" t="s">
        <v>277</v>
      </c>
      <c r="BA312" s="128">
        <v>35397</v>
      </c>
      <c r="BB312" s="128">
        <v>274976</v>
      </c>
      <c r="BC312" s="128">
        <v>0</v>
      </c>
      <c r="BD312" s="128">
        <v>521122</v>
      </c>
      <c r="BE312" s="128">
        <v>352983</v>
      </c>
      <c r="BF312" s="128">
        <v>2613453.523791681</v>
      </c>
      <c r="BG312" s="272">
        <v>0</v>
      </c>
      <c r="BH312">
        <v>1222</v>
      </c>
      <c r="BI312">
        <v>1847</v>
      </c>
      <c r="BJ312">
        <v>227</v>
      </c>
      <c r="BK312">
        <v>204</v>
      </c>
      <c r="BL312">
        <v>827</v>
      </c>
      <c r="BM312">
        <v>162</v>
      </c>
      <c r="BN312" s="128">
        <v>746</v>
      </c>
      <c r="BO312" s="128">
        <v>364</v>
      </c>
      <c r="BP312" s="128">
        <v>292</v>
      </c>
      <c r="BQ312" s="128">
        <f t="shared" si="73"/>
        <v>25743465.476208318</v>
      </c>
      <c r="BR312">
        <v>17306</v>
      </c>
      <c r="BS312" s="128">
        <f t="shared" si="60"/>
        <v>1487.5456764248422</v>
      </c>
      <c r="BT312" t="s">
        <v>467</v>
      </c>
      <c r="BU312" s="129">
        <f t="shared" si="74"/>
        <v>1504.4184373170183</v>
      </c>
      <c r="BZ312" t="s">
        <v>420</v>
      </c>
      <c r="CA312">
        <v>1625.7744490029577</v>
      </c>
      <c r="CB312" t="s">
        <v>118</v>
      </c>
    </row>
    <row r="313" spans="1:80" ht="14.5" x14ac:dyDescent="0.25">
      <c r="A313" t="s">
        <v>428</v>
      </c>
      <c r="B313">
        <v>32303</v>
      </c>
      <c r="C313">
        <v>7826</v>
      </c>
      <c r="D313">
        <v>2075</v>
      </c>
      <c r="E313">
        <f t="shared" si="61"/>
        <v>9366</v>
      </c>
      <c r="F313">
        <f t="shared" si="62"/>
        <v>4088</v>
      </c>
      <c r="G313">
        <f t="shared" si="63"/>
        <v>7954</v>
      </c>
      <c r="H313">
        <f t="shared" si="64"/>
        <v>7075</v>
      </c>
      <c r="I313">
        <f t="shared" si="65"/>
        <v>3681</v>
      </c>
      <c r="J313">
        <f t="shared" si="66"/>
        <v>13626</v>
      </c>
      <c r="K313">
        <f t="shared" si="67"/>
        <v>28358</v>
      </c>
      <c r="L313">
        <f t="shared" si="68"/>
        <v>29764</v>
      </c>
      <c r="M313">
        <f t="shared" si="69"/>
        <v>11174</v>
      </c>
      <c r="N313">
        <f t="shared" si="70"/>
        <v>1142</v>
      </c>
      <c r="O313">
        <f t="shared" si="71"/>
        <v>158432</v>
      </c>
      <c r="Q313">
        <v>24980</v>
      </c>
      <c r="R313">
        <v>14212</v>
      </c>
      <c r="S313">
        <v>1402</v>
      </c>
      <c r="T313">
        <v>5464</v>
      </c>
      <c r="U313">
        <v>1365</v>
      </c>
      <c r="V313">
        <v>11</v>
      </c>
      <c r="W313">
        <v>11172</v>
      </c>
      <c r="X313">
        <v>1612</v>
      </c>
      <c r="Y313">
        <v>1606</v>
      </c>
      <c r="Z313" s="271">
        <v>8194</v>
      </c>
      <c r="AA313">
        <v>956</v>
      </c>
      <c r="AB313">
        <v>163</v>
      </c>
      <c r="AC313">
        <v>5543</v>
      </c>
      <c r="AD313">
        <v>698</v>
      </c>
      <c r="AE313">
        <v>1164</v>
      </c>
      <c r="AF313">
        <v>17925</v>
      </c>
      <c r="AG313">
        <v>2098</v>
      </c>
      <c r="AH313">
        <v>2201</v>
      </c>
      <c r="AI313">
        <v>32210</v>
      </c>
      <c r="AJ313">
        <v>3852</v>
      </c>
      <c r="AK313">
        <v>0</v>
      </c>
      <c r="AL313">
        <v>32702</v>
      </c>
      <c r="AM313">
        <v>2632</v>
      </c>
      <c r="AN313">
        <v>306</v>
      </c>
      <c r="AO313">
        <v>14424</v>
      </c>
      <c r="AP313">
        <v>2292</v>
      </c>
      <c r="AQ313">
        <v>958</v>
      </c>
      <c r="AR313">
        <v>3458</v>
      </c>
      <c r="AS313">
        <v>2301</v>
      </c>
      <c r="AT313">
        <v>15</v>
      </c>
      <c r="AU313">
        <v>5156</v>
      </c>
      <c r="AV313">
        <v>285</v>
      </c>
      <c r="AW313">
        <v>0</v>
      </c>
      <c r="AX313">
        <f t="shared" si="72"/>
        <v>163303</v>
      </c>
      <c r="AZ313" t="s">
        <v>428</v>
      </c>
      <c r="BA313" s="128">
        <v>148246</v>
      </c>
      <c r="BB313" s="128">
        <v>2203365</v>
      </c>
      <c r="BC313" s="128">
        <v>0</v>
      </c>
      <c r="BD313" s="128">
        <v>8343571</v>
      </c>
      <c r="BE313" s="128">
        <v>1065491</v>
      </c>
      <c r="BF313" s="128">
        <v>14152867.846446801</v>
      </c>
      <c r="BG313" s="272">
        <v>401666.48944463953</v>
      </c>
      <c r="BH313">
        <v>5223</v>
      </c>
      <c r="BI313">
        <v>6527</v>
      </c>
      <c r="BJ313">
        <v>612</v>
      </c>
      <c r="BK313">
        <v>0</v>
      </c>
      <c r="BL313">
        <v>1550</v>
      </c>
      <c r="BM313">
        <v>731</v>
      </c>
      <c r="BN313" s="128">
        <v>1332</v>
      </c>
      <c r="BO313" s="128">
        <v>3058</v>
      </c>
      <c r="BP313" s="128">
        <v>287</v>
      </c>
      <c r="BQ313" s="128">
        <f t="shared" si="73"/>
        <v>102759038.66410856</v>
      </c>
      <c r="BR313">
        <v>50017</v>
      </c>
      <c r="BS313" s="128">
        <f t="shared" si="60"/>
        <v>2054.4822493174033</v>
      </c>
      <c r="BT313" t="s">
        <v>441</v>
      </c>
      <c r="BU313" s="129">
        <f t="shared" si="74"/>
        <v>2060.2202983807219</v>
      </c>
      <c r="BZ313" t="s">
        <v>318</v>
      </c>
      <c r="CA313">
        <v>1915.6060503400433</v>
      </c>
      <c r="CB313" t="s">
        <v>118</v>
      </c>
    </row>
    <row r="314" spans="1:80" ht="14.5" x14ac:dyDescent="0.25">
      <c r="A314" t="s">
        <v>278</v>
      </c>
      <c r="B314">
        <v>12414</v>
      </c>
      <c r="C314">
        <v>2972</v>
      </c>
      <c r="D314">
        <v>574</v>
      </c>
      <c r="E314">
        <f t="shared" si="61"/>
        <v>4099</v>
      </c>
      <c r="F314">
        <f t="shared" si="62"/>
        <v>2070</v>
      </c>
      <c r="G314">
        <f t="shared" si="63"/>
        <v>1634</v>
      </c>
      <c r="H314">
        <f t="shared" si="64"/>
        <v>237</v>
      </c>
      <c r="I314">
        <f t="shared" si="65"/>
        <v>1173</v>
      </c>
      <c r="J314">
        <f t="shared" si="66"/>
        <v>4174</v>
      </c>
      <c r="K314">
        <f t="shared" si="67"/>
        <v>9404</v>
      </c>
      <c r="L314">
        <f t="shared" si="68"/>
        <v>8186</v>
      </c>
      <c r="M314">
        <f t="shared" si="69"/>
        <v>5012</v>
      </c>
      <c r="N314">
        <f t="shared" si="70"/>
        <v>608</v>
      </c>
      <c r="O314">
        <f t="shared" si="71"/>
        <v>52557</v>
      </c>
      <c r="Q314">
        <v>10153</v>
      </c>
      <c r="R314">
        <v>5941</v>
      </c>
      <c r="S314">
        <v>113</v>
      </c>
      <c r="T314">
        <v>2634</v>
      </c>
      <c r="U314">
        <v>556</v>
      </c>
      <c r="V314">
        <v>8</v>
      </c>
      <c r="W314">
        <v>2331</v>
      </c>
      <c r="X314">
        <v>603</v>
      </c>
      <c r="Y314">
        <v>94</v>
      </c>
      <c r="Z314" s="271">
        <v>277</v>
      </c>
      <c r="AA314">
        <v>40</v>
      </c>
      <c r="AB314">
        <v>0</v>
      </c>
      <c r="AC314">
        <v>3040</v>
      </c>
      <c r="AD314">
        <v>166</v>
      </c>
      <c r="AE314">
        <v>1701</v>
      </c>
      <c r="AF314">
        <v>5989</v>
      </c>
      <c r="AG314">
        <v>1298</v>
      </c>
      <c r="AH314">
        <v>517</v>
      </c>
      <c r="AI314">
        <v>9562</v>
      </c>
      <c r="AJ314">
        <v>158</v>
      </c>
      <c r="AK314">
        <v>0</v>
      </c>
      <c r="AL314">
        <v>9761</v>
      </c>
      <c r="AM314">
        <v>1573</v>
      </c>
      <c r="AN314">
        <v>2</v>
      </c>
      <c r="AO314">
        <v>5975</v>
      </c>
      <c r="AP314">
        <v>426</v>
      </c>
      <c r="AQ314">
        <v>537</v>
      </c>
      <c r="AR314">
        <v>2261</v>
      </c>
      <c r="AS314">
        <v>1653</v>
      </c>
      <c r="AT314">
        <v>0</v>
      </c>
      <c r="AU314">
        <v>0</v>
      </c>
      <c r="AV314">
        <v>0</v>
      </c>
      <c r="AW314">
        <v>0</v>
      </c>
      <c r="AX314">
        <f t="shared" si="72"/>
        <v>52557</v>
      </c>
      <c r="AZ314" t="s">
        <v>278</v>
      </c>
      <c r="BA314" s="128">
        <v>49011</v>
      </c>
      <c r="BB314" s="128">
        <v>498340</v>
      </c>
      <c r="BC314" s="128">
        <v>0</v>
      </c>
      <c r="BD314" s="128">
        <v>711023</v>
      </c>
      <c r="BE314" s="128">
        <v>307365</v>
      </c>
      <c r="BF314" s="128">
        <v>5818284.7556294147</v>
      </c>
      <c r="BG314" s="272">
        <v>171752.2041629795</v>
      </c>
      <c r="BH314">
        <v>2135</v>
      </c>
      <c r="BI314">
        <v>2464</v>
      </c>
      <c r="BJ314">
        <v>378</v>
      </c>
      <c r="BK314">
        <v>176</v>
      </c>
      <c r="BL314">
        <v>1370</v>
      </c>
      <c r="BM314">
        <v>107</v>
      </c>
      <c r="BN314" s="128">
        <v>0</v>
      </c>
      <c r="BO314" s="128">
        <v>1127</v>
      </c>
      <c r="BP314" s="128">
        <v>218</v>
      </c>
      <c r="BQ314" s="128">
        <f t="shared" si="73"/>
        <v>33529235.04020761</v>
      </c>
      <c r="BR314">
        <v>20449</v>
      </c>
      <c r="BS314" s="128">
        <f t="shared" si="60"/>
        <v>1639.6515741702581</v>
      </c>
      <c r="BT314" t="s">
        <v>118</v>
      </c>
      <c r="BU314" s="129">
        <f t="shared" si="74"/>
        <v>1650.3122421735836</v>
      </c>
      <c r="BZ314" t="s">
        <v>338</v>
      </c>
      <c r="CA314">
        <v>1634.8867124178653</v>
      </c>
      <c r="CB314" t="s">
        <v>118</v>
      </c>
    </row>
    <row r="315" spans="1:80" ht="14.5" x14ac:dyDescent="0.25">
      <c r="A315" t="s">
        <v>607</v>
      </c>
      <c r="B315">
        <v>21594</v>
      </c>
      <c r="C315">
        <v>3093</v>
      </c>
      <c r="D315">
        <v>1247</v>
      </c>
      <c r="E315">
        <f t="shared" si="61"/>
        <v>16932</v>
      </c>
      <c r="F315">
        <f t="shared" si="62"/>
        <v>4675</v>
      </c>
      <c r="G315">
        <f t="shared" si="63"/>
        <v>19928</v>
      </c>
      <c r="H315">
        <f t="shared" si="64"/>
        <v>2091</v>
      </c>
      <c r="I315">
        <f t="shared" si="65"/>
        <v>3772</v>
      </c>
      <c r="J315">
        <f t="shared" si="66"/>
        <v>10644</v>
      </c>
      <c r="K315">
        <f t="shared" si="67"/>
        <v>14595</v>
      </c>
      <c r="L315">
        <f t="shared" si="68"/>
        <v>22438</v>
      </c>
      <c r="M315">
        <f t="shared" si="69"/>
        <v>14602</v>
      </c>
      <c r="N315">
        <f t="shared" si="70"/>
        <v>2015</v>
      </c>
      <c r="O315">
        <f t="shared" si="71"/>
        <v>137626</v>
      </c>
      <c r="Q315">
        <v>25689</v>
      </c>
      <c r="R315">
        <v>8616</v>
      </c>
      <c r="S315">
        <v>141</v>
      </c>
      <c r="T315">
        <v>5899</v>
      </c>
      <c r="U315">
        <v>1224</v>
      </c>
      <c r="V315">
        <v>0</v>
      </c>
      <c r="W315">
        <v>22292</v>
      </c>
      <c r="X315">
        <v>1970</v>
      </c>
      <c r="Y315">
        <v>394</v>
      </c>
      <c r="Z315" s="271">
        <v>2643</v>
      </c>
      <c r="AA315">
        <v>376</v>
      </c>
      <c r="AB315">
        <v>176</v>
      </c>
      <c r="AC315">
        <v>5203</v>
      </c>
      <c r="AD315">
        <v>207</v>
      </c>
      <c r="AE315">
        <v>1224</v>
      </c>
      <c r="AF315">
        <v>13090</v>
      </c>
      <c r="AG315">
        <v>2066</v>
      </c>
      <c r="AH315">
        <v>380</v>
      </c>
      <c r="AI315">
        <v>14984</v>
      </c>
      <c r="AJ315">
        <v>389</v>
      </c>
      <c r="AK315">
        <v>0</v>
      </c>
      <c r="AL315">
        <v>26748</v>
      </c>
      <c r="AM315">
        <v>3663</v>
      </c>
      <c r="AN315">
        <v>647</v>
      </c>
      <c r="AO315">
        <v>16109</v>
      </c>
      <c r="AP315">
        <v>1479</v>
      </c>
      <c r="AQ315">
        <v>28</v>
      </c>
      <c r="AR315">
        <v>3289</v>
      </c>
      <c r="AS315">
        <v>1171</v>
      </c>
      <c r="AT315">
        <v>103</v>
      </c>
      <c r="AU315">
        <v>11315</v>
      </c>
      <c r="AV315">
        <v>433</v>
      </c>
      <c r="AW315">
        <v>0</v>
      </c>
      <c r="AX315">
        <f t="shared" si="72"/>
        <v>148508</v>
      </c>
      <c r="AZ315" t="s">
        <v>207</v>
      </c>
      <c r="BA315" s="128">
        <v>132853</v>
      </c>
      <c r="BB315" s="128">
        <v>787252</v>
      </c>
      <c r="BC315" s="128">
        <v>0</v>
      </c>
      <c r="BD315" s="128">
        <v>1262108</v>
      </c>
      <c r="BE315" s="128">
        <v>451999</v>
      </c>
      <c r="BF315" s="128">
        <v>3247583.4053931721</v>
      </c>
      <c r="BG315" s="272">
        <v>0</v>
      </c>
      <c r="BH315">
        <v>2452</v>
      </c>
      <c r="BI315">
        <v>1455</v>
      </c>
      <c r="BJ315">
        <v>170</v>
      </c>
      <c r="BK315">
        <v>14</v>
      </c>
      <c r="BL315">
        <v>802</v>
      </c>
      <c r="BM315">
        <v>125</v>
      </c>
      <c r="BN315" s="128">
        <v>152</v>
      </c>
      <c r="BO315" s="128">
        <v>222</v>
      </c>
      <c r="BP315" s="128">
        <v>5117</v>
      </c>
      <c r="BQ315" s="128">
        <f t="shared" si="73"/>
        <v>116595057.59460683</v>
      </c>
      <c r="BR315">
        <v>19578</v>
      </c>
      <c r="BS315" s="128">
        <f t="shared" ref="BS315:BS346" si="75">BQ315/BR315</f>
        <v>5955.4120745023411</v>
      </c>
      <c r="BT315" t="s">
        <v>467</v>
      </c>
      <c r="BU315" s="129">
        <f t="shared" si="74"/>
        <v>6216.7768717237122</v>
      </c>
      <c r="BZ315" t="s">
        <v>229</v>
      </c>
      <c r="CA315">
        <v>1778.0083734349437</v>
      </c>
      <c r="CB315" t="s">
        <v>118</v>
      </c>
    </row>
    <row r="316" spans="1:80" ht="14.5" x14ac:dyDescent="0.25">
      <c r="A316" t="s">
        <v>207</v>
      </c>
      <c r="B316">
        <v>8434</v>
      </c>
      <c r="C316">
        <v>1986</v>
      </c>
      <c r="D316">
        <v>420</v>
      </c>
      <c r="E316">
        <f t="shared" ref="E316:E346" si="76">SUM(Q316,-R316,-S316)</f>
        <v>3236</v>
      </c>
      <c r="F316">
        <f t="shared" ref="F316:F346" si="77">SUM(T316,-U316,-V316)</f>
        <v>1653</v>
      </c>
      <c r="G316">
        <f t="shared" ref="G316:G346" si="78">SUM(W316,-X316,-Y316)</f>
        <v>1621</v>
      </c>
      <c r="H316">
        <f t="shared" ref="H316:H346" si="79">SUM(Z316,-AA316,-AB316)</f>
        <v>557</v>
      </c>
      <c r="I316">
        <f t="shared" ref="I316:I346" si="80">SUM(AC316,-AD316,-AE316)</f>
        <v>1235</v>
      </c>
      <c r="J316">
        <f t="shared" ref="J316:J346" si="81">SUM(AF316,-AG316,-AH316)</f>
        <v>1898</v>
      </c>
      <c r="K316">
        <f t="shared" ref="K316:K346" si="82">SUM(AI316,-AJ316,-AK316)</f>
        <v>6168</v>
      </c>
      <c r="L316">
        <f t="shared" ref="L316:L346" si="83">SUM(AL316,-AM316,-AN316)</f>
        <v>10258</v>
      </c>
      <c r="M316">
        <f t="shared" ref="M316:M346" si="84">SUM(AO316,-AP316,-AQ316)</f>
        <v>2606</v>
      </c>
      <c r="N316">
        <f t="shared" ref="N316:N346" si="85">SUM(AR316,-AS316,-AT316)</f>
        <v>2578</v>
      </c>
      <c r="O316">
        <f t="shared" ref="O316:O346" si="86">SUM(B316:N316)</f>
        <v>42650</v>
      </c>
      <c r="Q316">
        <v>8703</v>
      </c>
      <c r="R316">
        <v>5156</v>
      </c>
      <c r="S316">
        <v>311</v>
      </c>
      <c r="T316">
        <v>1692</v>
      </c>
      <c r="U316">
        <v>39</v>
      </c>
      <c r="V316">
        <v>0</v>
      </c>
      <c r="W316">
        <v>2399</v>
      </c>
      <c r="X316">
        <v>461</v>
      </c>
      <c r="Y316">
        <v>317</v>
      </c>
      <c r="Z316" s="271">
        <v>769</v>
      </c>
      <c r="AA316">
        <v>212</v>
      </c>
      <c r="AB316">
        <v>0</v>
      </c>
      <c r="AC316">
        <v>1738</v>
      </c>
      <c r="AD316">
        <v>206</v>
      </c>
      <c r="AE316">
        <v>297</v>
      </c>
      <c r="AF316">
        <v>2454</v>
      </c>
      <c r="AG316">
        <v>476</v>
      </c>
      <c r="AH316">
        <v>80</v>
      </c>
      <c r="AI316">
        <v>6282</v>
      </c>
      <c r="AJ316">
        <v>114</v>
      </c>
      <c r="AK316">
        <v>0</v>
      </c>
      <c r="AL316">
        <v>10770</v>
      </c>
      <c r="AM316">
        <v>384</v>
      </c>
      <c r="AN316">
        <v>128</v>
      </c>
      <c r="AO316">
        <v>4172</v>
      </c>
      <c r="AP316">
        <v>720</v>
      </c>
      <c r="AQ316">
        <v>846</v>
      </c>
      <c r="AR316">
        <v>3140</v>
      </c>
      <c r="AS316">
        <v>555</v>
      </c>
      <c r="AT316">
        <v>7</v>
      </c>
      <c r="AU316">
        <v>1097</v>
      </c>
      <c r="AV316">
        <v>111</v>
      </c>
      <c r="AW316">
        <v>0</v>
      </c>
      <c r="AX316">
        <f t="shared" ref="AX316:AX346" si="87">SUM(D316,Q316,T316,W316,Z316,AC316,AF316,AI316,AL316,AO316,AR316,AU316)</f>
        <v>43636</v>
      </c>
      <c r="AZ316" t="s">
        <v>607</v>
      </c>
      <c r="BA316" s="128">
        <v>40133</v>
      </c>
      <c r="BB316" s="128">
        <v>902310</v>
      </c>
      <c r="BC316" s="128">
        <v>0</v>
      </c>
      <c r="BD316" s="128">
        <v>3318495</v>
      </c>
      <c r="BE316" s="128">
        <v>681049.21</v>
      </c>
      <c r="BF316" s="128">
        <v>7810106.6644246727</v>
      </c>
      <c r="BG316" s="272">
        <v>855213.34042455256</v>
      </c>
      <c r="BH316">
        <v>7554</v>
      </c>
      <c r="BI316">
        <v>5746</v>
      </c>
      <c r="BJ316">
        <v>595</v>
      </c>
      <c r="BK316">
        <v>722</v>
      </c>
      <c r="BL316">
        <v>1326</v>
      </c>
      <c r="BM316">
        <v>318</v>
      </c>
      <c r="BN316" s="128">
        <v>139</v>
      </c>
      <c r="BO316" s="128">
        <v>0</v>
      </c>
      <c r="BP316" s="128">
        <v>75</v>
      </c>
      <c r="BQ316" s="128">
        <f t="shared" si="73"/>
        <v>10090825.785150774</v>
      </c>
      <c r="BR316">
        <v>51493</v>
      </c>
      <c r="BS316" s="128">
        <f t="shared" si="75"/>
        <v>195.96500077973266</v>
      </c>
      <c r="BT316" t="s">
        <v>467</v>
      </c>
      <c r="BU316" s="129">
        <f t="shared" si="74"/>
        <v>197.42150943139404</v>
      </c>
      <c r="BZ316" t="s">
        <v>272</v>
      </c>
      <c r="CA316">
        <v>1582.4371287199381</v>
      </c>
      <c r="CB316" t="s">
        <v>118</v>
      </c>
    </row>
    <row r="317" spans="1:80" ht="14.5" x14ac:dyDescent="0.25">
      <c r="A317" t="s">
        <v>608</v>
      </c>
      <c r="B317">
        <v>36799</v>
      </c>
      <c r="C317">
        <v>9342</v>
      </c>
      <c r="D317">
        <v>3788</v>
      </c>
      <c r="E317">
        <f t="shared" si="76"/>
        <v>11975</v>
      </c>
      <c r="F317">
        <f t="shared" si="77"/>
        <v>4289</v>
      </c>
      <c r="G317">
        <f t="shared" si="78"/>
        <v>5188</v>
      </c>
      <c r="H317">
        <f t="shared" si="79"/>
        <v>-34</v>
      </c>
      <c r="I317">
        <f t="shared" si="80"/>
        <v>2891</v>
      </c>
      <c r="J317">
        <f t="shared" si="81"/>
        <v>8697</v>
      </c>
      <c r="K317">
        <f t="shared" si="82"/>
        <v>24569</v>
      </c>
      <c r="L317">
        <f t="shared" si="83"/>
        <v>40478</v>
      </c>
      <c r="M317">
        <f t="shared" si="84"/>
        <v>13336</v>
      </c>
      <c r="N317">
        <f t="shared" si="85"/>
        <v>1418</v>
      </c>
      <c r="O317">
        <f t="shared" si="86"/>
        <v>162736</v>
      </c>
      <c r="Q317">
        <v>31886</v>
      </c>
      <c r="R317">
        <v>18721</v>
      </c>
      <c r="S317">
        <v>1190</v>
      </c>
      <c r="T317">
        <v>5232</v>
      </c>
      <c r="U317">
        <v>935</v>
      </c>
      <c r="V317">
        <v>8</v>
      </c>
      <c r="W317">
        <v>9119</v>
      </c>
      <c r="X317">
        <v>1752</v>
      </c>
      <c r="Y317">
        <v>2179</v>
      </c>
      <c r="Z317" s="271">
        <v>249</v>
      </c>
      <c r="AA317">
        <v>268</v>
      </c>
      <c r="AB317">
        <v>15</v>
      </c>
      <c r="AC317">
        <v>5681</v>
      </c>
      <c r="AD317">
        <v>674</v>
      </c>
      <c r="AE317">
        <v>2116</v>
      </c>
      <c r="AF317">
        <v>14499</v>
      </c>
      <c r="AG317">
        <v>3944</v>
      </c>
      <c r="AH317">
        <v>1858</v>
      </c>
      <c r="AI317">
        <v>25895</v>
      </c>
      <c r="AJ317">
        <v>1326</v>
      </c>
      <c r="AK317">
        <v>0</v>
      </c>
      <c r="AL317">
        <v>43599</v>
      </c>
      <c r="AM317">
        <v>2995</v>
      </c>
      <c r="AN317">
        <v>126</v>
      </c>
      <c r="AO317">
        <v>17441</v>
      </c>
      <c r="AP317">
        <v>2446</v>
      </c>
      <c r="AQ317">
        <v>1659</v>
      </c>
      <c r="AR317">
        <v>5060</v>
      </c>
      <c r="AS317">
        <v>3451</v>
      </c>
      <c r="AT317">
        <v>191</v>
      </c>
      <c r="AU317">
        <v>-551</v>
      </c>
      <c r="AV317">
        <v>287</v>
      </c>
      <c r="AW317">
        <v>0</v>
      </c>
      <c r="AX317">
        <f t="shared" si="87"/>
        <v>161898</v>
      </c>
      <c r="AZ317" t="s">
        <v>608</v>
      </c>
      <c r="BA317" s="128">
        <v>149319</v>
      </c>
      <c r="BB317" s="128">
        <v>2606042</v>
      </c>
      <c r="BC317" s="128">
        <v>0</v>
      </c>
      <c r="BD317" s="128">
        <v>8149601</v>
      </c>
      <c r="BE317" s="128">
        <v>1113426</v>
      </c>
      <c r="BF317" s="128">
        <v>15607799.001565609</v>
      </c>
      <c r="BG317" s="272">
        <v>3234144.2646390758</v>
      </c>
      <c r="BH317">
        <v>6052</v>
      </c>
      <c r="BI317">
        <v>8387</v>
      </c>
      <c r="BJ317">
        <v>971</v>
      </c>
      <c r="BK317">
        <v>542</v>
      </c>
      <c r="BL317">
        <v>1280</v>
      </c>
      <c r="BM317">
        <v>52</v>
      </c>
      <c r="BN317" s="128">
        <v>0</v>
      </c>
      <c r="BO317" s="128">
        <v>0</v>
      </c>
      <c r="BP317" s="128">
        <v>189</v>
      </c>
      <c r="BQ317" s="128">
        <f t="shared" si="73"/>
        <v>101134987.73379532</v>
      </c>
      <c r="BR317">
        <v>63660</v>
      </c>
      <c r="BS317" s="128">
        <f t="shared" si="75"/>
        <v>1588.67401404014</v>
      </c>
      <c r="BT317" t="s">
        <v>118</v>
      </c>
      <c r="BU317" s="129">
        <f t="shared" si="74"/>
        <v>1591.6429113068696</v>
      </c>
      <c r="BZ317" t="s">
        <v>390</v>
      </c>
      <c r="CA317">
        <v>1702.5466304289048</v>
      </c>
      <c r="CB317" t="s">
        <v>118</v>
      </c>
    </row>
    <row r="318" spans="1:80" ht="14.5" x14ac:dyDescent="0.25">
      <c r="A318" t="s">
        <v>116</v>
      </c>
      <c r="B318">
        <v>13115</v>
      </c>
      <c r="C318">
        <v>2076</v>
      </c>
      <c r="D318">
        <v>184</v>
      </c>
      <c r="E318">
        <f t="shared" si="76"/>
        <v>3722</v>
      </c>
      <c r="F318">
        <f t="shared" si="77"/>
        <v>1266</v>
      </c>
      <c r="G318">
        <f t="shared" si="78"/>
        <v>2127</v>
      </c>
      <c r="H318">
        <f t="shared" si="79"/>
        <v>1068</v>
      </c>
      <c r="I318">
        <f t="shared" si="80"/>
        <v>863</v>
      </c>
      <c r="J318">
        <f t="shared" si="81"/>
        <v>3967</v>
      </c>
      <c r="K318">
        <f t="shared" si="82"/>
        <v>8017</v>
      </c>
      <c r="L318">
        <f t="shared" si="83"/>
        <v>9266</v>
      </c>
      <c r="M318">
        <f t="shared" si="84"/>
        <v>4106</v>
      </c>
      <c r="N318">
        <f t="shared" si="85"/>
        <v>1051</v>
      </c>
      <c r="O318">
        <f t="shared" si="86"/>
        <v>50828</v>
      </c>
      <c r="Q318">
        <v>10778</v>
      </c>
      <c r="R318">
        <v>6652</v>
      </c>
      <c r="S318">
        <v>404</v>
      </c>
      <c r="T318">
        <v>1410</v>
      </c>
      <c r="U318">
        <v>113</v>
      </c>
      <c r="V318">
        <v>31</v>
      </c>
      <c r="W318">
        <v>3337</v>
      </c>
      <c r="X318">
        <v>589</v>
      </c>
      <c r="Y318">
        <v>621</v>
      </c>
      <c r="Z318" s="271">
        <v>1499</v>
      </c>
      <c r="AA318">
        <v>376</v>
      </c>
      <c r="AB318">
        <v>55</v>
      </c>
      <c r="AC318">
        <v>1506</v>
      </c>
      <c r="AD318">
        <v>96</v>
      </c>
      <c r="AE318">
        <v>547</v>
      </c>
      <c r="AF318">
        <v>4951</v>
      </c>
      <c r="AG318">
        <v>731</v>
      </c>
      <c r="AH318">
        <v>253</v>
      </c>
      <c r="AI318">
        <v>8984</v>
      </c>
      <c r="AJ318">
        <v>967</v>
      </c>
      <c r="AK318">
        <v>0</v>
      </c>
      <c r="AL318">
        <v>10925</v>
      </c>
      <c r="AM318">
        <v>1643</v>
      </c>
      <c r="AN318">
        <v>16</v>
      </c>
      <c r="AO318">
        <v>5065</v>
      </c>
      <c r="AP318">
        <v>810</v>
      </c>
      <c r="AQ318">
        <v>149</v>
      </c>
      <c r="AR318">
        <v>2120</v>
      </c>
      <c r="AS318">
        <v>1069</v>
      </c>
      <c r="AT318">
        <v>0</v>
      </c>
      <c r="AU318">
        <v>3397</v>
      </c>
      <c r="AV318">
        <v>69</v>
      </c>
      <c r="AW318">
        <v>0</v>
      </c>
      <c r="AX318">
        <f t="shared" si="87"/>
        <v>54156</v>
      </c>
      <c r="AZ318" t="s">
        <v>116</v>
      </c>
      <c r="BA318" s="128">
        <v>48499</v>
      </c>
      <c r="BB318" s="128">
        <v>562817</v>
      </c>
      <c r="BC318" s="128">
        <v>0</v>
      </c>
      <c r="BD318" s="128">
        <v>2825662</v>
      </c>
      <c r="BE318" s="128">
        <v>376185</v>
      </c>
      <c r="BF318" s="128">
        <v>3968007.9367563687</v>
      </c>
      <c r="BG318" s="272">
        <v>0</v>
      </c>
      <c r="BH318">
        <v>2066</v>
      </c>
      <c r="BI318">
        <v>1804</v>
      </c>
      <c r="BJ318">
        <v>283</v>
      </c>
      <c r="BK318">
        <v>233</v>
      </c>
      <c r="BL318">
        <v>409</v>
      </c>
      <c r="BM318">
        <v>68</v>
      </c>
      <c r="BN318" s="128">
        <v>1953</v>
      </c>
      <c r="BO318" s="128">
        <v>0</v>
      </c>
      <c r="BP318" s="128">
        <v>45</v>
      </c>
      <c r="BQ318" s="128">
        <f t="shared" si="73"/>
        <v>33905328.063243628</v>
      </c>
      <c r="BR318">
        <v>19663</v>
      </c>
      <c r="BS318" s="128">
        <f t="shared" si="75"/>
        <v>1724.3212156458133</v>
      </c>
      <c r="BT318" t="s">
        <v>118</v>
      </c>
      <c r="BU318" s="129">
        <f t="shared" si="74"/>
        <v>1726.6097779201357</v>
      </c>
      <c r="BZ318" t="s">
        <v>159</v>
      </c>
      <c r="CA318">
        <v>1827.6378885680526</v>
      </c>
      <c r="CB318" t="s">
        <v>118</v>
      </c>
    </row>
    <row r="319" spans="1:80" ht="14.5" x14ac:dyDescent="0.25">
      <c r="A319" t="s">
        <v>208</v>
      </c>
      <c r="B319">
        <v>899</v>
      </c>
      <c r="C319">
        <v>1303</v>
      </c>
      <c r="D319">
        <v>655</v>
      </c>
      <c r="E319">
        <f t="shared" si="76"/>
        <v>6149</v>
      </c>
      <c r="F319">
        <f t="shared" si="77"/>
        <v>1088</v>
      </c>
      <c r="G319">
        <f t="shared" si="78"/>
        <v>895</v>
      </c>
      <c r="H319">
        <f t="shared" si="79"/>
        <v>255</v>
      </c>
      <c r="I319">
        <f t="shared" si="80"/>
        <v>1072</v>
      </c>
      <c r="J319">
        <f t="shared" si="81"/>
        <v>2098</v>
      </c>
      <c r="K319">
        <f t="shared" si="82"/>
        <v>10255</v>
      </c>
      <c r="L319">
        <f t="shared" si="83"/>
        <v>11430</v>
      </c>
      <c r="M319">
        <f t="shared" si="84"/>
        <v>2987</v>
      </c>
      <c r="N319">
        <f t="shared" si="85"/>
        <v>984</v>
      </c>
      <c r="O319">
        <f t="shared" si="86"/>
        <v>40070</v>
      </c>
      <c r="Q319">
        <v>7330</v>
      </c>
      <c r="R319">
        <v>899</v>
      </c>
      <c r="S319">
        <v>282</v>
      </c>
      <c r="T319">
        <v>1088</v>
      </c>
      <c r="U319">
        <v>0</v>
      </c>
      <c r="V319">
        <v>0</v>
      </c>
      <c r="W319">
        <v>1056</v>
      </c>
      <c r="X319">
        <v>0</v>
      </c>
      <c r="Y319">
        <v>161</v>
      </c>
      <c r="Z319" s="271">
        <v>277</v>
      </c>
      <c r="AA319">
        <v>0</v>
      </c>
      <c r="AB319">
        <v>22</v>
      </c>
      <c r="AC319">
        <v>1305</v>
      </c>
      <c r="AD319">
        <v>0</v>
      </c>
      <c r="AE319">
        <v>233</v>
      </c>
      <c r="AF319">
        <v>2296</v>
      </c>
      <c r="AG319">
        <v>0</v>
      </c>
      <c r="AH319">
        <v>198</v>
      </c>
      <c r="AI319">
        <v>10255</v>
      </c>
      <c r="AJ319">
        <v>0</v>
      </c>
      <c r="AK319">
        <v>0</v>
      </c>
      <c r="AL319">
        <v>11438</v>
      </c>
      <c r="AM319">
        <v>0</v>
      </c>
      <c r="AN319">
        <v>8</v>
      </c>
      <c r="AO319">
        <v>3386</v>
      </c>
      <c r="AP319">
        <v>0</v>
      </c>
      <c r="AQ319">
        <v>399</v>
      </c>
      <c r="AR319">
        <v>984</v>
      </c>
      <c r="AS319">
        <v>0</v>
      </c>
      <c r="AT319">
        <v>0</v>
      </c>
      <c r="AU319">
        <v>0</v>
      </c>
      <c r="AV319">
        <v>0</v>
      </c>
      <c r="AW319">
        <v>0</v>
      </c>
      <c r="AX319">
        <f t="shared" si="87"/>
        <v>40070</v>
      </c>
      <c r="AZ319" t="s">
        <v>208</v>
      </c>
      <c r="BA319" s="128">
        <v>38112</v>
      </c>
      <c r="BB319" s="128">
        <v>749190</v>
      </c>
      <c r="BC319" s="128">
        <v>0</v>
      </c>
      <c r="BD319" s="128">
        <v>2466195</v>
      </c>
      <c r="BE319" s="128">
        <v>350025</v>
      </c>
      <c r="BF319" s="128">
        <v>5037182</v>
      </c>
      <c r="BG319" s="272">
        <v>808540.57446764037</v>
      </c>
      <c r="BH319">
        <v>1590</v>
      </c>
      <c r="BI319">
        <v>1544</v>
      </c>
      <c r="BJ319">
        <v>187</v>
      </c>
      <c r="BK319">
        <v>52</v>
      </c>
      <c r="BL319">
        <v>86</v>
      </c>
      <c r="BM319">
        <v>44</v>
      </c>
      <c r="BN319" s="128">
        <v>0</v>
      </c>
      <c r="BO319" s="128">
        <v>0</v>
      </c>
      <c r="BP319" s="128">
        <v>10</v>
      </c>
      <c r="BQ319" s="128">
        <f t="shared" si="73"/>
        <v>25187867.42553236</v>
      </c>
      <c r="BR319">
        <v>15011</v>
      </c>
      <c r="BS319" s="128">
        <f t="shared" si="75"/>
        <v>1677.9606572201958</v>
      </c>
      <c r="BT319" t="s">
        <v>118</v>
      </c>
      <c r="BU319" s="129">
        <f t="shared" si="74"/>
        <v>1678.6268353562293</v>
      </c>
      <c r="BZ319" t="s">
        <v>422</v>
      </c>
      <c r="CA319">
        <v>1737.6258782466577</v>
      </c>
      <c r="CB319" t="s">
        <v>118</v>
      </c>
    </row>
    <row r="320" spans="1:80" ht="14.5" x14ac:dyDescent="0.25">
      <c r="A320" t="s">
        <v>609</v>
      </c>
      <c r="B320">
        <v>23272</v>
      </c>
      <c r="C320">
        <v>2538</v>
      </c>
      <c r="D320">
        <v>354</v>
      </c>
      <c r="E320">
        <f t="shared" si="76"/>
        <v>5984</v>
      </c>
      <c r="F320">
        <f t="shared" si="77"/>
        <v>2073</v>
      </c>
      <c r="G320">
        <f t="shared" si="78"/>
        <v>2254</v>
      </c>
      <c r="H320">
        <f t="shared" si="79"/>
        <v>171</v>
      </c>
      <c r="I320">
        <f t="shared" si="80"/>
        <v>3116</v>
      </c>
      <c r="J320">
        <f t="shared" si="81"/>
        <v>4932</v>
      </c>
      <c r="K320">
        <f t="shared" si="82"/>
        <v>20110</v>
      </c>
      <c r="L320">
        <f t="shared" si="83"/>
        <v>19842</v>
      </c>
      <c r="M320">
        <f t="shared" si="84"/>
        <v>5873</v>
      </c>
      <c r="N320">
        <f t="shared" si="85"/>
        <v>725</v>
      </c>
      <c r="O320">
        <f t="shared" si="86"/>
        <v>91244</v>
      </c>
      <c r="Q320">
        <v>15078</v>
      </c>
      <c r="R320">
        <v>9052</v>
      </c>
      <c r="S320">
        <v>42</v>
      </c>
      <c r="T320">
        <v>2463</v>
      </c>
      <c r="U320">
        <v>386</v>
      </c>
      <c r="V320">
        <v>4</v>
      </c>
      <c r="W320">
        <v>3229</v>
      </c>
      <c r="X320">
        <v>659</v>
      </c>
      <c r="Y320">
        <v>316</v>
      </c>
      <c r="Z320" s="271">
        <v>508</v>
      </c>
      <c r="AA320">
        <v>331</v>
      </c>
      <c r="AB320">
        <v>6</v>
      </c>
      <c r="AC320">
        <v>9520</v>
      </c>
      <c r="AD320">
        <v>5547</v>
      </c>
      <c r="AE320">
        <v>857</v>
      </c>
      <c r="AF320">
        <v>6814</v>
      </c>
      <c r="AG320">
        <v>1391</v>
      </c>
      <c r="AH320">
        <v>491</v>
      </c>
      <c r="AI320">
        <v>21289</v>
      </c>
      <c r="AJ320">
        <v>1169</v>
      </c>
      <c r="AK320">
        <v>10</v>
      </c>
      <c r="AL320">
        <v>22097</v>
      </c>
      <c r="AM320">
        <v>2116</v>
      </c>
      <c r="AN320">
        <v>139</v>
      </c>
      <c r="AO320">
        <v>8059</v>
      </c>
      <c r="AP320">
        <v>1520</v>
      </c>
      <c r="AQ320">
        <v>666</v>
      </c>
      <c r="AR320">
        <v>1833</v>
      </c>
      <c r="AS320">
        <v>1101</v>
      </c>
      <c r="AT320">
        <v>7</v>
      </c>
      <c r="AU320">
        <v>0</v>
      </c>
      <c r="AV320">
        <v>0</v>
      </c>
      <c r="AW320">
        <v>0</v>
      </c>
      <c r="AX320">
        <f t="shared" si="87"/>
        <v>91244</v>
      </c>
      <c r="AZ320" t="s">
        <v>609</v>
      </c>
      <c r="BA320" s="128">
        <v>88352</v>
      </c>
      <c r="BB320" s="128">
        <v>1551339</v>
      </c>
      <c r="BC320" s="128">
        <v>0</v>
      </c>
      <c r="BD320" s="128">
        <v>8413594</v>
      </c>
      <c r="BE320" s="128">
        <v>3640708</v>
      </c>
      <c r="BF320" s="128">
        <v>8130463.3385831136</v>
      </c>
      <c r="BG320" s="272">
        <v>6592433.120600624</v>
      </c>
      <c r="BH320">
        <v>3741</v>
      </c>
      <c r="BI320">
        <v>3460</v>
      </c>
      <c r="BJ320">
        <v>214</v>
      </c>
      <c r="BK320">
        <v>105</v>
      </c>
      <c r="BL320">
        <v>333</v>
      </c>
      <c r="BM320">
        <v>40</v>
      </c>
      <c r="BN320" s="128">
        <v>349</v>
      </c>
      <c r="BO320" s="128">
        <v>0</v>
      </c>
      <c r="BP320" s="128">
        <v>15</v>
      </c>
      <c r="BQ320" s="128">
        <f t="shared" si="73"/>
        <v>51766462.540816262</v>
      </c>
      <c r="BR320">
        <v>26190</v>
      </c>
      <c r="BS320" s="128">
        <f t="shared" si="75"/>
        <v>1976.5735983511363</v>
      </c>
      <c r="BT320" t="s">
        <v>118</v>
      </c>
      <c r="BU320" s="129">
        <f t="shared" si="74"/>
        <v>1977.1463360372761</v>
      </c>
      <c r="BZ320" t="s">
        <v>440</v>
      </c>
      <c r="CA320">
        <v>1812.161565204093</v>
      </c>
      <c r="CB320" t="s">
        <v>118</v>
      </c>
    </row>
    <row r="321" spans="1:80" ht="14.5" x14ac:dyDescent="0.25">
      <c r="A321" t="s">
        <v>324</v>
      </c>
      <c r="B321">
        <v>70675</v>
      </c>
      <c r="C321">
        <v>32170</v>
      </c>
      <c r="D321">
        <v>5848</v>
      </c>
      <c r="E321">
        <f t="shared" si="76"/>
        <v>17557</v>
      </c>
      <c r="F321">
        <f t="shared" si="77"/>
        <v>7976</v>
      </c>
      <c r="G321">
        <f t="shared" si="78"/>
        <v>9486</v>
      </c>
      <c r="H321">
        <f t="shared" si="79"/>
        <v>3763</v>
      </c>
      <c r="I321">
        <f t="shared" si="80"/>
        <v>5440</v>
      </c>
      <c r="J321">
        <f t="shared" si="81"/>
        <v>15049</v>
      </c>
      <c r="K321">
        <f t="shared" si="82"/>
        <v>33295</v>
      </c>
      <c r="L321">
        <f t="shared" si="83"/>
        <v>57390</v>
      </c>
      <c r="M321">
        <f t="shared" si="84"/>
        <v>24663</v>
      </c>
      <c r="N321">
        <f t="shared" si="85"/>
        <v>5526</v>
      </c>
      <c r="O321">
        <f t="shared" si="86"/>
        <v>288838</v>
      </c>
      <c r="Q321">
        <v>62196</v>
      </c>
      <c r="R321">
        <v>39795</v>
      </c>
      <c r="S321">
        <v>4844</v>
      </c>
      <c r="T321">
        <v>10714</v>
      </c>
      <c r="U321">
        <v>2582</v>
      </c>
      <c r="V321">
        <v>156</v>
      </c>
      <c r="W321">
        <v>19411</v>
      </c>
      <c r="X321">
        <v>3259</v>
      </c>
      <c r="Y321">
        <v>6666</v>
      </c>
      <c r="Z321" s="271">
        <v>4750</v>
      </c>
      <c r="AA321">
        <v>987</v>
      </c>
      <c r="AB321">
        <v>0</v>
      </c>
      <c r="AC321">
        <v>10498</v>
      </c>
      <c r="AD321">
        <v>1138</v>
      </c>
      <c r="AE321">
        <v>3920</v>
      </c>
      <c r="AF321">
        <v>28086</v>
      </c>
      <c r="AG321">
        <v>3473</v>
      </c>
      <c r="AH321">
        <v>9564</v>
      </c>
      <c r="AI321">
        <v>35861</v>
      </c>
      <c r="AJ321">
        <v>2566</v>
      </c>
      <c r="AK321">
        <v>0</v>
      </c>
      <c r="AL321">
        <v>63012</v>
      </c>
      <c r="AM321">
        <v>5452</v>
      </c>
      <c r="AN321">
        <v>170</v>
      </c>
      <c r="AO321">
        <v>32085</v>
      </c>
      <c r="AP321">
        <v>3164</v>
      </c>
      <c r="AQ321">
        <v>4258</v>
      </c>
      <c r="AR321">
        <v>13025</v>
      </c>
      <c r="AS321">
        <v>7418</v>
      </c>
      <c r="AT321">
        <v>81</v>
      </c>
      <c r="AU321">
        <v>34697</v>
      </c>
      <c r="AV321">
        <v>841</v>
      </c>
      <c r="AW321">
        <v>2511</v>
      </c>
      <c r="AX321">
        <f t="shared" si="87"/>
        <v>320183</v>
      </c>
      <c r="AZ321" t="s">
        <v>324</v>
      </c>
      <c r="BA321" s="128">
        <v>247468</v>
      </c>
      <c r="BB321" s="128">
        <v>2830765</v>
      </c>
      <c r="BC321" s="128">
        <v>0</v>
      </c>
      <c r="BD321" s="128">
        <v>7105273</v>
      </c>
      <c r="BE321" s="128">
        <v>1325887</v>
      </c>
      <c r="BF321" s="128">
        <v>19217958.648277063</v>
      </c>
      <c r="BG321" s="272">
        <v>0</v>
      </c>
      <c r="BH321">
        <v>14642</v>
      </c>
      <c r="BI321">
        <v>14849</v>
      </c>
      <c r="BJ321">
        <v>1065</v>
      </c>
      <c r="BK321">
        <v>1038</v>
      </c>
      <c r="BL321">
        <v>4468</v>
      </c>
      <c r="BM321">
        <v>397</v>
      </c>
      <c r="BN321" s="128">
        <v>385</v>
      </c>
      <c r="BO321" s="128">
        <v>0</v>
      </c>
      <c r="BP321" s="128">
        <v>81</v>
      </c>
      <c r="BQ321" s="128">
        <f t="shared" si="73"/>
        <v>180063116.35172293</v>
      </c>
      <c r="BR321">
        <v>111366</v>
      </c>
      <c r="BS321" s="128">
        <f t="shared" si="75"/>
        <v>1616.8589726821733</v>
      </c>
      <c r="BT321" t="s">
        <v>467</v>
      </c>
      <c r="BU321" s="129">
        <f t="shared" si="74"/>
        <v>1617.586304183709</v>
      </c>
      <c r="BZ321" t="s">
        <v>339</v>
      </c>
      <c r="CA321">
        <v>1818.1803420417493</v>
      </c>
      <c r="CB321" t="s">
        <v>118</v>
      </c>
    </row>
    <row r="322" spans="1:80" ht="14.5" x14ac:dyDescent="0.25">
      <c r="A322" t="s">
        <v>140</v>
      </c>
      <c r="B322">
        <v>22176</v>
      </c>
      <c r="C322">
        <v>4203</v>
      </c>
      <c r="D322">
        <v>1761</v>
      </c>
      <c r="E322">
        <f t="shared" si="76"/>
        <v>3489</v>
      </c>
      <c r="F322">
        <f t="shared" si="77"/>
        <v>1597</v>
      </c>
      <c r="G322">
        <f t="shared" si="78"/>
        <v>2536</v>
      </c>
      <c r="H322">
        <f t="shared" si="79"/>
        <v>396</v>
      </c>
      <c r="I322">
        <f t="shared" si="80"/>
        <v>2139</v>
      </c>
      <c r="J322">
        <f t="shared" si="81"/>
        <v>2931</v>
      </c>
      <c r="K322">
        <f t="shared" si="82"/>
        <v>13290</v>
      </c>
      <c r="L322">
        <f t="shared" si="83"/>
        <v>14407</v>
      </c>
      <c r="M322">
        <f t="shared" si="84"/>
        <v>5284</v>
      </c>
      <c r="N322">
        <f t="shared" si="85"/>
        <v>1250</v>
      </c>
      <c r="O322">
        <f t="shared" si="86"/>
        <v>75459</v>
      </c>
      <c r="Q322">
        <v>16230</v>
      </c>
      <c r="R322">
        <v>11542</v>
      </c>
      <c r="S322">
        <v>1199</v>
      </c>
      <c r="T322">
        <v>1758</v>
      </c>
      <c r="U322">
        <v>161</v>
      </c>
      <c r="V322">
        <v>0</v>
      </c>
      <c r="W322">
        <v>4219</v>
      </c>
      <c r="X322">
        <v>913</v>
      </c>
      <c r="Y322">
        <v>770</v>
      </c>
      <c r="Z322" s="271">
        <v>602</v>
      </c>
      <c r="AA322">
        <v>203</v>
      </c>
      <c r="AB322">
        <v>3</v>
      </c>
      <c r="AC322">
        <v>3570</v>
      </c>
      <c r="AD322">
        <v>471</v>
      </c>
      <c r="AE322">
        <v>960</v>
      </c>
      <c r="AF322">
        <v>5773</v>
      </c>
      <c r="AG322">
        <v>2619</v>
      </c>
      <c r="AH322">
        <v>223</v>
      </c>
      <c r="AI322">
        <v>14626</v>
      </c>
      <c r="AJ322">
        <v>1257</v>
      </c>
      <c r="AK322">
        <v>79</v>
      </c>
      <c r="AL322">
        <v>17441</v>
      </c>
      <c r="AM322">
        <v>2950</v>
      </c>
      <c r="AN322">
        <v>84</v>
      </c>
      <c r="AO322">
        <v>7486</v>
      </c>
      <c r="AP322">
        <v>1495</v>
      </c>
      <c r="AQ322">
        <v>707</v>
      </c>
      <c r="AR322">
        <v>1972</v>
      </c>
      <c r="AS322">
        <v>544</v>
      </c>
      <c r="AT322">
        <v>178</v>
      </c>
      <c r="AU322">
        <v>1971</v>
      </c>
      <c r="AV322">
        <v>21</v>
      </c>
      <c r="AW322">
        <v>0</v>
      </c>
      <c r="AX322">
        <f t="shared" si="87"/>
        <v>77409</v>
      </c>
      <c r="AZ322" t="s">
        <v>140</v>
      </c>
      <c r="BA322" s="128">
        <v>69474</v>
      </c>
      <c r="BB322" s="128">
        <v>583769</v>
      </c>
      <c r="BC322" s="128">
        <v>0</v>
      </c>
      <c r="BD322" s="128">
        <v>4317737</v>
      </c>
      <c r="BE322" s="128">
        <v>603782</v>
      </c>
      <c r="BF322" s="128">
        <v>7497176.2089599594</v>
      </c>
      <c r="BG322" s="272">
        <v>0</v>
      </c>
      <c r="BH322">
        <v>2048</v>
      </c>
      <c r="BI322">
        <v>3131</v>
      </c>
      <c r="BJ322">
        <v>273</v>
      </c>
      <c r="BK322">
        <v>91</v>
      </c>
      <c r="BL322">
        <v>600</v>
      </c>
      <c r="BM322">
        <v>96</v>
      </c>
      <c r="BN322" s="128">
        <v>200</v>
      </c>
      <c r="BO322" s="128">
        <v>0</v>
      </c>
      <c r="BP322" s="128">
        <v>2366</v>
      </c>
      <c r="BQ322" s="128">
        <f t="shared" si="73"/>
        <v>47666535.791040041</v>
      </c>
      <c r="BR322">
        <v>26125</v>
      </c>
      <c r="BS322" s="128">
        <f t="shared" si="75"/>
        <v>1824.5563939154083</v>
      </c>
      <c r="BT322" t="s">
        <v>118</v>
      </c>
      <c r="BU322" s="129">
        <f t="shared" si="74"/>
        <v>1915.1209872168436</v>
      </c>
      <c r="BZ322" t="s">
        <v>273</v>
      </c>
      <c r="CA322">
        <v>1875.192032878864</v>
      </c>
      <c r="CB322" t="s">
        <v>118</v>
      </c>
    </row>
    <row r="323" spans="1:80" ht="14.5" x14ac:dyDescent="0.25">
      <c r="A323" t="s">
        <v>325</v>
      </c>
      <c r="B323">
        <v>10860</v>
      </c>
      <c r="C323">
        <v>4197</v>
      </c>
      <c r="D323">
        <v>1473</v>
      </c>
      <c r="E323">
        <f t="shared" si="76"/>
        <v>4221</v>
      </c>
      <c r="F323">
        <f t="shared" si="77"/>
        <v>1300</v>
      </c>
      <c r="G323">
        <f t="shared" si="78"/>
        <v>1628</v>
      </c>
      <c r="H323">
        <f t="shared" si="79"/>
        <v>329</v>
      </c>
      <c r="I323">
        <f t="shared" si="80"/>
        <v>597</v>
      </c>
      <c r="J323">
        <f t="shared" si="81"/>
        <v>2930</v>
      </c>
      <c r="K323">
        <f t="shared" si="82"/>
        <v>2562</v>
      </c>
      <c r="L323">
        <f t="shared" si="83"/>
        <v>5716</v>
      </c>
      <c r="M323">
        <f t="shared" si="84"/>
        <v>4195</v>
      </c>
      <c r="N323">
        <f t="shared" si="85"/>
        <v>4899</v>
      </c>
      <c r="O323">
        <f t="shared" si="86"/>
        <v>44907</v>
      </c>
      <c r="Q323">
        <v>10098</v>
      </c>
      <c r="R323">
        <v>5293</v>
      </c>
      <c r="S323">
        <v>584</v>
      </c>
      <c r="T323">
        <v>1791</v>
      </c>
      <c r="U323">
        <v>471</v>
      </c>
      <c r="V323">
        <v>20</v>
      </c>
      <c r="W323">
        <v>2092</v>
      </c>
      <c r="X323">
        <v>259</v>
      </c>
      <c r="Y323">
        <v>205</v>
      </c>
      <c r="Z323" s="271">
        <v>600</v>
      </c>
      <c r="AA323">
        <v>259</v>
      </c>
      <c r="AB323">
        <v>12</v>
      </c>
      <c r="AC323">
        <v>984</v>
      </c>
      <c r="AD323">
        <v>149</v>
      </c>
      <c r="AE323">
        <v>238</v>
      </c>
      <c r="AF323">
        <v>5545</v>
      </c>
      <c r="AG323">
        <v>1885</v>
      </c>
      <c r="AH323">
        <v>730</v>
      </c>
      <c r="AI323">
        <v>2873</v>
      </c>
      <c r="AJ323">
        <v>311</v>
      </c>
      <c r="AK323">
        <v>0</v>
      </c>
      <c r="AL323">
        <v>6051</v>
      </c>
      <c r="AM323">
        <v>335</v>
      </c>
      <c r="AN323">
        <v>0</v>
      </c>
      <c r="AO323">
        <v>5446</v>
      </c>
      <c r="AP323">
        <v>555</v>
      </c>
      <c r="AQ323">
        <v>696</v>
      </c>
      <c r="AR323">
        <v>7020</v>
      </c>
      <c r="AS323">
        <v>451</v>
      </c>
      <c r="AT323">
        <v>1670</v>
      </c>
      <c r="AU323">
        <v>5352</v>
      </c>
      <c r="AV323">
        <v>892</v>
      </c>
      <c r="AW323">
        <v>42</v>
      </c>
      <c r="AX323">
        <f t="shared" si="87"/>
        <v>49325</v>
      </c>
      <c r="AZ323" t="s">
        <v>325</v>
      </c>
      <c r="BA323" s="128">
        <v>38303</v>
      </c>
      <c r="BB323" s="128">
        <v>358914</v>
      </c>
      <c r="BC323" s="128">
        <v>0</v>
      </c>
      <c r="BD323" s="128">
        <v>60187</v>
      </c>
      <c r="BE323" s="128">
        <v>314273</v>
      </c>
      <c r="BF323" s="128">
        <v>1835263</v>
      </c>
      <c r="BG323" s="272">
        <v>337827.7583761923</v>
      </c>
      <c r="BH323">
        <v>2240</v>
      </c>
      <c r="BI323">
        <v>2138</v>
      </c>
      <c r="BJ323">
        <v>205</v>
      </c>
      <c r="BK323">
        <v>374</v>
      </c>
      <c r="BL323">
        <v>658</v>
      </c>
      <c r="BM323">
        <v>36</v>
      </c>
      <c r="BN323" s="128">
        <v>1006</v>
      </c>
      <c r="BO323" s="128">
        <v>426</v>
      </c>
      <c r="BP323" s="128">
        <v>140</v>
      </c>
      <c r="BQ323" s="128">
        <f t="shared" ref="BQ323:BQ347" si="88">SUM(1000*BA323,-BB323,-BC323,-BD323,-BE323,-BF323,-BG323,-1000*BH323,-1000*BI323,-1000*BJ323,-1000*BK323,-1000*BL323,-1000*BM323,-1000*BN323,-1000*BO323,-1000*BP323)</f>
        <v>28173535.241623804</v>
      </c>
      <c r="BR323">
        <v>14903</v>
      </c>
      <c r="BS323" s="128">
        <f t="shared" si="75"/>
        <v>1890.4606617207141</v>
      </c>
      <c r="BT323" t="s">
        <v>467</v>
      </c>
      <c r="BU323" s="129">
        <f t="shared" ref="BU323:BU347" si="89">SUM(BQ323,1000*BP323)/BR323</f>
        <v>1899.8547434492252</v>
      </c>
      <c r="BZ323" t="s">
        <v>161</v>
      </c>
      <c r="CA323">
        <v>2008.163612494435</v>
      </c>
      <c r="CB323" t="s">
        <v>118</v>
      </c>
    </row>
    <row r="324" spans="1:80" ht="14.5" x14ac:dyDescent="0.25">
      <c r="A324" t="s">
        <v>162</v>
      </c>
      <c r="B324">
        <v>13443</v>
      </c>
      <c r="C324">
        <v>1841</v>
      </c>
      <c r="D324">
        <v>982</v>
      </c>
      <c r="E324">
        <f t="shared" si="76"/>
        <v>4034</v>
      </c>
      <c r="F324">
        <f t="shared" si="77"/>
        <v>1620</v>
      </c>
      <c r="G324">
        <f t="shared" si="78"/>
        <v>1673</v>
      </c>
      <c r="H324">
        <f t="shared" si="79"/>
        <v>1767</v>
      </c>
      <c r="I324">
        <f t="shared" si="80"/>
        <v>924</v>
      </c>
      <c r="J324">
        <f t="shared" si="81"/>
        <v>2977</v>
      </c>
      <c r="K324">
        <f t="shared" si="82"/>
        <v>6769</v>
      </c>
      <c r="L324">
        <f t="shared" si="83"/>
        <v>12286</v>
      </c>
      <c r="M324">
        <f t="shared" si="84"/>
        <v>4383</v>
      </c>
      <c r="N324">
        <f t="shared" si="85"/>
        <v>249</v>
      </c>
      <c r="O324">
        <f t="shared" si="86"/>
        <v>52948</v>
      </c>
      <c r="Q324">
        <v>10217</v>
      </c>
      <c r="R324">
        <v>5330</v>
      </c>
      <c r="S324">
        <v>853</v>
      </c>
      <c r="T324">
        <v>1921</v>
      </c>
      <c r="U324">
        <v>296</v>
      </c>
      <c r="V324">
        <v>5</v>
      </c>
      <c r="W324">
        <v>2649</v>
      </c>
      <c r="X324">
        <v>825</v>
      </c>
      <c r="Y324">
        <v>151</v>
      </c>
      <c r="Z324" s="271">
        <v>1915</v>
      </c>
      <c r="AA324">
        <v>147</v>
      </c>
      <c r="AB324">
        <v>1</v>
      </c>
      <c r="AC324">
        <v>1329</v>
      </c>
      <c r="AD324">
        <v>185</v>
      </c>
      <c r="AE324">
        <v>220</v>
      </c>
      <c r="AF324">
        <v>4442</v>
      </c>
      <c r="AG324">
        <v>1382</v>
      </c>
      <c r="AH324">
        <v>83</v>
      </c>
      <c r="AI324">
        <v>7477</v>
      </c>
      <c r="AJ324">
        <v>708</v>
      </c>
      <c r="AK324">
        <v>0</v>
      </c>
      <c r="AL324">
        <v>14127</v>
      </c>
      <c r="AM324">
        <v>1800</v>
      </c>
      <c r="AN324">
        <v>41</v>
      </c>
      <c r="AO324">
        <v>5914</v>
      </c>
      <c r="AP324">
        <v>1053</v>
      </c>
      <c r="AQ324">
        <v>478</v>
      </c>
      <c r="AR324">
        <v>1698</v>
      </c>
      <c r="AS324">
        <v>1440</v>
      </c>
      <c r="AT324">
        <v>9</v>
      </c>
      <c r="AU324">
        <v>4875</v>
      </c>
      <c r="AV324">
        <v>277</v>
      </c>
      <c r="AW324">
        <v>0</v>
      </c>
      <c r="AX324">
        <f t="shared" si="87"/>
        <v>57546</v>
      </c>
      <c r="AZ324" t="s">
        <v>162</v>
      </c>
      <c r="BA324" s="128">
        <v>49848</v>
      </c>
      <c r="BB324" s="128">
        <v>1156997</v>
      </c>
      <c r="BC324" s="128">
        <v>0</v>
      </c>
      <c r="BD324" s="128">
        <v>2050129</v>
      </c>
      <c r="BE324" s="128">
        <v>346307.43</v>
      </c>
      <c r="BF324" s="128">
        <v>3139879.0555885308</v>
      </c>
      <c r="BG324" s="272">
        <v>136505.00031336909</v>
      </c>
      <c r="BH324">
        <v>3065</v>
      </c>
      <c r="BI324">
        <v>1764</v>
      </c>
      <c r="BJ324">
        <v>310</v>
      </c>
      <c r="BK324">
        <v>295</v>
      </c>
      <c r="BL324">
        <v>605</v>
      </c>
      <c r="BM324">
        <v>104</v>
      </c>
      <c r="BN324" s="128">
        <v>324</v>
      </c>
      <c r="BO324" s="128">
        <v>0</v>
      </c>
      <c r="BP324" s="128">
        <v>96</v>
      </c>
      <c r="BQ324" s="128">
        <f t="shared" si="88"/>
        <v>36455182.5140981</v>
      </c>
      <c r="BR324">
        <v>24534</v>
      </c>
      <c r="BS324" s="128">
        <f t="shared" si="75"/>
        <v>1485.9045615919988</v>
      </c>
      <c r="BT324" t="s">
        <v>467</v>
      </c>
      <c r="BU324" s="129">
        <f t="shared" si="89"/>
        <v>1489.8174987404459</v>
      </c>
      <c r="BZ324" t="s">
        <v>138</v>
      </c>
      <c r="CA324">
        <v>1764.001109923347</v>
      </c>
      <c r="CB324" t="s">
        <v>118</v>
      </c>
    </row>
    <row r="325" spans="1:80" ht="14.5" x14ac:dyDescent="0.25">
      <c r="A325" t="s">
        <v>209</v>
      </c>
      <c r="B325">
        <v>1949</v>
      </c>
      <c r="C325">
        <v>3336</v>
      </c>
      <c r="D325">
        <v>361</v>
      </c>
      <c r="E325">
        <f t="shared" si="76"/>
        <v>13714</v>
      </c>
      <c r="F325">
        <f t="shared" si="77"/>
        <v>3579</v>
      </c>
      <c r="G325">
        <f t="shared" si="78"/>
        <v>4372</v>
      </c>
      <c r="H325">
        <f t="shared" si="79"/>
        <v>1303</v>
      </c>
      <c r="I325">
        <f t="shared" si="80"/>
        <v>1929</v>
      </c>
      <c r="J325">
        <f t="shared" si="81"/>
        <v>8094</v>
      </c>
      <c r="K325">
        <f t="shared" si="82"/>
        <v>22376</v>
      </c>
      <c r="L325">
        <f t="shared" si="83"/>
        <v>28355</v>
      </c>
      <c r="M325">
        <f t="shared" si="84"/>
        <v>9902</v>
      </c>
      <c r="N325">
        <f t="shared" si="85"/>
        <v>2055</v>
      </c>
      <c r="O325">
        <f t="shared" si="86"/>
        <v>101325</v>
      </c>
      <c r="Q325">
        <v>16137</v>
      </c>
      <c r="R325">
        <v>1949</v>
      </c>
      <c r="S325">
        <v>474</v>
      </c>
      <c r="T325">
        <v>3579</v>
      </c>
      <c r="U325">
        <v>0</v>
      </c>
      <c r="V325">
        <v>0</v>
      </c>
      <c r="W325">
        <v>4531</v>
      </c>
      <c r="X325">
        <v>0</v>
      </c>
      <c r="Y325">
        <v>159</v>
      </c>
      <c r="Z325" s="271">
        <v>1303</v>
      </c>
      <c r="AA325">
        <v>0</v>
      </c>
      <c r="AB325">
        <v>0</v>
      </c>
      <c r="AC325">
        <v>3413</v>
      </c>
      <c r="AD325">
        <v>0</v>
      </c>
      <c r="AE325">
        <v>1484</v>
      </c>
      <c r="AF325">
        <v>8584</v>
      </c>
      <c r="AG325">
        <v>0</v>
      </c>
      <c r="AH325">
        <v>490</v>
      </c>
      <c r="AI325">
        <v>22376</v>
      </c>
      <c r="AJ325">
        <v>0</v>
      </c>
      <c r="AK325">
        <v>0</v>
      </c>
      <c r="AL325">
        <v>28604</v>
      </c>
      <c r="AM325">
        <v>0</v>
      </c>
      <c r="AN325">
        <v>249</v>
      </c>
      <c r="AO325">
        <v>10352</v>
      </c>
      <c r="AP325">
        <v>0</v>
      </c>
      <c r="AQ325">
        <v>450</v>
      </c>
      <c r="AR325">
        <v>2085</v>
      </c>
      <c r="AS325">
        <v>0</v>
      </c>
      <c r="AT325">
        <v>30</v>
      </c>
      <c r="AU325">
        <v>1190</v>
      </c>
      <c r="AV325">
        <v>0</v>
      </c>
      <c r="AW325">
        <v>0</v>
      </c>
      <c r="AX325">
        <f t="shared" si="87"/>
        <v>102515</v>
      </c>
      <c r="AZ325" t="s">
        <v>209</v>
      </c>
      <c r="BA325" s="128">
        <v>97628</v>
      </c>
      <c r="BB325" s="128">
        <v>895975</v>
      </c>
      <c r="BC325" s="128">
        <v>0</v>
      </c>
      <c r="BD325" s="128">
        <v>4239067</v>
      </c>
      <c r="BE325" s="128">
        <v>654269.76333333331</v>
      </c>
      <c r="BF325" s="128">
        <v>10938007.13397814</v>
      </c>
      <c r="BG325" s="272">
        <v>1476139.6749932729</v>
      </c>
      <c r="BH325">
        <v>4080</v>
      </c>
      <c r="BI325">
        <v>4412</v>
      </c>
      <c r="BJ325">
        <v>440</v>
      </c>
      <c r="BK325">
        <v>0</v>
      </c>
      <c r="BL325">
        <v>865</v>
      </c>
      <c r="BM325">
        <v>294</v>
      </c>
      <c r="BN325" s="128">
        <v>49</v>
      </c>
      <c r="BO325" s="128">
        <v>0</v>
      </c>
      <c r="BP325" s="128">
        <v>38</v>
      </c>
      <c r="BQ325" s="128">
        <f t="shared" si="88"/>
        <v>69246541.427695245</v>
      </c>
      <c r="BR325">
        <v>41259</v>
      </c>
      <c r="BS325" s="128">
        <f t="shared" si="75"/>
        <v>1678.3378518067632</v>
      </c>
      <c r="BT325" t="s">
        <v>118</v>
      </c>
      <c r="BU325" s="129">
        <f t="shared" si="89"/>
        <v>1679.258862980083</v>
      </c>
      <c r="BZ325" t="s">
        <v>424</v>
      </c>
      <c r="CA325">
        <v>2126.666073426803</v>
      </c>
      <c r="CB325" t="s">
        <v>118</v>
      </c>
    </row>
    <row r="326" spans="1:80" ht="14.5" x14ac:dyDescent="0.25">
      <c r="A326" t="s">
        <v>279</v>
      </c>
      <c r="B326">
        <v>13740</v>
      </c>
      <c r="C326">
        <v>2962</v>
      </c>
      <c r="D326">
        <v>600</v>
      </c>
      <c r="E326">
        <f t="shared" si="76"/>
        <v>3728</v>
      </c>
      <c r="F326">
        <f t="shared" si="77"/>
        <v>2398</v>
      </c>
      <c r="G326">
        <f t="shared" si="78"/>
        <v>1680</v>
      </c>
      <c r="H326">
        <f t="shared" si="79"/>
        <v>2801</v>
      </c>
      <c r="I326">
        <f t="shared" si="80"/>
        <v>1028</v>
      </c>
      <c r="J326">
        <f t="shared" si="81"/>
        <v>2623</v>
      </c>
      <c r="K326">
        <f t="shared" si="82"/>
        <v>4977</v>
      </c>
      <c r="L326">
        <f t="shared" si="83"/>
        <v>9086</v>
      </c>
      <c r="M326">
        <f t="shared" si="84"/>
        <v>5256</v>
      </c>
      <c r="N326">
        <f t="shared" si="85"/>
        <v>1063</v>
      </c>
      <c r="O326">
        <f t="shared" si="86"/>
        <v>51942</v>
      </c>
      <c r="Q326">
        <v>11494</v>
      </c>
      <c r="R326">
        <v>7228</v>
      </c>
      <c r="S326">
        <v>538</v>
      </c>
      <c r="T326">
        <v>2925</v>
      </c>
      <c r="U326">
        <v>525</v>
      </c>
      <c r="V326">
        <v>2</v>
      </c>
      <c r="W326">
        <v>3695</v>
      </c>
      <c r="X326">
        <v>1148</v>
      </c>
      <c r="Y326">
        <v>867</v>
      </c>
      <c r="Z326" s="271">
        <v>2811</v>
      </c>
      <c r="AA326">
        <v>0</v>
      </c>
      <c r="AB326">
        <v>10</v>
      </c>
      <c r="AC326">
        <v>1751</v>
      </c>
      <c r="AD326">
        <v>147</v>
      </c>
      <c r="AE326">
        <v>576</v>
      </c>
      <c r="AF326">
        <v>3521</v>
      </c>
      <c r="AG326">
        <v>685</v>
      </c>
      <c r="AH326">
        <v>213</v>
      </c>
      <c r="AI326">
        <v>5624</v>
      </c>
      <c r="AJ326">
        <v>647</v>
      </c>
      <c r="AK326">
        <v>0</v>
      </c>
      <c r="AL326">
        <v>10530</v>
      </c>
      <c r="AM326">
        <v>1377</v>
      </c>
      <c r="AN326">
        <v>67</v>
      </c>
      <c r="AO326">
        <v>6457</v>
      </c>
      <c r="AP326">
        <v>542</v>
      </c>
      <c r="AQ326">
        <v>659</v>
      </c>
      <c r="AR326">
        <v>2462</v>
      </c>
      <c r="AS326">
        <v>1369</v>
      </c>
      <c r="AT326">
        <v>30</v>
      </c>
      <c r="AU326">
        <v>3156</v>
      </c>
      <c r="AV326">
        <v>72</v>
      </c>
      <c r="AW326">
        <v>0</v>
      </c>
      <c r="AX326">
        <f t="shared" si="87"/>
        <v>55026</v>
      </c>
      <c r="AZ326" t="s">
        <v>279</v>
      </c>
      <c r="BA326" s="128">
        <v>48308</v>
      </c>
      <c r="BB326" s="128">
        <v>250268</v>
      </c>
      <c r="BC326" s="128">
        <v>0</v>
      </c>
      <c r="BD326" s="128">
        <v>703087</v>
      </c>
      <c r="BE326" s="128">
        <v>388766</v>
      </c>
      <c r="BF326" s="128">
        <v>3365925.2501752647</v>
      </c>
      <c r="BG326" s="272">
        <v>0</v>
      </c>
      <c r="BH326">
        <v>2940</v>
      </c>
      <c r="BI326">
        <v>0</v>
      </c>
      <c r="BJ326">
        <v>206</v>
      </c>
      <c r="BK326">
        <v>320</v>
      </c>
      <c r="BL326">
        <v>722</v>
      </c>
      <c r="BM326">
        <v>89</v>
      </c>
      <c r="BN326" s="128">
        <v>724</v>
      </c>
      <c r="BO326" s="128">
        <v>0</v>
      </c>
      <c r="BP326" s="128">
        <v>34</v>
      </c>
      <c r="BQ326" s="128">
        <f t="shared" si="88"/>
        <v>38564953.749824733</v>
      </c>
      <c r="BR326">
        <v>24464</v>
      </c>
      <c r="BS326" s="128">
        <f t="shared" si="75"/>
        <v>1576.3960819908737</v>
      </c>
      <c r="BT326" t="s">
        <v>467</v>
      </c>
      <c r="BU326" s="129">
        <f t="shared" si="89"/>
        <v>1577.7858792439802</v>
      </c>
      <c r="BZ326" t="s">
        <v>393</v>
      </c>
      <c r="CA326">
        <v>1695.22387961044</v>
      </c>
      <c r="CB326" t="s">
        <v>118</v>
      </c>
    </row>
    <row r="327" spans="1:80" ht="14.5" x14ac:dyDescent="0.25">
      <c r="A327" t="s">
        <v>234</v>
      </c>
      <c r="B327">
        <v>10627</v>
      </c>
      <c r="C327">
        <v>2898</v>
      </c>
      <c r="D327">
        <v>847</v>
      </c>
      <c r="E327">
        <f t="shared" si="76"/>
        <v>5401</v>
      </c>
      <c r="F327">
        <f t="shared" si="77"/>
        <v>1696</v>
      </c>
      <c r="G327">
        <f t="shared" si="78"/>
        <v>1777</v>
      </c>
      <c r="H327">
        <f t="shared" si="79"/>
        <v>1862</v>
      </c>
      <c r="I327">
        <f t="shared" si="80"/>
        <v>1077</v>
      </c>
      <c r="J327">
        <f t="shared" si="81"/>
        <v>1730</v>
      </c>
      <c r="K327">
        <f t="shared" si="82"/>
        <v>7945</v>
      </c>
      <c r="L327">
        <f t="shared" si="83"/>
        <v>12803</v>
      </c>
      <c r="M327">
        <f t="shared" si="84"/>
        <v>4850</v>
      </c>
      <c r="N327">
        <f t="shared" si="85"/>
        <v>449</v>
      </c>
      <c r="O327">
        <f t="shared" si="86"/>
        <v>53962</v>
      </c>
      <c r="Q327">
        <v>12079</v>
      </c>
      <c r="R327">
        <v>5908</v>
      </c>
      <c r="S327">
        <v>770</v>
      </c>
      <c r="T327">
        <v>2110</v>
      </c>
      <c r="U327">
        <v>404</v>
      </c>
      <c r="V327">
        <v>10</v>
      </c>
      <c r="W327">
        <v>2670</v>
      </c>
      <c r="X327">
        <v>411</v>
      </c>
      <c r="Y327">
        <v>482</v>
      </c>
      <c r="Z327" s="271">
        <v>2037</v>
      </c>
      <c r="AA327">
        <v>166</v>
      </c>
      <c r="AB327">
        <v>9</v>
      </c>
      <c r="AC327">
        <v>2034</v>
      </c>
      <c r="AD327">
        <v>262</v>
      </c>
      <c r="AE327">
        <v>695</v>
      </c>
      <c r="AF327">
        <v>3168</v>
      </c>
      <c r="AG327">
        <v>1103</v>
      </c>
      <c r="AH327">
        <v>335</v>
      </c>
      <c r="AI327">
        <v>8023</v>
      </c>
      <c r="AJ327">
        <v>77</v>
      </c>
      <c r="AK327">
        <v>1</v>
      </c>
      <c r="AL327">
        <v>13391</v>
      </c>
      <c r="AM327">
        <v>513</v>
      </c>
      <c r="AN327">
        <v>75</v>
      </c>
      <c r="AO327">
        <v>5973</v>
      </c>
      <c r="AP327">
        <v>602</v>
      </c>
      <c r="AQ327">
        <v>521</v>
      </c>
      <c r="AR327">
        <v>1396</v>
      </c>
      <c r="AS327">
        <v>947</v>
      </c>
      <c r="AT327">
        <v>0</v>
      </c>
      <c r="AU327">
        <v>1265</v>
      </c>
      <c r="AV327">
        <v>234</v>
      </c>
      <c r="AW327">
        <v>0</v>
      </c>
      <c r="AX327">
        <f t="shared" si="87"/>
        <v>54993</v>
      </c>
      <c r="AZ327" t="s">
        <v>234</v>
      </c>
      <c r="BA327" s="128">
        <v>49983</v>
      </c>
      <c r="BB327" s="128">
        <v>1111845</v>
      </c>
      <c r="BC327" s="128">
        <v>0</v>
      </c>
      <c r="BD327" s="128">
        <v>1320364</v>
      </c>
      <c r="BE327" s="128">
        <v>400263.32666666666</v>
      </c>
      <c r="BF327" s="128">
        <v>4115949.913534794</v>
      </c>
      <c r="BG327" s="272">
        <v>301879.01758740842</v>
      </c>
      <c r="BH327">
        <v>2385</v>
      </c>
      <c r="BI327">
        <v>3008</v>
      </c>
      <c r="BJ327">
        <v>314</v>
      </c>
      <c r="BK327">
        <v>171</v>
      </c>
      <c r="BL327">
        <v>609</v>
      </c>
      <c r="BM327">
        <v>190</v>
      </c>
      <c r="BN327" s="128">
        <v>0</v>
      </c>
      <c r="BO327" s="128">
        <v>0</v>
      </c>
      <c r="BP327" s="128">
        <v>1148</v>
      </c>
      <c r="BQ327" s="128">
        <f t="shared" si="88"/>
        <v>34907698.742211133</v>
      </c>
      <c r="BR327">
        <v>23927</v>
      </c>
      <c r="BS327" s="128">
        <f t="shared" si="75"/>
        <v>1458.9250111677659</v>
      </c>
      <c r="BT327" t="s">
        <v>467</v>
      </c>
      <c r="BU327" s="129">
        <f t="shared" si="89"/>
        <v>1506.9042814482023</v>
      </c>
      <c r="BZ327" t="s">
        <v>276</v>
      </c>
      <c r="CA327">
        <v>1740.0555980915731</v>
      </c>
      <c r="CB327" t="s">
        <v>118</v>
      </c>
    </row>
    <row r="328" spans="1:80" ht="14.5" x14ac:dyDescent="0.25">
      <c r="A328" t="s">
        <v>210</v>
      </c>
      <c r="B328">
        <v>22738</v>
      </c>
      <c r="C328">
        <v>5507</v>
      </c>
      <c r="D328">
        <v>2363</v>
      </c>
      <c r="E328">
        <f t="shared" si="76"/>
        <v>7069</v>
      </c>
      <c r="F328">
        <f t="shared" si="77"/>
        <v>1949</v>
      </c>
      <c r="G328">
        <f t="shared" si="78"/>
        <v>1892</v>
      </c>
      <c r="H328">
        <f t="shared" si="79"/>
        <v>3894</v>
      </c>
      <c r="I328">
        <f t="shared" si="80"/>
        <v>1575</v>
      </c>
      <c r="J328">
        <f t="shared" si="81"/>
        <v>6853</v>
      </c>
      <c r="K328">
        <f t="shared" si="82"/>
        <v>15249</v>
      </c>
      <c r="L328">
        <f t="shared" si="83"/>
        <v>25508</v>
      </c>
      <c r="M328">
        <f t="shared" si="84"/>
        <v>6963</v>
      </c>
      <c r="N328">
        <f t="shared" si="85"/>
        <v>1653</v>
      </c>
      <c r="O328">
        <f t="shared" si="86"/>
        <v>103213</v>
      </c>
      <c r="Q328">
        <v>16489</v>
      </c>
      <c r="R328">
        <v>8497</v>
      </c>
      <c r="S328">
        <v>923</v>
      </c>
      <c r="T328">
        <v>2649</v>
      </c>
      <c r="U328">
        <v>660</v>
      </c>
      <c r="V328">
        <v>40</v>
      </c>
      <c r="W328">
        <v>4610</v>
      </c>
      <c r="X328">
        <v>549</v>
      </c>
      <c r="Y328">
        <v>2169</v>
      </c>
      <c r="Z328" s="271">
        <v>4222</v>
      </c>
      <c r="AA328">
        <v>328</v>
      </c>
      <c r="AB328">
        <v>0</v>
      </c>
      <c r="AC328">
        <v>2306</v>
      </c>
      <c r="AD328">
        <v>168</v>
      </c>
      <c r="AE328">
        <v>563</v>
      </c>
      <c r="AF328">
        <v>8668</v>
      </c>
      <c r="AG328">
        <v>1004</v>
      </c>
      <c r="AH328">
        <v>811</v>
      </c>
      <c r="AI328">
        <v>21880</v>
      </c>
      <c r="AJ328">
        <v>6631</v>
      </c>
      <c r="AK328">
        <v>0</v>
      </c>
      <c r="AL328">
        <v>28157</v>
      </c>
      <c r="AM328">
        <v>2464</v>
      </c>
      <c r="AN328">
        <v>185</v>
      </c>
      <c r="AO328">
        <v>9059</v>
      </c>
      <c r="AP328">
        <v>1308</v>
      </c>
      <c r="AQ328">
        <v>788</v>
      </c>
      <c r="AR328">
        <v>2680</v>
      </c>
      <c r="AS328">
        <v>1024</v>
      </c>
      <c r="AT328">
        <v>3</v>
      </c>
      <c r="AU328">
        <v>278</v>
      </c>
      <c r="AV328">
        <v>105</v>
      </c>
      <c r="AW328">
        <v>25</v>
      </c>
      <c r="AX328">
        <f t="shared" si="87"/>
        <v>103361</v>
      </c>
      <c r="AZ328" t="s">
        <v>210</v>
      </c>
      <c r="BA328" s="128">
        <v>95213</v>
      </c>
      <c r="BB328" s="128">
        <v>505915</v>
      </c>
      <c r="BC328" s="128">
        <v>0</v>
      </c>
      <c r="BD328" s="128">
        <v>6131775</v>
      </c>
      <c r="BE328" s="128">
        <v>770917</v>
      </c>
      <c r="BF328" s="128">
        <v>8728631.8963812515</v>
      </c>
      <c r="BG328" s="272">
        <v>926233.13353917003</v>
      </c>
      <c r="BH328">
        <v>3977</v>
      </c>
      <c r="BI328">
        <v>2577</v>
      </c>
      <c r="BJ328">
        <v>321</v>
      </c>
      <c r="BK328">
        <v>202</v>
      </c>
      <c r="BL328">
        <v>391</v>
      </c>
      <c r="BM328">
        <v>217</v>
      </c>
      <c r="BN328" s="128">
        <v>919</v>
      </c>
      <c r="BO328" s="128">
        <v>0</v>
      </c>
      <c r="BP328" s="128">
        <v>61</v>
      </c>
      <c r="BQ328" s="128">
        <f t="shared" si="88"/>
        <v>69484527.970079571</v>
      </c>
      <c r="BR328">
        <v>29041</v>
      </c>
      <c r="BS328" s="128">
        <f t="shared" si="75"/>
        <v>2392.6355142756643</v>
      </c>
      <c r="BT328" t="s">
        <v>118</v>
      </c>
      <c r="BU328" s="129">
        <f t="shared" si="89"/>
        <v>2394.7359929093204</v>
      </c>
      <c r="BZ328" t="s">
        <v>605</v>
      </c>
      <c r="CA328">
        <v>1581.1928958443259</v>
      </c>
      <c r="CB328" t="s">
        <v>118</v>
      </c>
    </row>
    <row r="329" spans="1:80" ht="14.5" x14ac:dyDescent="0.25">
      <c r="A329" t="s">
        <v>398</v>
      </c>
      <c r="B329">
        <v>10745</v>
      </c>
      <c r="C329">
        <v>2052</v>
      </c>
      <c r="D329">
        <v>121</v>
      </c>
      <c r="E329">
        <f t="shared" si="76"/>
        <v>3679</v>
      </c>
      <c r="F329">
        <f t="shared" si="77"/>
        <v>1816</v>
      </c>
      <c r="G329">
        <f t="shared" si="78"/>
        <v>1650</v>
      </c>
      <c r="H329">
        <f t="shared" si="79"/>
        <v>74</v>
      </c>
      <c r="I329">
        <f t="shared" si="80"/>
        <v>1321</v>
      </c>
      <c r="J329">
        <f t="shared" si="81"/>
        <v>2306</v>
      </c>
      <c r="K329">
        <f t="shared" si="82"/>
        <v>8727</v>
      </c>
      <c r="L329">
        <f t="shared" si="83"/>
        <v>12834</v>
      </c>
      <c r="M329">
        <f t="shared" si="84"/>
        <v>4883</v>
      </c>
      <c r="N329">
        <f t="shared" si="85"/>
        <v>116</v>
      </c>
      <c r="O329">
        <f t="shared" si="86"/>
        <v>50324</v>
      </c>
      <c r="Q329">
        <v>10374</v>
      </c>
      <c r="R329">
        <v>6383</v>
      </c>
      <c r="S329">
        <v>312</v>
      </c>
      <c r="T329">
        <v>2156</v>
      </c>
      <c r="U329">
        <v>258</v>
      </c>
      <c r="V329">
        <v>82</v>
      </c>
      <c r="W329">
        <v>2420</v>
      </c>
      <c r="X329">
        <v>180</v>
      </c>
      <c r="Y329">
        <v>590</v>
      </c>
      <c r="Z329" s="271">
        <v>86</v>
      </c>
      <c r="AA329">
        <v>12</v>
      </c>
      <c r="AB329">
        <v>0</v>
      </c>
      <c r="AC329">
        <v>2197</v>
      </c>
      <c r="AD329">
        <v>284</v>
      </c>
      <c r="AE329">
        <v>592</v>
      </c>
      <c r="AF329">
        <v>2793</v>
      </c>
      <c r="AG329">
        <v>328</v>
      </c>
      <c r="AH329">
        <v>159</v>
      </c>
      <c r="AI329">
        <v>9927</v>
      </c>
      <c r="AJ329">
        <v>1176</v>
      </c>
      <c r="AK329">
        <v>24</v>
      </c>
      <c r="AL329">
        <v>14807</v>
      </c>
      <c r="AM329">
        <v>1695</v>
      </c>
      <c r="AN329">
        <v>278</v>
      </c>
      <c r="AO329">
        <v>5317</v>
      </c>
      <c r="AP329">
        <v>419</v>
      </c>
      <c r="AQ329">
        <v>15</v>
      </c>
      <c r="AR329">
        <v>126</v>
      </c>
      <c r="AS329">
        <v>10</v>
      </c>
      <c r="AT329">
        <v>0</v>
      </c>
      <c r="AU329">
        <v>177</v>
      </c>
      <c r="AV329">
        <v>0</v>
      </c>
      <c r="AW329">
        <v>0</v>
      </c>
      <c r="AX329">
        <f t="shared" si="87"/>
        <v>50501</v>
      </c>
      <c r="AZ329" t="s">
        <v>398</v>
      </c>
      <c r="BA329" s="128">
        <v>48151</v>
      </c>
      <c r="BB329" s="128">
        <v>1549299</v>
      </c>
      <c r="BC329" s="128">
        <v>0</v>
      </c>
      <c r="BD329" s="128">
        <v>2196766</v>
      </c>
      <c r="BE329" s="128">
        <v>357853.04666666663</v>
      </c>
      <c r="BF329" s="128">
        <v>4257832.9665925493</v>
      </c>
      <c r="BG329" s="272">
        <v>0</v>
      </c>
      <c r="BH329">
        <v>2026</v>
      </c>
      <c r="BI329">
        <v>2552</v>
      </c>
      <c r="BJ329">
        <v>286</v>
      </c>
      <c r="BK329">
        <v>74</v>
      </c>
      <c r="BL329">
        <v>523</v>
      </c>
      <c r="BM329">
        <v>105</v>
      </c>
      <c r="BN329" s="128">
        <v>688</v>
      </c>
      <c r="BO329" s="128">
        <v>0</v>
      </c>
      <c r="BP329" s="128">
        <v>22</v>
      </c>
      <c r="BQ329" s="128">
        <f t="shared" si="88"/>
        <v>33513248.986740783</v>
      </c>
      <c r="BR329">
        <v>22019</v>
      </c>
      <c r="BS329" s="128">
        <f t="shared" si="75"/>
        <v>1522.0150318697845</v>
      </c>
      <c r="BT329" t="s">
        <v>467</v>
      </c>
      <c r="BU329" s="129">
        <f t="shared" si="89"/>
        <v>1523.0141689786449</v>
      </c>
      <c r="BZ329" t="s">
        <v>320</v>
      </c>
      <c r="CA329">
        <v>1916.5334483680429</v>
      </c>
      <c r="CB329" t="s">
        <v>118</v>
      </c>
    </row>
    <row r="330" spans="1:80" ht="14.5" x14ac:dyDescent="0.25">
      <c r="A330" t="s">
        <v>235</v>
      </c>
      <c r="B330">
        <v>31199</v>
      </c>
      <c r="C330">
        <v>10630</v>
      </c>
      <c r="D330">
        <v>3519</v>
      </c>
      <c r="E330">
        <f t="shared" si="76"/>
        <v>6080</v>
      </c>
      <c r="F330">
        <f t="shared" si="77"/>
        <v>3786</v>
      </c>
      <c r="G330">
        <f t="shared" si="78"/>
        <v>5650</v>
      </c>
      <c r="H330">
        <f t="shared" si="79"/>
        <v>766</v>
      </c>
      <c r="I330">
        <f t="shared" si="80"/>
        <v>3385</v>
      </c>
      <c r="J330">
        <f t="shared" si="81"/>
        <v>8518</v>
      </c>
      <c r="K330">
        <f t="shared" si="82"/>
        <v>20414</v>
      </c>
      <c r="L330">
        <f t="shared" si="83"/>
        <v>24030</v>
      </c>
      <c r="M330">
        <f t="shared" si="84"/>
        <v>9508</v>
      </c>
      <c r="N330">
        <f t="shared" si="85"/>
        <v>9990</v>
      </c>
      <c r="O330">
        <f t="shared" si="86"/>
        <v>137475</v>
      </c>
      <c r="Q330">
        <v>23144</v>
      </c>
      <c r="R330">
        <v>15870</v>
      </c>
      <c r="S330">
        <v>1194</v>
      </c>
      <c r="T330">
        <v>4521</v>
      </c>
      <c r="U330">
        <v>588</v>
      </c>
      <c r="V330">
        <v>147</v>
      </c>
      <c r="W330">
        <v>10877</v>
      </c>
      <c r="X330">
        <v>1408</v>
      </c>
      <c r="Y330">
        <v>3819</v>
      </c>
      <c r="Z330" s="271">
        <v>1208</v>
      </c>
      <c r="AA330">
        <v>442</v>
      </c>
      <c r="AB330">
        <v>0</v>
      </c>
      <c r="AC330">
        <v>5819</v>
      </c>
      <c r="AD330">
        <v>328</v>
      </c>
      <c r="AE330">
        <v>2106</v>
      </c>
      <c r="AF330">
        <v>11932</v>
      </c>
      <c r="AG330">
        <v>1824</v>
      </c>
      <c r="AH330">
        <v>1590</v>
      </c>
      <c r="AI330">
        <v>20628</v>
      </c>
      <c r="AJ330">
        <v>214</v>
      </c>
      <c r="AK330">
        <v>0</v>
      </c>
      <c r="AL330">
        <v>29048</v>
      </c>
      <c r="AM330">
        <v>5018</v>
      </c>
      <c r="AN330">
        <v>0</v>
      </c>
      <c r="AO330">
        <v>13672</v>
      </c>
      <c r="AP330">
        <v>2402</v>
      </c>
      <c r="AQ330">
        <v>1762</v>
      </c>
      <c r="AR330">
        <v>13107</v>
      </c>
      <c r="AS330">
        <v>3105</v>
      </c>
      <c r="AT330">
        <v>12</v>
      </c>
      <c r="AU330">
        <v>564</v>
      </c>
      <c r="AV330">
        <v>0</v>
      </c>
      <c r="AW330">
        <v>0</v>
      </c>
      <c r="AX330">
        <f t="shared" si="87"/>
        <v>138039</v>
      </c>
      <c r="AZ330" t="s">
        <v>235</v>
      </c>
      <c r="BA330" s="128">
        <v>123326</v>
      </c>
      <c r="BB330" s="128">
        <v>953749</v>
      </c>
      <c r="BC330" s="128">
        <v>0</v>
      </c>
      <c r="BD330" s="128">
        <v>5479251</v>
      </c>
      <c r="BE330" s="128">
        <v>689274.21</v>
      </c>
      <c r="BF330" s="128">
        <v>9147752.0107303075</v>
      </c>
      <c r="BG330" s="272">
        <v>96999.612729299814</v>
      </c>
      <c r="BH330">
        <v>5663</v>
      </c>
      <c r="BI330">
        <v>5254</v>
      </c>
      <c r="BJ330">
        <v>687</v>
      </c>
      <c r="BK330">
        <v>666</v>
      </c>
      <c r="BL330">
        <v>1212</v>
      </c>
      <c r="BM330">
        <v>303</v>
      </c>
      <c r="BN330" s="128">
        <v>94</v>
      </c>
      <c r="BO330" s="128">
        <v>1978</v>
      </c>
      <c r="BP330" s="128">
        <v>164</v>
      </c>
      <c r="BQ330" s="128">
        <f t="shared" si="88"/>
        <v>90937974.166540399</v>
      </c>
      <c r="BR330">
        <v>52696</v>
      </c>
      <c r="BS330" s="128">
        <f t="shared" si="75"/>
        <v>1725.7092410532184</v>
      </c>
      <c r="BT330" t="s">
        <v>467</v>
      </c>
      <c r="BU330" s="129">
        <f t="shared" si="89"/>
        <v>1728.8214317318277</v>
      </c>
      <c r="BZ330" t="s">
        <v>139</v>
      </c>
      <c r="CA330">
        <v>4510.6831517183573</v>
      </c>
      <c r="CB330" t="s">
        <v>118</v>
      </c>
    </row>
    <row r="331" spans="1:80" ht="14.5" x14ac:dyDescent="0.25">
      <c r="A331" t="s">
        <v>280</v>
      </c>
      <c r="B331">
        <v>1570</v>
      </c>
      <c r="C331">
        <v>765</v>
      </c>
      <c r="D331">
        <v>209</v>
      </c>
      <c r="E331">
        <f t="shared" si="76"/>
        <v>7465</v>
      </c>
      <c r="F331">
        <f t="shared" si="77"/>
        <v>1827</v>
      </c>
      <c r="G331">
        <f t="shared" si="78"/>
        <v>1959</v>
      </c>
      <c r="H331">
        <f t="shared" si="79"/>
        <v>36</v>
      </c>
      <c r="I331">
        <f t="shared" si="80"/>
        <v>861</v>
      </c>
      <c r="J331">
        <f t="shared" si="81"/>
        <v>2653</v>
      </c>
      <c r="K331">
        <f t="shared" si="82"/>
        <v>4538</v>
      </c>
      <c r="L331">
        <f t="shared" si="83"/>
        <v>9401</v>
      </c>
      <c r="M331">
        <f t="shared" si="84"/>
        <v>5100</v>
      </c>
      <c r="N331">
        <f t="shared" si="85"/>
        <v>1106</v>
      </c>
      <c r="O331">
        <f t="shared" si="86"/>
        <v>37490</v>
      </c>
      <c r="Q331">
        <v>8651</v>
      </c>
      <c r="R331">
        <v>1028</v>
      </c>
      <c r="S331">
        <v>158</v>
      </c>
      <c r="T331">
        <v>1851</v>
      </c>
      <c r="U331">
        <v>0</v>
      </c>
      <c r="V331">
        <v>24</v>
      </c>
      <c r="W331">
        <v>2131</v>
      </c>
      <c r="X331">
        <v>0</v>
      </c>
      <c r="Y331">
        <v>172</v>
      </c>
      <c r="Z331" s="271">
        <v>36</v>
      </c>
      <c r="AA331">
        <v>0</v>
      </c>
      <c r="AB331">
        <v>0</v>
      </c>
      <c r="AC331">
        <v>980</v>
      </c>
      <c r="AD331">
        <v>0</v>
      </c>
      <c r="AE331">
        <v>119</v>
      </c>
      <c r="AF331">
        <v>2688</v>
      </c>
      <c r="AG331">
        <v>0</v>
      </c>
      <c r="AH331">
        <v>35</v>
      </c>
      <c r="AI331">
        <v>5080</v>
      </c>
      <c r="AJ331">
        <v>542</v>
      </c>
      <c r="AK331">
        <v>0</v>
      </c>
      <c r="AL331">
        <v>9401</v>
      </c>
      <c r="AM331">
        <v>0</v>
      </c>
      <c r="AN331">
        <v>0</v>
      </c>
      <c r="AO331">
        <v>5349</v>
      </c>
      <c r="AP331">
        <v>0</v>
      </c>
      <c r="AQ331">
        <v>249</v>
      </c>
      <c r="AR331">
        <v>1114</v>
      </c>
      <c r="AS331">
        <v>0</v>
      </c>
      <c r="AT331">
        <v>8</v>
      </c>
      <c r="AU331">
        <v>0</v>
      </c>
      <c r="AV331">
        <v>0</v>
      </c>
      <c r="AW331">
        <v>0</v>
      </c>
      <c r="AX331">
        <f t="shared" si="87"/>
        <v>37490</v>
      </c>
      <c r="AZ331" t="s">
        <v>280</v>
      </c>
      <c r="BA331" s="128">
        <v>36516</v>
      </c>
      <c r="BB331" s="128">
        <v>325340</v>
      </c>
      <c r="BC331" s="128">
        <v>0</v>
      </c>
      <c r="BD331" s="128">
        <v>642456</v>
      </c>
      <c r="BE331" s="128">
        <v>398589.97</v>
      </c>
      <c r="BF331" s="128">
        <v>3246484.1191924126</v>
      </c>
      <c r="BG331" s="272">
        <v>162374.50218296191</v>
      </c>
      <c r="BH331">
        <v>1834</v>
      </c>
      <c r="BI331">
        <v>2361</v>
      </c>
      <c r="BJ331">
        <v>213</v>
      </c>
      <c r="BK331">
        <v>75</v>
      </c>
      <c r="BL331">
        <v>776</v>
      </c>
      <c r="BM331">
        <v>37</v>
      </c>
      <c r="BN331" s="128">
        <v>32</v>
      </c>
      <c r="BO331" s="128">
        <v>0</v>
      </c>
      <c r="BP331" s="128">
        <v>366</v>
      </c>
      <c r="BQ331" s="128">
        <f t="shared" si="88"/>
        <v>26046755.408624627</v>
      </c>
      <c r="BR331">
        <v>16309</v>
      </c>
      <c r="BS331" s="128">
        <f t="shared" si="75"/>
        <v>1597.0786319593246</v>
      </c>
      <c r="BT331" t="s">
        <v>467</v>
      </c>
      <c r="BU331" s="129">
        <f t="shared" si="89"/>
        <v>1619.5202286237432</v>
      </c>
      <c r="BZ331" t="s">
        <v>395</v>
      </c>
      <c r="CA331">
        <v>1432.7509757008006</v>
      </c>
      <c r="CB331" t="s">
        <v>118</v>
      </c>
    </row>
    <row r="332" spans="1:80" ht="14.5" x14ac:dyDescent="0.25">
      <c r="A332" t="s">
        <v>236</v>
      </c>
      <c r="B332">
        <v>6019</v>
      </c>
      <c r="C332">
        <v>1293</v>
      </c>
      <c r="D332">
        <v>77</v>
      </c>
      <c r="E332">
        <f t="shared" si="76"/>
        <v>1911</v>
      </c>
      <c r="F332">
        <f t="shared" si="77"/>
        <v>799</v>
      </c>
      <c r="G332">
        <f t="shared" si="78"/>
        <v>731</v>
      </c>
      <c r="H332">
        <f t="shared" si="79"/>
        <v>667</v>
      </c>
      <c r="I332">
        <f t="shared" si="80"/>
        <v>872</v>
      </c>
      <c r="J332">
        <f t="shared" si="81"/>
        <v>1419</v>
      </c>
      <c r="K332">
        <f t="shared" si="82"/>
        <v>2380</v>
      </c>
      <c r="L332">
        <f t="shared" si="83"/>
        <v>8406</v>
      </c>
      <c r="M332">
        <f t="shared" si="84"/>
        <v>3045</v>
      </c>
      <c r="N332">
        <f t="shared" si="85"/>
        <v>470</v>
      </c>
      <c r="O332">
        <f t="shared" si="86"/>
        <v>28089</v>
      </c>
      <c r="Q332">
        <v>5329</v>
      </c>
      <c r="R332">
        <v>3241</v>
      </c>
      <c r="S332">
        <v>177</v>
      </c>
      <c r="T332">
        <v>1041</v>
      </c>
      <c r="U332">
        <v>193</v>
      </c>
      <c r="V332">
        <v>49</v>
      </c>
      <c r="W332">
        <v>1136</v>
      </c>
      <c r="X332">
        <v>226</v>
      </c>
      <c r="Y332">
        <v>179</v>
      </c>
      <c r="Z332" s="271">
        <v>738</v>
      </c>
      <c r="AA332">
        <v>71</v>
      </c>
      <c r="AB332">
        <v>0</v>
      </c>
      <c r="AC332">
        <v>1234</v>
      </c>
      <c r="AD332">
        <v>102</v>
      </c>
      <c r="AE332">
        <v>260</v>
      </c>
      <c r="AF332">
        <v>2155</v>
      </c>
      <c r="AG332">
        <v>462</v>
      </c>
      <c r="AH332">
        <v>274</v>
      </c>
      <c r="AI332">
        <v>2522</v>
      </c>
      <c r="AJ332">
        <v>142</v>
      </c>
      <c r="AK332">
        <v>0</v>
      </c>
      <c r="AL332">
        <v>8735</v>
      </c>
      <c r="AM332">
        <v>260</v>
      </c>
      <c r="AN332">
        <v>69</v>
      </c>
      <c r="AO332">
        <v>3788</v>
      </c>
      <c r="AP332">
        <v>507</v>
      </c>
      <c r="AQ332">
        <v>236</v>
      </c>
      <c r="AR332">
        <v>1294</v>
      </c>
      <c r="AS332">
        <v>775</v>
      </c>
      <c r="AT332">
        <v>49</v>
      </c>
      <c r="AU332">
        <v>20653</v>
      </c>
      <c r="AV332">
        <v>40</v>
      </c>
      <c r="AW332">
        <v>0</v>
      </c>
      <c r="AX332">
        <f t="shared" si="87"/>
        <v>48702</v>
      </c>
      <c r="AZ332" t="s">
        <v>236</v>
      </c>
      <c r="BA332" s="128">
        <v>26679</v>
      </c>
      <c r="BB332" s="128">
        <v>595924</v>
      </c>
      <c r="BC332" s="128">
        <v>0</v>
      </c>
      <c r="BD332" s="128">
        <v>369006</v>
      </c>
      <c r="BE332" s="128">
        <v>325381</v>
      </c>
      <c r="BF332" s="128">
        <v>1569475</v>
      </c>
      <c r="BG332" s="272">
        <v>0</v>
      </c>
      <c r="BH332">
        <v>1292</v>
      </c>
      <c r="BI332">
        <v>1591</v>
      </c>
      <c r="BJ332">
        <v>170</v>
      </c>
      <c r="BK332">
        <v>0</v>
      </c>
      <c r="BL332">
        <v>321</v>
      </c>
      <c r="BM332">
        <v>11</v>
      </c>
      <c r="BN332" s="128">
        <v>236</v>
      </c>
      <c r="BO332" s="128">
        <v>0</v>
      </c>
      <c r="BP332" s="128">
        <v>0</v>
      </c>
      <c r="BQ332" s="128">
        <f t="shared" si="88"/>
        <v>20198214</v>
      </c>
      <c r="BR332">
        <v>13633</v>
      </c>
      <c r="BS332" s="128">
        <f t="shared" si="75"/>
        <v>1481.5678133939705</v>
      </c>
      <c r="BT332" t="s">
        <v>467</v>
      </c>
      <c r="BU332" s="129">
        <f t="shared" si="89"/>
        <v>1481.5678133939705</v>
      </c>
      <c r="BZ332" t="s">
        <v>606</v>
      </c>
      <c r="CA332">
        <v>1980.7894730896539</v>
      </c>
      <c r="CB332" t="s">
        <v>118</v>
      </c>
    </row>
    <row r="333" spans="1:80" ht="14.5" x14ac:dyDescent="0.25">
      <c r="A333" t="s">
        <v>281</v>
      </c>
      <c r="B333">
        <v>108822</v>
      </c>
      <c r="C333">
        <v>28106</v>
      </c>
      <c r="D333">
        <v>9566</v>
      </c>
      <c r="E333">
        <f t="shared" si="76"/>
        <v>25791</v>
      </c>
      <c r="F333">
        <f t="shared" si="77"/>
        <v>13769</v>
      </c>
      <c r="G333">
        <f t="shared" si="78"/>
        <v>13278</v>
      </c>
      <c r="H333">
        <f t="shared" si="79"/>
        <v>1919</v>
      </c>
      <c r="I333">
        <f t="shared" si="80"/>
        <v>16469</v>
      </c>
      <c r="J333">
        <f t="shared" si="81"/>
        <v>26668</v>
      </c>
      <c r="K333">
        <f t="shared" si="82"/>
        <v>101215</v>
      </c>
      <c r="L333">
        <f t="shared" si="83"/>
        <v>119562</v>
      </c>
      <c r="M333">
        <f t="shared" si="84"/>
        <v>43778</v>
      </c>
      <c r="N333">
        <f t="shared" si="85"/>
        <v>5921</v>
      </c>
      <c r="O333">
        <f t="shared" si="86"/>
        <v>514864</v>
      </c>
      <c r="Q333">
        <v>80422</v>
      </c>
      <c r="R333">
        <v>46803</v>
      </c>
      <c r="S333">
        <v>7828</v>
      </c>
      <c r="T333">
        <v>15140</v>
      </c>
      <c r="U333">
        <v>1329</v>
      </c>
      <c r="V333">
        <v>42</v>
      </c>
      <c r="W333">
        <v>28375</v>
      </c>
      <c r="X333">
        <v>9957</v>
      </c>
      <c r="Y333">
        <v>5140</v>
      </c>
      <c r="Z333" s="271">
        <v>2765</v>
      </c>
      <c r="AA333">
        <v>846</v>
      </c>
      <c r="AB333">
        <v>0</v>
      </c>
      <c r="AC333">
        <v>24890</v>
      </c>
      <c r="AD333">
        <v>2261</v>
      </c>
      <c r="AE333">
        <v>6160</v>
      </c>
      <c r="AF333">
        <v>33610</v>
      </c>
      <c r="AG333">
        <v>5015</v>
      </c>
      <c r="AH333">
        <v>1927</v>
      </c>
      <c r="AI333">
        <v>109317</v>
      </c>
      <c r="AJ333">
        <v>8102</v>
      </c>
      <c r="AK333">
        <v>0</v>
      </c>
      <c r="AL333">
        <v>128834</v>
      </c>
      <c r="AM333">
        <v>9032</v>
      </c>
      <c r="AN333">
        <v>240</v>
      </c>
      <c r="AO333">
        <v>55827</v>
      </c>
      <c r="AP333">
        <v>5292</v>
      </c>
      <c r="AQ333">
        <v>6757</v>
      </c>
      <c r="AR333">
        <v>24345</v>
      </c>
      <c r="AS333">
        <v>18412</v>
      </c>
      <c r="AT333">
        <v>12</v>
      </c>
      <c r="AU333">
        <v>32843</v>
      </c>
      <c r="AV333">
        <v>1773</v>
      </c>
      <c r="AW333">
        <v>0</v>
      </c>
      <c r="AX333">
        <f t="shared" si="87"/>
        <v>545934</v>
      </c>
      <c r="AZ333" t="s">
        <v>281</v>
      </c>
      <c r="BA333" s="128">
        <v>475419</v>
      </c>
      <c r="BB333" s="128">
        <v>6337618</v>
      </c>
      <c r="BC333" s="128">
        <v>10534758</v>
      </c>
      <c r="BD333" s="128">
        <v>9383943</v>
      </c>
      <c r="BE333" s="128">
        <v>10628302</v>
      </c>
      <c r="BF333" s="128">
        <v>61317148.354032949</v>
      </c>
      <c r="BG333" s="272">
        <v>24049509.892040655</v>
      </c>
      <c r="BH333">
        <v>22288</v>
      </c>
      <c r="BI333">
        <v>22724</v>
      </c>
      <c r="BJ333">
        <v>1804</v>
      </c>
      <c r="BK333">
        <v>1064</v>
      </c>
      <c r="BL333">
        <v>5786</v>
      </c>
      <c r="BM333">
        <v>1812</v>
      </c>
      <c r="BN333" s="128">
        <v>998</v>
      </c>
      <c r="BO333" s="128">
        <v>4595</v>
      </c>
      <c r="BP333" s="128">
        <v>2271</v>
      </c>
      <c r="BQ333" s="128">
        <f t="shared" si="88"/>
        <v>289825720.7539264</v>
      </c>
      <c r="BR333">
        <v>157013</v>
      </c>
      <c r="BS333" s="128">
        <f t="shared" si="75"/>
        <v>1845.8708562598408</v>
      </c>
      <c r="BT333" t="s">
        <v>441</v>
      </c>
      <c r="BU333" s="129">
        <f t="shared" si="89"/>
        <v>1860.3346267756581</v>
      </c>
      <c r="BZ333" t="s">
        <v>397</v>
      </c>
      <c r="CA333">
        <v>2299.1763035301096</v>
      </c>
      <c r="CB333" t="s">
        <v>118</v>
      </c>
    </row>
    <row r="334" spans="1:80" ht="14.5" x14ac:dyDescent="0.25">
      <c r="A334" t="s">
        <v>211</v>
      </c>
      <c r="B334">
        <v>9597</v>
      </c>
      <c r="C334">
        <v>2787</v>
      </c>
      <c r="D334">
        <v>591</v>
      </c>
      <c r="E334">
        <f t="shared" si="76"/>
        <v>8018</v>
      </c>
      <c r="F334">
        <f t="shared" si="77"/>
        <v>3161</v>
      </c>
      <c r="G334">
        <f t="shared" si="78"/>
        <v>4084</v>
      </c>
      <c r="H334">
        <f t="shared" si="79"/>
        <v>4634</v>
      </c>
      <c r="I334">
        <f t="shared" si="80"/>
        <v>2934</v>
      </c>
      <c r="J334">
        <f t="shared" si="81"/>
        <v>4752</v>
      </c>
      <c r="K334">
        <f t="shared" si="82"/>
        <v>10966</v>
      </c>
      <c r="L334">
        <f t="shared" si="83"/>
        <v>14486</v>
      </c>
      <c r="M334">
        <f t="shared" si="84"/>
        <v>7351</v>
      </c>
      <c r="N334">
        <f t="shared" si="85"/>
        <v>1983</v>
      </c>
      <c r="O334">
        <f t="shared" si="86"/>
        <v>75344</v>
      </c>
      <c r="Q334">
        <v>12871</v>
      </c>
      <c r="R334">
        <v>4375</v>
      </c>
      <c r="S334">
        <v>478</v>
      </c>
      <c r="T334">
        <v>3661</v>
      </c>
      <c r="U334">
        <v>489</v>
      </c>
      <c r="V334">
        <v>11</v>
      </c>
      <c r="W334">
        <v>5316</v>
      </c>
      <c r="X334">
        <v>745</v>
      </c>
      <c r="Y334">
        <v>487</v>
      </c>
      <c r="Z334" s="271">
        <v>4970</v>
      </c>
      <c r="AA334">
        <v>262</v>
      </c>
      <c r="AB334">
        <v>74</v>
      </c>
      <c r="AC334">
        <v>3938</v>
      </c>
      <c r="AD334">
        <v>323</v>
      </c>
      <c r="AE334">
        <v>681</v>
      </c>
      <c r="AF334">
        <v>5467</v>
      </c>
      <c r="AG334">
        <v>537</v>
      </c>
      <c r="AH334">
        <v>178</v>
      </c>
      <c r="AI334">
        <v>11042</v>
      </c>
      <c r="AJ334">
        <v>76</v>
      </c>
      <c r="AK334">
        <v>0</v>
      </c>
      <c r="AL334">
        <v>16118</v>
      </c>
      <c r="AM334">
        <v>1622</v>
      </c>
      <c r="AN334">
        <v>10</v>
      </c>
      <c r="AO334">
        <v>8690</v>
      </c>
      <c r="AP334">
        <v>471</v>
      </c>
      <c r="AQ334">
        <v>868</v>
      </c>
      <c r="AR334">
        <v>2680</v>
      </c>
      <c r="AS334">
        <v>697</v>
      </c>
      <c r="AT334">
        <v>0</v>
      </c>
      <c r="AU334">
        <v>2459</v>
      </c>
      <c r="AV334">
        <v>0</v>
      </c>
      <c r="AW334">
        <v>0</v>
      </c>
      <c r="AX334">
        <f t="shared" si="87"/>
        <v>77803</v>
      </c>
      <c r="AZ334" t="s">
        <v>211</v>
      </c>
      <c r="BA334" s="128">
        <v>71966</v>
      </c>
      <c r="BB334" s="128">
        <v>838849</v>
      </c>
      <c r="BC334" s="128">
        <v>0</v>
      </c>
      <c r="BD334" s="128">
        <v>3274914</v>
      </c>
      <c r="BE334" s="128">
        <v>575746</v>
      </c>
      <c r="BF334" s="128">
        <v>4957551.2071159147</v>
      </c>
      <c r="BG334" s="272">
        <v>0</v>
      </c>
      <c r="BH334">
        <v>4259</v>
      </c>
      <c r="BI334">
        <v>0</v>
      </c>
      <c r="BJ334">
        <v>337</v>
      </c>
      <c r="BK334">
        <v>328</v>
      </c>
      <c r="BL334">
        <v>931</v>
      </c>
      <c r="BM334">
        <v>2409</v>
      </c>
      <c r="BN334" s="128">
        <v>244</v>
      </c>
      <c r="BO334" s="128">
        <v>726</v>
      </c>
      <c r="BP334" s="128">
        <v>91</v>
      </c>
      <c r="BQ334" s="128">
        <f t="shared" si="88"/>
        <v>52993939.792884082</v>
      </c>
      <c r="BR334">
        <v>29437</v>
      </c>
      <c r="BS334" s="128">
        <f t="shared" si="75"/>
        <v>1800.2493390251752</v>
      </c>
      <c r="BT334" t="s">
        <v>467</v>
      </c>
      <c r="BU334" s="129">
        <f t="shared" si="89"/>
        <v>1803.340686648914</v>
      </c>
      <c r="BZ334" t="s">
        <v>206</v>
      </c>
      <c r="CA334">
        <v>1731.270684567738</v>
      </c>
      <c r="CB334" t="s">
        <v>118</v>
      </c>
    </row>
    <row r="335" spans="1:80" ht="14.5" x14ac:dyDescent="0.25">
      <c r="A335" t="s">
        <v>282</v>
      </c>
      <c r="B335">
        <v>1156</v>
      </c>
      <c r="C335">
        <v>2371</v>
      </c>
      <c r="D335">
        <v>1134</v>
      </c>
      <c r="E335">
        <f t="shared" si="76"/>
        <v>8844</v>
      </c>
      <c r="F335">
        <f t="shared" si="77"/>
        <v>3253</v>
      </c>
      <c r="G335">
        <f t="shared" si="78"/>
        <v>5025</v>
      </c>
      <c r="H335">
        <f t="shared" si="79"/>
        <v>2080</v>
      </c>
      <c r="I335">
        <f t="shared" si="80"/>
        <v>1171</v>
      </c>
      <c r="J335">
        <f t="shared" si="81"/>
        <v>3514</v>
      </c>
      <c r="K335">
        <f t="shared" si="82"/>
        <v>11297</v>
      </c>
      <c r="L335">
        <f t="shared" si="83"/>
        <v>9916</v>
      </c>
      <c r="M335">
        <f t="shared" si="84"/>
        <v>4873</v>
      </c>
      <c r="N335">
        <f t="shared" si="85"/>
        <v>2357</v>
      </c>
      <c r="O335">
        <f t="shared" si="86"/>
        <v>56991</v>
      </c>
      <c r="Q335">
        <v>10100</v>
      </c>
      <c r="R335">
        <v>1156</v>
      </c>
      <c r="S335">
        <v>100</v>
      </c>
      <c r="T335">
        <v>3253</v>
      </c>
      <c r="U335">
        <v>0</v>
      </c>
      <c r="V335">
        <v>0</v>
      </c>
      <c r="W335">
        <v>6249</v>
      </c>
      <c r="X335">
        <v>0</v>
      </c>
      <c r="Y335">
        <v>1224</v>
      </c>
      <c r="Z335" s="271">
        <v>2080</v>
      </c>
      <c r="AA335">
        <v>0</v>
      </c>
      <c r="AB335">
        <v>0</v>
      </c>
      <c r="AC335">
        <v>1641</v>
      </c>
      <c r="AD335">
        <v>0</v>
      </c>
      <c r="AE335">
        <v>470</v>
      </c>
      <c r="AF335">
        <v>3697</v>
      </c>
      <c r="AG335">
        <v>0</v>
      </c>
      <c r="AH335">
        <v>183</v>
      </c>
      <c r="AI335">
        <v>11297</v>
      </c>
      <c r="AJ335">
        <v>0</v>
      </c>
      <c r="AK335">
        <v>0</v>
      </c>
      <c r="AL335">
        <v>9926</v>
      </c>
      <c r="AM335">
        <v>0</v>
      </c>
      <c r="AN335">
        <v>10</v>
      </c>
      <c r="AO335">
        <v>5257</v>
      </c>
      <c r="AP335">
        <v>0</v>
      </c>
      <c r="AQ335">
        <v>384</v>
      </c>
      <c r="AR335">
        <v>2357</v>
      </c>
      <c r="AS335">
        <v>0</v>
      </c>
      <c r="AT335">
        <v>0</v>
      </c>
      <c r="AU335">
        <v>1415</v>
      </c>
      <c r="AV335">
        <v>0</v>
      </c>
      <c r="AW335">
        <v>0</v>
      </c>
      <c r="AX335">
        <f t="shared" si="87"/>
        <v>58406</v>
      </c>
      <c r="AZ335" t="s">
        <v>282</v>
      </c>
      <c r="BA335" s="128">
        <v>53486</v>
      </c>
      <c r="BB335" s="128">
        <v>367565</v>
      </c>
      <c r="BC335" s="128">
        <v>0</v>
      </c>
      <c r="BD335" s="128">
        <v>668235</v>
      </c>
      <c r="BE335" s="128">
        <v>356063.56333333335</v>
      </c>
      <c r="BF335" s="128">
        <v>5882786.0775777427</v>
      </c>
      <c r="BG335" s="272">
        <v>0</v>
      </c>
      <c r="BH335">
        <v>2024</v>
      </c>
      <c r="BI335">
        <v>2055</v>
      </c>
      <c r="BJ335">
        <v>377</v>
      </c>
      <c r="BK335">
        <v>128</v>
      </c>
      <c r="BL335">
        <v>657</v>
      </c>
      <c r="BM335">
        <v>6060</v>
      </c>
      <c r="BN335" s="128">
        <v>3987</v>
      </c>
      <c r="BO335" s="128">
        <v>251</v>
      </c>
      <c r="BP335" s="128">
        <v>2556</v>
      </c>
      <c r="BQ335" s="128">
        <f t="shared" si="88"/>
        <v>28116350.359088928</v>
      </c>
      <c r="BR335">
        <v>17165</v>
      </c>
      <c r="BS335" s="128">
        <f t="shared" si="75"/>
        <v>1638.0046815664973</v>
      </c>
      <c r="BT335" t="s">
        <v>118</v>
      </c>
      <c r="BU335" s="129">
        <f t="shared" si="89"/>
        <v>1786.9123425044525</v>
      </c>
      <c r="BZ335" t="s">
        <v>278</v>
      </c>
      <c r="CA335">
        <v>1639.6515741702581</v>
      </c>
      <c r="CB335" t="s">
        <v>118</v>
      </c>
    </row>
    <row r="336" spans="1:80" ht="14.5" x14ac:dyDescent="0.25">
      <c r="A336" t="s">
        <v>434</v>
      </c>
      <c r="B336">
        <v>8830</v>
      </c>
      <c r="C336">
        <v>1182</v>
      </c>
      <c r="D336">
        <v>3</v>
      </c>
      <c r="E336">
        <f t="shared" si="76"/>
        <v>11470</v>
      </c>
      <c r="F336">
        <f t="shared" si="77"/>
        <v>1793</v>
      </c>
      <c r="G336">
        <f t="shared" si="78"/>
        <v>5224</v>
      </c>
      <c r="H336">
        <f t="shared" si="79"/>
        <v>497</v>
      </c>
      <c r="I336">
        <f t="shared" si="80"/>
        <v>1194</v>
      </c>
      <c r="J336">
        <f t="shared" si="81"/>
        <v>2891</v>
      </c>
      <c r="K336">
        <f t="shared" si="82"/>
        <v>6701</v>
      </c>
      <c r="L336">
        <f t="shared" si="83"/>
        <v>10370</v>
      </c>
      <c r="M336">
        <f t="shared" si="84"/>
        <v>5160</v>
      </c>
      <c r="N336">
        <f t="shared" si="85"/>
        <v>281</v>
      </c>
      <c r="O336">
        <f t="shared" si="86"/>
        <v>55596</v>
      </c>
      <c r="Q336">
        <v>16282</v>
      </c>
      <c r="R336">
        <v>4514</v>
      </c>
      <c r="S336">
        <v>298</v>
      </c>
      <c r="T336">
        <v>2154</v>
      </c>
      <c r="U336">
        <v>361</v>
      </c>
      <c r="V336">
        <v>0</v>
      </c>
      <c r="W336">
        <v>5996</v>
      </c>
      <c r="X336">
        <v>574</v>
      </c>
      <c r="Y336">
        <v>198</v>
      </c>
      <c r="Z336" s="271">
        <v>736</v>
      </c>
      <c r="AA336">
        <v>221</v>
      </c>
      <c r="AB336">
        <v>18</v>
      </c>
      <c r="AC336">
        <v>1617</v>
      </c>
      <c r="AD336">
        <v>55</v>
      </c>
      <c r="AE336">
        <v>368</v>
      </c>
      <c r="AF336">
        <v>3809</v>
      </c>
      <c r="AG336">
        <v>685</v>
      </c>
      <c r="AH336">
        <v>233</v>
      </c>
      <c r="AI336">
        <v>6734</v>
      </c>
      <c r="AJ336">
        <v>33</v>
      </c>
      <c r="AK336">
        <v>0</v>
      </c>
      <c r="AL336">
        <v>11364</v>
      </c>
      <c r="AM336">
        <v>986</v>
      </c>
      <c r="AN336">
        <v>8</v>
      </c>
      <c r="AO336">
        <v>5497</v>
      </c>
      <c r="AP336">
        <v>278</v>
      </c>
      <c r="AQ336">
        <v>59</v>
      </c>
      <c r="AR336">
        <v>1023</v>
      </c>
      <c r="AS336">
        <v>742</v>
      </c>
      <c r="AT336">
        <v>0</v>
      </c>
      <c r="AU336">
        <v>5</v>
      </c>
      <c r="AV336">
        <v>381</v>
      </c>
      <c r="AW336">
        <v>0</v>
      </c>
      <c r="AX336">
        <f t="shared" si="87"/>
        <v>55220</v>
      </c>
      <c r="AZ336" t="s">
        <v>434</v>
      </c>
      <c r="BA336" s="128">
        <v>54030</v>
      </c>
      <c r="BB336" s="128">
        <v>840495</v>
      </c>
      <c r="BC336" s="128">
        <v>0</v>
      </c>
      <c r="BD336" s="128">
        <v>444115</v>
      </c>
      <c r="BE336" s="128">
        <v>522154</v>
      </c>
      <c r="BF336" s="128">
        <v>4995834.8630065732</v>
      </c>
      <c r="BG336" s="272">
        <v>0</v>
      </c>
      <c r="BH336">
        <v>1166</v>
      </c>
      <c r="BI336">
        <v>2525</v>
      </c>
      <c r="BJ336">
        <v>285</v>
      </c>
      <c r="BK336">
        <v>86</v>
      </c>
      <c r="BL336">
        <v>1000</v>
      </c>
      <c r="BM336">
        <v>85</v>
      </c>
      <c r="BN336" s="128">
        <v>3252</v>
      </c>
      <c r="BO336" s="128">
        <v>0</v>
      </c>
      <c r="BP336" s="128">
        <v>1029</v>
      </c>
      <c r="BQ336" s="128">
        <f t="shared" si="88"/>
        <v>37799401.136993423</v>
      </c>
      <c r="BR336">
        <v>22886</v>
      </c>
      <c r="BS336" s="128">
        <f t="shared" si="75"/>
        <v>1651.6386060033831</v>
      </c>
      <c r="BT336" t="s">
        <v>467</v>
      </c>
      <c r="BU336" s="129">
        <f t="shared" si="89"/>
        <v>1696.6005914966977</v>
      </c>
      <c r="BZ336" t="s">
        <v>608</v>
      </c>
      <c r="CA336">
        <v>1588.67401404014</v>
      </c>
      <c r="CB336" t="s">
        <v>118</v>
      </c>
    </row>
    <row r="337" spans="1:81" ht="14.5" x14ac:dyDescent="0.25">
      <c r="A337" t="s">
        <v>237</v>
      </c>
      <c r="B337">
        <v>30056</v>
      </c>
      <c r="C337">
        <v>6835</v>
      </c>
      <c r="D337">
        <v>894</v>
      </c>
      <c r="E337">
        <f t="shared" si="76"/>
        <v>5625</v>
      </c>
      <c r="F337">
        <f t="shared" si="77"/>
        <v>6041</v>
      </c>
      <c r="G337">
        <f t="shared" si="78"/>
        <v>4857</v>
      </c>
      <c r="H337">
        <f t="shared" si="79"/>
        <v>707</v>
      </c>
      <c r="I337">
        <f t="shared" si="80"/>
        <v>2307</v>
      </c>
      <c r="J337">
        <f t="shared" si="81"/>
        <v>13016</v>
      </c>
      <c r="K337">
        <f t="shared" si="82"/>
        <v>35485</v>
      </c>
      <c r="L337">
        <f t="shared" si="83"/>
        <v>43674</v>
      </c>
      <c r="M337">
        <f t="shared" si="84"/>
        <v>16169</v>
      </c>
      <c r="N337">
        <f t="shared" si="85"/>
        <v>1582</v>
      </c>
      <c r="O337">
        <f t="shared" si="86"/>
        <v>167248</v>
      </c>
      <c r="Q337">
        <v>23660</v>
      </c>
      <c r="R337">
        <v>16720</v>
      </c>
      <c r="S337">
        <v>1315</v>
      </c>
      <c r="T337">
        <v>7524</v>
      </c>
      <c r="U337">
        <v>1439</v>
      </c>
      <c r="V337">
        <v>44</v>
      </c>
      <c r="W337">
        <v>8534</v>
      </c>
      <c r="X337">
        <v>2000</v>
      </c>
      <c r="Y337">
        <v>1677</v>
      </c>
      <c r="Z337" s="271">
        <v>1097</v>
      </c>
      <c r="AA337">
        <v>385</v>
      </c>
      <c r="AB337">
        <v>5</v>
      </c>
      <c r="AC337">
        <v>4926</v>
      </c>
      <c r="AD337">
        <v>616</v>
      </c>
      <c r="AE337">
        <v>2003</v>
      </c>
      <c r="AF337">
        <v>15968</v>
      </c>
      <c r="AG337">
        <v>1980</v>
      </c>
      <c r="AH337">
        <v>972</v>
      </c>
      <c r="AI337">
        <v>35692</v>
      </c>
      <c r="AJ337">
        <v>207</v>
      </c>
      <c r="AK337">
        <v>0</v>
      </c>
      <c r="AL337">
        <v>45807</v>
      </c>
      <c r="AM337">
        <v>2133</v>
      </c>
      <c r="AN337">
        <v>0</v>
      </c>
      <c r="AO337">
        <v>18343</v>
      </c>
      <c r="AP337">
        <v>1442</v>
      </c>
      <c r="AQ337">
        <v>732</v>
      </c>
      <c r="AR337">
        <v>4308</v>
      </c>
      <c r="AS337">
        <v>2639</v>
      </c>
      <c r="AT337">
        <v>87</v>
      </c>
      <c r="AU337">
        <v>473</v>
      </c>
      <c r="AV337">
        <v>495</v>
      </c>
      <c r="AW337">
        <v>0</v>
      </c>
      <c r="AX337">
        <f t="shared" si="87"/>
        <v>167226</v>
      </c>
      <c r="AZ337" t="s">
        <v>237</v>
      </c>
      <c r="BA337" s="128">
        <v>159024</v>
      </c>
      <c r="BB337" s="128">
        <v>4428373</v>
      </c>
      <c r="BC337" s="128">
        <v>0</v>
      </c>
      <c r="BD337" s="128">
        <v>5395519</v>
      </c>
      <c r="BE337" s="128">
        <v>1143832</v>
      </c>
      <c r="BF337" s="128">
        <v>19852678.982835259</v>
      </c>
      <c r="BG337" s="272">
        <v>0</v>
      </c>
      <c r="BH337">
        <v>5577</v>
      </c>
      <c r="BI337">
        <v>8631</v>
      </c>
      <c r="BJ337">
        <v>1431</v>
      </c>
      <c r="BK337">
        <v>1595</v>
      </c>
      <c r="BL337">
        <v>4384</v>
      </c>
      <c r="BM337">
        <v>266</v>
      </c>
      <c r="BN337" s="128">
        <v>336</v>
      </c>
      <c r="BO337" s="128">
        <v>2909</v>
      </c>
      <c r="BP337" s="128">
        <v>308</v>
      </c>
      <c r="BQ337" s="128">
        <f t="shared" si="88"/>
        <v>102766597.01716474</v>
      </c>
      <c r="BR337">
        <v>65057</v>
      </c>
      <c r="BS337" s="128">
        <f t="shared" si="75"/>
        <v>1579.6393472979807</v>
      </c>
      <c r="BT337" t="s">
        <v>118</v>
      </c>
      <c r="BU337" s="129">
        <f t="shared" si="89"/>
        <v>1584.3736572108264</v>
      </c>
      <c r="BZ337" t="s">
        <v>116</v>
      </c>
      <c r="CA337">
        <v>1724.3212156458133</v>
      </c>
      <c r="CB337" t="s">
        <v>118</v>
      </c>
    </row>
    <row r="338" spans="1:81" ht="14.5" x14ac:dyDescent="0.25">
      <c r="A338" t="s">
        <v>212</v>
      </c>
      <c r="B338">
        <v>23680</v>
      </c>
      <c r="C338">
        <v>5907</v>
      </c>
      <c r="D338">
        <v>2358</v>
      </c>
      <c r="E338">
        <f t="shared" si="76"/>
        <v>9943</v>
      </c>
      <c r="F338">
        <f t="shared" si="77"/>
        <v>2712</v>
      </c>
      <c r="G338">
        <f t="shared" si="78"/>
        <v>2606</v>
      </c>
      <c r="H338">
        <f t="shared" si="79"/>
        <v>19040</v>
      </c>
      <c r="I338">
        <f t="shared" si="80"/>
        <v>2862</v>
      </c>
      <c r="J338">
        <f t="shared" si="81"/>
        <v>6429</v>
      </c>
      <c r="K338">
        <f t="shared" si="82"/>
        <v>23115</v>
      </c>
      <c r="L338">
        <f t="shared" si="83"/>
        <v>34474</v>
      </c>
      <c r="M338">
        <f t="shared" si="84"/>
        <v>8312</v>
      </c>
      <c r="N338">
        <f t="shared" si="85"/>
        <v>664</v>
      </c>
      <c r="O338">
        <f t="shared" si="86"/>
        <v>142102</v>
      </c>
      <c r="Q338">
        <v>22749</v>
      </c>
      <c r="R338">
        <v>11495</v>
      </c>
      <c r="S338">
        <v>1311</v>
      </c>
      <c r="T338">
        <v>3368</v>
      </c>
      <c r="U338">
        <v>620</v>
      </c>
      <c r="V338">
        <v>36</v>
      </c>
      <c r="W338">
        <v>5258</v>
      </c>
      <c r="X338">
        <v>1671</v>
      </c>
      <c r="Y338">
        <v>981</v>
      </c>
      <c r="Z338" s="271">
        <v>19689</v>
      </c>
      <c r="AA338">
        <v>599</v>
      </c>
      <c r="AB338">
        <v>50</v>
      </c>
      <c r="AC338">
        <v>4807</v>
      </c>
      <c r="AD338">
        <v>453</v>
      </c>
      <c r="AE338">
        <v>1492</v>
      </c>
      <c r="AF338">
        <v>8413</v>
      </c>
      <c r="AG338">
        <v>1439</v>
      </c>
      <c r="AH338">
        <v>545</v>
      </c>
      <c r="AI338">
        <v>24156</v>
      </c>
      <c r="AJ338">
        <v>1041</v>
      </c>
      <c r="AK338">
        <v>0</v>
      </c>
      <c r="AL338">
        <v>37748</v>
      </c>
      <c r="AM338">
        <v>2919</v>
      </c>
      <c r="AN338">
        <v>355</v>
      </c>
      <c r="AO338">
        <v>10681</v>
      </c>
      <c r="AP338">
        <v>1251</v>
      </c>
      <c r="AQ338">
        <v>1118</v>
      </c>
      <c r="AR338">
        <v>2723</v>
      </c>
      <c r="AS338">
        <v>2040</v>
      </c>
      <c r="AT338">
        <v>19</v>
      </c>
      <c r="AU338">
        <v>3145</v>
      </c>
      <c r="AV338">
        <v>152</v>
      </c>
      <c r="AW338">
        <v>0</v>
      </c>
      <c r="AX338">
        <f t="shared" si="87"/>
        <v>145095</v>
      </c>
      <c r="AZ338" t="s">
        <v>212</v>
      </c>
      <c r="BA338" s="128">
        <v>133685</v>
      </c>
      <c r="BB338" s="128">
        <v>1722874</v>
      </c>
      <c r="BC338" s="128">
        <v>0</v>
      </c>
      <c r="BD338" s="128">
        <v>4563832</v>
      </c>
      <c r="BE338" s="128">
        <v>649251.84000000008</v>
      </c>
      <c r="BF338" s="128">
        <v>11526293.752490753</v>
      </c>
      <c r="BG338" s="272">
        <v>2724222.7842493113</v>
      </c>
      <c r="BH338">
        <v>4654</v>
      </c>
      <c r="BI338">
        <v>3622</v>
      </c>
      <c r="BJ338">
        <v>478</v>
      </c>
      <c r="BK338">
        <v>145</v>
      </c>
      <c r="BL338">
        <v>702</v>
      </c>
      <c r="BM338">
        <v>200</v>
      </c>
      <c r="BN338" s="128">
        <v>382</v>
      </c>
      <c r="BO338" s="128">
        <v>1216</v>
      </c>
      <c r="BP338" s="128">
        <v>3047</v>
      </c>
      <c r="BQ338" s="128">
        <f t="shared" si="88"/>
        <v>98052525.623259932</v>
      </c>
      <c r="BR338">
        <v>44099</v>
      </c>
      <c r="BS338" s="128">
        <f t="shared" si="75"/>
        <v>2223.4636981169624</v>
      </c>
      <c r="BT338" t="s">
        <v>118</v>
      </c>
      <c r="BU338" s="129">
        <f t="shared" si="89"/>
        <v>2292.5582354080575</v>
      </c>
      <c r="BZ338" t="s">
        <v>208</v>
      </c>
      <c r="CA338">
        <v>1677.9606572201958</v>
      </c>
      <c r="CB338" t="s">
        <v>118</v>
      </c>
    </row>
    <row r="339" spans="1:81" ht="14.5" x14ac:dyDescent="0.25">
      <c r="A339" t="s">
        <v>326</v>
      </c>
      <c r="B339">
        <v>87398</v>
      </c>
      <c r="C339">
        <v>9805</v>
      </c>
      <c r="D339">
        <v>547</v>
      </c>
      <c r="E339">
        <f t="shared" si="76"/>
        <v>21251</v>
      </c>
      <c r="F339">
        <f t="shared" si="77"/>
        <v>10838</v>
      </c>
      <c r="G339">
        <f t="shared" si="78"/>
        <v>15149</v>
      </c>
      <c r="H339">
        <f t="shared" si="79"/>
        <v>4647</v>
      </c>
      <c r="I339">
        <f t="shared" si="80"/>
        <v>15656</v>
      </c>
      <c r="J339">
        <f t="shared" si="81"/>
        <v>27648</v>
      </c>
      <c r="K339">
        <f t="shared" si="82"/>
        <v>66262</v>
      </c>
      <c r="L339">
        <f t="shared" si="83"/>
        <v>97742</v>
      </c>
      <c r="M339">
        <f t="shared" si="84"/>
        <v>17621</v>
      </c>
      <c r="N339">
        <f t="shared" si="85"/>
        <v>7163</v>
      </c>
      <c r="O339">
        <f t="shared" si="86"/>
        <v>381727</v>
      </c>
      <c r="Q339">
        <v>61283</v>
      </c>
      <c r="R339">
        <v>37908</v>
      </c>
      <c r="S339">
        <v>2124</v>
      </c>
      <c r="T339">
        <v>14235</v>
      </c>
      <c r="U339">
        <v>3392</v>
      </c>
      <c r="V339">
        <v>5</v>
      </c>
      <c r="W339">
        <v>19368</v>
      </c>
      <c r="X339">
        <v>3639</v>
      </c>
      <c r="Y339">
        <v>580</v>
      </c>
      <c r="Z339" s="271">
        <v>6229</v>
      </c>
      <c r="AA339">
        <v>1438</v>
      </c>
      <c r="AB339">
        <v>144</v>
      </c>
      <c r="AC339">
        <v>20916</v>
      </c>
      <c r="AD339">
        <v>1607</v>
      </c>
      <c r="AE339">
        <v>3653</v>
      </c>
      <c r="AF339">
        <v>34152</v>
      </c>
      <c r="AG339">
        <v>4234</v>
      </c>
      <c r="AH339">
        <v>2270</v>
      </c>
      <c r="AI339">
        <v>77887</v>
      </c>
      <c r="AJ339">
        <v>11625</v>
      </c>
      <c r="AK339">
        <v>0</v>
      </c>
      <c r="AL339">
        <v>109057</v>
      </c>
      <c r="AM339">
        <v>10866</v>
      </c>
      <c r="AN339">
        <v>449</v>
      </c>
      <c r="AO339">
        <v>21673</v>
      </c>
      <c r="AP339">
        <v>3475</v>
      </c>
      <c r="AQ339">
        <v>577</v>
      </c>
      <c r="AR339">
        <v>13311</v>
      </c>
      <c r="AS339">
        <v>6145</v>
      </c>
      <c r="AT339">
        <v>3</v>
      </c>
      <c r="AU339">
        <v>11805</v>
      </c>
      <c r="AV339">
        <v>3069</v>
      </c>
      <c r="AW339">
        <v>0</v>
      </c>
      <c r="AX339">
        <f t="shared" si="87"/>
        <v>390463</v>
      </c>
      <c r="AZ339" t="s">
        <v>326</v>
      </c>
      <c r="BA339" s="128">
        <v>368306</v>
      </c>
      <c r="BB339" s="128">
        <v>4714310</v>
      </c>
      <c r="BC339" s="128">
        <v>0</v>
      </c>
      <c r="BD339" s="128">
        <v>8212862</v>
      </c>
      <c r="BE339" s="128">
        <v>2622523</v>
      </c>
      <c r="BF339" s="128">
        <v>46895754.193308577</v>
      </c>
      <c r="BG339" s="272">
        <v>5317380.8507876247</v>
      </c>
      <c r="BH339">
        <v>6553</v>
      </c>
      <c r="BI339">
        <v>15691</v>
      </c>
      <c r="BJ339">
        <v>1261</v>
      </c>
      <c r="BK339">
        <v>537</v>
      </c>
      <c r="BL339">
        <v>6947</v>
      </c>
      <c r="BM339">
        <v>298</v>
      </c>
      <c r="BN339" s="128">
        <v>313</v>
      </c>
      <c r="BO339" s="128">
        <v>3052</v>
      </c>
      <c r="BP339" s="128">
        <v>2920</v>
      </c>
      <c r="BQ339" s="128">
        <f t="shared" si="88"/>
        <v>262971169.95590377</v>
      </c>
      <c r="BR339">
        <v>125265</v>
      </c>
      <c r="BS339" s="128">
        <f t="shared" si="75"/>
        <v>2099.3188037832097</v>
      </c>
      <c r="BT339" t="s">
        <v>441</v>
      </c>
      <c r="BU339" s="129">
        <f t="shared" si="89"/>
        <v>2122.6293853502875</v>
      </c>
      <c r="BZ339" t="s">
        <v>609</v>
      </c>
      <c r="CA339">
        <v>1976.5735983511363</v>
      </c>
      <c r="CB339" t="s">
        <v>118</v>
      </c>
    </row>
    <row r="340" spans="1:81" ht="14.5" x14ac:dyDescent="0.25">
      <c r="A340" t="s">
        <v>327</v>
      </c>
      <c r="B340">
        <v>6269</v>
      </c>
      <c r="C340">
        <v>1736</v>
      </c>
      <c r="D340">
        <v>339</v>
      </c>
      <c r="E340">
        <f t="shared" si="76"/>
        <v>3381</v>
      </c>
      <c r="F340">
        <f t="shared" si="77"/>
        <v>738</v>
      </c>
      <c r="G340">
        <f t="shared" si="78"/>
        <v>1259</v>
      </c>
      <c r="H340">
        <f t="shared" si="79"/>
        <v>50</v>
      </c>
      <c r="I340">
        <f t="shared" si="80"/>
        <v>313</v>
      </c>
      <c r="J340">
        <f t="shared" si="81"/>
        <v>1111</v>
      </c>
      <c r="K340">
        <f t="shared" si="82"/>
        <v>1439</v>
      </c>
      <c r="L340">
        <f t="shared" si="83"/>
        <v>3187</v>
      </c>
      <c r="M340">
        <f t="shared" si="84"/>
        <v>2243</v>
      </c>
      <c r="N340">
        <f t="shared" si="85"/>
        <v>582</v>
      </c>
      <c r="O340">
        <f t="shared" si="86"/>
        <v>22647</v>
      </c>
      <c r="Q340">
        <v>6175</v>
      </c>
      <c r="R340">
        <v>2708</v>
      </c>
      <c r="S340">
        <v>86</v>
      </c>
      <c r="T340">
        <v>842</v>
      </c>
      <c r="U340">
        <v>96</v>
      </c>
      <c r="V340">
        <v>8</v>
      </c>
      <c r="W340">
        <v>2319</v>
      </c>
      <c r="X340">
        <v>392</v>
      </c>
      <c r="Y340">
        <v>668</v>
      </c>
      <c r="Z340" s="271">
        <v>50</v>
      </c>
      <c r="AA340">
        <v>0</v>
      </c>
      <c r="AB340">
        <v>0</v>
      </c>
      <c r="AC340">
        <v>560</v>
      </c>
      <c r="AD340">
        <v>71</v>
      </c>
      <c r="AE340">
        <v>176</v>
      </c>
      <c r="AF340">
        <v>2150</v>
      </c>
      <c r="AG340">
        <v>771</v>
      </c>
      <c r="AH340">
        <v>268</v>
      </c>
      <c r="AI340">
        <v>1740</v>
      </c>
      <c r="AJ340">
        <v>301</v>
      </c>
      <c r="AK340">
        <v>0</v>
      </c>
      <c r="AL340">
        <v>3560</v>
      </c>
      <c r="AM340">
        <v>366</v>
      </c>
      <c r="AN340">
        <v>7</v>
      </c>
      <c r="AO340">
        <v>3504</v>
      </c>
      <c r="AP340">
        <v>741</v>
      </c>
      <c r="AQ340">
        <v>520</v>
      </c>
      <c r="AR340">
        <v>1258</v>
      </c>
      <c r="AS340">
        <v>673</v>
      </c>
      <c r="AT340">
        <v>3</v>
      </c>
      <c r="AU340">
        <v>876</v>
      </c>
      <c r="AV340">
        <v>150</v>
      </c>
      <c r="AW340">
        <v>0</v>
      </c>
      <c r="AX340">
        <f t="shared" si="87"/>
        <v>23373</v>
      </c>
      <c r="AZ340" t="s">
        <v>327</v>
      </c>
      <c r="BA340" s="128">
        <v>20422</v>
      </c>
      <c r="BB340" s="128">
        <v>110466</v>
      </c>
      <c r="BC340" s="128">
        <v>0</v>
      </c>
      <c r="BD340" s="128">
        <v>37328</v>
      </c>
      <c r="BE340" s="128">
        <v>239528</v>
      </c>
      <c r="BF340" s="128">
        <v>916350</v>
      </c>
      <c r="BG340" s="272">
        <v>576812.6648021359</v>
      </c>
      <c r="BH340">
        <v>1111</v>
      </c>
      <c r="BI340">
        <v>782</v>
      </c>
      <c r="BJ340">
        <v>102</v>
      </c>
      <c r="BK340">
        <v>5</v>
      </c>
      <c r="BL340">
        <v>800</v>
      </c>
      <c r="BM340">
        <v>37</v>
      </c>
      <c r="BN340" s="128">
        <v>0</v>
      </c>
      <c r="BO340" s="128">
        <v>0</v>
      </c>
      <c r="BP340" s="128">
        <v>840</v>
      </c>
      <c r="BQ340" s="128">
        <f t="shared" si="88"/>
        <v>14864515.335197866</v>
      </c>
      <c r="BR340">
        <v>8838</v>
      </c>
      <c r="BS340" s="128">
        <f t="shared" si="75"/>
        <v>1681.8867770081315</v>
      </c>
      <c r="BT340" t="s">
        <v>467</v>
      </c>
      <c r="BU340" s="129">
        <f t="shared" si="89"/>
        <v>1776.9309046388171</v>
      </c>
      <c r="BZ340" t="s">
        <v>140</v>
      </c>
      <c r="CA340">
        <v>1824.5563939154083</v>
      </c>
      <c r="CB340" t="s">
        <v>118</v>
      </c>
    </row>
    <row r="341" spans="1:81" ht="14.5" x14ac:dyDescent="0.25">
      <c r="A341" t="s">
        <v>328</v>
      </c>
      <c r="B341">
        <v>20968</v>
      </c>
      <c r="C341">
        <v>6653</v>
      </c>
      <c r="D341">
        <v>2501</v>
      </c>
      <c r="E341">
        <f t="shared" si="76"/>
        <v>7614</v>
      </c>
      <c r="F341">
        <f t="shared" si="77"/>
        <v>2832</v>
      </c>
      <c r="G341">
        <f t="shared" si="78"/>
        <v>1889</v>
      </c>
      <c r="H341">
        <f t="shared" si="79"/>
        <v>129</v>
      </c>
      <c r="I341">
        <f t="shared" si="80"/>
        <v>2321</v>
      </c>
      <c r="J341">
        <f t="shared" si="81"/>
        <v>6558</v>
      </c>
      <c r="K341">
        <f t="shared" si="82"/>
        <v>13374</v>
      </c>
      <c r="L341">
        <f t="shared" si="83"/>
        <v>22441</v>
      </c>
      <c r="M341">
        <f t="shared" si="84"/>
        <v>10418</v>
      </c>
      <c r="N341">
        <f t="shared" si="85"/>
        <v>3143</v>
      </c>
      <c r="O341">
        <f t="shared" si="86"/>
        <v>100841</v>
      </c>
      <c r="Q341">
        <v>21278</v>
      </c>
      <c r="R341">
        <v>12538</v>
      </c>
      <c r="S341">
        <v>1126</v>
      </c>
      <c r="T341">
        <v>3548</v>
      </c>
      <c r="U341">
        <v>665</v>
      </c>
      <c r="V341">
        <v>51</v>
      </c>
      <c r="W341">
        <v>5039</v>
      </c>
      <c r="X341">
        <v>1236</v>
      </c>
      <c r="Y341">
        <v>1914</v>
      </c>
      <c r="Z341" s="271">
        <v>365</v>
      </c>
      <c r="AA341">
        <v>236</v>
      </c>
      <c r="AB341">
        <v>0</v>
      </c>
      <c r="AC341">
        <v>3377</v>
      </c>
      <c r="AD341">
        <v>132</v>
      </c>
      <c r="AE341">
        <v>924</v>
      </c>
      <c r="AF341">
        <v>8491</v>
      </c>
      <c r="AG341">
        <v>935</v>
      </c>
      <c r="AH341">
        <v>998</v>
      </c>
      <c r="AI341">
        <v>13451</v>
      </c>
      <c r="AJ341">
        <v>77</v>
      </c>
      <c r="AK341">
        <v>0</v>
      </c>
      <c r="AL341">
        <v>24114</v>
      </c>
      <c r="AM341">
        <v>1673</v>
      </c>
      <c r="AN341">
        <v>0</v>
      </c>
      <c r="AO341">
        <v>13449</v>
      </c>
      <c r="AP341">
        <v>1453</v>
      </c>
      <c r="AQ341">
        <v>1578</v>
      </c>
      <c r="AR341">
        <v>4616</v>
      </c>
      <c r="AS341">
        <v>1411</v>
      </c>
      <c r="AT341">
        <v>62</v>
      </c>
      <c r="AU341">
        <v>9540</v>
      </c>
      <c r="AV341">
        <v>612</v>
      </c>
      <c r="AW341">
        <v>0</v>
      </c>
      <c r="AX341">
        <f t="shared" si="87"/>
        <v>109769</v>
      </c>
      <c r="AZ341" t="s">
        <v>328</v>
      </c>
      <c r="BA341" s="128">
        <v>91075</v>
      </c>
      <c r="BB341" s="128">
        <v>1467312</v>
      </c>
      <c r="BC341" s="128">
        <v>0</v>
      </c>
      <c r="BD341" s="128">
        <v>2044444</v>
      </c>
      <c r="BE341" s="128">
        <v>652415.65999999992</v>
      </c>
      <c r="BF341" s="128">
        <v>8367819.4757539202</v>
      </c>
      <c r="BG341" s="272">
        <v>1567290.5313256439</v>
      </c>
      <c r="BH341">
        <v>4665</v>
      </c>
      <c r="BI341">
        <v>4721</v>
      </c>
      <c r="BJ341">
        <v>434</v>
      </c>
      <c r="BK341">
        <v>285</v>
      </c>
      <c r="BL341">
        <v>1032</v>
      </c>
      <c r="BM341">
        <v>54</v>
      </c>
      <c r="BN341" s="128">
        <v>154</v>
      </c>
      <c r="BO341" s="128">
        <v>0</v>
      </c>
      <c r="BP341" s="128">
        <v>2106</v>
      </c>
      <c r="BQ341" s="128">
        <f t="shared" si="88"/>
        <v>63524718.332920447</v>
      </c>
      <c r="BR341">
        <v>45054</v>
      </c>
      <c r="BS341" s="128">
        <f t="shared" si="75"/>
        <v>1409.9684452639156</v>
      </c>
      <c r="BT341" t="s">
        <v>467</v>
      </c>
      <c r="BU341" s="129">
        <f t="shared" si="89"/>
        <v>1456.7123525751419</v>
      </c>
      <c r="BZ341" t="s">
        <v>209</v>
      </c>
      <c r="CA341">
        <v>1678.3378518067632</v>
      </c>
      <c r="CB341" t="s">
        <v>118</v>
      </c>
    </row>
    <row r="342" spans="1:81" ht="14.5" x14ac:dyDescent="0.25">
      <c r="A342" t="s">
        <v>399</v>
      </c>
      <c r="B342">
        <v>10427</v>
      </c>
      <c r="C342">
        <v>1966</v>
      </c>
      <c r="D342">
        <v>455</v>
      </c>
      <c r="E342">
        <f t="shared" si="76"/>
        <v>3893</v>
      </c>
      <c r="F342">
        <f t="shared" si="77"/>
        <v>1469</v>
      </c>
      <c r="G342">
        <f t="shared" si="78"/>
        <v>2701</v>
      </c>
      <c r="H342">
        <f t="shared" si="79"/>
        <v>1572</v>
      </c>
      <c r="I342">
        <f t="shared" si="80"/>
        <v>1197</v>
      </c>
      <c r="J342">
        <f t="shared" si="81"/>
        <v>3523</v>
      </c>
      <c r="K342">
        <f t="shared" si="82"/>
        <v>6990</v>
      </c>
      <c r="L342">
        <f t="shared" si="83"/>
        <v>11533</v>
      </c>
      <c r="M342">
        <f t="shared" si="84"/>
        <v>3909</v>
      </c>
      <c r="N342">
        <f t="shared" si="85"/>
        <v>820</v>
      </c>
      <c r="O342">
        <f t="shared" si="86"/>
        <v>50455</v>
      </c>
      <c r="Q342">
        <v>9357</v>
      </c>
      <c r="R342">
        <v>5178</v>
      </c>
      <c r="S342">
        <v>286</v>
      </c>
      <c r="T342">
        <v>2440</v>
      </c>
      <c r="U342">
        <v>913</v>
      </c>
      <c r="V342">
        <v>58</v>
      </c>
      <c r="W342">
        <v>3599</v>
      </c>
      <c r="X342">
        <v>546</v>
      </c>
      <c r="Y342">
        <v>352</v>
      </c>
      <c r="Z342" s="271">
        <v>1884</v>
      </c>
      <c r="AA342">
        <v>306</v>
      </c>
      <c r="AB342">
        <v>6</v>
      </c>
      <c r="AC342">
        <v>1653</v>
      </c>
      <c r="AD342">
        <v>149</v>
      </c>
      <c r="AE342">
        <v>307</v>
      </c>
      <c r="AF342">
        <v>4254</v>
      </c>
      <c r="AG342">
        <v>444</v>
      </c>
      <c r="AH342">
        <v>287</v>
      </c>
      <c r="AI342">
        <v>7165</v>
      </c>
      <c r="AJ342">
        <v>175</v>
      </c>
      <c r="AK342">
        <v>0</v>
      </c>
      <c r="AL342">
        <v>12213</v>
      </c>
      <c r="AM342">
        <v>661</v>
      </c>
      <c r="AN342">
        <v>19</v>
      </c>
      <c r="AO342">
        <v>5184</v>
      </c>
      <c r="AP342">
        <v>759</v>
      </c>
      <c r="AQ342">
        <v>516</v>
      </c>
      <c r="AR342">
        <v>2251</v>
      </c>
      <c r="AS342">
        <v>1296</v>
      </c>
      <c r="AT342">
        <v>135</v>
      </c>
      <c r="AU342">
        <v>308</v>
      </c>
      <c r="AV342">
        <v>0</v>
      </c>
      <c r="AW342">
        <v>0</v>
      </c>
      <c r="AX342">
        <f t="shared" si="87"/>
        <v>50763</v>
      </c>
      <c r="AZ342" t="s">
        <v>399</v>
      </c>
      <c r="BA342" s="128">
        <v>48034</v>
      </c>
      <c r="BB342" s="128">
        <v>589120</v>
      </c>
      <c r="BC342" s="128">
        <v>0</v>
      </c>
      <c r="BD342" s="128">
        <v>1989859</v>
      </c>
      <c r="BE342" s="128">
        <v>307838</v>
      </c>
      <c r="BF342" s="128">
        <v>3234084.5490915198</v>
      </c>
      <c r="BG342" s="272">
        <v>266660.37761002593</v>
      </c>
      <c r="BH342">
        <v>2384</v>
      </c>
      <c r="BI342">
        <v>2446</v>
      </c>
      <c r="BJ342">
        <v>179</v>
      </c>
      <c r="BK342">
        <v>2</v>
      </c>
      <c r="BL342">
        <v>1223</v>
      </c>
      <c r="BM342">
        <v>150</v>
      </c>
      <c r="BN342" s="128">
        <v>164</v>
      </c>
      <c r="BO342" s="128">
        <v>0</v>
      </c>
      <c r="BP342" s="128">
        <v>26</v>
      </c>
      <c r="BQ342" s="128">
        <f t="shared" si="88"/>
        <v>35072438.073298454</v>
      </c>
      <c r="BR342">
        <v>21988</v>
      </c>
      <c r="BS342" s="128">
        <f t="shared" si="75"/>
        <v>1595.0717697516125</v>
      </c>
      <c r="BT342" t="s">
        <v>467</v>
      </c>
      <c r="BU342" s="129">
        <f t="shared" si="89"/>
        <v>1596.2542329133371</v>
      </c>
      <c r="BZ342" t="s">
        <v>210</v>
      </c>
      <c r="CA342">
        <v>2392.6355142756643</v>
      </c>
      <c r="CB342" t="s">
        <v>118</v>
      </c>
    </row>
    <row r="343" spans="1:81" ht="14.5" x14ac:dyDescent="0.25">
      <c r="A343" t="s">
        <v>213</v>
      </c>
      <c r="B343">
        <v>44154</v>
      </c>
      <c r="C343">
        <v>8627</v>
      </c>
      <c r="D343">
        <v>2953</v>
      </c>
      <c r="E343">
        <f t="shared" si="76"/>
        <v>7818</v>
      </c>
      <c r="F343">
        <f t="shared" si="77"/>
        <v>3157</v>
      </c>
      <c r="G343">
        <f t="shared" si="78"/>
        <v>2684</v>
      </c>
      <c r="H343">
        <f t="shared" si="79"/>
        <v>2343</v>
      </c>
      <c r="I343">
        <f t="shared" si="80"/>
        <v>4186</v>
      </c>
      <c r="J343">
        <f t="shared" si="81"/>
        <v>8366</v>
      </c>
      <c r="K343">
        <f t="shared" si="82"/>
        <v>29311</v>
      </c>
      <c r="L343">
        <f t="shared" si="83"/>
        <v>35785</v>
      </c>
      <c r="M343">
        <f t="shared" si="84"/>
        <v>9673</v>
      </c>
      <c r="N343">
        <f t="shared" si="85"/>
        <v>537</v>
      </c>
      <c r="O343">
        <f t="shared" si="86"/>
        <v>159594</v>
      </c>
      <c r="Q343">
        <v>23126</v>
      </c>
      <c r="R343">
        <v>14310</v>
      </c>
      <c r="S343">
        <v>998</v>
      </c>
      <c r="T343">
        <v>4757</v>
      </c>
      <c r="U343">
        <v>1450</v>
      </c>
      <c r="V343">
        <v>150</v>
      </c>
      <c r="W343">
        <v>6071</v>
      </c>
      <c r="X343">
        <v>1855</v>
      </c>
      <c r="Y343">
        <v>1532</v>
      </c>
      <c r="Z343" s="271">
        <v>3267</v>
      </c>
      <c r="AA343">
        <v>629</v>
      </c>
      <c r="AB343">
        <v>295</v>
      </c>
      <c r="AC343">
        <v>7819</v>
      </c>
      <c r="AD343">
        <v>790</v>
      </c>
      <c r="AE343">
        <v>2843</v>
      </c>
      <c r="AF343">
        <v>12205</v>
      </c>
      <c r="AG343">
        <v>2731</v>
      </c>
      <c r="AH343">
        <v>1108</v>
      </c>
      <c r="AI343">
        <v>43958</v>
      </c>
      <c r="AJ343">
        <v>14081</v>
      </c>
      <c r="AK343">
        <v>566</v>
      </c>
      <c r="AL343">
        <v>40564</v>
      </c>
      <c r="AM343">
        <v>4609</v>
      </c>
      <c r="AN343">
        <v>170</v>
      </c>
      <c r="AO343">
        <v>11934</v>
      </c>
      <c r="AP343">
        <v>1320</v>
      </c>
      <c r="AQ343">
        <v>941</v>
      </c>
      <c r="AR343">
        <v>2718</v>
      </c>
      <c r="AS343">
        <v>2157</v>
      </c>
      <c r="AT343">
        <v>24</v>
      </c>
      <c r="AU343">
        <v>10067</v>
      </c>
      <c r="AV343">
        <v>222</v>
      </c>
      <c r="AW343">
        <v>0</v>
      </c>
      <c r="AX343">
        <f t="shared" si="87"/>
        <v>169439</v>
      </c>
      <c r="AZ343" t="s">
        <v>213</v>
      </c>
      <c r="BA343" s="128">
        <v>147792</v>
      </c>
      <c r="BB343" s="128">
        <v>2573618</v>
      </c>
      <c r="BC343" s="128">
        <v>0</v>
      </c>
      <c r="BD343" s="128">
        <v>10186638</v>
      </c>
      <c r="BE343" s="128">
        <v>1065259</v>
      </c>
      <c r="BF343" s="128">
        <v>20087279.243799083</v>
      </c>
      <c r="BG343" s="272">
        <v>0</v>
      </c>
      <c r="BH343">
        <v>3833</v>
      </c>
      <c r="BI343">
        <v>6071</v>
      </c>
      <c r="BJ343">
        <v>599</v>
      </c>
      <c r="BK343">
        <v>195</v>
      </c>
      <c r="BL343">
        <v>1312</v>
      </c>
      <c r="BM343">
        <v>196</v>
      </c>
      <c r="BN343" s="128">
        <v>212</v>
      </c>
      <c r="BO343" s="128">
        <v>2489</v>
      </c>
      <c r="BP343" s="128">
        <v>2629</v>
      </c>
      <c r="BQ343" s="128">
        <f t="shared" si="88"/>
        <v>96343205.75620091</v>
      </c>
      <c r="BR343">
        <v>48099</v>
      </c>
      <c r="BS343" s="128">
        <f t="shared" si="75"/>
        <v>2003.0188934531052</v>
      </c>
      <c r="BT343" t="s">
        <v>441</v>
      </c>
      <c r="BU343" s="129">
        <f t="shared" si="89"/>
        <v>2057.6769944531261</v>
      </c>
      <c r="BZ343" t="s">
        <v>282</v>
      </c>
      <c r="CA343">
        <v>1638.0046815664973</v>
      </c>
      <c r="CB343" t="s">
        <v>118</v>
      </c>
    </row>
    <row r="344" spans="1:81" ht="14.5" x14ac:dyDescent="0.25">
      <c r="A344" t="s">
        <v>163</v>
      </c>
      <c r="B344">
        <v>10748</v>
      </c>
      <c r="C344">
        <v>3523</v>
      </c>
      <c r="D344">
        <v>743</v>
      </c>
      <c r="E344">
        <f t="shared" si="76"/>
        <v>4664</v>
      </c>
      <c r="F344">
        <f t="shared" si="77"/>
        <v>1793</v>
      </c>
      <c r="G344">
        <f t="shared" si="78"/>
        <v>2184</v>
      </c>
      <c r="H344">
        <f t="shared" si="79"/>
        <v>2055</v>
      </c>
      <c r="I344">
        <f t="shared" si="80"/>
        <v>1726</v>
      </c>
      <c r="J344">
        <f t="shared" si="81"/>
        <v>2747</v>
      </c>
      <c r="K344">
        <f t="shared" si="82"/>
        <v>5409</v>
      </c>
      <c r="L344">
        <f t="shared" si="83"/>
        <v>10882</v>
      </c>
      <c r="M344">
        <f t="shared" si="84"/>
        <v>4905</v>
      </c>
      <c r="N344">
        <f t="shared" si="85"/>
        <v>1732</v>
      </c>
      <c r="O344">
        <f t="shared" si="86"/>
        <v>53111</v>
      </c>
      <c r="Q344">
        <v>11459</v>
      </c>
      <c r="R344">
        <v>5652</v>
      </c>
      <c r="S344">
        <v>1143</v>
      </c>
      <c r="T344">
        <v>2173</v>
      </c>
      <c r="U344">
        <v>355</v>
      </c>
      <c r="V344">
        <v>25</v>
      </c>
      <c r="W344">
        <v>3282</v>
      </c>
      <c r="X344">
        <v>574</v>
      </c>
      <c r="Y344">
        <v>524</v>
      </c>
      <c r="Z344" s="271">
        <v>2153</v>
      </c>
      <c r="AA344">
        <v>87</v>
      </c>
      <c r="AB344">
        <v>11</v>
      </c>
      <c r="AC344">
        <v>2243</v>
      </c>
      <c r="AD344">
        <v>90</v>
      </c>
      <c r="AE344">
        <v>427</v>
      </c>
      <c r="AF344">
        <v>3555</v>
      </c>
      <c r="AG344">
        <v>489</v>
      </c>
      <c r="AH344">
        <v>319</v>
      </c>
      <c r="AI344">
        <v>6166</v>
      </c>
      <c r="AJ344">
        <v>745</v>
      </c>
      <c r="AK344">
        <v>12</v>
      </c>
      <c r="AL344">
        <v>11902</v>
      </c>
      <c r="AM344">
        <v>879</v>
      </c>
      <c r="AN344">
        <v>141</v>
      </c>
      <c r="AO344">
        <v>6370</v>
      </c>
      <c r="AP344">
        <v>763</v>
      </c>
      <c r="AQ344">
        <v>702</v>
      </c>
      <c r="AR344">
        <v>3039</v>
      </c>
      <c r="AS344">
        <v>1088</v>
      </c>
      <c r="AT344">
        <v>219</v>
      </c>
      <c r="AU344">
        <v>2478</v>
      </c>
      <c r="AV344">
        <v>26</v>
      </c>
      <c r="AW344">
        <v>0</v>
      </c>
      <c r="AX344">
        <f t="shared" si="87"/>
        <v>55563</v>
      </c>
      <c r="AZ344" t="s">
        <v>163</v>
      </c>
      <c r="BA344" s="128">
        <v>48819</v>
      </c>
      <c r="BB344" s="128">
        <v>785964</v>
      </c>
      <c r="BC344" s="128">
        <v>0</v>
      </c>
      <c r="BD344" s="128">
        <v>1014710</v>
      </c>
      <c r="BE344" s="128">
        <v>692216.79</v>
      </c>
      <c r="BF344" s="128">
        <v>3299180.0601773066</v>
      </c>
      <c r="BG344" s="272">
        <v>85473.433589552529</v>
      </c>
      <c r="BH344">
        <v>3244</v>
      </c>
      <c r="BI344">
        <v>1715</v>
      </c>
      <c r="BJ344">
        <v>215</v>
      </c>
      <c r="BK344">
        <v>395</v>
      </c>
      <c r="BL344">
        <v>935</v>
      </c>
      <c r="BM344">
        <v>326</v>
      </c>
      <c r="BN344" s="128">
        <v>80</v>
      </c>
      <c r="BO344" s="128">
        <v>0</v>
      </c>
      <c r="BP344" s="128">
        <v>333</v>
      </c>
      <c r="BQ344" s="128">
        <f t="shared" si="88"/>
        <v>35698455.716233142</v>
      </c>
      <c r="BR344">
        <v>22817</v>
      </c>
      <c r="BS344" s="128">
        <f t="shared" si="75"/>
        <v>1564.5551876334812</v>
      </c>
      <c r="BT344" t="s">
        <v>467</v>
      </c>
      <c r="BU344" s="129">
        <f t="shared" si="89"/>
        <v>1579.149569015784</v>
      </c>
      <c r="BZ344" t="s">
        <v>237</v>
      </c>
      <c r="CA344">
        <v>1579.6393472979807</v>
      </c>
      <c r="CB344" t="s">
        <v>118</v>
      </c>
    </row>
    <row r="345" spans="1:81" ht="14.5" x14ac:dyDescent="0.25">
      <c r="A345" t="s">
        <v>329</v>
      </c>
      <c r="B345">
        <v>17609</v>
      </c>
      <c r="C345">
        <v>6898</v>
      </c>
      <c r="D345">
        <v>3224</v>
      </c>
      <c r="E345">
        <f t="shared" si="76"/>
        <v>10229</v>
      </c>
      <c r="F345">
        <f t="shared" si="77"/>
        <v>3944</v>
      </c>
      <c r="G345">
        <f t="shared" si="78"/>
        <v>4821</v>
      </c>
      <c r="H345">
        <f t="shared" si="79"/>
        <v>976</v>
      </c>
      <c r="I345">
        <f t="shared" si="80"/>
        <v>3292</v>
      </c>
      <c r="J345">
        <f t="shared" si="81"/>
        <v>6763</v>
      </c>
      <c r="K345">
        <f t="shared" si="82"/>
        <v>28793</v>
      </c>
      <c r="L345">
        <f t="shared" si="83"/>
        <v>34417</v>
      </c>
      <c r="M345">
        <f t="shared" si="84"/>
        <v>12618</v>
      </c>
      <c r="N345">
        <f t="shared" si="85"/>
        <v>883</v>
      </c>
      <c r="O345">
        <f t="shared" si="86"/>
        <v>134467</v>
      </c>
      <c r="Q345">
        <v>19139</v>
      </c>
      <c r="R345">
        <v>8165</v>
      </c>
      <c r="S345">
        <v>745</v>
      </c>
      <c r="T345">
        <v>4166</v>
      </c>
      <c r="U345">
        <v>200</v>
      </c>
      <c r="V345">
        <v>22</v>
      </c>
      <c r="W345">
        <v>7932</v>
      </c>
      <c r="X345">
        <v>1144</v>
      </c>
      <c r="Y345">
        <v>1967</v>
      </c>
      <c r="Z345" s="271">
        <v>1320</v>
      </c>
      <c r="AA345">
        <v>328</v>
      </c>
      <c r="AB345">
        <v>16</v>
      </c>
      <c r="AC345">
        <v>4491</v>
      </c>
      <c r="AD345">
        <v>149</v>
      </c>
      <c r="AE345">
        <v>1050</v>
      </c>
      <c r="AF345">
        <v>10077</v>
      </c>
      <c r="AG345">
        <v>2007</v>
      </c>
      <c r="AH345">
        <v>1307</v>
      </c>
      <c r="AI345">
        <v>29057</v>
      </c>
      <c r="AJ345">
        <v>264</v>
      </c>
      <c r="AK345">
        <v>0</v>
      </c>
      <c r="AL345">
        <v>36226</v>
      </c>
      <c r="AM345">
        <v>1564</v>
      </c>
      <c r="AN345">
        <v>245</v>
      </c>
      <c r="AO345">
        <v>15092</v>
      </c>
      <c r="AP345">
        <v>989</v>
      </c>
      <c r="AQ345">
        <v>1485</v>
      </c>
      <c r="AR345">
        <v>3532</v>
      </c>
      <c r="AS345">
        <v>2588</v>
      </c>
      <c r="AT345">
        <v>61</v>
      </c>
      <c r="AU345">
        <v>4703</v>
      </c>
      <c r="AV345">
        <v>211</v>
      </c>
      <c r="AW345">
        <v>0</v>
      </c>
      <c r="AX345">
        <f t="shared" si="87"/>
        <v>138959</v>
      </c>
      <c r="AZ345" t="s">
        <v>329</v>
      </c>
      <c r="BA345" s="128">
        <v>124134</v>
      </c>
      <c r="BB345" s="128">
        <v>1426955</v>
      </c>
      <c r="BC345" s="128">
        <v>0</v>
      </c>
      <c r="BD345" s="128">
        <v>3660993</v>
      </c>
      <c r="BE345" s="128">
        <v>963657</v>
      </c>
      <c r="BF345" s="128">
        <v>17616027.497101601</v>
      </c>
      <c r="BG345" s="272">
        <v>834517.152349893</v>
      </c>
      <c r="BH345">
        <v>6511</v>
      </c>
      <c r="BI345">
        <v>7068</v>
      </c>
      <c r="BJ345">
        <v>532</v>
      </c>
      <c r="BK345">
        <v>713</v>
      </c>
      <c r="BL345">
        <v>812</v>
      </c>
      <c r="BM345">
        <v>181</v>
      </c>
      <c r="BN345" s="128">
        <v>0</v>
      </c>
      <c r="BO345" s="128">
        <v>0</v>
      </c>
      <c r="BP345" s="128">
        <v>2602</v>
      </c>
      <c r="BQ345" s="128">
        <f t="shared" si="88"/>
        <v>81212850.350548506</v>
      </c>
      <c r="BR345">
        <v>44780</v>
      </c>
      <c r="BS345" s="128">
        <f t="shared" si="75"/>
        <v>1813.5964794673628</v>
      </c>
      <c r="BT345" t="s">
        <v>118</v>
      </c>
      <c r="BU345" s="129">
        <f t="shared" si="89"/>
        <v>1871.7027769215833</v>
      </c>
      <c r="BZ345" t="s">
        <v>212</v>
      </c>
      <c r="CA345">
        <v>2223.4636981169624</v>
      </c>
      <c r="CB345" t="s">
        <v>118</v>
      </c>
    </row>
    <row r="346" spans="1:81" ht="14.5" x14ac:dyDescent="0.25">
      <c r="A346" t="s">
        <v>164</v>
      </c>
      <c r="B346">
        <v>81886</v>
      </c>
      <c r="C346">
        <v>21996</v>
      </c>
      <c r="D346">
        <v>5580</v>
      </c>
      <c r="E346">
        <f t="shared" si="76"/>
        <v>35557</v>
      </c>
      <c r="F346">
        <f t="shared" si="77"/>
        <v>12550</v>
      </c>
      <c r="G346">
        <f t="shared" si="78"/>
        <v>14942</v>
      </c>
      <c r="H346">
        <f t="shared" si="79"/>
        <v>2369</v>
      </c>
      <c r="I346">
        <f t="shared" si="80"/>
        <v>13273</v>
      </c>
      <c r="J346">
        <f t="shared" si="81"/>
        <v>35737</v>
      </c>
      <c r="K346">
        <f t="shared" si="82"/>
        <v>68524</v>
      </c>
      <c r="L346">
        <f t="shared" si="83"/>
        <v>170486</v>
      </c>
      <c r="M346">
        <f t="shared" si="84"/>
        <v>27491</v>
      </c>
      <c r="N346">
        <f t="shared" si="85"/>
        <v>2059</v>
      </c>
      <c r="O346">
        <f t="shared" si="86"/>
        <v>492450</v>
      </c>
      <c r="Q346">
        <v>72555</v>
      </c>
      <c r="R346">
        <v>27917</v>
      </c>
      <c r="S346">
        <v>9081</v>
      </c>
      <c r="T346">
        <v>15370</v>
      </c>
      <c r="U346">
        <v>2807</v>
      </c>
      <c r="V346">
        <v>13</v>
      </c>
      <c r="W346">
        <v>22488</v>
      </c>
      <c r="X346">
        <v>3248</v>
      </c>
      <c r="Y346">
        <v>4298</v>
      </c>
      <c r="Z346" s="271">
        <v>3875</v>
      </c>
      <c r="AA346">
        <v>1327</v>
      </c>
      <c r="AB346">
        <v>179</v>
      </c>
      <c r="AC346">
        <v>19159</v>
      </c>
      <c r="AD346">
        <v>1355</v>
      </c>
      <c r="AE346">
        <v>4531</v>
      </c>
      <c r="AF346">
        <v>40495</v>
      </c>
      <c r="AG346">
        <v>2368</v>
      </c>
      <c r="AH346">
        <v>2390</v>
      </c>
      <c r="AI346">
        <v>89407</v>
      </c>
      <c r="AJ346">
        <v>20883</v>
      </c>
      <c r="AK346">
        <v>0</v>
      </c>
      <c r="AL346">
        <v>184617</v>
      </c>
      <c r="AM346">
        <v>14125</v>
      </c>
      <c r="AN346">
        <v>6</v>
      </c>
      <c r="AO346">
        <v>31656</v>
      </c>
      <c r="AP346">
        <v>2683</v>
      </c>
      <c r="AQ346">
        <v>1482</v>
      </c>
      <c r="AR346">
        <v>6882</v>
      </c>
      <c r="AS346">
        <v>4807</v>
      </c>
      <c r="AT346">
        <v>16</v>
      </c>
      <c r="AU346">
        <v>28403</v>
      </c>
      <c r="AV346">
        <v>366</v>
      </c>
      <c r="AW346">
        <v>0</v>
      </c>
      <c r="AX346">
        <f t="shared" si="87"/>
        <v>520487</v>
      </c>
      <c r="AZ346" t="s">
        <v>164</v>
      </c>
      <c r="BA346" s="128">
        <v>464508</v>
      </c>
      <c r="BB346" s="128">
        <v>6484009</v>
      </c>
      <c r="BC346" s="128">
        <v>61813363</v>
      </c>
      <c r="BD346" s="128">
        <v>13850964</v>
      </c>
      <c r="BE346" s="128">
        <v>19283262</v>
      </c>
      <c r="BF346" s="128">
        <v>50645367.075723931</v>
      </c>
      <c r="BG346" s="272">
        <v>0</v>
      </c>
      <c r="BH346">
        <v>7240</v>
      </c>
      <c r="BI346">
        <v>15747</v>
      </c>
      <c r="BJ346">
        <v>1710</v>
      </c>
      <c r="BK346">
        <v>1071</v>
      </c>
      <c r="BL346">
        <v>4373</v>
      </c>
      <c r="BM346">
        <v>6762</v>
      </c>
      <c r="BN346" s="128">
        <v>425</v>
      </c>
      <c r="BO346" s="128">
        <v>5071</v>
      </c>
      <c r="BP346" s="128">
        <v>1127</v>
      </c>
      <c r="BQ346" s="128">
        <f t="shared" si="88"/>
        <v>268905034.92427605</v>
      </c>
      <c r="BR346">
        <v>129827</v>
      </c>
      <c r="BS346" s="128">
        <f t="shared" si="75"/>
        <v>2071.2566332448264</v>
      </c>
      <c r="BT346" t="s">
        <v>441</v>
      </c>
      <c r="BU346" s="129">
        <f t="shared" si="89"/>
        <v>2079.9374161328233</v>
      </c>
      <c r="BZ346" t="s">
        <v>329</v>
      </c>
      <c r="CA346">
        <v>1813.5964794673628</v>
      </c>
      <c r="CB346" t="s">
        <v>118</v>
      </c>
    </row>
    <row r="347" spans="1:81" ht="14.5" x14ac:dyDescent="0.25">
      <c r="A347" t="s">
        <v>442</v>
      </c>
      <c r="B347">
        <f t="shared" ref="B347:O347" si="90">SUM(B2:B346)</f>
        <v>12025125</v>
      </c>
      <c r="C347">
        <f t="shared" si="90"/>
        <v>2740453</v>
      </c>
      <c r="D347">
        <f t="shared" si="90"/>
        <v>807066</v>
      </c>
      <c r="E347">
        <f t="shared" si="90"/>
        <v>3764871</v>
      </c>
      <c r="F347">
        <f t="shared" si="90"/>
        <v>1606573</v>
      </c>
      <c r="G347">
        <f t="shared" si="90"/>
        <v>2571136</v>
      </c>
      <c r="H347">
        <f t="shared" si="90"/>
        <v>1255603</v>
      </c>
      <c r="I347">
        <f t="shared" si="90"/>
        <v>1837153</v>
      </c>
      <c r="J347">
        <f t="shared" si="90"/>
        <v>3795603</v>
      </c>
      <c r="K347">
        <f t="shared" si="90"/>
        <v>10288031</v>
      </c>
      <c r="L347">
        <f t="shared" si="90"/>
        <v>13425503</v>
      </c>
      <c r="M347">
        <f t="shared" si="90"/>
        <v>3944889</v>
      </c>
      <c r="N347">
        <f t="shared" si="90"/>
        <v>831685</v>
      </c>
      <c r="O347">
        <f t="shared" si="90"/>
        <v>58893691</v>
      </c>
      <c r="Q347">
        <f t="shared" ref="Q347:AX347" si="91">SUM(Q2:Q346)</f>
        <v>9766851</v>
      </c>
      <c r="R347">
        <f t="shared" si="91"/>
        <v>5422945</v>
      </c>
      <c r="S347">
        <f t="shared" si="91"/>
        <v>597390</v>
      </c>
      <c r="T347">
        <f t="shared" si="91"/>
        <v>2090612</v>
      </c>
      <c r="U347">
        <f t="shared" si="91"/>
        <v>471642</v>
      </c>
      <c r="V347">
        <f t="shared" si="91"/>
        <v>17993</v>
      </c>
      <c r="W347">
        <f t="shared" si="91"/>
        <v>3893681</v>
      </c>
      <c r="X347">
        <f t="shared" si="91"/>
        <v>781105</v>
      </c>
      <c r="Y347">
        <f t="shared" si="91"/>
        <v>546764</v>
      </c>
      <c r="Z347">
        <f t="shared" si="91"/>
        <v>1477711</v>
      </c>
      <c r="AA347">
        <f t="shared" si="91"/>
        <v>173517</v>
      </c>
      <c r="AB347">
        <f t="shared" si="91"/>
        <v>49764</v>
      </c>
      <c r="AC347">
        <f t="shared" si="91"/>
        <v>2607435</v>
      </c>
      <c r="AD347">
        <f t="shared" si="91"/>
        <v>252823</v>
      </c>
      <c r="AE347">
        <f t="shared" si="91"/>
        <v>522267</v>
      </c>
      <c r="AF347">
        <f t="shared" si="91"/>
        <v>4972502</v>
      </c>
      <c r="AG347">
        <f t="shared" si="91"/>
        <v>760537</v>
      </c>
      <c r="AH347">
        <f t="shared" si="91"/>
        <v>425316</v>
      </c>
      <c r="AI347">
        <f t="shared" si="91"/>
        <v>11538565</v>
      </c>
      <c r="AJ347">
        <f t="shared" si="91"/>
        <v>1286342</v>
      </c>
      <c r="AK347">
        <f t="shared" si="91"/>
        <v>11285</v>
      </c>
      <c r="AL347">
        <f t="shared" si="91"/>
        <v>14536721</v>
      </c>
      <c r="AM347">
        <f t="shared" si="91"/>
        <v>1076555</v>
      </c>
      <c r="AN347">
        <f t="shared" si="91"/>
        <v>63769</v>
      </c>
      <c r="AO347">
        <f t="shared" si="91"/>
        <v>5023815</v>
      </c>
      <c r="AP347">
        <f t="shared" si="91"/>
        <v>685040</v>
      </c>
      <c r="AQ347">
        <f t="shared" si="91"/>
        <v>405132</v>
      </c>
      <c r="AR347">
        <f t="shared" si="91"/>
        <v>1791003</v>
      </c>
      <c r="AS347">
        <f t="shared" si="91"/>
        <v>889275</v>
      </c>
      <c r="AT347">
        <f t="shared" si="91"/>
        <v>75859</v>
      </c>
      <c r="AU347">
        <f t="shared" si="91"/>
        <v>2930666</v>
      </c>
      <c r="AV347">
        <f t="shared" si="91"/>
        <v>192310</v>
      </c>
      <c r="AW347">
        <f t="shared" si="91"/>
        <v>17740</v>
      </c>
      <c r="AX347">
        <f t="shared" si="91"/>
        <v>61614307</v>
      </c>
      <c r="AZ347" t="s">
        <v>442</v>
      </c>
      <c r="BA347" s="128">
        <v>54965617</v>
      </c>
      <c r="BB347" s="128">
        <v>693377424.58437192</v>
      </c>
      <c r="BC347" s="128">
        <v>1501271002</v>
      </c>
      <c r="BD347" s="128">
        <v>1903275571.2932365</v>
      </c>
      <c r="BE347" s="128">
        <v>1136179956.1870959</v>
      </c>
      <c r="BF347" s="128">
        <v>6503225974.3540688</v>
      </c>
      <c r="BG347" s="272">
        <v>682408544.83873463</v>
      </c>
      <c r="BH347">
        <v>1733550</v>
      </c>
      <c r="BI347">
        <v>2199980</v>
      </c>
      <c r="BJ347">
        <v>223655</v>
      </c>
      <c r="BK347">
        <v>113382</v>
      </c>
      <c r="BL347">
        <v>541250</v>
      </c>
      <c r="BM347">
        <v>327766</v>
      </c>
      <c r="BN347" s="128">
        <v>373985.81235121132</v>
      </c>
      <c r="BO347" s="128">
        <v>800747</v>
      </c>
      <c r="BP347" s="128">
        <v>691427</v>
      </c>
      <c r="BQ347" s="128">
        <f t="shared" si="88"/>
        <v>35540135714.391273</v>
      </c>
      <c r="BR347">
        <v>17474673</v>
      </c>
      <c r="BS347" s="128">
        <f t="shared" ref="BS347" si="92">BQ347/BR347</f>
        <v>2033.8083416148202</v>
      </c>
      <c r="BT347" t="s">
        <v>118</v>
      </c>
      <c r="BU347" s="129">
        <f t="shared" si="89"/>
        <v>2073.37572007163</v>
      </c>
      <c r="BZ347" t="s">
        <v>442</v>
      </c>
      <c r="CA347">
        <v>2033.8083416148202</v>
      </c>
      <c r="CB347" t="s">
        <v>118</v>
      </c>
      <c r="CC347">
        <f>_xlfn.QUARTILE.INC(CA232:CA347,3)</f>
        <v>1872.3592726927739</v>
      </c>
    </row>
    <row r="350" spans="1:81" ht="14.5" x14ac:dyDescent="0.25">
      <c r="A350" t="s">
        <v>270</v>
      </c>
      <c r="B350">
        <v>55020</v>
      </c>
      <c r="C350">
        <v>14137</v>
      </c>
      <c r="D350">
        <v>3980</v>
      </c>
      <c r="E350">
        <f>SUM(Q350,-R350,-S350)</f>
        <v>15824</v>
      </c>
      <c r="F350">
        <f>SUM(T350,-U350,-V350)</f>
        <v>6914</v>
      </c>
      <c r="G350">
        <f>SUM(W350,-X350,-Y350)</f>
        <v>4971</v>
      </c>
      <c r="H350">
        <f>SUM(Z350,-AA350,-AB350)</f>
        <v>7303</v>
      </c>
      <c r="I350">
        <f>SUM(AC350,-AD350,-AE350)</f>
        <v>5725</v>
      </c>
      <c r="J350">
        <f>SUM(AF350,-AG350,-AH350)</f>
        <v>16388</v>
      </c>
      <c r="K350">
        <f>SUM(AI350,-AJ350,-AK350)</f>
        <v>35876</v>
      </c>
      <c r="L350">
        <f>SUM(AL350,-AM350,-AN350)</f>
        <v>57435</v>
      </c>
      <c r="M350">
        <f>SUM(AO350,-AP350,-AQ350)</f>
        <v>14454</v>
      </c>
      <c r="N350">
        <f>SUM(AR350,-AS350,-AT350)</f>
        <v>1464</v>
      </c>
      <c r="O350">
        <f>SUM(B350:N350)</f>
        <v>239491</v>
      </c>
      <c r="Q350">
        <v>41975</v>
      </c>
      <c r="R350">
        <v>23602</v>
      </c>
      <c r="S350">
        <v>2549</v>
      </c>
      <c r="T350">
        <v>8627</v>
      </c>
      <c r="U350">
        <v>1606</v>
      </c>
      <c r="V350">
        <v>107</v>
      </c>
      <c r="W350">
        <v>12592</v>
      </c>
      <c r="X350">
        <v>5364</v>
      </c>
      <c r="Y350">
        <v>2257</v>
      </c>
      <c r="Z350" s="271">
        <v>7683</v>
      </c>
      <c r="AA350">
        <v>372</v>
      </c>
      <c r="AB350">
        <v>8</v>
      </c>
      <c r="AC350">
        <v>9495</v>
      </c>
      <c r="AD350">
        <v>1087</v>
      </c>
      <c r="AE350">
        <v>2683</v>
      </c>
      <c r="AF350">
        <v>23162</v>
      </c>
      <c r="AG350">
        <v>3564</v>
      </c>
      <c r="AH350">
        <v>3210</v>
      </c>
      <c r="AI350">
        <v>41547</v>
      </c>
      <c r="AJ350">
        <v>5671</v>
      </c>
      <c r="AK350">
        <v>0</v>
      </c>
      <c r="AL350">
        <v>64826</v>
      </c>
      <c r="AM350">
        <v>5879</v>
      </c>
      <c r="AN350">
        <v>1512</v>
      </c>
      <c r="AO350">
        <v>21860</v>
      </c>
      <c r="AP350">
        <v>5595</v>
      </c>
      <c r="AQ350">
        <v>1811</v>
      </c>
      <c r="AR350">
        <v>3744</v>
      </c>
      <c r="AS350">
        <v>2280</v>
      </c>
      <c r="AT350">
        <v>0</v>
      </c>
      <c r="AU350">
        <v>5005</v>
      </c>
      <c r="AV350">
        <v>0</v>
      </c>
      <c r="AW350">
        <v>0</v>
      </c>
      <c r="AX350">
        <f>SUM(D350,Q350,T350,W350,Z350,AC350,AF350,AI350,AL350,AO350,AR350,AU350)</f>
        <v>244496</v>
      </c>
      <c r="AZ350" t="s">
        <v>270</v>
      </c>
      <c r="BA350" s="128">
        <v>221374</v>
      </c>
      <c r="BB350" s="128">
        <v>1407956</v>
      </c>
      <c r="BC350" s="128">
        <v>5906069</v>
      </c>
      <c r="BD350" s="128">
        <v>6600004</v>
      </c>
      <c r="BE350" s="128">
        <v>2674059</v>
      </c>
      <c r="BF350" s="128">
        <v>23754782.740018688</v>
      </c>
      <c r="BG350" s="272">
        <v>2227987.2163406983</v>
      </c>
      <c r="BH350">
        <v>7705</v>
      </c>
      <c r="BI350">
        <v>13966</v>
      </c>
      <c r="BJ350">
        <v>792</v>
      </c>
      <c r="BK350">
        <v>604</v>
      </c>
      <c r="BL350">
        <v>2166</v>
      </c>
      <c r="BM350">
        <v>794</v>
      </c>
      <c r="BQ350" s="128">
        <f>SUM(1000*BA350,-BB350,-BC350,-BD350,-BE350,-BF350,-BG350,-1000*BH350,-1000*BI350,-1000*BJ350,-1000*BK350,-1000*BL350,-1000*BM350)</f>
        <v>152776142.04364061</v>
      </c>
      <c r="BR350">
        <v>81676</v>
      </c>
      <c r="BS350" s="128">
        <f>BQ350/BR350</f>
        <v>1870.5144968367772</v>
      </c>
      <c r="BT350" t="s">
        <v>118</v>
      </c>
    </row>
    <row r="351" spans="1:81" ht="14.5" x14ac:dyDescent="0.25">
      <c r="A351" t="s">
        <v>242</v>
      </c>
      <c r="B351">
        <v>1182</v>
      </c>
      <c r="C351">
        <v>2475</v>
      </c>
      <c r="D351">
        <v>195</v>
      </c>
      <c r="E351">
        <f>SUM(Q351,-R351,-S351)</f>
        <v>3398</v>
      </c>
      <c r="F351">
        <f>SUM(T351,-U351,-V351)</f>
        <v>1238</v>
      </c>
      <c r="G351">
        <f>SUM(W351,-X351,-Y351)</f>
        <v>1594</v>
      </c>
      <c r="H351">
        <f>SUM(Z351,-AA351,-AB351)</f>
        <v>262</v>
      </c>
      <c r="I351">
        <f>SUM(AC351,-AD351,-AE351)</f>
        <v>700</v>
      </c>
      <c r="J351">
        <f>SUM(AF351,-AG351,-AH351)</f>
        <v>1284</v>
      </c>
      <c r="K351">
        <f>SUM(AI351,-AJ351,-AK351)</f>
        <v>1481</v>
      </c>
      <c r="L351">
        <f>SUM(AL351,-AM351,-AN351)</f>
        <v>4369</v>
      </c>
      <c r="M351">
        <f>SUM(AO351,-AP351,-AQ351)</f>
        <v>2479</v>
      </c>
      <c r="N351">
        <f>SUM(AR351,-AS351,-AT351)</f>
        <v>1295</v>
      </c>
      <c r="O351">
        <f>SUM(B351:N351)</f>
        <v>21952</v>
      </c>
      <c r="Q351">
        <v>5770</v>
      </c>
      <c r="R351">
        <v>1182</v>
      </c>
      <c r="S351">
        <v>1190</v>
      </c>
      <c r="T351">
        <v>1259</v>
      </c>
      <c r="U351">
        <v>0</v>
      </c>
      <c r="V351">
        <v>21</v>
      </c>
      <c r="W351">
        <v>1878</v>
      </c>
      <c r="X351">
        <v>0</v>
      </c>
      <c r="Y351">
        <v>284</v>
      </c>
      <c r="Z351" s="271">
        <v>262</v>
      </c>
      <c r="AA351">
        <v>0</v>
      </c>
      <c r="AB351">
        <v>0</v>
      </c>
      <c r="AC351">
        <v>1167</v>
      </c>
      <c r="AD351">
        <v>0</v>
      </c>
      <c r="AE351">
        <v>467</v>
      </c>
      <c r="AF351">
        <v>1510</v>
      </c>
      <c r="AG351">
        <v>0</v>
      </c>
      <c r="AH351">
        <v>226</v>
      </c>
      <c r="AI351">
        <v>1481</v>
      </c>
      <c r="AJ351">
        <v>0</v>
      </c>
      <c r="AK351">
        <v>0</v>
      </c>
      <c r="AL351">
        <v>4414</v>
      </c>
      <c r="AM351">
        <v>0</v>
      </c>
      <c r="AN351">
        <v>45</v>
      </c>
      <c r="AO351">
        <v>2721</v>
      </c>
      <c r="AP351">
        <v>0</v>
      </c>
      <c r="AQ351">
        <v>242</v>
      </c>
      <c r="AR351">
        <v>1295</v>
      </c>
      <c r="AS351">
        <v>0</v>
      </c>
      <c r="AT351">
        <v>0</v>
      </c>
      <c r="AU351">
        <v>-3</v>
      </c>
      <c r="AV351">
        <v>0</v>
      </c>
      <c r="AW351">
        <v>0</v>
      </c>
      <c r="AX351">
        <f>SUM(D351,Q351,T351,W351,Z351,AC351,AF351,AI351,AL351,AO351,AR351,AU351)</f>
        <v>21949</v>
      </c>
      <c r="AZ351" t="s">
        <v>242</v>
      </c>
      <c r="BA351" s="128">
        <v>19282</v>
      </c>
      <c r="BB351" s="128">
        <v>404826</v>
      </c>
      <c r="BC351" s="128">
        <v>0</v>
      </c>
      <c r="BD351" s="128">
        <v>60187</v>
      </c>
      <c r="BE351" s="128">
        <v>342288</v>
      </c>
      <c r="BF351" s="128">
        <v>1071738</v>
      </c>
      <c r="BG351" s="272">
        <v>126007.54655220732</v>
      </c>
      <c r="BH351">
        <v>927</v>
      </c>
      <c r="BI351">
        <v>1318</v>
      </c>
      <c r="BJ351">
        <v>140</v>
      </c>
      <c r="BK351">
        <v>0</v>
      </c>
      <c r="BL351">
        <v>582</v>
      </c>
      <c r="BM351">
        <v>15</v>
      </c>
      <c r="BQ351" s="128">
        <f>SUM(1000*BA351,-BB351,-BC351,-BD351,-BE351,-BF351,-BG351,-1000*BH351,-1000*BI351,-1000*BJ351,-1000*BK351,-1000*BL351,-1000*BM351)</f>
        <v>14294953.453447793</v>
      </c>
      <c r="BR351">
        <v>10105</v>
      </c>
      <c r="BS351" s="128">
        <f>BQ351/BR351</f>
        <v>1414.6416084559914</v>
      </c>
      <c r="BT351" t="s">
        <v>467</v>
      </c>
    </row>
    <row r="352" spans="1:81" x14ac:dyDescent="0.25">
      <c r="A352" t="s">
        <v>270</v>
      </c>
      <c r="B352">
        <f>SUM(B350:B351)</f>
        <v>56202</v>
      </c>
      <c r="C352">
        <f t="shared" ref="C352:AX352" si="93">SUM(C350:C351)</f>
        <v>16612</v>
      </c>
      <c r="D352">
        <f t="shared" si="93"/>
        <v>4175</v>
      </c>
      <c r="E352">
        <f t="shared" si="93"/>
        <v>19222</v>
      </c>
      <c r="F352">
        <f t="shared" si="93"/>
        <v>8152</v>
      </c>
      <c r="G352">
        <f t="shared" si="93"/>
        <v>6565</v>
      </c>
      <c r="H352">
        <f t="shared" si="93"/>
        <v>7565</v>
      </c>
      <c r="I352">
        <f t="shared" si="93"/>
        <v>6425</v>
      </c>
      <c r="J352">
        <f t="shared" si="93"/>
        <v>17672</v>
      </c>
      <c r="K352">
        <f t="shared" si="93"/>
        <v>37357</v>
      </c>
      <c r="L352">
        <f t="shared" si="93"/>
        <v>61804</v>
      </c>
      <c r="M352">
        <f t="shared" si="93"/>
        <v>16933</v>
      </c>
      <c r="N352">
        <f t="shared" si="93"/>
        <v>2759</v>
      </c>
      <c r="O352">
        <f t="shared" si="93"/>
        <v>261443</v>
      </c>
      <c r="P352">
        <f t="shared" si="93"/>
        <v>0</v>
      </c>
      <c r="Q352">
        <f t="shared" si="93"/>
        <v>47745</v>
      </c>
      <c r="R352">
        <f t="shared" si="93"/>
        <v>24784</v>
      </c>
      <c r="S352">
        <f t="shared" si="93"/>
        <v>3739</v>
      </c>
      <c r="T352">
        <f t="shared" si="93"/>
        <v>9886</v>
      </c>
      <c r="U352">
        <f t="shared" si="93"/>
        <v>1606</v>
      </c>
      <c r="V352">
        <f t="shared" si="93"/>
        <v>128</v>
      </c>
      <c r="W352">
        <f t="shared" si="93"/>
        <v>14470</v>
      </c>
      <c r="X352">
        <f t="shared" si="93"/>
        <v>5364</v>
      </c>
      <c r="Y352">
        <f t="shared" si="93"/>
        <v>2541</v>
      </c>
      <c r="Z352">
        <f t="shared" si="93"/>
        <v>7945</v>
      </c>
      <c r="AA352">
        <f t="shared" si="93"/>
        <v>372</v>
      </c>
      <c r="AB352">
        <f t="shared" si="93"/>
        <v>8</v>
      </c>
      <c r="AC352">
        <f t="shared" si="93"/>
        <v>10662</v>
      </c>
      <c r="AD352">
        <f t="shared" si="93"/>
        <v>1087</v>
      </c>
      <c r="AE352">
        <f t="shared" si="93"/>
        <v>3150</v>
      </c>
      <c r="AF352">
        <f t="shared" si="93"/>
        <v>24672</v>
      </c>
      <c r="AG352">
        <f t="shared" si="93"/>
        <v>3564</v>
      </c>
      <c r="AH352">
        <f t="shared" si="93"/>
        <v>3436</v>
      </c>
      <c r="AI352">
        <f t="shared" si="93"/>
        <v>43028</v>
      </c>
      <c r="AJ352">
        <f t="shared" si="93"/>
        <v>5671</v>
      </c>
      <c r="AK352">
        <f t="shared" si="93"/>
        <v>0</v>
      </c>
      <c r="AL352">
        <f t="shared" si="93"/>
        <v>69240</v>
      </c>
      <c r="AM352">
        <f t="shared" si="93"/>
        <v>5879</v>
      </c>
      <c r="AN352">
        <f t="shared" si="93"/>
        <v>1557</v>
      </c>
      <c r="AO352">
        <f t="shared" si="93"/>
        <v>24581</v>
      </c>
      <c r="AP352">
        <f t="shared" si="93"/>
        <v>5595</v>
      </c>
      <c r="AQ352">
        <f t="shared" si="93"/>
        <v>2053</v>
      </c>
      <c r="AR352">
        <f t="shared" si="93"/>
        <v>5039</v>
      </c>
      <c r="AS352">
        <f t="shared" si="93"/>
        <v>2280</v>
      </c>
      <c r="AT352">
        <f t="shared" si="93"/>
        <v>0</v>
      </c>
      <c r="AU352">
        <f t="shared" si="93"/>
        <v>5002</v>
      </c>
      <c r="AV352">
        <f t="shared" si="93"/>
        <v>0</v>
      </c>
      <c r="AW352">
        <f t="shared" si="93"/>
        <v>0</v>
      </c>
      <c r="AX352">
        <f t="shared" si="93"/>
        <v>266445</v>
      </c>
      <c r="AZ352" t="s">
        <v>270</v>
      </c>
      <c r="BA352" s="128">
        <f>SUM(BA350:BA351)</f>
        <v>240656</v>
      </c>
      <c r="BB352" s="128">
        <f t="shared" ref="BB352:BS352" si="94">SUM(BB350:BB351)</f>
        <v>1812782</v>
      </c>
      <c r="BC352" s="128">
        <f t="shared" si="94"/>
        <v>5906069</v>
      </c>
      <c r="BD352" s="128">
        <f t="shared" si="94"/>
        <v>6660191</v>
      </c>
      <c r="BE352" s="128">
        <f t="shared" si="94"/>
        <v>3016347</v>
      </c>
      <c r="BF352" s="128">
        <f t="shared" si="94"/>
        <v>24826520.740018688</v>
      </c>
      <c r="BG352" s="128">
        <f t="shared" si="94"/>
        <v>2353994.7628929056</v>
      </c>
      <c r="BH352" s="128">
        <f t="shared" si="94"/>
        <v>8632</v>
      </c>
      <c r="BI352" s="128">
        <f t="shared" si="94"/>
        <v>15284</v>
      </c>
      <c r="BJ352" s="128">
        <f t="shared" si="94"/>
        <v>932</v>
      </c>
      <c r="BK352" s="128">
        <f t="shared" si="94"/>
        <v>604</v>
      </c>
      <c r="BL352" s="128">
        <f t="shared" si="94"/>
        <v>2748</v>
      </c>
      <c r="BM352" s="128">
        <f t="shared" si="94"/>
        <v>809</v>
      </c>
      <c r="BN352" s="128"/>
      <c r="BO352" s="128"/>
      <c r="BP352" s="128"/>
      <c r="BQ352" s="128">
        <f t="shared" si="94"/>
        <v>167071095.4970884</v>
      </c>
      <c r="BR352" s="128">
        <f t="shared" si="94"/>
        <v>91781</v>
      </c>
      <c r="BS352" s="128">
        <f t="shared" si="94"/>
        <v>3285.1561052927686</v>
      </c>
      <c r="BT352" t="s">
        <v>118</v>
      </c>
    </row>
    <row r="354" spans="1:72" ht="14.5" x14ac:dyDescent="0.25">
      <c r="A354" t="s">
        <v>378</v>
      </c>
      <c r="B354">
        <v>610</v>
      </c>
      <c r="C354">
        <v>1377</v>
      </c>
      <c r="D354">
        <v>299</v>
      </c>
      <c r="E354">
        <f>SUM(Q354,-R354,-S354)</f>
        <v>4439</v>
      </c>
      <c r="F354">
        <f>SUM(T354,-U354,-V354)</f>
        <v>857</v>
      </c>
      <c r="G354">
        <f>SUM(W354,-X354,-Y354)</f>
        <v>1289</v>
      </c>
      <c r="H354">
        <f>SUM(Z354,-AA354,-AB354)</f>
        <v>964</v>
      </c>
      <c r="I354">
        <f>SUM(AC354,-AD354,-AE354)</f>
        <v>597</v>
      </c>
      <c r="J354">
        <f>SUM(AF354,-AG354,-AH354)</f>
        <v>1760</v>
      </c>
      <c r="K354">
        <f>SUM(AI354,-AJ354,-AK354)</f>
        <v>5066</v>
      </c>
      <c r="L354">
        <f>SUM(AL354,-AM354,-AN354)</f>
        <v>6876</v>
      </c>
      <c r="M354">
        <f>SUM(AO354,-AP354,-AQ354)</f>
        <v>2387</v>
      </c>
      <c r="N354">
        <f>SUM(AR354,-AS354,-AT354)</f>
        <v>1244</v>
      </c>
      <c r="O354">
        <f>SUM(B354:N354)</f>
        <v>27765</v>
      </c>
      <c r="Q354">
        <v>5139</v>
      </c>
      <c r="R354">
        <v>610</v>
      </c>
      <c r="S354">
        <v>90</v>
      </c>
      <c r="T354">
        <v>857</v>
      </c>
      <c r="U354">
        <v>0</v>
      </c>
      <c r="V354">
        <v>0</v>
      </c>
      <c r="W354">
        <v>1711</v>
      </c>
      <c r="X354">
        <v>0</v>
      </c>
      <c r="Y354">
        <v>422</v>
      </c>
      <c r="Z354" s="271">
        <v>979</v>
      </c>
      <c r="AA354">
        <v>0</v>
      </c>
      <c r="AB354">
        <v>15</v>
      </c>
      <c r="AC354">
        <v>821</v>
      </c>
      <c r="AD354">
        <v>0</v>
      </c>
      <c r="AE354">
        <v>224</v>
      </c>
      <c r="AF354">
        <v>1917</v>
      </c>
      <c r="AG354">
        <v>0</v>
      </c>
      <c r="AH354">
        <v>157</v>
      </c>
      <c r="AI354">
        <v>5066</v>
      </c>
      <c r="AJ354">
        <v>0</v>
      </c>
      <c r="AK354">
        <v>0</v>
      </c>
      <c r="AL354">
        <v>7086</v>
      </c>
      <c r="AM354">
        <v>0</v>
      </c>
      <c r="AN354">
        <v>210</v>
      </c>
      <c r="AO354">
        <v>2641</v>
      </c>
      <c r="AP354">
        <v>0</v>
      </c>
      <c r="AQ354">
        <v>254</v>
      </c>
      <c r="AR354">
        <v>1249</v>
      </c>
      <c r="AS354">
        <v>0</v>
      </c>
      <c r="AT354">
        <v>5</v>
      </c>
      <c r="AU354">
        <v>1912</v>
      </c>
      <c r="AV354">
        <v>0</v>
      </c>
      <c r="AW354">
        <v>0</v>
      </c>
      <c r="AX354">
        <f>SUM(D354,Q354,T354,W354,Z354,AC354,AF354,AI354,AL354,AO354,AR354,AU354)</f>
        <v>29677</v>
      </c>
      <c r="AZ354" t="s">
        <v>378</v>
      </c>
      <c r="BA354" s="128">
        <v>26089</v>
      </c>
      <c r="BB354" s="128">
        <v>439533</v>
      </c>
      <c r="BC354" s="128">
        <v>0</v>
      </c>
      <c r="BD354" s="128">
        <v>2497510</v>
      </c>
      <c r="BE354" s="128">
        <v>345972</v>
      </c>
      <c r="BF354" s="128">
        <v>1415861</v>
      </c>
      <c r="BG354" s="272">
        <v>36845.126219991595</v>
      </c>
      <c r="BH354">
        <v>1082</v>
      </c>
      <c r="BI354">
        <v>0</v>
      </c>
      <c r="BJ354">
        <v>170</v>
      </c>
      <c r="BK354">
        <v>0</v>
      </c>
      <c r="BL354">
        <v>501</v>
      </c>
      <c r="BM354">
        <v>312</v>
      </c>
      <c r="BQ354" s="128">
        <f>SUM(1000*BA354,-BB354,-BC354,-BD354,-BE354,-BF354,-BG354,-1000*BH354,-1000*BI354,-1000*BJ354,-1000*BK354,-1000*BL354,-1000*BM354)</f>
        <v>19288278.873780008</v>
      </c>
      <c r="BR354">
        <v>11002</v>
      </c>
      <c r="BS354" s="128">
        <f t="shared" ref="BS354:BS359" si="95">BQ354/BR354</f>
        <v>1753.1611410452654</v>
      </c>
      <c r="BT354" t="s">
        <v>467</v>
      </c>
    </row>
    <row r="355" spans="1:72" ht="14.5" x14ac:dyDescent="0.25">
      <c r="A355" t="s">
        <v>352</v>
      </c>
      <c r="B355">
        <v>16284</v>
      </c>
      <c r="C355">
        <v>5211</v>
      </c>
      <c r="D355">
        <v>1438</v>
      </c>
      <c r="E355">
        <f>SUM(Q355,-R355,-S355)</f>
        <v>5661</v>
      </c>
      <c r="F355">
        <f>SUM(T355,-U355,-V355)</f>
        <v>2468</v>
      </c>
      <c r="G355">
        <f>SUM(W355,-X355,-Y355)</f>
        <v>1609</v>
      </c>
      <c r="H355">
        <f>SUM(Z355,-AA355,-AB355)</f>
        <v>1319</v>
      </c>
      <c r="I355">
        <f>SUM(AC355,-AD355,-AE355)</f>
        <v>1337</v>
      </c>
      <c r="J355">
        <f>SUM(AF355,-AG355,-AH355)</f>
        <v>3770</v>
      </c>
      <c r="K355">
        <f>SUM(AI355,-AJ355,-AK355)</f>
        <v>10703</v>
      </c>
      <c r="L355">
        <f>SUM(AL355,-AM355,-AN355)</f>
        <v>15648</v>
      </c>
      <c r="M355">
        <f>SUM(AO355,-AP355,-AQ355)</f>
        <v>4087</v>
      </c>
      <c r="N355">
        <f>SUM(AR355,-AS355,-AT355)</f>
        <v>284</v>
      </c>
      <c r="O355">
        <f>SUM(B355:N355)</f>
        <v>69819</v>
      </c>
      <c r="Q355">
        <v>19275</v>
      </c>
      <c r="R355">
        <v>8403</v>
      </c>
      <c r="S355">
        <v>5211</v>
      </c>
      <c r="T355">
        <v>3182</v>
      </c>
      <c r="U355">
        <v>714</v>
      </c>
      <c r="V355">
        <v>0</v>
      </c>
      <c r="W355">
        <v>2574</v>
      </c>
      <c r="X355">
        <v>965</v>
      </c>
      <c r="Y355">
        <v>0</v>
      </c>
      <c r="Z355" s="271">
        <v>1791</v>
      </c>
      <c r="AA355">
        <v>472</v>
      </c>
      <c r="AB355">
        <v>0</v>
      </c>
      <c r="AC355">
        <v>1440</v>
      </c>
      <c r="AD355">
        <v>103</v>
      </c>
      <c r="AE355">
        <v>0</v>
      </c>
      <c r="AF355">
        <v>4294</v>
      </c>
      <c r="AG355">
        <v>524</v>
      </c>
      <c r="AH355">
        <v>0</v>
      </c>
      <c r="AI355">
        <v>11646</v>
      </c>
      <c r="AJ355">
        <v>943</v>
      </c>
      <c r="AK355">
        <v>0</v>
      </c>
      <c r="AL355">
        <v>17001</v>
      </c>
      <c r="AM355">
        <v>1353</v>
      </c>
      <c r="AN355">
        <v>0</v>
      </c>
      <c r="AO355">
        <v>5008</v>
      </c>
      <c r="AP355">
        <v>921</v>
      </c>
      <c r="AQ355">
        <v>0</v>
      </c>
      <c r="AR355">
        <v>1927</v>
      </c>
      <c r="AS355">
        <v>1643</v>
      </c>
      <c r="AT355">
        <v>0</v>
      </c>
      <c r="AU355">
        <v>2357</v>
      </c>
      <c r="AV355">
        <v>243</v>
      </c>
      <c r="AW355">
        <v>0</v>
      </c>
      <c r="AX355">
        <f>SUM(D355,Q355,T355,W355,Z355,AC355,AF355,AI355,AL355,AO355,AR355,AU355)</f>
        <v>71933</v>
      </c>
      <c r="AZ355" t="s">
        <v>352</v>
      </c>
      <c r="BA355" s="128">
        <v>62927</v>
      </c>
      <c r="BB355" s="128">
        <v>545847</v>
      </c>
      <c r="BC355" s="128">
        <v>0</v>
      </c>
      <c r="BD355" s="128">
        <v>4416712</v>
      </c>
      <c r="BE355" s="128">
        <v>565560.78333333333</v>
      </c>
      <c r="BF355" s="128">
        <v>5208821.3754369756</v>
      </c>
      <c r="BG355" s="272">
        <v>0</v>
      </c>
      <c r="BH355">
        <v>3204</v>
      </c>
      <c r="BI355">
        <v>2243</v>
      </c>
      <c r="BJ355">
        <v>411</v>
      </c>
      <c r="BK355">
        <v>75</v>
      </c>
      <c r="BL355">
        <v>824</v>
      </c>
      <c r="BM355">
        <v>103</v>
      </c>
      <c r="BQ355" s="128">
        <f>SUM(1000*BA355,-BB355,-BC355,-BD355,-BE355,-BF355,-BG355,-1000*BH355,-1000*BI355,-1000*BJ355,-1000*BK355,-1000*BL355,-1000*BM355)</f>
        <v>45330058.841229692</v>
      </c>
      <c r="BR355">
        <v>29599</v>
      </c>
      <c r="BS355" s="128">
        <f t="shared" si="95"/>
        <v>1531.4726457390348</v>
      </c>
      <c r="BT355" t="s">
        <v>118</v>
      </c>
    </row>
    <row r="356" spans="1:72" ht="14.5" x14ac:dyDescent="0.25">
      <c r="A356" t="s">
        <v>356</v>
      </c>
      <c r="B356">
        <v>945</v>
      </c>
      <c r="C356">
        <v>4244</v>
      </c>
      <c r="D356">
        <v>1129</v>
      </c>
      <c r="E356">
        <f>SUM(Q356,-R356,-S356)</f>
        <v>8410</v>
      </c>
      <c r="F356">
        <f>SUM(T356,-U356,-V356)</f>
        <v>1887</v>
      </c>
      <c r="G356">
        <f>SUM(W356,-X356,-Y356)</f>
        <v>3072</v>
      </c>
      <c r="H356">
        <f>SUM(Z356,-AA356,-AB356)</f>
        <v>2720</v>
      </c>
      <c r="I356">
        <f>SUM(AC356,-AD356,-AE356)</f>
        <v>1938</v>
      </c>
      <c r="J356">
        <f>SUM(AF356,-AG356,-AH356)</f>
        <v>5590</v>
      </c>
      <c r="K356">
        <f>SUM(AI356,-AJ356,-AK356)</f>
        <v>14905</v>
      </c>
      <c r="L356">
        <f>SUM(AL356,-AM356,-AN356)</f>
        <v>16746</v>
      </c>
      <c r="M356">
        <f>SUM(AO356,-AP356,-AQ356)</f>
        <v>5115</v>
      </c>
      <c r="N356">
        <f>SUM(AR356,-AS356,-AT356)</f>
        <v>1754</v>
      </c>
      <c r="O356">
        <f>SUM(B356:N356)</f>
        <v>68455</v>
      </c>
      <c r="Q356">
        <v>9719</v>
      </c>
      <c r="R356">
        <v>945</v>
      </c>
      <c r="S356">
        <v>364</v>
      </c>
      <c r="T356">
        <v>1901</v>
      </c>
      <c r="U356">
        <v>0</v>
      </c>
      <c r="V356">
        <v>14</v>
      </c>
      <c r="W356">
        <v>3942</v>
      </c>
      <c r="X356">
        <v>0</v>
      </c>
      <c r="Y356">
        <v>870</v>
      </c>
      <c r="Z356" s="271">
        <v>2985</v>
      </c>
      <c r="AA356">
        <v>0</v>
      </c>
      <c r="AB356">
        <v>265</v>
      </c>
      <c r="AC356">
        <v>2515</v>
      </c>
      <c r="AD356">
        <v>0</v>
      </c>
      <c r="AE356">
        <v>577</v>
      </c>
      <c r="AF356">
        <v>6682</v>
      </c>
      <c r="AG356">
        <v>0</v>
      </c>
      <c r="AH356">
        <v>1092</v>
      </c>
      <c r="AI356">
        <v>14905</v>
      </c>
      <c r="AJ356">
        <v>0</v>
      </c>
      <c r="AK356">
        <v>0</v>
      </c>
      <c r="AL356">
        <v>16916</v>
      </c>
      <c r="AM356">
        <v>0</v>
      </c>
      <c r="AN356">
        <v>170</v>
      </c>
      <c r="AO356">
        <v>5777</v>
      </c>
      <c r="AP356">
        <v>0</v>
      </c>
      <c r="AQ356">
        <v>662</v>
      </c>
      <c r="AR356">
        <v>1984</v>
      </c>
      <c r="AS356">
        <v>0</v>
      </c>
      <c r="AT356">
        <v>230</v>
      </c>
      <c r="AU356">
        <v>10085</v>
      </c>
      <c r="AV356">
        <v>0</v>
      </c>
      <c r="AW356">
        <v>0</v>
      </c>
      <c r="AX356">
        <f>SUM(D356,Q356,T356,W356,Z356,AC356,AF356,AI356,AL356,AO356,AR356,AU356)</f>
        <v>78540</v>
      </c>
      <c r="AZ356" t="s">
        <v>356</v>
      </c>
      <c r="BA356" s="128">
        <v>63082</v>
      </c>
      <c r="BB356" s="128">
        <v>667239</v>
      </c>
      <c r="BC356" s="128">
        <v>0</v>
      </c>
      <c r="BD356" s="128">
        <v>5112415</v>
      </c>
      <c r="BE356" s="128">
        <v>572047</v>
      </c>
      <c r="BF356" s="128">
        <v>6413731.059267804</v>
      </c>
      <c r="BG356" s="272">
        <v>252405.45396191627</v>
      </c>
      <c r="BH356">
        <v>2132</v>
      </c>
      <c r="BI356">
        <v>2214</v>
      </c>
      <c r="BJ356">
        <v>279</v>
      </c>
      <c r="BK356">
        <v>109</v>
      </c>
      <c r="BL356">
        <v>1010</v>
      </c>
      <c r="BM356">
        <v>413</v>
      </c>
      <c r="BQ356" s="128">
        <f>SUM(1000*BA356,-BB356,-BC356,-BD356,-BE356,-BF356,-BG356,-1000*BH356,-1000*BI356,-1000*BJ356,-1000*BK356,-1000*BL356,-1000*BM356)</f>
        <v>43907162.48677028</v>
      </c>
      <c r="BR356">
        <v>25395</v>
      </c>
      <c r="BS356" s="128">
        <f t="shared" si="95"/>
        <v>1728.9687925485441</v>
      </c>
      <c r="BT356" t="s">
        <v>118</v>
      </c>
    </row>
    <row r="357" spans="1:72" ht="14.5" x14ac:dyDescent="0.25">
      <c r="A357" t="s">
        <v>368</v>
      </c>
      <c r="B357">
        <v>699</v>
      </c>
      <c r="C357">
        <v>1922</v>
      </c>
      <c r="D357">
        <v>391</v>
      </c>
      <c r="E357">
        <f>SUM(Q357,-R357,-S357)</f>
        <v>4982</v>
      </c>
      <c r="F357">
        <f>SUM(T357,-U357,-V357)</f>
        <v>1017</v>
      </c>
      <c r="G357">
        <f>SUM(W357,-X357,-Y357)</f>
        <v>1167</v>
      </c>
      <c r="H357">
        <f>SUM(Z357,-AA357,-AB357)</f>
        <v>822</v>
      </c>
      <c r="I357">
        <f>SUM(AC357,-AD357,-AE357)</f>
        <v>823</v>
      </c>
      <c r="J357">
        <f>SUM(AF357,-AG357,-AH357)</f>
        <v>1907</v>
      </c>
      <c r="K357">
        <f>SUM(AI357,-AJ357,-AK357)</f>
        <v>5165</v>
      </c>
      <c r="L357">
        <f>SUM(AL357,-AM357,-AN357)</f>
        <v>8651</v>
      </c>
      <c r="M357">
        <f>SUM(AO357,-AP357,-AQ357)</f>
        <v>2222</v>
      </c>
      <c r="N357">
        <f>SUM(AR357,-AS357,-AT357)</f>
        <v>1067</v>
      </c>
      <c r="O357">
        <f>SUM(B357:N357)</f>
        <v>30835</v>
      </c>
      <c r="Q357">
        <v>5866</v>
      </c>
      <c r="R357">
        <v>699</v>
      </c>
      <c r="S357">
        <v>185</v>
      </c>
      <c r="T357">
        <v>1017</v>
      </c>
      <c r="U357">
        <v>0</v>
      </c>
      <c r="V357">
        <v>0</v>
      </c>
      <c r="W357">
        <v>1486</v>
      </c>
      <c r="X357">
        <v>0</v>
      </c>
      <c r="Y357">
        <v>319</v>
      </c>
      <c r="Z357" s="271">
        <v>893</v>
      </c>
      <c r="AA357">
        <v>0</v>
      </c>
      <c r="AB357">
        <v>71</v>
      </c>
      <c r="AC357">
        <v>1409</v>
      </c>
      <c r="AD357">
        <v>0</v>
      </c>
      <c r="AE357">
        <v>586</v>
      </c>
      <c r="AF357">
        <v>2233</v>
      </c>
      <c r="AG357">
        <v>0</v>
      </c>
      <c r="AH357">
        <v>326</v>
      </c>
      <c r="AI357">
        <v>5165</v>
      </c>
      <c r="AJ357">
        <v>0</v>
      </c>
      <c r="AK357">
        <v>0</v>
      </c>
      <c r="AL357">
        <v>8783</v>
      </c>
      <c r="AM357">
        <v>0</v>
      </c>
      <c r="AN357">
        <v>132</v>
      </c>
      <c r="AO357">
        <v>2512</v>
      </c>
      <c r="AP357">
        <v>0</v>
      </c>
      <c r="AQ357">
        <v>290</v>
      </c>
      <c r="AR357">
        <v>1080</v>
      </c>
      <c r="AS357">
        <v>0</v>
      </c>
      <c r="AT357">
        <v>13</v>
      </c>
      <c r="AU357">
        <v>76</v>
      </c>
      <c r="AV357">
        <v>0</v>
      </c>
      <c r="AW357">
        <v>0</v>
      </c>
      <c r="AX357">
        <f>SUM(D357,Q357,T357,W357,Z357,AC357,AF357,AI357,AL357,AO357,AR357,AU357)</f>
        <v>30911</v>
      </c>
      <c r="AZ357" t="s">
        <v>368</v>
      </c>
      <c r="BA357" s="128">
        <v>28522</v>
      </c>
      <c r="BB357" s="128">
        <v>799176</v>
      </c>
      <c r="BC357" s="128">
        <v>0</v>
      </c>
      <c r="BD357" s="128">
        <v>1651895</v>
      </c>
      <c r="BE357" s="128">
        <v>416139</v>
      </c>
      <c r="BF357" s="128">
        <v>2038449</v>
      </c>
      <c r="BG357" s="272">
        <v>551793.25500522926</v>
      </c>
      <c r="BH357">
        <v>1108</v>
      </c>
      <c r="BI357">
        <v>1203</v>
      </c>
      <c r="BJ357">
        <v>139</v>
      </c>
      <c r="BK357">
        <v>46</v>
      </c>
      <c r="BL357">
        <v>320</v>
      </c>
      <c r="BM357">
        <v>214</v>
      </c>
      <c r="BQ357" s="128">
        <f>SUM(1000*BA357,-BB357,-BC357,-BD357,-BE357,-BF357,-BG357,-1000*BH357,-1000*BI357,-1000*BJ357,-1000*BK357,-1000*BL357,-1000*BM357)</f>
        <v>20034547.744994771</v>
      </c>
      <c r="BR357">
        <v>12482</v>
      </c>
      <c r="BS357" s="128">
        <f t="shared" si="95"/>
        <v>1605.07512778359</v>
      </c>
      <c r="BT357" t="s">
        <v>118</v>
      </c>
    </row>
    <row r="358" spans="1:72" ht="14.5" x14ac:dyDescent="0.25">
      <c r="A358" t="s">
        <v>439</v>
      </c>
      <c r="B358">
        <v>6622</v>
      </c>
      <c r="C358">
        <v>1491</v>
      </c>
      <c r="D358">
        <v>160</v>
      </c>
      <c r="E358">
        <f>SUM(Q358,-R358,-S358)</f>
        <v>2843</v>
      </c>
      <c r="F358">
        <f>SUM(T358,-U358,-V358)</f>
        <v>807</v>
      </c>
      <c r="G358">
        <f>SUM(W358,-X358,-Y358)</f>
        <v>750</v>
      </c>
      <c r="H358">
        <f>SUM(Z358,-AA358,-AB358)</f>
        <v>86</v>
      </c>
      <c r="I358">
        <f>SUM(AC358,-AD358,-AE358)</f>
        <v>558</v>
      </c>
      <c r="J358">
        <f>SUM(AF358,-AG358,-AH358)</f>
        <v>2248</v>
      </c>
      <c r="K358">
        <f>SUM(AI358,-AJ358,-AK358)</f>
        <v>3301</v>
      </c>
      <c r="L358">
        <f>SUM(AL358,-AM358,-AN358)</f>
        <v>6033</v>
      </c>
      <c r="M358">
        <f>SUM(AO358,-AP358,-AQ358)</f>
        <v>2731</v>
      </c>
      <c r="N358">
        <f>SUM(AR358,-AS358,-AT358)</f>
        <v>222</v>
      </c>
      <c r="O358">
        <f>SUM(B358:N358)</f>
        <v>27852</v>
      </c>
      <c r="Q358">
        <v>6505</v>
      </c>
      <c r="R358">
        <v>3555</v>
      </c>
      <c r="S358">
        <v>107</v>
      </c>
      <c r="T358">
        <v>910</v>
      </c>
      <c r="U358">
        <v>103</v>
      </c>
      <c r="V358">
        <v>0</v>
      </c>
      <c r="W358">
        <v>1163</v>
      </c>
      <c r="X358">
        <v>328</v>
      </c>
      <c r="Y358">
        <v>85</v>
      </c>
      <c r="Z358" s="271">
        <v>183</v>
      </c>
      <c r="AA358">
        <v>97</v>
      </c>
      <c r="AB358">
        <v>0</v>
      </c>
      <c r="AC358">
        <v>1080</v>
      </c>
      <c r="AD358">
        <v>29</v>
      </c>
      <c r="AE358">
        <v>493</v>
      </c>
      <c r="AF358">
        <v>3252</v>
      </c>
      <c r="AG358">
        <v>575</v>
      </c>
      <c r="AH358">
        <v>429</v>
      </c>
      <c r="AI358">
        <v>3301</v>
      </c>
      <c r="AJ358">
        <v>0</v>
      </c>
      <c r="AK358">
        <v>0</v>
      </c>
      <c r="AL358">
        <v>6461</v>
      </c>
      <c r="AM358">
        <v>276</v>
      </c>
      <c r="AN358">
        <v>152</v>
      </c>
      <c r="AO358">
        <v>3345</v>
      </c>
      <c r="AP358">
        <v>389</v>
      </c>
      <c r="AQ358">
        <v>225</v>
      </c>
      <c r="AR358">
        <v>1479</v>
      </c>
      <c r="AS358">
        <v>1257</v>
      </c>
      <c r="AT358">
        <v>0</v>
      </c>
      <c r="AU358">
        <v>2977</v>
      </c>
      <c r="AV358">
        <v>13</v>
      </c>
      <c r="AW358">
        <v>0</v>
      </c>
      <c r="AX358">
        <f>SUM(D358,Q358,T358,W358,Z358,AC358,AF358,AI358,AL358,AO358,AR358,AU358)</f>
        <v>30816</v>
      </c>
      <c r="AZ358" t="s">
        <v>439</v>
      </c>
      <c r="BA358" s="128">
        <v>26188</v>
      </c>
      <c r="BB358" s="128">
        <v>176565</v>
      </c>
      <c r="BC358" s="128">
        <v>0</v>
      </c>
      <c r="BD358" s="128">
        <v>1275174</v>
      </c>
      <c r="BE358" s="128">
        <v>417447</v>
      </c>
      <c r="BF358" s="128">
        <v>1215326</v>
      </c>
      <c r="BG358" s="272">
        <v>0</v>
      </c>
      <c r="BH358">
        <v>1107</v>
      </c>
      <c r="BI358">
        <v>838</v>
      </c>
      <c r="BJ358">
        <v>127</v>
      </c>
      <c r="BK358">
        <v>85</v>
      </c>
      <c r="BL358">
        <v>575</v>
      </c>
      <c r="BM358">
        <v>47</v>
      </c>
      <c r="BQ358" s="128">
        <f>SUM(1000*BA358,-BB358,-BC358,-BD358,-BE358,-BF358,-BG358,-1000*BH358,-1000*BI358,-1000*BJ358,-1000*BK358,-1000*BL358,-1000*BM358)</f>
        <v>20324488</v>
      </c>
      <c r="BR358">
        <v>11688</v>
      </c>
      <c r="BS358" s="128">
        <f t="shared" si="95"/>
        <v>1738.9192334017796</v>
      </c>
      <c r="BT358" t="s">
        <v>467</v>
      </c>
    </row>
    <row r="359" spans="1:72" x14ac:dyDescent="0.25">
      <c r="A359" t="s">
        <v>868</v>
      </c>
      <c r="B359">
        <f>SUM(B354:B358)</f>
        <v>25160</v>
      </c>
      <c r="C359">
        <f t="shared" ref="C359:AX359" si="96">SUM(C354:C358)</f>
        <v>14245</v>
      </c>
      <c r="D359">
        <f t="shared" si="96"/>
        <v>3417</v>
      </c>
      <c r="E359">
        <f t="shared" si="96"/>
        <v>26335</v>
      </c>
      <c r="F359">
        <f t="shared" si="96"/>
        <v>7036</v>
      </c>
      <c r="G359">
        <f t="shared" si="96"/>
        <v>7887</v>
      </c>
      <c r="H359">
        <f t="shared" si="96"/>
        <v>5911</v>
      </c>
      <c r="I359">
        <f t="shared" si="96"/>
        <v>5253</v>
      </c>
      <c r="J359">
        <f t="shared" si="96"/>
        <v>15275</v>
      </c>
      <c r="K359">
        <f t="shared" si="96"/>
        <v>39140</v>
      </c>
      <c r="L359">
        <f t="shared" si="96"/>
        <v>53954</v>
      </c>
      <c r="M359">
        <f t="shared" si="96"/>
        <v>16542</v>
      </c>
      <c r="N359">
        <f t="shared" si="96"/>
        <v>4571</v>
      </c>
      <c r="O359">
        <f t="shared" si="96"/>
        <v>224726</v>
      </c>
      <c r="P359">
        <f t="shared" si="96"/>
        <v>0</v>
      </c>
      <c r="Q359">
        <f t="shared" si="96"/>
        <v>46504</v>
      </c>
      <c r="R359">
        <f t="shared" si="96"/>
        <v>14212</v>
      </c>
      <c r="S359">
        <f t="shared" si="96"/>
        <v>5957</v>
      </c>
      <c r="T359">
        <f t="shared" si="96"/>
        <v>7867</v>
      </c>
      <c r="U359">
        <f t="shared" si="96"/>
        <v>817</v>
      </c>
      <c r="V359">
        <f t="shared" si="96"/>
        <v>14</v>
      </c>
      <c r="W359">
        <f t="shared" si="96"/>
        <v>10876</v>
      </c>
      <c r="X359">
        <f t="shared" si="96"/>
        <v>1293</v>
      </c>
      <c r="Y359">
        <f t="shared" si="96"/>
        <v>1696</v>
      </c>
      <c r="Z359">
        <f t="shared" si="96"/>
        <v>6831</v>
      </c>
      <c r="AA359">
        <f t="shared" si="96"/>
        <v>569</v>
      </c>
      <c r="AB359">
        <f t="shared" si="96"/>
        <v>351</v>
      </c>
      <c r="AC359">
        <f t="shared" si="96"/>
        <v>7265</v>
      </c>
      <c r="AD359">
        <f t="shared" si="96"/>
        <v>132</v>
      </c>
      <c r="AE359">
        <f t="shared" si="96"/>
        <v>1880</v>
      </c>
      <c r="AF359">
        <f t="shared" si="96"/>
        <v>18378</v>
      </c>
      <c r="AG359">
        <f t="shared" si="96"/>
        <v>1099</v>
      </c>
      <c r="AH359">
        <f t="shared" si="96"/>
        <v>2004</v>
      </c>
      <c r="AI359">
        <f t="shared" si="96"/>
        <v>40083</v>
      </c>
      <c r="AJ359">
        <f t="shared" si="96"/>
        <v>943</v>
      </c>
      <c r="AK359">
        <f t="shared" si="96"/>
        <v>0</v>
      </c>
      <c r="AL359">
        <f t="shared" si="96"/>
        <v>56247</v>
      </c>
      <c r="AM359">
        <f t="shared" si="96"/>
        <v>1629</v>
      </c>
      <c r="AN359">
        <f t="shared" si="96"/>
        <v>664</v>
      </c>
      <c r="AO359">
        <f t="shared" si="96"/>
        <v>19283</v>
      </c>
      <c r="AP359">
        <f t="shared" si="96"/>
        <v>1310</v>
      </c>
      <c r="AQ359">
        <f t="shared" si="96"/>
        <v>1431</v>
      </c>
      <c r="AR359">
        <f t="shared" si="96"/>
        <v>7719</v>
      </c>
      <c r="AS359">
        <f t="shared" si="96"/>
        <v>2900</v>
      </c>
      <c r="AT359">
        <f t="shared" si="96"/>
        <v>248</v>
      </c>
      <c r="AU359">
        <f t="shared" si="96"/>
        <v>17407</v>
      </c>
      <c r="AV359">
        <f t="shared" si="96"/>
        <v>256</v>
      </c>
      <c r="AW359">
        <f t="shared" si="96"/>
        <v>0</v>
      </c>
      <c r="AX359">
        <f t="shared" si="96"/>
        <v>241877</v>
      </c>
      <c r="AZ359" t="s">
        <v>868</v>
      </c>
      <c r="BA359" s="128">
        <f>SUM(BA354:BA358)</f>
        <v>206808</v>
      </c>
      <c r="BB359" s="128">
        <f t="shared" ref="BB359:BR359" si="97">SUM(BB354:BB358)</f>
        <v>2628360</v>
      </c>
      <c r="BC359" s="128">
        <f t="shared" si="97"/>
        <v>0</v>
      </c>
      <c r="BD359" s="128">
        <f t="shared" si="97"/>
        <v>14953706</v>
      </c>
      <c r="BE359" s="128">
        <f t="shared" si="97"/>
        <v>2317165.7833333332</v>
      </c>
      <c r="BF359" s="128">
        <f t="shared" si="97"/>
        <v>16292188.434704781</v>
      </c>
      <c r="BG359" s="128">
        <f t="shared" si="97"/>
        <v>841043.83518713713</v>
      </c>
      <c r="BH359" s="128">
        <f t="shared" si="97"/>
        <v>8633</v>
      </c>
      <c r="BI359" s="128">
        <f t="shared" si="97"/>
        <v>6498</v>
      </c>
      <c r="BJ359" s="128">
        <f t="shared" si="97"/>
        <v>1126</v>
      </c>
      <c r="BK359" s="128">
        <f t="shared" si="97"/>
        <v>315</v>
      </c>
      <c r="BL359" s="128">
        <f t="shared" si="97"/>
        <v>3230</v>
      </c>
      <c r="BM359" s="128">
        <f t="shared" si="97"/>
        <v>1089</v>
      </c>
      <c r="BN359" s="128"/>
      <c r="BO359" s="128"/>
      <c r="BP359" s="128"/>
      <c r="BQ359" s="128">
        <f t="shared" si="97"/>
        <v>148884535.94677478</v>
      </c>
      <c r="BR359" s="128">
        <f t="shared" si="97"/>
        <v>90166</v>
      </c>
      <c r="BS359" s="128">
        <f t="shared" si="95"/>
        <v>1651.2270251178359</v>
      </c>
      <c r="BT359" t="s">
        <v>118</v>
      </c>
    </row>
    <row r="361" spans="1:72" ht="14.5" x14ac:dyDescent="0.25">
      <c r="A361" t="s">
        <v>256</v>
      </c>
      <c r="B361">
        <v>1987</v>
      </c>
      <c r="C361">
        <v>6313</v>
      </c>
      <c r="D361">
        <v>1549</v>
      </c>
      <c r="E361">
        <f>SUM(Q361,-R361,-S361)</f>
        <v>24086</v>
      </c>
      <c r="F361">
        <f>SUM(T361,-U361,-V361)</f>
        <v>6243</v>
      </c>
      <c r="G361">
        <f>SUM(W361,-X361,-Y361)</f>
        <v>9882</v>
      </c>
      <c r="H361">
        <f>SUM(Z361,-AA361,-AB361)</f>
        <v>1561</v>
      </c>
      <c r="I361">
        <f>SUM(AC361,-AD361,-AE361)</f>
        <v>4256</v>
      </c>
      <c r="J361">
        <f>SUM(AF361,-AG361,-AH361)</f>
        <v>13575</v>
      </c>
      <c r="K361">
        <f>SUM(AI361,-AJ361,-AK361)</f>
        <v>22195</v>
      </c>
      <c r="L361">
        <f>SUM(AL361,-AM361,-AN361)</f>
        <v>45254</v>
      </c>
      <c r="M361">
        <f>SUM(AO361,-AP361,-AQ361)</f>
        <v>13145</v>
      </c>
      <c r="N361">
        <f>SUM(AR361,-AS361,-AT361)</f>
        <v>3793</v>
      </c>
      <c r="O361">
        <f>SUM(B361:N361)</f>
        <v>153839</v>
      </c>
      <c r="Q361">
        <v>27116</v>
      </c>
      <c r="R361">
        <v>1987</v>
      </c>
      <c r="S361">
        <v>1043</v>
      </c>
      <c r="T361">
        <v>6301</v>
      </c>
      <c r="U361">
        <v>0</v>
      </c>
      <c r="V361">
        <v>58</v>
      </c>
      <c r="W361">
        <v>10871</v>
      </c>
      <c r="X361">
        <v>0</v>
      </c>
      <c r="Y361">
        <v>989</v>
      </c>
      <c r="Z361" s="271">
        <v>1563</v>
      </c>
      <c r="AA361">
        <v>0</v>
      </c>
      <c r="AB361">
        <v>2</v>
      </c>
      <c r="AC361">
        <v>6255</v>
      </c>
      <c r="AD361">
        <v>0</v>
      </c>
      <c r="AE361">
        <v>1999</v>
      </c>
      <c r="AF361">
        <v>14857</v>
      </c>
      <c r="AG361">
        <v>0</v>
      </c>
      <c r="AH361">
        <v>1282</v>
      </c>
      <c r="AI361">
        <v>22195</v>
      </c>
      <c r="AJ361">
        <v>0</v>
      </c>
      <c r="AK361">
        <v>0</v>
      </c>
      <c r="AL361">
        <v>45272</v>
      </c>
      <c r="AM361">
        <v>0</v>
      </c>
      <c r="AN361">
        <v>18</v>
      </c>
      <c r="AO361">
        <v>14060</v>
      </c>
      <c r="AP361">
        <v>0</v>
      </c>
      <c r="AQ361">
        <v>915</v>
      </c>
      <c r="AR361">
        <v>3800</v>
      </c>
      <c r="AS361">
        <v>0</v>
      </c>
      <c r="AT361">
        <v>7</v>
      </c>
      <c r="AU361">
        <v>19184</v>
      </c>
      <c r="AV361">
        <v>0</v>
      </c>
      <c r="AW361">
        <v>0</v>
      </c>
      <c r="AX361">
        <f>SUM(D361,Q361,T361,W361,Z361,AC361,AF361,AI361,AL361,AO361,AR361,AU361)</f>
        <v>173023</v>
      </c>
      <c r="AZ361" t="s">
        <v>256</v>
      </c>
      <c r="BA361" s="128">
        <v>145977</v>
      </c>
      <c r="BB361" s="128">
        <v>3525961</v>
      </c>
      <c r="BC361" s="128">
        <v>0</v>
      </c>
      <c r="BD361" s="128">
        <v>4351522</v>
      </c>
      <c r="BE361" s="128">
        <v>1062624.06</v>
      </c>
      <c r="BF361" s="128">
        <v>14188088.58531495</v>
      </c>
      <c r="BG361" s="272">
        <v>0</v>
      </c>
      <c r="BH361">
        <v>5843</v>
      </c>
      <c r="BI361">
        <v>6494</v>
      </c>
      <c r="BJ361">
        <v>458</v>
      </c>
      <c r="BK361">
        <v>140</v>
      </c>
      <c r="BL361">
        <v>1384</v>
      </c>
      <c r="BM361">
        <v>174</v>
      </c>
      <c r="BQ361" s="128">
        <f>SUM(1000*BA361,-BB361,-BC361,-BD361,-BE361,-BF361,-BG361,-1000*BH361,-1000*BI361,-1000*BJ361,-1000*BK361,-1000*BL361,-1000*BM361)</f>
        <v>108355804.35468505</v>
      </c>
      <c r="BR361">
        <v>58389</v>
      </c>
      <c r="BS361" s="128">
        <f>BQ361/BR361</f>
        <v>1855.7571521122995</v>
      </c>
      <c r="BT361" t="s">
        <v>118</v>
      </c>
    </row>
    <row r="362" spans="1:72" ht="14.5" x14ac:dyDescent="0.25">
      <c r="A362" t="s">
        <v>264</v>
      </c>
      <c r="B362">
        <v>936</v>
      </c>
      <c r="C362">
        <v>3719</v>
      </c>
      <c r="D362">
        <v>1061</v>
      </c>
      <c r="E362">
        <f>SUM(Q362,-R362,-S362)</f>
        <v>15237</v>
      </c>
      <c r="F362">
        <f>SUM(T362,-U362,-V362)</f>
        <v>1935</v>
      </c>
      <c r="G362">
        <f>SUM(W362,-X362,-Y362)</f>
        <v>4400</v>
      </c>
      <c r="H362">
        <f>SUM(Z362,-AA362,-AB362)</f>
        <v>1090</v>
      </c>
      <c r="I362">
        <f>SUM(AC362,-AD362,-AE362)</f>
        <v>1720</v>
      </c>
      <c r="J362">
        <f>SUM(AF362,-AG362,-AH362)</f>
        <v>5460</v>
      </c>
      <c r="K362">
        <f>SUM(AI362,-AJ362,-AK362)</f>
        <v>9077</v>
      </c>
      <c r="L362">
        <f>SUM(AL362,-AM362,-AN362)</f>
        <v>16631</v>
      </c>
      <c r="M362">
        <f>SUM(AO362,-AP362,-AQ362)</f>
        <v>7809</v>
      </c>
      <c r="N362">
        <f>SUM(AR362,-AS362,-AT362)</f>
        <v>3353</v>
      </c>
      <c r="O362">
        <f>SUM(B362:N362)</f>
        <v>72428</v>
      </c>
      <c r="Q362">
        <v>17197</v>
      </c>
      <c r="R362">
        <v>1219</v>
      </c>
      <c r="S362">
        <v>741</v>
      </c>
      <c r="T362">
        <v>1935</v>
      </c>
      <c r="U362">
        <v>0</v>
      </c>
      <c r="V362">
        <v>0</v>
      </c>
      <c r="W362">
        <v>5050</v>
      </c>
      <c r="X362">
        <v>0</v>
      </c>
      <c r="Y362">
        <v>650</v>
      </c>
      <c r="Z362" s="271">
        <v>1202</v>
      </c>
      <c r="AA362">
        <v>-2</v>
      </c>
      <c r="AB362">
        <v>114</v>
      </c>
      <c r="AC362">
        <v>2573</v>
      </c>
      <c r="AD362">
        <v>0</v>
      </c>
      <c r="AE362">
        <v>853</v>
      </c>
      <c r="AF362">
        <v>6030</v>
      </c>
      <c r="AG362">
        <v>1</v>
      </c>
      <c r="AH362">
        <v>569</v>
      </c>
      <c r="AI362">
        <v>9077</v>
      </c>
      <c r="AJ362">
        <v>0</v>
      </c>
      <c r="AK362">
        <v>0</v>
      </c>
      <c r="AL362">
        <v>16996</v>
      </c>
      <c r="AM362">
        <v>0</v>
      </c>
      <c r="AN362">
        <v>365</v>
      </c>
      <c r="AO362">
        <v>8236</v>
      </c>
      <c r="AP362">
        <v>0</v>
      </c>
      <c r="AQ362">
        <v>427</v>
      </c>
      <c r="AR362">
        <v>3353</v>
      </c>
      <c r="AS362">
        <v>0</v>
      </c>
      <c r="AT362">
        <v>0</v>
      </c>
      <c r="AU362">
        <v>3062</v>
      </c>
      <c r="AV362">
        <v>-282</v>
      </c>
      <c r="AW362">
        <v>0</v>
      </c>
      <c r="AX362">
        <f>SUM(D362,Q362,T362,W362,Z362,AC362,AF362,AI362,AL362,AO362,AR362,AU362)</f>
        <v>75772</v>
      </c>
      <c r="AZ362" t="s">
        <v>264</v>
      </c>
      <c r="BA362" s="128">
        <v>67930</v>
      </c>
      <c r="BB362" s="128">
        <v>876527</v>
      </c>
      <c r="BC362" s="128">
        <v>0</v>
      </c>
      <c r="BD362" s="128">
        <v>1564782</v>
      </c>
      <c r="BE362" s="128">
        <v>419983.22666666668</v>
      </c>
      <c r="BF362" s="128">
        <v>4980135.2844051188</v>
      </c>
      <c r="BG362" s="272">
        <v>298551.13957280014</v>
      </c>
      <c r="BH362">
        <v>4556</v>
      </c>
      <c r="BI362">
        <v>3135</v>
      </c>
      <c r="BJ362">
        <v>458</v>
      </c>
      <c r="BK362">
        <v>270</v>
      </c>
      <c r="BL362">
        <v>634</v>
      </c>
      <c r="BM362">
        <v>47</v>
      </c>
      <c r="BQ362" s="128">
        <f>SUM(1000*BA362,-BB362,-BC362,-BD362,-BE362,-BF362,-BG362,-1000*BH362,-1000*BI362,-1000*BJ362,-1000*BK362,-1000*BL362,-1000*BM362)</f>
        <v>50690021.349355415</v>
      </c>
      <c r="BR362">
        <v>28327</v>
      </c>
      <c r="BS362" s="128">
        <f>BQ362/BR362</f>
        <v>1789.4595738820001</v>
      </c>
      <c r="BT362" t="s">
        <v>467</v>
      </c>
    </row>
    <row r="363" spans="1:72" x14ac:dyDescent="0.25">
      <c r="A363" t="s">
        <v>867</v>
      </c>
      <c r="B363">
        <f>SUM(B361:B362)</f>
        <v>2923</v>
      </c>
      <c r="C363">
        <f t="shared" ref="C363:BQ363" si="98">SUM(C361:C362)</f>
        <v>10032</v>
      </c>
      <c r="D363">
        <f t="shared" si="98"/>
        <v>2610</v>
      </c>
      <c r="E363">
        <f t="shared" si="98"/>
        <v>39323</v>
      </c>
      <c r="F363">
        <f t="shared" si="98"/>
        <v>8178</v>
      </c>
      <c r="G363">
        <f t="shared" si="98"/>
        <v>14282</v>
      </c>
      <c r="H363">
        <f t="shared" si="98"/>
        <v>2651</v>
      </c>
      <c r="I363">
        <f t="shared" si="98"/>
        <v>5976</v>
      </c>
      <c r="J363">
        <f t="shared" si="98"/>
        <v>19035</v>
      </c>
      <c r="K363">
        <f t="shared" si="98"/>
        <v>31272</v>
      </c>
      <c r="L363">
        <f t="shared" si="98"/>
        <v>61885</v>
      </c>
      <c r="M363">
        <f t="shared" si="98"/>
        <v>20954</v>
      </c>
      <c r="N363">
        <f t="shared" si="98"/>
        <v>7146</v>
      </c>
      <c r="O363">
        <f t="shared" si="98"/>
        <v>226267</v>
      </c>
      <c r="P363">
        <f t="shared" si="98"/>
        <v>0</v>
      </c>
      <c r="Q363">
        <f t="shared" si="98"/>
        <v>44313</v>
      </c>
      <c r="R363">
        <f t="shared" si="98"/>
        <v>3206</v>
      </c>
      <c r="S363">
        <f t="shared" si="98"/>
        <v>1784</v>
      </c>
      <c r="T363">
        <f t="shared" si="98"/>
        <v>8236</v>
      </c>
      <c r="U363">
        <f t="shared" si="98"/>
        <v>0</v>
      </c>
      <c r="V363">
        <f t="shared" si="98"/>
        <v>58</v>
      </c>
      <c r="W363">
        <f t="shared" si="98"/>
        <v>15921</v>
      </c>
      <c r="X363">
        <f t="shared" si="98"/>
        <v>0</v>
      </c>
      <c r="Y363">
        <f t="shared" si="98"/>
        <v>1639</v>
      </c>
      <c r="Z363">
        <f t="shared" si="98"/>
        <v>2765</v>
      </c>
      <c r="AA363">
        <f t="shared" si="98"/>
        <v>-2</v>
      </c>
      <c r="AB363">
        <f t="shared" si="98"/>
        <v>116</v>
      </c>
      <c r="AC363">
        <f t="shared" si="98"/>
        <v>8828</v>
      </c>
      <c r="AD363">
        <f t="shared" si="98"/>
        <v>0</v>
      </c>
      <c r="AE363">
        <f t="shared" si="98"/>
        <v>2852</v>
      </c>
      <c r="AF363">
        <f t="shared" si="98"/>
        <v>20887</v>
      </c>
      <c r="AG363">
        <f t="shared" si="98"/>
        <v>1</v>
      </c>
      <c r="AH363">
        <f t="shared" si="98"/>
        <v>1851</v>
      </c>
      <c r="AI363">
        <f t="shared" si="98"/>
        <v>31272</v>
      </c>
      <c r="AJ363">
        <f t="shared" si="98"/>
        <v>0</v>
      </c>
      <c r="AK363">
        <f t="shared" si="98"/>
        <v>0</v>
      </c>
      <c r="AL363">
        <f t="shared" si="98"/>
        <v>62268</v>
      </c>
      <c r="AM363">
        <f t="shared" si="98"/>
        <v>0</v>
      </c>
      <c r="AN363">
        <f t="shared" si="98"/>
        <v>383</v>
      </c>
      <c r="AO363">
        <f t="shared" si="98"/>
        <v>22296</v>
      </c>
      <c r="AP363">
        <f t="shared" si="98"/>
        <v>0</v>
      </c>
      <c r="AQ363">
        <f t="shared" si="98"/>
        <v>1342</v>
      </c>
      <c r="AR363">
        <f t="shared" si="98"/>
        <v>7153</v>
      </c>
      <c r="AS363">
        <f t="shared" si="98"/>
        <v>0</v>
      </c>
      <c r="AT363">
        <f t="shared" si="98"/>
        <v>7</v>
      </c>
      <c r="AU363">
        <f t="shared" si="98"/>
        <v>22246</v>
      </c>
      <c r="AV363">
        <f t="shared" si="98"/>
        <v>-282</v>
      </c>
      <c r="AW363">
        <f t="shared" si="98"/>
        <v>0</v>
      </c>
      <c r="AX363">
        <f t="shared" si="98"/>
        <v>248795</v>
      </c>
      <c r="AZ363" t="s">
        <v>867</v>
      </c>
      <c r="BA363">
        <f t="shared" si="98"/>
        <v>213907</v>
      </c>
      <c r="BB363">
        <f t="shared" si="98"/>
        <v>4402488</v>
      </c>
      <c r="BC363">
        <f t="shared" si="98"/>
        <v>0</v>
      </c>
      <c r="BD363">
        <f t="shared" si="98"/>
        <v>5916304</v>
      </c>
      <c r="BE363">
        <f t="shared" si="98"/>
        <v>1482607.2866666666</v>
      </c>
      <c r="BF363">
        <f t="shared" si="98"/>
        <v>19168223.869720068</v>
      </c>
      <c r="BG363">
        <f t="shared" si="98"/>
        <v>298551.13957280014</v>
      </c>
      <c r="BH363">
        <f t="shared" si="98"/>
        <v>10399</v>
      </c>
      <c r="BI363">
        <f t="shared" si="98"/>
        <v>9629</v>
      </c>
      <c r="BJ363">
        <f t="shared" si="98"/>
        <v>916</v>
      </c>
      <c r="BK363">
        <f t="shared" si="98"/>
        <v>410</v>
      </c>
      <c r="BL363">
        <f t="shared" si="98"/>
        <v>2018</v>
      </c>
      <c r="BM363">
        <f t="shared" si="98"/>
        <v>221</v>
      </c>
      <c r="BQ363">
        <f t="shared" si="98"/>
        <v>159045825.70404047</v>
      </c>
      <c r="BR363">
        <f t="shared" ref="BR363" si="99">SUM(BR361:BR362)</f>
        <v>86716</v>
      </c>
      <c r="BS363" s="128">
        <f>BQ363/BR363</f>
        <v>1834.1001165187563</v>
      </c>
      <c r="BT363" t="s">
        <v>118</v>
      </c>
    </row>
    <row r="364" spans="1:72" x14ac:dyDescent="0.25">
      <c r="BA364"/>
      <c r="BB364"/>
      <c r="BC364"/>
      <c r="BD364"/>
      <c r="BE364"/>
      <c r="BF364"/>
      <c r="BS364" s="128"/>
    </row>
    <row r="365" spans="1:72" ht="14.5" x14ac:dyDescent="0.25">
      <c r="A365" t="s">
        <v>392</v>
      </c>
      <c r="B365">
        <v>24977</v>
      </c>
      <c r="C365">
        <v>6358</v>
      </c>
      <c r="D365">
        <v>2976</v>
      </c>
      <c r="E365">
        <f>SUM(Q365,-R365,-S365)</f>
        <v>6232</v>
      </c>
      <c r="F365">
        <f>SUM(T365,-U365,-V365)</f>
        <v>2477</v>
      </c>
      <c r="G365">
        <f>SUM(W365,-X365,-Y365)</f>
        <v>2952</v>
      </c>
      <c r="H365">
        <f>SUM(Z365,-AA365,-AB365)</f>
        <v>-1182</v>
      </c>
      <c r="I365">
        <f>SUM(AC365,-AD365,-AE365)</f>
        <v>3154</v>
      </c>
      <c r="J365">
        <f>SUM(AF365,-AG365,-AH365)</f>
        <v>9962</v>
      </c>
      <c r="K365">
        <f>SUM(AI365,-AJ365,-AK365)</f>
        <v>23191</v>
      </c>
      <c r="L365">
        <f>SUM(AL365,-AM365,-AN365)</f>
        <v>24799</v>
      </c>
      <c r="M365">
        <f>SUM(AO365,-AP365,-AQ365)</f>
        <v>9686</v>
      </c>
      <c r="N365">
        <f>SUM(AR365,-AS365,-AT365)</f>
        <v>1856</v>
      </c>
      <c r="O365">
        <f>SUM(B365:N365)</f>
        <v>117438</v>
      </c>
      <c r="Q365">
        <v>17454</v>
      </c>
      <c r="R365">
        <v>9914</v>
      </c>
      <c r="S365">
        <v>1308</v>
      </c>
      <c r="T365">
        <v>3186</v>
      </c>
      <c r="U365">
        <v>623</v>
      </c>
      <c r="V365">
        <v>86</v>
      </c>
      <c r="W365">
        <v>5371</v>
      </c>
      <c r="X365">
        <v>1336</v>
      </c>
      <c r="Y365">
        <v>1083</v>
      </c>
      <c r="Z365" s="271">
        <v>-793</v>
      </c>
      <c r="AA365">
        <v>359</v>
      </c>
      <c r="AB365">
        <v>30</v>
      </c>
      <c r="AC365">
        <v>4690</v>
      </c>
      <c r="AD365">
        <v>98</v>
      </c>
      <c r="AE365">
        <v>1438</v>
      </c>
      <c r="AF365">
        <v>13024</v>
      </c>
      <c r="AG365">
        <v>1785</v>
      </c>
      <c r="AH365">
        <v>1277</v>
      </c>
      <c r="AI365">
        <v>25593</v>
      </c>
      <c r="AJ365">
        <v>2402</v>
      </c>
      <c r="AK365">
        <v>0</v>
      </c>
      <c r="AL365">
        <v>28486</v>
      </c>
      <c r="AM365">
        <v>3489</v>
      </c>
      <c r="AN365">
        <v>198</v>
      </c>
      <c r="AO365">
        <v>12586</v>
      </c>
      <c r="AP365">
        <v>1972</v>
      </c>
      <c r="AQ365">
        <v>928</v>
      </c>
      <c r="AR365">
        <v>4143</v>
      </c>
      <c r="AS365">
        <v>2277</v>
      </c>
      <c r="AT365">
        <v>10</v>
      </c>
      <c r="AU365">
        <v>-1055</v>
      </c>
      <c r="AV365">
        <v>722</v>
      </c>
      <c r="AW365">
        <v>0</v>
      </c>
      <c r="AX365">
        <f>SUM(D365,Q365,T365,W365,Z365,AC365,AF365,AI365,AL365,AO365,AR365,AU365)</f>
        <v>115661</v>
      </c>
      <c r="AZ365" t="s">
        <v>392</v>
      </c>
      <c r="BA365" s="128">
        <v>107382</v>
      </c>
      <c r="BB365" s="128">
        <v>1043584</v>
      </c>
      <c r="BC365" s="128">
        <v>0</v>
      </c>
      <c r="BD365" s="128">
        <v>7724396</v>
      </c>
      <c r="BE365" s="128">
        <v>736857</v>
      </c>
      <c r="BF365" s="128">
        <v>10504344.411472648</v>
      </c>
      <c r="BG365" s="272">
        <v>353012.57537207007</v>
      </c>
      <c r="BH365">
        <v>4542</v>
      </c>
      <c r="BI365">
        <v>4514</v>
      </c>
      <c r="BJ365">
        <v>573</v>
      </c>
      <c r="BK365">
        <v>134</v>
      </c>
      <c r="BL365">
        <v>1044</v>
      </c>
      <c r="BM365">
        <v>380</v>
      </c>
      <c r="BQ365" s="128">
        <f>SUM(1000*BA365,-BB365,-BC365,-BD365,-BE365,-BF365,-BG365,-1000*BH365,-1000*BI365,-1000*BJ365,-1000*BK365,-1000*BL365,-1000*BM365)</f>
        <v>75832806.013155282</v>
      </c>
      <c r="BR365">
        <v>42293</v>
      </c>
      <c r="BS365" s="128">
        <f>BQ365/BR365</f>
        <v>1793.0344504564653</v>
      </c>
      <c r="BT365" t="s">
        <v>118</v>
      </c>
    </row>
    <row r="366" spans="1:72" ht="14.5" x14ac:dyDescent="0.25">
      <c r="A366" t="s">
        <v>376</v>
      </c>
      <c r="B366">
        <v>8940</v>
      </c>
      <c r="C366">
        <v>1198</v>
      </c>
      <c r="D366">
        <v>119</v>
      </c>
      <c r="E366">
        <f>SUM(Q366,-R366,-S366)</f>
        <v>3483</v>
      </c>
      <c r="F366">
        <f>SUM(T366,-U366,-V366)</f>
        <v>1190</v>
      </c>
      <c r="G366">
        <f>SUM(W366,-X366,-Y366)</f>
        <v>1112</v>
      </c>
      <c r="H366">
        <f>SUM(Z366,-AA366,-AB366)</f>
        <v>927</v>
      </c>
      <c r="I366">
        <f>SUM(AC366,-AD366,-AE366)</f>
        <v>748</v>
      </c>
      <c r="J366">
        <f>SUM(AF366,-AG366,-AH366)</f>
        <v>2990</v>
      </c>
      <c r="K366">
        <f>SUM(AI366,-AJ366,-AK366)</f>
        <v>4626</v>
      </c>
      <c r="L366">
        <f>SUM(AL366,-AM366,-AN366)</f>
        <v>8981</v>
      </c>
      <c r="M366">
        <f>SUM(AO366,-AP366,-AQ366)</f>
        <v>3418</v>
      </c>
      <c r="N366">
        <f>SUM(AR366,-AS366,-AT366)</f>
        <v>859</v>
      </c>
      <c r="O366">
        <f>SUM(B366:N366)</f>
        <v>38591</v>
      </c>
      <c r="Q366">
        <v>8847</v>
      </c>
      <c r="R366">
        <v>5258</v>
      </c>
      <c r="S366">
        <v>106</v>
      </c>
      <c r="T366">
        <v>1419</v>
      </c>
      <c r="U366">
        <v>229</v>
      </c>
      <c r="V366">
        <v>0</v>
      </c>
      <c r="W366">
        <v>1760</v>
      </c>
      <c r="X366">
        <v>318</v>
      </c>
      <c r="Y366">
        <v>330</v>
      </c>
      <c r="Z366" s="271">
        <v>1121</v>
      </c>
      <c r="AA366">
        <v>183</v>
      </c>
      <c r="AB366">
        <v>11</v>
      </c>
      <c r="AC366">
        <v>1163</v>
      </c>
      <c r="AD366">
        <v>23</v>
      </c>
      <c r="AE366">
        <v>392</v>
      </c>
      <c r="AF366">
        <v>3859</v>
      </c>
      <c r="AG366">
        <v>623</v>
      </c>
      <c r="AH366">
        <v>246</v>
      </c>
      <c r="AI366">
        <v>4946</v>
      </c>
      <c r="AJ366">
        <v>320</v>
      </c>
      <c r="AK366">
        <v>0</v>
      </c>
      <c r="AL366">
        <v>9806</v>
      </c>
      <c r="AM366">
        <v>761</v>
      </c>
      <c r="AN366">
        <v>64</v>
      </c>
      <c r="AO366">
        <v>3852</v>
      </c>
      <c r="AP366">
        <v>425</v>
      </c>
      <c r="AQ366">
        <v>9</v>
      </c>
      <c r="AR366">
        <v>1699</v>
      </c>
      <c r="AS366">
        <v>800</v>
      </c>
      <c r="AT366">
        <v>40</v>
      </c>
      <c r="AU366">
        <v>444</v>
      </c>
      <c r="AV366">
        <v>0</v>
      </c>
      <c r="AW366">
        <v>0</v>
      </c>
      <c r="AX366">
        <f>SUM(D366,Q366,T366,W366,Z366,AC366,AF366,AI366,AL366,AO366,AR366,AU366)</f>
        <v>39035</v>
      </c>
      <c r="AZ366" t="s">
        <v>376</v>
      </c>
      <c r="BA366" s="128">
        <v>37274</v>
      </c>
      <c r="BB366" s="128">
        <v>1571168</v>
      </c>
      <c r="BC366" s="128">
        <v>0</v>
      </c>
      <c r="BD366" s="128">
        <v>1985327</v>
      </c>
      <c r="BE366" s="128">
        <v>373009</v>
      </c>
      <c r="BF366" s="128">
        <v>2248372.6799121569</v>
      </c>
      <c r="BG366" s="272">
        <v>632154.36118901195</v>
      </c>
      <c r="BH366">
        <v>1023</v>
      </c>
      <c r="BI366">
        <v>1582</v>
      </c>
      <c r="BJ366">
        <v>183</v>
      </c>
      <c r="BK366">
        <v>31</v>
      </c>
      <c r="BL366">
        <v>775</v>
      </c>
      <c r="BM366">
        <v>205</v>
      </c>
      <c r="BQ366" s="128">
        <f>SUM(1000*BA366,-BB366,-BC366,-BD366,-BE366,-BF366,-BG366,-1000*BH366,-1000*BI366,-1000*BJ366,-1000*BK366,-1000*BL366,-1000*BM366)</f>
        <v>26664968.958898831</v>
      </c>
      <c r="BR366">
        <v>15818</v>
      </c>
      <c r="BS366" s="128">
        <f>BQ366/BR366</f>
        <v>1685.7358047097503</v>
      </c>
      <c r="BT366" t="s">
        <v>467</v>
      </c>
    </row>
    <row r="367" spans="1:72" x14ac:dyDescent="0.25">
      <c r="A367" t="s">
        <v>869</v>
      </c>
      <c r="B367">
        <f>SUM(B365:B366)</f>
        <v>33917</v>
      </c>
      <c r="C367">
        <f t="shared" ref="C367:AX367" si="100">SUM(C365:C366)</f>
        <v>7556</v>
      </c>
      <c r="D367">
        <f t="shared" si="100"/>
        <v>3095</v>
      </c>
      <c r="E367">
        <f t="shared" si="100"/>
        <v>9715</v>
      </c>
      <c r="F367">
        <f t="shared" si="100"/>
        <v>3667</v>
      </c>
      <c r="G367">
        <f t="shared" si="100"/>
        <v>4064</v>
      </c>
      <c r="H367">
        <f t="shared" si="100"/>
        <v>-255</v>
      </c>
      <c r="I367">
        <f t="shared" si="100"/>
        <v>3902</v>
      </c>
      <c r="J367">
        <f t="shared" si="100"/>
        <v>12952</v>
      </c>
      <c r="K367">
        <f t="shared" si="100"/>
        <v>27817</v>
      </c>
      <c r="L367">
        <f t="shared" si="100"/>
        <v>33780</v>
      </c>
      <c r="M367">
        <f t="shared" si="100"/>
        <v>13104</v>
      </c>
      <c r="N367">
        <f t="shared" si="100"/>
        <v>2715</v>
      </c>
      <c r="O367">
        <f t="shared" si="100"/>
        <v>156029</v>
      </c>
      <c r="P367">
        <f t="shared" si="100"/>
        <v>0</v>
      </c>
      <c r="Q367">
        <f t="shared" si="100"/>
        <v>26301</v>
      </c>
      <c r="R367">
        <f t="shared" si="100"/>
        <v>15172</v>
      </c>
      <c r="S367">
        <f t="shared" si="100"/>
        <v>1414</v>
      </c>
      <c r="T367">
        <f t="shared" si="100"/>
        <v>4605</v>
      </c>
      <c r="U367">
        <f t="shared" si="100"/>
        <v>852</v>
      </c>
      <c r="V367">
        <f t="shared" si="100"/>
        <v>86</v>
      </c>
      <c r="W367">
        <f t="shared" si="100"/>
        <v>7131</v>
      </c>
      <c r="X367">
        <f t="shared" si="100"/>
        <v>1654</v>
      </c>
      <c r="Y367">
        <f t="shared" si="100"/>
        <v>1413</v>
      </c>
      <c r="Z367">
        <f t="shared" si="100"/>
        <v>328</v>
      </c>
      <c r="AA367">
        <f t="shared" si="100"/>
        <v>542</v>
      </c>
      <c r="AB367">
        <f t="shared" si="100"/>
        <v>41</v>
      </c>
      <c r="AC367">
        <f t="shared" si="100"/>
        <v>5853</v>
      </c>
      <c r="AD367">
        <f t="shared" si="100"/>
        <v>121</v>
      </c>
      <c r="AE367">
        <f t="shared" si="100"/>
        <v>1830</v>
      </c>
      <c r="AF367">
        <f t="shared" si="100"/>
        <v>16883</v>
      </c>
      <c r="AG367">
        <f t="shared" si="100"/>
        <v>2408</v>
      </c>
      <c r="AH367">
        <f t="shared" si="100"/>
        <v>1523</v>
      </c>
      <c r="AI367">
        <f t="shared" si="100"/>
        <v>30539</v>
      </c>
      <c r="AJ367">
        <f t="shared" si="100"/>
        <v>2722</v>
      </c>
      <c r="AK367">
        <f t="shared" si="100"/>
        <v>0</v>
      </c>
      <c r="AL367">
        <f t="shared" si="100"/>
        <v>38292</v>
      </c>
      <c r="AM367">
        <f t="shared" si="100"/>
        <v>4250</v>
      </c>
      <c r="AN367">
        <f t="shared" si="100"/>
        <v>262</v>
      </c>
      <c r="AO367">
        <f t="shared" si="100"/>
        <v>16438</v>
      </c>
      <c r="AP367">
        <f t="shared" si="100"/>
        <v>2397</v>
      </c>
      <c r="AQ367">
        <f t="shared" si="100"/>
        <v>937</v>
      </c>
      <c r="AR367">
        <f t="shared" si="100"/>
        <v>5842</v>
      </c>
      <c r="AS367">
        <f t="shared" si="100"/>
        <v>3077</v>
      </c>
      <c r="AT367">
        <f t="shared" si="100"/>
        <v>50</v>
      </c>
      <c r="AU367">
        <f t="shared" si="100"/>
        <v>-611</v>
      </c>
      <c r="AV367">
        <f t="shared" si="100"/>
        <v>722</v>
      </c>
      <c r="AW367">
        <f t="shared" si="100"/>
        <v>0</v>
      </c>
      <c r="AX367">
        <f t="shared" si="100"/>
        <v>154696</v>
      </c>
      <c r="AZ367" t="s">
        <v>869</v>
      </c>
      <c r="BA367" s="128">
        <f>SUM(BA365:BA366)</f>
        <v>144656</v>
      </c>
      <c r="BB367" s="128">
        <f t="shared" ref="BB367:BR367" si="101">SUM(BB365:BB366)</f>
        <v>2614752</v>
      </c>
      <c r="BC367" s="128">
        <f t="shared" si="101"/>
        <v>0</v>
      </c>
      <c r="BD367" s="128">
        <f t="shared" si="101"/>
        <v>9709723</v>
      </c>
      <c r="BE367" s="128">
        <f t="shared" si="101"/>
        <v>1109866</v>
      </c>
      <c r="BF367" s="128">
        <f t="shared" si="101"/>
        <v>12752717.091384806</v>
      </c>
      <c r="BG367" s="128">
        <f t="shared" si="101"/>
        <v>985166.93656108202</v>
      </c>
      <c r="BH367" s="128">
        <f t="shared" si="101"/>
        <v>5565</v>
      </c>
      <c r="BI367" s="128">
        <f t="shared" si="101"/>
        <v>6096</v>
      </c>
      <c r="BJ367" s="128">
        <f t="shared" si="101"/>
        <v>756</v>
      </c>
      <c r="BK367" s="128">
        <f t="shared" si="101"/>
        <v>165</v>
      </c>
      <c r="BL367" s="128">
        <f t="shared" si="101"/>
        <v>1819</v>
      </c>
      <c r="BM367" s="128">
        <f t="shared" si="101"/>
        <v>585</v>
      </c>
      <c r="BN367" s="128"/>
      <c r="BO367" s="128"/>
      <c r="BP367" s="128"/>
      <c r="BQ367" s="128">
        <f t="shared" si="101"/>
        <v>102497774.97205411</v>
      </c>
      <c r="BR367" s="128">
        <f t="shared" si="101"/>
        <v>58111</v>
      </c>
      <c r="BS367" s="128">
        <f>BQ367/BR367</f>
        <v>1763.8274160151109</v>
      </c>
      <c r="BT367" t="s">
        <v>118</v>
      </c>
    </row>
  </sheetData>
  <sheetProtection algorithmName="SHA-512" hashValue="05QHeuWMsv34jEleVW0nwxAJICwySaUJ8AqA/i7O4j2uoySIHs3DWZ8fGPnGHPZeuNTkAl6FliO9CStcezOV3Q==" saltValue="lZEyyZUbnNJlPVrVQ8zY1Q==" spinCount="100000" sheet="1" objects="1" scenarios="1"/>
  <sortState xmlns:xlrd2="http://schemas.microsoft.com/office/spreadsheetml/2017/richdata2" ref="CD2:CF346">
    <sortCondition ref="CE2:CE346"/>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D4C3-A67B-4FAC-84A5-7361DD617DE6}">
  <dimension ref="A1:AB377"/>
  <sheetViews>
    <sheetView workbookViewId="0">
      <pane xSplit="2" ySplit="1" topLeftCell="S349" activePane="bottomRight" state="frozen"/>
      <selection pane="topRight" activeCell="C1" sqref="C1"/>
      <selection pane="bottomLeft" activeCell="A2" sqref="A2"/>
      <selection pane="bottomRight" activeCell="T357" sqref="T357:U357"/>
    </sheetView>
  </sheetViews>
  <sheetFormatPr defaultRowHeight="12.5" x14ac:dyDescent="0.25"/>
  <cols>
    <col min="1" max="1" width="10.6328125" bestFit="1" customWidth="1"/>
    <col min="2" max="2" width="28.08984375" bestFit="1" customWidth="1"/>
    <col min="3" max="3" width="24" bestFit="1" customWidth="1"/>
    <col min="4" max="4" width="32.453125" bestFit="1" customWidth="1"/>
    <col min="5" max="5" width="36.08984375" bestFit="1" customWidth="1"/>
    <col min="6" max="6" width="17.36328125" bestFit="1" customWidth="1"/>
    <col min="7" max="7" width="17.453125" bestFit="1" customWidth="1"/>
    <col min="8" max="8" width="17.90625" bestFit="1" customWidth="1"/>
    <col min="9" max="9" width="19.36328125" bestFit="1" customWidth="1"/>
    <col min="10" max="10" width="12.6328125" bestFit="1" customWidth="1"/>
    <col min="11" max="11" width="37.08984375" bestFit="1" customWidth="1"/>
    <col min="12" max="12" width="27.90625" bestFit="1" customWidth="1"/>
    <col min="13" max="13" width="21.6328125" bestFit="1" customWidth="1"/>
    <col min="14" max="14" width="24.453125" bestFit="1" customWidth="1"/>
    <col min="15" max="15" width="15.36328125" bestFit="1" customWidth="1"/>
    <col min="16" max="16" width="41.453125" style="128" bestFit="1" customWidth="1"/>
    <col min="17" max="17" width="29.36328125" style="128" bestFit="1" customWidth="1"/>
    <col min="18" max="18" width="33" style="128" bestFit="1" customWidth="1"/>
    <col min="19" max="19" width="36.453125" style="128" bestFit="1" customWidth="1"/>
    <col min="20" max="21" width="32.453125" bestFit="1" customWidth="1"/>
    <col min="22" max="22" width="26" bestFit="1" customWidth="1"/>
    <col min="23" max="23" width="32.90625" bestFit="1" customWidth="1"/>
    <col min="24" max="24" width="28.54296875" bestFit="1" customWidth="1"/>
    <col min="25" max="25" width="12.90625" bestFit="1" customWidth="1"/>
    <col min="26" max="26" width="26" bestFit="1" customWidth="1"/>
    <col min="27" max="27" width="28.54296875" bestFit="1" customWidth="1"/>
    <col min="28" max="28" width="12.90625" bestFit="1" customWidth="1"/>
    <col min="29" max="29" width="28.08984375" bestFit="1" customWidth="1"/>
    <col min="30" max="30" width="20.08984375" bestFit="1" customWidth="1"/>
    <col min="31" max="31" width="23.81640625" bestFit="1" customWidth="1"/>
    <col min="32" max="32" width="20.81640625" bestFit="1" customWidth="1"/>
    <col min="33" max="33" width="8.6328125" bestFit="1" customWidth="1"/>
    <col min="34" max="34" width="12" bestFit="1" customWidth="1"/>
  </cols>
  <sheetData>
    <row r="1" spans="1:28" x14ac:dyDescent="0.25">
      <c r="A1" t="s">
        <v>554</v>
      </c>
      <c r="B1" t="s">
        <v>530</v>
      </c>
      <c r="C1" t="s">
        <v>624</v>
      </c>
      <c r="D1" t="s">
        <v>625</v>
      </c>
      <c r="E1" t="s">
        <v>626</v>
      </c>
      <c r="F1" t="s">
        <v>627</v>
      </c>
      <c r="G1" t="s">
        <v>628</v>
      </c>
      <c r="H1" t="s">
        <v>629</v>
      </c>
      <c r="I1" t="s">
        <v>630</v>
      </c>
      <c r="J1" t="s">
        <v>631</v>
      </c>
      <c r="K1" t="s">
        <v>632</v>
      </c>
      <c r="L1" t="s">
        <v>633</v>
      </c>
      <c r="M1" t="s">
        <v>634</v>
      </c>
      <c r="N1" t="s">
        <v>635</v>
      </c>
      <c r="O1" t="s">
        <v>636</v>
      </c>
      <c r="P1" s="128" t="s">
        <v>637</v>
      </c>
      <c r="Q1" s="128" t="s">
        <v>638</v>
      </c>
      <c r="R1" s="128" t="s">
        <v>639</v>
      </c>
      <c r="S1" s="128" t="s">
        <v>746</v>
      </c>
      <c r="T1" t="s">
        <v>747</v>
      </c>
      <c r="U1" t="s">
        <v>642</v>
      </c>
      <c r="V1" t="s">
        <v>805</v>
      </c>
      <c r="W1" t="s">
        <v>806</v>
      </c>
    </row>
    <row r="2" spans="1:28" x14ac:dyDescent="0.25">
      <c r="A2" t="s">
        <v>516</v>
      </c>
      <c r="B2" t="s">
        <v>106</v>
      </c>
      <c r="C2">
        <f>SUM(D2,E2)</f>
        <v>4500</v>
      </c>
      <c r="D2">
        <v>3405</v>
      </c>
      <c r="E2">
        <v>1095</v>
      </c>
      <c r="F2">
        <v>0</v>
      </c>
      <c r="G2">
        <v>0</v>
      </c>
      <c r="H2">
        <v>1457</v>
      </c>
      <c r="I2">
        <v>0</v>
      </c>
      <c r="J2">
        <v>2077</v>
      </c>
      <c r="K2">
        <v>2267</v>
      </c>
      <c r="L2">
        <v>307</v>
      </c>
      <c r="M2">
        <v>145</v>
      </c>
      <c r="N2">
        <v>724</v>
      </c>
      <c r="O2">
        <v>6</v>
      </c>
      <c r="P2" s="128">
        <v>3241</v>
      </c>
      <c r="Q2" s="128">
        <v>2857</v>
      </c>
      <c r="R2" s="128">
        <v>384</v>
      </c>
      <c r="S2" s="128">
        <f t="shared" ref="S2:S65" si="0">0.1853%*SUM(Q2,R2,R2)*1000000</f>
        <v>6717124.9999999991</v>
      </c>
      <c r="T2">
        <f t="shared" ref="T2:T65" si="1">SUM(S2,-C2*1000)</f>
        <v>2217124.9999999991</v>
      </c>
      <c r="U2">
        <f t="shared" ref="U2:U65" si="2">IF(T2&gt;0,T2,0)</f>
        <v>2217124.9999999991</v>
      </c>
      <c r="V2">
        <v>64607</v>
      </c>
      <c r="W2" s="188">
        <f t="shared" ref="W2:W65" si="3">T2/(V2*1000)</f>
        <v>3.431710186202732E-2</v>
      </c>
      <c r="Y2" s="188"/>
      <c r="AB2" s="188"/>
    </row>
    <row r="3" spans="1:28" x14ac:dyDescent="0.25">
      <c r="A3" t="s">
        <v>518</v>
      </c>
      <c r="B3" t="s">
        <v>238</v>
      </c>
      <c r="C3">
        <f t="shared" ref="C3:C66" si="4">SUM(D3,E3)</f>
        <v>7928</v>
      </c>
      <c r="D3">
        <v>5477</v>
      </c>
      <c r="E3">
        <v>2451</v>
      </c>
      <c r="F3">
        <v>0</v>
      </c>
      <c r="G3">
        <v>1513</v>
      </c>
      <c r="H3">
        <v>500</v>
      </c>
      <c r="I3">
        <v>272</v>
      </c>
      <c r="J3">
        <v>2835</v>
      </c>
      <c r="K3">
        <v>3538</v>
      </c>
      <c r="L3">
        <v>349</v>
      </c>
      <c r="M3">
        <v>513</v>
      </c>
      <c r="N3">
        <v>1786</v>
      </c>
      <c r="O3">
        <v>613</v>
      </c>
      <c r="P3" s="128">
        <v>5815</v>
      </c>
      <c r="Q3" s="128">
        <v>4811</v>
      </c>
      <c r="R3" s="128">
        <v>1004</v>
      </c>
      <c r="S3" s="128">
        <f t="shared" si="0"/>
        <v>12635606.999999998</v>
      </c>
      <c r="T3">
        <f t="shared" si="1"/>
        <v>4707606.9999999981</v>
      </c>
      <c r="U3">
        <f t="shared" si="2"/>
        <v>4707606.9999999981</v>
      </c>
      <c r="V3">
        <v>104779</v>
      </c>
      <c r="W3" s="188">
        <f t="shared" si="3"/>
        <v>4.4928917053989811E-2</v>
      </c>
      <c r="Y3" s="188"/>
      <c r="AB3" s="188"/>
    </row>
    <row r="4" spans="1:28" x14ac:dyDescent="0.25">
      <c r="A4" t="s">
        <v>519</v>
      </c>
      <c r="B4" t="s">
        <v>165</v>
      </c>
      <c r="C4">
        <f t="shared" si="4"/>
        <v>4745</v>
      </c>
      <c r="D4">
        <v>3230</v>
      </c>
      <c r="E4">
        <v>1515</v>
      </c>
      <c r="F4">
        <v>0</v>
      </c>
      <c r="G4">
        <v>0</v>
      </c>
      <c r="H4">
        <v>199</v>
      </c>
      <c r="I4">
        <v>227</v>
      </c>
      <c r="J4">
        <v>1983</v>
      </c>
      <c r="K4">
        <v>1164</v>
      </c>
      <c r="L4">
        <v>257</v>
      </c>
      <c r="M4">
        <v>306</v>
      </c>
      <c r="N4">
        <v>610</v>
      </c>
      <c r="O4">
        <v>245</v>
      </c>
      <c r="P4" s="128">
        <v>3102</v>
      </c>
      <c r="Q4" s="128">
        <v>2590</v>
      </c>
      <c r="R4" s="128">
        <v>512</v>
      </c>
      <c r="S4" s="128">
        <f t="shared" si="0"/>
        <v>6696741.9999999991</v>
      </c>
      <c r="T4">
        <f t="shared" si="1"/>
        <v>1951741.9999999991</v>
      </c>
      <c r="U4">
        <f t="shared" si="2"/>
        <v>1951741.9999999991</v>
      </c>
      <c r="V4">
        <v>68920</v>
      </c>
      <c r="W4" s="188">
        <f t="shared" si="3"/>
        <v>2.8318949506674393E-2</v>
      </c>
      <c r="Y4" s="188"/>
      <c r="AB4" s="188"/>
    </row>
    <row r="5" spans="1:28" x14ac:dyDescent="0.25">
      <c r="A5" t="s">
        <v>520</v>
      </c>
      <c r="B5" t="s">
        <v>127</v>
      </c>
      <c r="C5">
        <f t="shared" si="4"/>
        <v>5368</v>
      </c>
      <c r="D5">
        <v>3504</v>
      </c>
      <c r="E5">
        <v>1864</v>
      </c>
      <c r="F5">
        <v>0</v>
      </c>
      <c r="G5">
        <v>1605</v>
      </c>
      <c r="H5">
        <v>4</v>
      </c>
      <c r="I5">
        <v>47</v>
      </c>
      <c r="J5">
        <v>2003</v>
      </c>
      <c r="K5">
        <v>3572</v>
      </c>
      <c r="L5">
        <v>265</v>
      </c>
      <c r="M5">
        <v>0</v>
      </c>
      <c r="N5">
        <v>420</v>
      </c>
      <c r="O5">
        <v>134</v>
      </c>
      <c r="P5" s="128">
        <v>2658</v>
      </c>
      <c r="Q5" s="128">
        <v>2243</v>
      </c>
      <c r="R5" s="128">
        <v>415</v>
      </c>
      <c r="S5" s="128">
        <f t="shared" si="0"/>
        <v>5694268.9999999991</v>
      </c>
      <c r="T5">
        <f t="shared" si="1"/>
        <v>326268.99999999907</v>
      </c>
      <c r="U5">
        <f t="shared" si="2"/>
        <v>326268.99999999907</v>
      </c>
      <c r="V5">
        <v>93224</v>
      </c>
      <c r="W5" s="188">
        <f t="shared" si="3"/>
        <v>3.4998390972281715E-3</v>
      </c>
      <c r="Y5" s="188"/>
      <c r="AB5" s="188"/>
    </row>
    <row r="6" spans="1:28" x14ac:dyDescent="0.25">
      <c r="A6" t="s">
        <v>521</v>
      </c>
      <c r="B6" t="s">
        <v>283</v>
      </c>
      <c r="C6">
        <f t="shared" si="4"/>
        <v>4976</v>
      </c>
      <c r="D6">
        <v>2246</v>
      </c>
      <c r="E6">
        <v>2730</v>
      </c>
      <c r="F6">
        <v>0</v>
      </c>
      <c r="G6">
        <v>622</v>
      </c>
      <c r="H6">
        <v>-1</v>
      </c>
      <c r="I6">
        <v>100</v>
      </c>
      <c r="J6">
        <v>1580</v>
      </c>
      <c r="K6">
        <v>2786</v>
      </c>
      <c r="L6">
        <v>235</v>
      </c>
      <c r="M6">
        <v>656</v>
      </c>
      <c r="N6">
        <v>787</v>
      </c>
      <c r="O6">
        <v>318</v>
      </c>
      <c r="P6" s="128">
        <v>2484</v>
      </c>
      <c r="Q6" s="128">
        <v>1970</v>
      </c>
      <c r="R6" s="128">
        <v>514</v>
      </c>
      <c r="S6" s="128">
        <f t="shared" si="0"/>
        <v>5555293.9999999991</v>
      </c>
      <c r="T6">
        <f t="shared" si="1"/>
        <v>579293.99999999907</v>
      </c>
      <c r="U6">
        <f t="shared" si="2"/>
        <v>579293.99999999907</v>
      </c>
      <c r="V6">
        <v>79289</v>
      </c>
      <c r="W6" s="188">
        <f t="shared" si="3"/>
        <v>7.3061080351624948E-3</v>
      </c>
      <c r="Y6" s="188"/>
      <c r="AB6" s="188"/>
    </row>
    <row r="7" spans="1:28" x14ac:dyDescent="0.25">
      <c r="A7" t="s">
        <v>521</v>
      </c>
      <c r="B7" t="s">
        <v>284</v>
      </c>
      <c r="C7">
        <f t="shared" si="4"/>
        <v>6931</v>
      </c>
      <c r="D7">
        <v>4202</v>
      </c>
      <c r="E7">
        <v>2729</v>
      </c>
      <c r="F7">
        <v>0</v>
      </c>
      <c r="G7">
        <v>0</v>
      </c>
      <c r="H7">
        <v>0</v>
      </c>
      <c r="I7">
        <v>0</v>
      </c>
      <c r="J7">
        <v>2912</v>
      </c>
      <c r="K7">
        <v>2822</v>
      </c>
      <c r="L7">
        <v>279</v>
      </c>
      <c r="M7">
        <v>239</v>
      </c>
      <c r="N7">
        <v>1242</v>
      </c>
      <c r="O7">
        <v>60</v>
      </c>
      <c r="P7" s="128">
        <v>3730</v>
      </c>
      <c r="Q7" s="128">
        <v>3265</v>
      </c>
      <c r="R7" s="128">
        <v>466</v>
      </c>
      <c r="S7" s="128">
        <f t="shared" si="0"/>
        <v>7777041</v>
      </c>
      <c r="T7">
        <f t="shared" si="1"/>
        <v>846041</v>
      </c>
      <c r="U7">
        <f t="shared" si="2"/>
        <v>846041</v>
      </c>
      <c r="V7">
        <v>84140</v>
      </c>
      <c r="W7" s="188">
        <f t="shared" si="3"/>
        <v>1.0055158069883528E-2</v>
      </c>
      <c r="Y7" s="188"/>
      <c r="AB7" s="188"/>
    </row>
    <row r="8" spans="1:28" x14ac:dyDescent="0.25">
      <c r="A8" t="s">
        <v>518</v>
      </c>
      <c r="B8" t="s">
        <v>239</v>
      </c>
      <c r="C8">
        <f t="shared" si="4"/>
        <v>23809</v>
      </c>
      <c r="D8">
        <v>10013</v>
      </c>
      <c r="E8">
        <v>13796</v>
      </c>
      <c r="F8">
        <v>-118</v>
      </c>
      <c r="G8">
        <v>5266</v>
      </c>
      <c r="H8">
        <v>6</v>
      </c>
      <c r="I8">
        <v>-54</v>
      </c>
      <c r="J8">
        <v>8200</v>
      </c>
      <c r="K8">
        <v>12251</v>
      </c>
      <c r="L8">
        <v>1203</v>
      </c>
      <c r="M8">
        <v>489</v>
      </c>
      <c r="N8">
        <v>3405</v>
      </c>
      <c r="O8">
        <v>261</v>
      </c>
      <c r="P8" s="128">
        <v>15970</v>
      </c>
      <c r="Q8" s="128">
        <v>12823</v>
      </c>
      <c r="R8" s="128">
        <v>3147</v>
      </c>
      <c r="S8" s="128">
        <f t="shared" si="0"/>
        <v>35423801</v>
      </c>
      <c r="T8">
        <f t="shared" si="1"/>
        <v>11614801</v>
      </c>
      <c r="U8">
        <f t="shared" si="2"/>
        <v>11614801</v>
      </c>
      <c r="V8">
        <v>459626</v>
      </c>
      <c r="W8" s="188">
        <f t="shared" si="3"/>
        <v>2.5270113091948671E-2</v>
      </c>
      <c r="Y8" s="188"/>
      <c r="AB8" s="188"/>
    </row>
    <row r="9" spans="1:28" x14ac:dyDescent="0.25">
      <c r="A9" t="s">
        <v>522</v>
      </c>
      <c r="B9" t="s">
        <v>141</v>
      </c>
      <c r="C9">
        <f t="shared" si="4"/>
        <v>23199</v>
      </c>
      <c r="D9">
        <v>10269</v>
      </c>
      <c r="E9">
        <v>12930</v>
      </c>
      <c r="F9">
        <v>1564</v>
      </c>
      <c r="G9">
        <v>37</v>
      </c>
      <c r="H9">
        <v>30</v>
      </c>
      <c r="I9">
        <v>121</v>
      </c>
      <c r="J9">
        <v>9956</v>
      </c>
      <c r="K9">
        <v>8244</v>
      </c>
      <c r="L9">
        <v>720</v>
      </c>
      <c r="M9">
        <v>440</v>
      </c>
      <c r="N9">
        <v>3176</v>
      </c>
      <c r="O9">
        <v>312</v>
      </c>
      <c r="P9" s="128">
        <v>7944</v>
      </c>
      <c r="Q9" s="128">
        <v>6071</v>
      </c>
      <c r="R9" s="128">
        <v>1873</v>
      </c>
      <c r="S9" s="128">
        <f t="shared" si="0"/>
        <v>18190900.999999996</v>
      </c>
      <c r="T9">
        <f t="shared" si="1"/>
        <v>-5008099.0000000037</v>
      </c>
      <c r="U9">
        <f t="shared" si="2"/>
        <v>0</v>
      </c>
      <c r="V9">
        <v>325094</v>
      </c>
      <c r="W9" s="188">
        <f t="shared" si="3"/>
        <v>-1.5405079761545903E-2</v>
      </c>
      <c r="Y9" s="188"/>
      <c r="AB9" s="188"/>
    </row>
    <row r="10" spans="1:28" x14ac:dyDescent="0.25">
      <c r="A10" t="s">
        <v>523</v>
      </c>
      <c r="B10" t="s">
        <v>429</v>
      </c>
      <c r="C10">
        <f t="shared" si="4"/>
        <v>46043</v>
      </c>
      <c r="D10">
        <v>26649</v>
      </c>
      <c r="E10">
        <v>19394</v>
      </c>
      <c r="F10">
        <v>0</v>
      </c>
      <c r="G10">
        <v>273</v>
      </c>
      <c r="H10">
        <v>182</v>
      </c>
      <c r="I10">
        <v>622</v>
      </c>
      <c r="J10">
        <v>14806</v>
      </c>
      <c r="K10">
        <v>32020</v>
      </c>
      <c r="L10">
        <v>2288</v>
      </c>
      <c r="M10">
        <v>0</v>
      </c>
      <c r="N10">
        <v>10582</v>
      </c>
      <c r="O10">
        <v>580</v>
      </c>
      <c r="P10" s="128">
        <v>25343</v>
      </c>
      <c r="Q10" s="128">
        <v>21743</v>
      </c>
      <c r="R10" s="128">
        <v>3600</v>
      </c>
      <c r="S10" s="128">
        <f t="shared" si="0"/>
        <v>53631378.999999993</v>
      </c>
      <c r="T10">
        <f t="shared" si="1"/>
        <v>7588378.9999999925</v>
      </c>
      <c r="U10">
        <f t="shared" si="2"/>
        <v>7588378.9999999925</v>
      </c>
      <c r="V10">
        <v>925327</v>
      </c>
      <c r="W10" s="188">
        <f t="shared" si="3"/>
        <v>8.2007538956498545E-3</v>
      </c>
      <c r="Y10" s="188"/>
      <c r="AB10" s="188"/>
    </row>
    <row r="11" spans="1:28" x14ac:dyDescent="0.25">
      <c r="A11" t="s">
        <v>521</v>
      </c>
      <c r="B11" t="s">
        <v>285</v>
      </c>
      <c r="C11">
        <f t="shared" si="4"/>
        <v>21081</v>
      </c>
      <c r="D11">
        <v>13163</v>
      </c>
      <c r="E11">
        <v>7918</v>
      </c>
      <c r="F11">
        <v>2347</v>
      </c>
      <c r="G11">
        <v>5027</v>
      </c>
      <c r="H11">
        <v>17</v>
      </c>
      <c r="I11">
        <v>480</v>
      </c>
      <c r="J11">
        <v>11620</v>
      </c>
      <c r="K11">
        <v>12016</v>
      </c>
      <c r="L11">
        <v>1180</v>
      </c>
      <c r="M11">
        <v>1009</v>
      </c>
      <c r="N11">
        <v>6027</v>
      </c>
      <c r="O11">
        <v>435</v>
      </c>
      <c r="P11" s="128">
        <v>15188</v>
      </c>
      <c r="Q11" s="128">
        <v>12894</v>
      </c>
      <c r="R11" s="128">
        <v>2294</v>
      </c>
      <c r="S11" s="128">
        <f t="shared" si="0"/>
        <v>32394146</v>
      </c>
      <c r="T11">
        <f t="shared" si="1"/>
        <v>11313146</v>
      </c>
      <c r="U11">
        <f t="shared" si="2"/>
        <v>11313146</v>
      </c>
      <c r="V11">
        <v>326568</v>
      </c>
      <c r="W11" s="188">
        <f t="shared" si="3"/>
        <v>3.4642543053820335E-2</v>
      </c>
      <c r="Y11" s="188"/>
      <c r="AB11" s="188"/>
    </row>
    <row r="12" spans="1:28" x14ac:dyDescent="0.25">
      <c r="A12" t="s">
        <v>517</v>
      </c>
      <c r="B12" t="s">
        <v>343</v>
      </c>
      <c r="C12">
        <f t="shared" si="4"/>
        <v>2409</v>
      </c>
      <c r="D12">
        <v>1632</v>
      </c>
      <c r="E12">
        <v>777</v>
      </c>
      <c r="F12">
        <v>0</v>
      </c>
      <c r="G12">
        <v>0</v>
      </c>
      <c r="H12">
        <v>241</v>
      </c>
      <c r="I12">
        <v>0</v>
      </c>
      <c r="J12">
        <v>1410</v>
      </c>
      <c r="K12">
        <v>848</v>
      </c>
      <c r="L12">
        <v>128</v>
      </c>
      <c r="M12">
        <v>18</v>
      </c>
      <c r="N12">
        <v>546</v>
      </c>
      <c r="O12">
        <v>478</v>
      </c>
      <c r="P12" s="128">
        <v>1662</v>
      </c>
      <c r="Q12" s="128">
        <v>1359</v>
      </c>
      <c r="R12" s="128">
        <v>303</v>
      </c>
      <c r="S12" s="128">
        <f t="shared" si="0"/>
        <v>3641145</v>
      </c>
      <c r="T12">
        <f t="shared" si="1"/>
        <v>1232145</v>
      </c>
      <c r="U12">
        <f t="shared" si="2"/>
        <v>1232145</v>
      </c>
      <c r="V12">
        <v>25150</v>
      </c>
      <c r="W12" s="188">
        <f t="shared" si="3"/>
        <v>4.8991848906560637E-2</v>
      </c>
      <c r="Y12" s="188"/>
      <c r="AB12" s="188"/>
    </row>
    <row r="13" spans="1:28" x14ac:dyDescent="0.25">
      <c r="A13" t="s">
        <v>517</v>
      </c>
      <c r="B13" t="s">
        <v>598</v>
      </c>
      <c r="C13">
        <f t="shared" si="4"/>
        <v>9396</v>
      </c>
      <c r="D13">
        <v>6361</v>
      </c>
      <c r="E13">
        <v>3035</v>
      </c>
      <c r="F13">
        <v>0</v>
      </c>
      <c r="G13">
        <v>0</v>
      </c>
      <c r="H13">
        <v>221</v>
      </c>
      <c r="I13">
        <v>83</v>
      </c>
      <c r="J13">
        <v>5725</v>
      </c>
      <c r="K13">
        <v>5672</v>
      </c>
      <c r="L13">
        <v>522</v>
      </c>
      <c r="M13">
        <v>1088</v>
      </c>
      <c r="N13">
        <v>2051</v>
      </c>
      <c r="O13">
        <v>375</v>
      </c>
      <c r="P13" s="128">
        <v>7100</v>
      </c>
      <c r="Q13" s="128">
        <v>6033</v>
      </c>
      <c r="R13" s="128">
        <v>1068</v>
      </c>
      <c r="S13" s="128">
        <f t="shared" si="0"/>
        <v>15137156.999999998</v>
      </c>
      <c r="T13">
        <f t="shared" si="1"/>
        <v>5741156.9999999981</v>
      </c>
      <c r="U13">
        <f t="shared" si="2"/>
        <v>5741156.9999999981</v>
      </c>
      <c r="V13">
        <v>136053</v>
      </c>
      <c r="W13" s="188">
        <f t="shared" si="3"/>
        <v>4.2197944918524383E-2</v>
      </c>
      <c r="Y13" s="188"/>
      <c r="AB13" s="188"/>
    </row>
    <row r="14" spans="1:28" x14ac:dyDescent="0.25">
      <c r="A14" t="s">
        <v>520</v>
      </c>
      <c r="B14" t="s">
        <v>128</v>
      </c>
      <c r="C14">
        <f t="shared" si="4"/>
        <v>1568</v>
      </c>
      <c r="D14">
        <v>1007</v>
      </c>
      <c r="E14">
        <v>561</v>
      </c>
      <c r="F14">
        <v>0</v>
      </c>
      <c r="G14">
        <v>0</v>
      </c>
      <c r="H14">
        <v>3883</v>
      </c>
      <c r="I14">
        <v>0</v>
      </c>
      <c r="J14">
        <v>824</v>
      </c>
      <c r="K14">
        <v>1221</v>
      </c>
      <c r="L14">
        <v>49</v>
      </c>
      <c r="M14">
        <v>64</v>
      </c>
      <c r="N14">
        <v>329</v>
      </c>
      <c r="O14">
        <v>64</v>
      </c>
      <c r="P14" s="128">
        <v>1148</v>
      </c>
      <c r="Q14" s="128">
        <v>980</v>
      </c>
      <c r="R14" s="128">
        <v>168</v>
      </c>
      <c r="S14" s="128">
        <f t="shared" si="0"/>
        <v>2438548</v>
      </c>
      <c r="T14">
        <f t="shared" si="1"/>
        <v>870548</v>
      </c>
      <c r="U14">
        <f t="shared" si="2"/>
        <v>870548</v>
      </c>
      <c r="V14">
        <v>29429</v>
      </c>
      <c r="W14" s="188">
        <f t="shared" si="3"/>
        <v>2.958129735974719E-2</v>
      </c>
      <c r="Y14" s="188"/>
      <c r="AB14" s="188"/>
    </row>
    <row r="15" spans="1:28" x14ac:dyDescent="0.25">
      <c r="A15" t="s">
        <v>524</v>
      </c>
      <c r="B15" t="s">
        <v>214</v>
      </c>
      <c r="C15">
        <f t="shared" si="4"/>
        <v>46900</v>
      </c>
      <c r="D15">
        <v>25949</v>
      </c>
      <c r="E15">
        <v>20951</v>
      </c>
      <c r="F15">
        <v>2361</v>
      </c>
      <c r="G15">
        <v>1486</v>
      </c>
      <c r="H15">
        <v>0</v>
      </c>
      <c r="I15">
        <v>993</v>
      </c>
      <c r="J15">
        <v>13738</v>
      </c>
      <c r="K15">
        <v>16660</v>
      </c>
      <c r="L15">
        <v>1759</v>
      </c>
      <c r="M15">
        <v>3537</v>
      </c>
      <c r="N15">
        <v>6438</v>
      </c>
      <c r="O15">
        <v>922</v>
      </c>
      <c r="P15" s="128">
        <v>24685</v>
      </c>
      <c r="Q15" s="128">
        <v>20996</v>
      </c>
      <c r="R15" s="128">
        <v>3690</v>
      </c>
      <c r="S15" s="128">
        <f t="shared" si="0"/>
        <v>52580727.999999993</v>
      </c>
      <c r="T15">
        <f t="shared" si="1"/>
        <v>5680727.9999999925</v>
      </c>
      <c r="U15">
        <f t="shared" si="2"/>
        <v>5680727.9999999925</v>
      </c>
      <c r="V15">
        <v>612530</v>
      </c>
      <c r="W15" s="188">
        <f t="shared" si="3"/>
        <v>9.2742037124712139E-3</v>
      </c>
      <c r="Y15" s="188"/>
      <c r="AB15" s="188"/>
    </row>
    <row r="16" spans="1:28" x14ac:dyDescent="0.25">
      <c r="A16" t="s">
        <v>518</v>
      </c>
      <c r="B16" t="s">
        <v>240</v>
      </c>
      <c r="C16">
        <f t="shared" si="4"/>
        <v>22634</v>
      </c>
      <c r="D16">
        <v>11850</v>
      </c>
      <c r="E16">
        <v>10784</v>
      </c>
      <c r="F16">
        <v>1998</v>
      </c>
      <c r="G16">
        <v>0</v>
      </c>
      <c r="H16">
        <v>1078</v>
      </c>
      <c r="I16">
        <v>85</v>
      </c>
      <c r="J16">
        <v>9049</v>
      </c>
      <c r="K16">
        <v>9951</v>
      </c>
      <c r="L16">
        <v>1238</v>
      </c>
      <c r="M16">
        <v>4332</v>
      </c>
      <c r="N16">
        <v>3476</v>
      </c>
      <c r="O16">
        <v>2562</v>
      </c>
      <c r="P16" s="128">
        <v>20280</v>
      </c>
      <c r="Q16" s="128">
        <v>17728</v>
      </c>
      <c r="R16" s="128">
        <v>2551</v>
      </c>
      <c r="S16" s="128">
        <f t="shared" si="0"/>
        <v>42303990</v>
      </c>
      <c r="T16">
        <f t="shared" si="1"/>
        <v>19669990</v>
      </c>
      <c r="U16">
        <f t="shared" si="2"/>
        <v>19669990</v>
      </c>
      <c r="V16">
        <v>331945</v>
      </c>
      <c r="W16" s="188">
        <f t="shared" si="3"/>
        <v>5.9256774465649427E-2</v>
      </c>
      <c r="Y16" s="188"/>
      <c r="AB16" s="188"/>
    </row>
    <row r="17" spans="1:28" x14ac:dyDescent="0.25">
      <c r="A17" t="s">
        <v>518</v>
      </c>
      <c r="B17" t="s">
        <v>241</v>
      </c>
      <c r="C17">
        <f t="shared" si="4"/>
        <v>185977</v>
      </c>
      <c r="D17">
        <v>66005</v>
      </c>
      <c r="E17">
        <v>119972</v>
      </c>
      <c r="F17">
        <v>229626</v>
      </c>
      <c r="G17">
        <v>0</v>
      </c>
      <c r="H17">
        <v>57775</v>
      </c>
      <c r="I17">
        <v>413</v>
      </c>
      <c r="J17">
        <v>75705</v>
      </c>
      <c r="K17">
        <v>143687</v>
      </c>
      <c r="L17">
        <v>11588</v>
      </c>
      <c r="M17">
        <v>6126</v>
      </c>
      <c r="N17">
        <v>64876</v>
      </c>
      <c r="O17">
        <v>44339</v>
      </c>
      <c r="P17" s="128">
        <v>225336</v>
      </c>
      <c r="Q17" s="128">
        <v>183436</v>
      </c>
      <c r="R17" s="128">
        <v>41901</v>
      </c>
      <c r="S17" s="128">
        <f t="shared" si="0"/>
        <v>495192014</v>
      </c>
      <c r="T17">
        <f t="shared" si="1"/>
        <v>309215014</v>
      </c>
      <c r="U17">
        <f t="shared" si="2"/>
        <v>309215014</v>
      </c>
      <c r="V17">
        <v>5853924</v>
      </c>
      <c r="W17" s="188">
        <f t="shared" si="3"/>
        <v>5.2821836088066738E-2</v>
      </c>
      <c r="Y17" s="188"/>
      <c r="AB17" s="188"/>
    </row>
    <row r="18" spans="1:28" x14ac:dyDescent="0.25">
      <c r="A18" t="s">
        <v>519</v>
      </c>
      <c r="B18" t="s">
        <v>166</v>
      </c>
      <c r="C18">
        <f t="shared" si="4"/>
        <v>52971</v>
      </c>
      <c r="D18">
        <v>25381</v>
      </c>
      <c r="E18">
        <v>27590</v>
      </c>
      <c r="F18">
        <v>11</v>
      </c>
      <c r="G18">
        <v>7835</v>
      </c>
      <c r="H18">
        <v>1150</v>
      </c>
      <c r="I18">
        <v>756</v>
      </c>
      <c r="J18">
        <v>11942</v>
      </c>
      <c r="K18">
        <v>21089</v>
      </c>
      <c r="L18">
        <v>1567</v>
      </c>
      <c r="M18">
        <v>1569</v>
      </c>
      <c r="N18">
        <v>4140</v>
      </c>
      <c r="O18">
        <v>1601</v>
      </c>
      <c r="P18" s="128">
        <v>23254</v>
      </c>
      <c r="Q18" s="128">
        <v>19084</v>
      </c>
      <c r="R18" s="128">
        <v>4170</v>
      </c>
      <c r="S18" s="128">
        <f t="shared" si="0"/>
        <v>50816672</v>
      </c>
      <c r="T18">
        <f t="shared" si="1"/>
        <v>-2154328</v>
      </c>
      <c r="U18">
        <f t="shared" si="2"/>
        <v>0</v>
      </c>
      <c r="V18">
        <v>624726</v>
      </c>
      <c r="W18" s="188">
        <f t="shared" si="3"/>
        <v>-3.4484365946030738E-3</v>
      </c>
      <c r="Y18" s="188"/>
      <c r="AB18" s="188"/>
    </row>
    <row r="19" spans="1:28" x14ac:dyDescent="0.25">
      <c r="A19" t="s">
        <v>525</v>
      </c>
      <c r="B19" t="s">
        <v>119</v>
      </c>
      <c r="C19">
        <f t="shared" si="4"/>
        <v>3417</v>
      </c>
      <c r="D19">
        <v>2202</v>
      </c>
      <c r="E19">
        <v>1215</v>
      </c>
      <c r="F19">
        <v>0</v>
      </c>
      <c r="G19">
        <v>0</v>
      </c>
      <c r="H19">
        <v>0</v>
      </c>
      <c r="I19">
        <v>81</v>
      </c>
      <c r="J19">
        <v>1382</v>
      </c>
      <c r="K19">
        <v>1499</v>
      </c>
      <c r="L19">
        <v>113</v>
      </c>
      <c r="M19">
        <v>57</v>
      </c>
      <c r="N19">
        <v>642</v>
      </c>
      <c r="O19">
        <v>25</v>
      </c>
      <c r="P19" s="128">
        <v>1080</v>
      </c>
      <c r="Q19" s="128">
        <v>907</v>
      </c>
      <c r="R19" s="128">
        <v>173</v>
      </c>
      <c r="S19" s="128">
        <f>0.1853%*SUM(Q19,R19,R19)*1000000</f>
        <v>2321808.9999999995</v>
      </c>
      <c r="T19">
        <f>SUM(S19,-C19*1000)</f>
        <v>-1095191.0000000005</v>
      </c>
      <c r="U19">
        <f>IF(T19&gt;0,T19,0)</f>
        <v>0</v>
      </c>
      <c r="V19">
        <v>61607</v>
      </c>
      <c r="W19" s="188">
        <f>T19/(V19*1000)</f>
        <v>-1.7777054555488832E-2</v>
      </c>
      <c r="Y19" s="188"/>
      <c r="AB19" s="188"/>
    </row>
    <row r="20" spans="1:28" x14ac:dyDescent="0.25">
      <c r="A20" t="s">
        <v>519</v>
      </c>
      <c r="B20" t="s">
        <v>167</v>
      </c>
      <c r="C20">
        <f t="shared" si="4"/>
        <v>54991</v>
      </c>
      <c r="D20">
        <v>26327</v>
      </c>
      <c r="E20">
        <v>28664</v>
      </c>
      <c r="F20">
        <v>0</v>
      </c>
      <c r="G20">
        <v>0</v>
      </c>
      <c r="H20">
        <v>550</v>
      </c>
      <c r="I20">
        <v>93</v>
      </c>
      <c r="J20">
        <v>16764</v>
      </c>
      <c r="K20">
        <v>16678</v>
      </c>
      <c r="L20">
        <v>1698</v>
      </c>
      <c r="M20">
        <v>0</v>
      </c>
      <c r="N20">
        <v>4036</v>
      </c>
      <c r="O20">
        <v>867</v>
      </c>
      <c r="P20" s="128">
        <v>19811</v>
      </c>
      <c r="Q20" s="128">
        <v>16299</v>
      </c>
      <c r="R20" s="128">
        <v>3512</v>
      </c>
      <c r="S20" s="128">
        <f t="shared" si="0"/>
        <v>43217518.999999993</v>
      </c>
      <c r="T20">
        <f t="shared" si="1"/>
        <v>-11773481.000000007</v>
      </c>
      <c r="U20">
        <f t="shared" si="2"/>
        <v>0</v>
      </c>
      <c r="V20">
        <v>805883</v>
      </c>
      <c r="W20" s="188">
        <f t="shared" si="3"/>
        <v>-1.4609417247913169E-2</v>
      </c>
      <c r="Y20" s="188"/>
      <c r="AB20" s="188"/>
    </row>
    <row r="21" spans="1:28" x14ac:dyDescent="0.25">
      <c r="A21" t="s">
        <v>516</v>
      </c>
      <c r="B21" t="s">
        <v>107</v>
      </c>
      <c r="C21">
        <f t="shared" si="4"/>
        <v>19614</v>
      </c>
      <c r="D21">
        <v>15942</v>
      </c>
      <c r="E21">
        <v>3672</v>
      </c>
      <c r="F21">
        <v>1256</v>
      </c>
      <c r="G21">
        <v>-2</v>
      </c>
      <c r="H21">
        <v>432</v>
      </c>
      <c r="I21">
        <v>0</v>
      </c>
      <c r="J21">
        <v>5143</v>
      </c>
      <c r="K21">
        <v>6152</v>
      </c>
      <c r="L21">
        <v>678</v>
      </c>
      <c r="M21">
        <v>533</v>
      </c>
      <c r="N21">
        <v>1902</v>
      </c>
      <c r="O21">
        <v>194</v>
      </c>
      <c r="P21" s="128">
        <v>7395</v>
      </c>
      <c r="Q21" s="128">
        <v>6186</v>
      </c>
      <c r="R21" s="128">
        <v>1209</v>
      </c>
      <c r="S21" s="128">
        <f t="shared" si="0"/>
        <v>15943211.999999998</v>
      </c>
      <c r="T21">
        <f t="shared" si="1"/>
        <v>-3670788.0000000019</v>
      </c>
      <c r="U21">
        <f t="shared" si="2"/>
        <v>0</v>
      </c>
      <c r="V21">
        <v>323785</v>
      </c>
      <c r="W21" s="188">
        <f t="shared" si="3"/>
        <v>-1.1337115678613901E-2</v>
      </c>
      <c r="Y21" s="188"/>
      <c r="AB21" s="188"/>
    </row>
    <row r="22" spans="1:28" x14ac:dyDescent="0.25">
      <c r="A22" t="s">
        <v>517</v>
      </c>
      <c r="B22" t="s">
        <v>344</v>
      </c>
      <c r="C22">
        <f t="shared" si="4"/>
        <v>3920</v>
      </c>
      <c r="D22">
        <v>2334</v>
      </c>
      <c r="E22">
        <v>1586</v>
      </c>
      <c r="F22">
        <v>0</v>
      </c>
      <c r="G22">
        <v>0</v>
      </c>
      <c r="H22">
        <v>497</v>
      </c>
      <c r="I22">
        <v>122</v>
      </c>
      <c r="J22">
        <v>1908</v>
      </c>
      <c r="K22">
        <v>891</v>
      </c>
      <c r="L22">
        <v>267</v>
      </c>
      <c r="M22">
        <v>2</v>
      </c>
      <c r="N22">
        <v>774</v>
      </c>
      <c r="O22">
        <v>360</v>
      </c>
      <c r="P22" s="128">
        <v>2564</v>
      </c>
      <c r="Q22" s="128">
        <v>2107</v>
      </c>
      <c r="R22" s="128">
        <v>457</v>
      </c>
      <c r="S22" s="128">
        <f t="shared" si="0"/>
        <v>5597912.9999999991</v>
      </c>
      <c r="T22">
        <f t="shared" si="1"/>
        <v>1677912.9999999991</v>
      </c>
      <c r="U22">
        <f t="shared" si="2"/>
        <v>1677912.9999999991</v>
      </c>
      <c r="V22">
        <v>48160</v>
      </c>
      <c r="W22" s="188">
        <f t="shared" si="3"/>
        <v>3.4840386212624565E-2</v>
      </c>
      <c r="Y22" s="188"/>
      <c r="AB22" s="188"/>
    </row>
    <row r="23" spans="1:28" x14ac:dyDescent="0.25">
      <c r="A23" t="s">
        <v>517</v>
      </c>
      <c r="B23" t="s">
        <v>345</v>
      </c>
      <c r="C23">
        <f t="shared" si="4"/>
        <v>1596</v>
      </c>
      <c r="D23">
        <v>894</v>
      </c>
      <c r="E23">
        <v>702</v>
      </c>
      <c r="F23">
        <v>0</v>
      </c>
      <c r="G23">
        <v>5</v>
      </c>
      <c r="H23">
        <v>361</v>
      </c>
      <c r="I23">
        <v>38</v>
      </c>
      <c r="J23">
        <v>622</v>
      </c>
      <c r="K23">
        <v>691</v>
      </c>
      <c r="L23">
        <v>72</v>
      </c>
      <c r="M23">
        <v>0</v>
      </c>
      <c r="N23">
        <v>254</v>
      </c>
      <c r="O23">
        <v>147</v>
      </c>
      <c r="P23" s="128">
        <v>1139</v>
      </c>
      <c r="Q23" s="128">
        <v>866</v>
      </c>
      <c r="R23" s="128">
        <v>273</v>
      </c>
      <c r="S23" s="128">
        <f t="shared" si="0"/>
        <v>2616435.9999999995</v>
      </c>
      <c r="T23">
        <f t="shared" si="1"/>
        <v>1020435.9999999995</v>
      </c>
      <c r="U23">
        <f t="shared" si="2"/>
        <v>1020435.9999999995</v>
      </c>
      <c r="V23">
        <v>19571</v>
      </c>
      <c r="W23" s="188">
        <f t="shared" si="3"/>
        <v>5.2140207449798144E-2</v>
      </c>
      <c r="Y23" s="188"/>
      <c r="AB23" s="188"/>
    </row>
    <row r="24" spans="1:28" x14ac:dyDescent="0.25">
      <c r="A24" t="s">
        <v>524</v>
      </c>
      <c r="B24" t="s">
        <v>215</v>
      </c>
      <c r="C24">
        <f t="shared" si="4"/>
        <v>5985</v>
      </c>
      <c r="D24">
        <v>4283</v>
      </c>
      <c r="E24">
        <v>1702</v>
      </c>
      <c r="F24">
        <v>0</v>
      </c>
      <c r="G24">
        <v>7</v>
      </c>
      <c r="H24">
        <v>117</v>
      </c>
      <c r="I24">
        <v>97</v>
      </c>
      <c r="J24">
        <v>2912</v>
      </c>
      <c r="K24">
        <v>3174</v>
      </c>
      <c r="L24">
        <v>296</v>
      </c>
      <c r="M24">
        <v>412</v>
      </c>
      <c r="N24">
        <v>389</v>
      </c>
      <c r="O24">
        <v>62</v>
      </c>
      <c r="P24" s="128">
        <v>4505</v>
      </c>
      <c r="Q24" s="128">
        <v>4053</v>
      </c>
      <c r="R24" s="128">
        <v>452</v>
      </c>
      <c r="S24" s="128">
        <f t="shared" si="0"/>
        <v>9185320.9999999981</v>
      </c>
      <c r="T24">
        <f t="shared" si="1"/>
        <v>3200320.9999999981</v>
      </c>
      <c r="U24">
        <f t="shared" si="2"/>
        <v>3200320.9999999981</v>
      </c>
      <c r="V24">
        <v>64699</v>
      </c>
      <c r="W24" s="188">
        <f t="shared" si="3"/>
        <v>4.9464767616191875E-2</v>
      </c>
      <c r="Y24" s="188"/>
      <c r="AB24" s="188"/>
    </row>
    <row r="25" spans="1:28" x14ac:dyDescent="0.25">
      <c r="A25" t="s">
        <v>521</v>
      </c>
      <c r="B25" t="s">
        <v>286</v>
      </c>
      <c r="C25">
        <f t="shared" si="4"/>
        <v>9691</v>
      </c>
      <c r="D25">
        <v>6596</v>
      </c>
      <c r="E25">
        <v>3095</v>
      </c>
      <c r="F25">
        <v>0</v>
      </c>
      <c r="G25">
        <v>0</v>
      </c>
      <c r="H25">
        <v>62</v>
      </c>
      <c r="I25">
        <v>282</v>
      </c>
      <c r="J25">
        <v>3122</v>
      </c>
      <c r="K25">
        <v>4994</v>
      </c>
      <c r="L25">
        <v>483</v>
      </c>
      <c r="M25">
        <v>531</v>
      </c>
      <c r="N25">
        <v>1881</v>
      </c>
      <c r="O25">
        <v>213</v>
      </c>
      <c r="P25" s="128">
        <v>7262</v>
      </c>
      <c r="Q25" s="128">
        <v>6121</v>
      </c>
      <c r="R25" s="128">
        <v>1141</v>
      </c>
      <c r="S25" s="128">
        <f t="shared" si="0"/>
        <v>15570758.999999998</v>
      </c>
      <c r="T25">
        <f t="shared" si="1"/>
        <v>5879758.9999999981</v>
      </c>
      <c r="U25">
        <f t="shared" si="2"/>
        <v>5879758.9999999981</v>
      </c>
      <c r="V25">
        <v>147730</v>
      </c>
      <c r="W25" s="188">
        <f t="shared" si="3"/>
        <v>3.9800710756109102E-2</v>
      </c>
      <c r="Y25" s="188"/>
      <c r="AB25" s="188"/>
    </row>
    <row r="26" spans="1:28" x14ac:dyDescent="0.25">
      <c r="A26" t="s">
        <v>519</v>
      </c>
      <c r="B26" t="s">
        <v>168</v>
      </c>
      <c r="C26">
        <f t="shared" si="4"/>
        <v>13382</v>
      </c>
      <c r="D26">
        <v>7061</v>
      </c>
      <c r="E26">
        <v>6321</v>
      </c>
      <c r="F26">
        <v>57</v>
      </c>
      <c r="G26">
        <v>2969</v>
      </c>
      <c r="H26">
        <v>1497</v>
      </c>
      <c r="I26">
        <v>320</v>
      </c>
      <c r="J26">
        <v>4740</v>
      </c>
      <c r="K26">
        <v>6175</v>
      </c>
      <c r="L26">
        <v>630</v>
      </c>
      <c r="M26">
        <v>691</v>
      </c>
      <c r="N26">
        <v>2245</v>
      </c>
      <c r="O26">
        <v>962</v>
      </c>
      <c r="P26" s="128">
        <v>9218</v>
      </c>
      <c r="Q26" s="128">
        <v>7111</v>
      </c>
      <c r="R26" s="128">
        <v>2107</v>
      </c>
      <c r="S26" s="128">
        <f t="shared" si="0"/>
        <v>20985225</v>
      </c>
      <c r="T26">
        <f t="shared" si="1"/>
        <v>7603225</v>
      </c>
      <c r="U26">
        <f t="shared" si="2"/>
        <v>7603225</v>
      </c>
      <c r="V26">
        <v>169965</v>
      </c>
      <c r="W26" s="188">
        <f t="shared" si="3"/>
        <v>4.4734062895301976E-2</v>
      </c>
      <c r="Y26" s="188"/>
      <c r="AB26" s="188"/>
    </row>
    <row r="27" spans="1:28" x14ac:dyDescent="0.25">
      <c r="A27" t="s">
        <v>526</v>
      </c>
      <c r="B27" t="s">
        <v>400</v>
      </c>
      <c r="C27">
        <f t="shared" si="4"/>
        <v>4797</v>
      </c>
      <c r="D27">
        <v>2583</v>
      </c>
      <c r="E27">
        <v>2214</v>
      </c>
      <c r="F27">
        <v>0</v>
      </c>
      <c r="G27">
        <v>0</v>
      </c>
      <c r="H27">
        <v>2</v>
      </c>
      <c r="I27">
        <v>147</v>
      </c>
      <c r="J27">
        <v>1936</v>
      </c>
      <c r="K27">
        <v>1815</v>
      </c>
      <c r="L27">
        <v>180</v>
      </c>
      <c r="M27">
        <v>50</v>
      </c>
      <c r="N27">
        <v>605</v>
      </c>
      <c r="O27">
        <v>30</v>
      </c>
      <c r="P27" s="128">
        <v>2063</v>
      </c>
      <c r="Q27" s="128">
        <v>1664</v>
      </c>
      <c r="R27" s="128">
        <v>399</v>
      </c>
      <c r="S27" s="128">
        <f t="shared" si="0"/>
        <v>4562086</v>
      </c>
      <c r="T27">
        <f t="shared" si="1"/>
        <v>-234914</v>
      </c>
      <c r="U27">
        <f t="shared" si="2"/>
        <v>0</v>
      </c>
      <c r="V27">
        <v>45702</v>
      </c>
      <c r="W27" s="188">
        <f t="shared" si="3"/>
        <v>-5.1401251586363833E-3</v>
      </c>
      <c r="Y27" s="188"/>
      <c r="AB27" s="188"/>
    </row>
    <row r="28" spans="1:28" x14ac:dyDescent="0.25">
      <c r="A28" t="s">
        <v>526</v>
      </c>
      <c r="B28" t="s">
        <v>599</v>
      </c>
      <c r="C28">
        <f t="shared" si="4"/>
        <v>7356</v>
      </c>
      <c r="D28">
        <v>5552</v>
      </c>
      <c r="E28">
        <v>1804</v>
      </c>
      <c r="F28">
        <v>0</v>
      </c>
      <c r="G28">
        <v>0</v>
      </c>
      <c r="H28">
        <v>136</v>
      </c>
      <c r="I28">
        <v>0</v>
      </c>
      <c r="J28">
        <v>4852</v>
      </c>
      <c r="K28">
        <v>4068</v>
      </c>
      <c r="L28">
        <v>372</v>
      </c>
      <c r="M28">
        <v>98</v>
      </c>
      <c r="N28">
        <v>553</v>
      </c>
      <c r="O28">
        <v>127</v>
      </c>
      <c r="P28" s="128">
        <v>4157</v>
      </c>
      <c r="Q28" s="128">
        <v>3740</v>
      </c>
      <c r="R28" s="128">
        <v>417</v>
      </c>
      <c r="S28" s="128">
        <f t="shared" si="0"/>
        <v>8475622</v>
      </c>
      <c r="T28">
        <f t="shared" si="1"/>
        <v>1119622</v>
      </c>
      <c r="U28">
        <f t="shared" si="2"/>
        <v>1119622</v>
      </c>
      <c r="V28">
        <v>95486</v>
      </c>
      <c r="W28" s="188">
        <f t="shared" si="3"/>
        <v>1.172550949877469E-2</v>
      </c>
      <c r="Y28" s="188"/>
      <c r="AB28" s="188"/>
    </row>
    <row r="29" spans="1:28" x14ac:dyDescent="0.25">
      <c r="A29" t="s">
        <v>518</v>
      </c>
      <c r="B29" t="s">
        <v>242</v>
      </c>
      <c r="C29">
        <f t="shared" si="4"/>
        <v>2504</v>
      </c>
      <c r="D29">
        <v>1814</v>
      </c>
      <c r="E29">
        <v>690</v>
      </c>
      <c r="F29">
        <v>0</v>
      </c>
      <c r="G29">
        <v>0</v>
      </c>
      <c r="H29">
        <v>50</v>
      </c>
      <c r="I29">
        <v>9</v>
      </c>
      <c r="J29">
        <v>811</v>
      </c>
      <c r="K29">
        <v>1278</v>
      </c>
      <c r="L29">
        <v>109</v>
      </c>
      <c r="M29">
        <v>0</v>
      </c>
      <c r="N29">
        <v>1405</v>
      </c>
      <c r="O29">
        <v>324</v>
      </c>
      <c r="P29" s="128">
        <v>1809</v>
      </c>
      <c r="Q29" s="128">
        <v>1529</v>
      </c>
      <c r="R29" s="128">
        <v>279</v>
      </c>
      <c r="S29" s="128">
        <f t="shared" si="0"/>
        <v>3867210.9999999995</v>
      </c>
      <c r="T29">
        <f t="shared" si="1"/>
        <v>1363210.9999999995</v>
      </c>
      <c r="U29">
        <f t="shared" si="2"/>
        <v>1363210.9999999995</v>
      </c>
      <c r="V29">
        <v>23730</v>
      </c>
      <c r="W29" s="188">
        <f t="shared" si="3"/>
        <v>5.7446734091866819E-2</v>
      </c>
      <c r="Y29" s="188"/>
      <c r="AB29" s="188"/>
    </row>
    <row r="30" spans="1:28" x14ac:dyDescent="0.25">
      <c r="A30" t="s">
        <v>526</v>
      </c>
      <c r="B30" t="s">
        <v>401</v>
      </c>
      <c r="C30">
        <f t="shared" si="4"/>
        <v>3305</v>
      </c>
      <c r="D30">
        <v>2337</v>
      </c>
      <c r="E30">
        <v>968</v>
      </c>
      <c r="F30">
        <v>0</v>
      </c>
      <c r="G30">
        <v>0</v>
      </c>
      <c r="H30">
        <v>479</v>
      </c>
      <c r="I30">
        <v>72</v>
      </c>
      <c r="J30">
        <v>529</v>
      </c>
      <c r="K30">
        <v>838</v>
      </c>
      <c r="L30">
        <v>127</v>
      </c>
      <c r="M30">
        <v>88</v>
      </c>
      <c r="N30">
        <v>191</v>
      </c>
      <c r="O30">
        <v>86</v>
      </c>
      <c r="P30" s="128">
        <v>1517</v>
      </c>
      <c r="Q30" s="128">
        <v>1338</v>
      </c>
      <c r="R30" s="128">
        <v>178</v>
      </c>
      <c r="S30" s="128">
        <f t="shared" si="0"/>
        <v>3138981.9999999995</v>
      </c>
      <c r="T30">
        <f t="shared" si="1"/>
        <v>-166018.00000000047</v>
      </c>
      <c r="U30">
        <f t="shared" si="2"/>
        <v>0</v>
      </c>
      <c r="V30">
        <v>35290</v>
      </c>
      <c r="W30" s="188">
        <f t="shared" si="3"/>
        <v>-4.7043921790875737E-3</v>
      </c>
      <c r="Y30" s="188"/>
      <c r="AB30" s="188"/>
    </row>
    <row r="31" spans="1:28" x14ac:dyDescent="0.25">
      <c r="A31" t="s">
        <v>519</v>
      </c>
      <c r="B31" t="s">
        <v>527</v>
      </c>
      <c r="C31">
        <f t="shared" si="4"/>
        <v>5475</v>
      </c>
      <c r="D31">
        <v>3688</v>
      </c>
      <c r="E31">
        <v>1787</v>
      </c>
      <c r="F31">
        <v>0</v>
      </c>
      <c r="G31">
        <v>0</v>
      </c>
      <c r="H31">
        <v>348</v>
      </c>
      <c r="I31">
        <v>47</v>
      </c>
      <c r="J31">
        <v>3904</v>
      </c>
      <c r="K31">
        <v>3625</v>
      </c>
      <c r="L31">
        <v>364</v>
      </c>
      <c r="M31">
        <v>50</v>
      </c>
      <c r="N31">
        <v>559</v>
      </c>
      <c r="O31">
        <v>187</v>
      </c>
      <c r="P31" s="128">
        <v>4583</v>
      </c>
      <c r="Q31" s="128">
        <v>4031</v>
      </c>
      <c r="R31" s="128">
        <v>551</v>
      </c>
      <c r="S31" s="128">
        <f t="shared" si="0"/>
        <v>9511448.9999999981</v>
      </c>
      <c r="T31">
        <f t="shared" si="1"/>
        <v>4036448.9999999981</v>
      </c>
      <c r="U31">
        <f t="shared" si="2"/>
        <v>4036448.9999999981</v>
      </c>
      <c r="V31">
        <v>96353</v>
      </c>
      <c r="W31" s="188">
        <f t="shared" si="3"/>
        <v>4.1892302263551714E-2</v>
      </c>
      <c r="Y31" s="188"/>
      <c r="AB31" s="188"/>
    </row>
    <row r="32" spans="1:28" x14ac:dyDescent="0.25">
      <c r="A32" t="s">
        <v>517</v>
      </c>
      <c r="B32" t="s">
        <v>346</v>
      </c>
      <c r="C32">
        <f t="shared" si="4"/>
        <v>3725</v>
      </c>
      <c r="D32">
        <v>2390</v>
      </c>
      <c r="E32">
        <v>1335</v>
      </c>
      <c r="F32">
        <v>0</v>
      </c>
      <c r="G32">
        <v>0</v>
      </c>
      <c r="H32">
        <v>794</v>
      </c>
      <c r="I32">
        <v>27</v>
      </c>
      <c r="J32">
        <v>1846</v>
      </c>
      <c r="K32">
        <v>1451</v>
      </c>
      <c r="L32">
        <v>375</v>
      </c>
      <c r="M32">
        <v>17</v>
      </c>
      <c r="N32">
        <v>694</v>
      </c>
      <c r="O32">
        <v>55</v>
      </c>
      <c r="P32" s="128">
        <v>2936</v>
      </c>
      <c r="Q32" s="128">
        <v>2434</v>
      </c>
      <c r="R32" s="128">
        <v>502</v>
      </c>
      <c r="S32" s="128">
        <f t="shared" si="0"/>
        <v>6370614</v>
      </c>
      <c r="T32">
        <f t="shared" si="1"/>
        <v>2645614</v>
      </c>
      <c r="U32">
        <f t="shared" si="2"/>
        <v>2645614</v>
      </c>
      <c r="V32">
        <v>49502</v>
      </c>
      <c r="W32" s="188">
        <f t="shared" si="3"/>
        <v>5.3444588097450611E-2</v>
      </c>
      <c r="Y32" s="188"/>
      <c r="AB32" s="188"/>
    </row>
    <row r="33" spans="1:28" x14ac:dyDescent="0.25">
      <c r="A33" t="s">
        <v>526</v>
      </c>
      <c r="B33" t="s">
        <v>436</v>
      </c>
      <c r="C33">
        <f t="shared" si="4"/>
        <v>2286</v>
      </c>
      <c r="D33">
        <v>1557</v>
      </c>
      <c r="E33">
        <v>729</v>
      </c>
      <c r="F33">
        <v>0</v>
      </c>
      <c r="G33">
        <v>0</v>
      </c>
      <c r="H33">
        <v>473</v>
      </c>
      <c r="I33">
        <v>9</v>
      </c>
      <c r="J33">
        <v>1428</v>
      </c>
      <c r="K33">
        <v>1287</v>
      </c>
      <c r="L33">
        <v>132</v>
      </c>
      <c r="M33">
        <v>9</v>
      </c>
      <c r="N33">
        <v>1</v>
      </c>
      <c r="O33">
        <v>28</v>
      </c>
      <c r="P33" s="128">
        <v>1563</v>
      </c>
      <c r="Q33" s="128">
        <v>1349</v>
      </c>
      <c r="R33" s="128">
        <v>214</v>
      </c>
      <c r="S33" s="128">
        <f t="shared" si="0"/>
        <v>3292780.9999999995</v>
      </c>
      <c r="T33">
        <f t="shared" si="1"/>
        <v>1006780.9999999995</v>
      </c>
      <c r="U33">
        <f t="shared" si="2"/>
        <v>1006780.9999999995</v>
      </c>
      <c r="V33">
        <v>41503</v>
      </c>
      <c r="W33" s="188">
        <f t="shared" si="3"/>
        <v>2.4258029540033241E-2</v>
      </c>
      <c r="Y33" s="188"/>
      <c r="AB33" s="188"/>
    </row>
    <row r="34" spans="1:28" x14ac:dyDescent="0.25">
      <c r="A34" t="s">
        <v>518</v>
      </c>
      <c r="B34" t="s">
        <v>437</v>
      </c>
      <c r="C34">
        <f t="shared" si="4"/>
        <v>8622</v>
      </c>
      <c r="D34">
        <v>6112</v>
      </c>
      <c r="E34">
        <v>2510</v>
      </c>
      <c r="F34">
        <v>3651</v>
      </c>
      <c r="G34">
        <v>2176</v>
      </c>
      <c r="H34">
        <v>2905</v>
      </c>
      <c r="I34">
        <v>0</v>
      </c>
      <c r="J34">
        <v>5089</v>
      </c>
      <c r="K34">
        <v>4746</v>
      </c>
      <c r="L34">
        <v>325</v>
      </c>
      <c r="M34">
        <v>468</v>
      </c>
      <c r="N34">
        <v>1111</v>
      </c>
      <c r="O34">
        <v>60</v>
      </c>
      <c r="P34" s="128">
        <v>7561</v>
      </c>
      <c r="Q34" s="128">
        <v>6812</v>
      </c>
      <c r="R34" s="128">
        <v>750</v>
      </c>
      <c r="S34" s="128">
        <f t="shared" si="0"/>
        <v>15402135.999999998</v>
      </c>
      <c r="T34">
        <f t="shared" si="1"/>
        <v>6780135.9999999981</v>
      </c>
      <c r="U34">
        <f t="shared" si="2"/>
        <v>6780135.9999999981</v>
      </c>
      <c r="V34">
        <v>90690</v>
      </c>
      <c r="W34" s="188">
        <f t="shared" si="3"/>
        <v>7.4761671628624959E-2</v>
      </c>
      <c r="Y34" s="188"/>
      <c r="AB34" s="188"/>
    </row>
    <row r="35" spans="1:28" x14ac:dyDescent="0.25">
      <c r="A35" t="s">
        <v>517</v>
      </c>
      <c r="B35" t="s">
        <v>347</v>
      </c>
      <c r="C35">
        <f t="shared" si="4"/>
        <v>15249</v>
      </c>
      <c r="D35">
        <v>7183</v>
      </c>
      <c r="E35">
        <v>8066</v>
      </c>
      <c r="F35">
        <v>0</v>
      </c>
      <c r="G35">
        <v>88</v>
      </c>
      <c r="H35">
        <v>165</v>
      </c>
      <c r="I35">
        <v>316</v>
      </c>
      <c r="J35">
        <v>12137</v>
      </c>
      <c r="K35">
        <v>0</v>
      </c>
      <c r="L35">
        <v>865</v>
      </c>
      <c r="M35">
        <v>0</v>
      </c>
      <c r="N35">
        <v>0</v>
      </c>
      <c r="O35">
        <v>0</v>
      </c>
      <c r="P35" s="128">
        <v>8857</v>
      </c>
      <c r="Q35" s="128">
        <v>7109</v>
      </c>
      <c r="R35" s="128">
        <v>1748</v>
      </c>
      <c r="S35" s="128">
        <f t="shared" si="0"/>
        <v>19651065</v>
      </c>
      <c r="T35">
        <f t="shared" si="1"/>
        <v>4402065</v>
      </c>
      <c r="U35">
        <f t="shared" si="2"/>
        <v>4402065</v>
      </c>
      <c r="V35">
        <v>360323</v>
      </c>
      <c r="W35" s="188">
        <f t="shared" si="3"/>
        <v>1.2216996972161089E-2</v>
      </c>
      <c r="Y35" s="188"/>
      <c r="AB35" s="188"/>
    </row>
    <row r="36" spans="1:28" x14ac:dyDescent="0.25">
      <c r="A36" t="s">
        <v>519</v>
      </c>
      <c r="B36" t="s">
        <v>169</v>
      </c>
      <c r="C36">
        <f t="shared" si="4"/>
        <v>8743</v>
      </c>
      <c r="D36">
        <v>7506</v>
      </c>
      <c r="E36">
        <v>1237</v>
      </c>
      <c r="F36">
        <v>0</v>
      </c>
      <c r="G36">
        <v>0</v>
      </c>
      <c r="H36">
        <v>345</v>
      </c>
      <c r="I36">
        <v>199</v>
      </c>
      <c r="J36">
        <v>6836</v>
      </c>
      <c r="K36">
        <v>2161</v>
      </c>
      <c r="L36">
        <v>423</v>
      </c>
      <c r="M36">
        <v>264</v>
      </c>
      <c r="N36">
        <v>1145</v>
      </c>
      <c r="O36">
        <v>305</v>
      </c>
      <c r="P36" s="128">
        <v>5702</v>
      </c>
      <c r="Q36" s="128">
        <v>4627</v>
      </c>
      <c r="R36" s="128">
        <v>1075</v>
      </c>
      <c r="S36" s="128">
        <f t="shared" si="0"/>
        <v>12557780.999999998</v>
      </c>
      <c r="T36">
        <f t="shared" si="1"/>
        <v>3814780.9999999981</v>
      </c>
      <c r="U36">
        <f t="shared" si="2"/>
        <v>3814780.9999999981</v>
      </c>
      <c r="V36">
        <v>124255</v>
      </c>
      <c r="W36" s="188">
        <f t="shared" si="3"/>
        <v>3.0701227314796169E-2</v>
      </c>
      <c r="Y36" s="188"/>
      <c r="AB36" s="188"/>
    </row>
    <row r="37" spans="1:28" x14ac:dyDescent="0.25">
      <c r="A37" t="s">
        <v>517</v>
      </c>
      <c r="B37" t="s">
        <v>348</v>
      </c>
      <c r="C37">
        <f t="shared" si="4"/>
        <v>7345</v>
      </c>
      <c r="D37">
        <v>4526</v>
      </c>
      <c r="E37">
        <v>2819</v>
      </c>
      <c r="F37">
        <v>0</v>
      </c>
      <c r="G37">
        <v>0</v>
      </c>
      <c r="H37">
        <v>79</v>
      </c>
      <c r="I37">
        <v>34</v>
      </c>
      <c r="J37">
        <v>2408</v>
      </c>
      <c r="K37">
        <v>2695</v>
      </c>
      <c r="L37">
        <v>319</v>
      </c>
      <c r="M37">
        <v>61</v>
      </c>
      <c r="N37">
        <v>1132</v>
      </c>
      <c r="O37">
        <v>233</v>
      </c>
      <c r="P37" s="128">
        <v>4516</v>
      </c>
      <c r="Q37" s="128">
        <v>3906</v>
      </c>
      <c r="R37" s="128">
        <v>610</v>
      </c>
      <c r="S37" s="128">
        <f t="shared" si="0"/>
        <v>9498477.9999999981</v>
      </c>
      <c r="T37">
        <f t="shared" si="1"/>
        <v>2153477.9999999981</v>
      </c>
      <c r="U37">
        <f t="shared" si="2"/>
        <v>2153477.9999999981</v>
      </c>
      <c r="V37">
        <v>82075</v>
      </c>
      <c r="W37" s="188">
        <f t="shared" si="3"/>
        <v>2.6237928723728276E-2</v>
      </c>
      <c r="Y37" s="188"/>
      <c r="AB37" s="188"/>
    </row>
    <row r="38" spans="1:28" x14ac:dyDescent="0.25">
      <c r="A38" t="s">
        <v>517</v>
      </c>
      <c r="B38" t="s">
        <v>349</v>
      </c>
      <c r="C38">
        <f t="shared" si="4"/>
        <v>5821</v>
      </c>
      <c r="D38">
        <v>3506</v>
      </c>
      <c r="E38">
        <v>2315</v>
      </c>
      <c r="F38">
        <v>0</v>
      </c>
      <c r="G38">
        <v>80</v>
      </c>
      <c r="H38">
        <v>72</v>
      </c>
      <c r="I38">
        <v>53</v>
      </c>
      <c r="J38">
        <v>2407</v>
      </c>
      <c r="K38">
        <v>3374</v>
      </c>
      <c r="L38">
        <v>321</v>
      </c>
      <c r="M38">
        <v>15</v>
      </c>
      <c r="N38">
        <v>1046</v>
      </c>
      <c r="O38">
        <v>194</v>
      </c>
      <c r="P38" s="128">
        <v>4556</v>
      </c>
      <c r="Q38" s="128">
        <v>3852</v>
      </c>
      <c r="R38" s="128">
        <v>704</v>
      </c>
      <c r="S38" s="128">
        <f t="shared" si="0"/>
        <v>9746780</v>
      </c>
      <c r="T38">
        <f t="shared" si="1"/>
        <v>3925780</v>
      </c>
      <c r="U38">
        <f t="shared" si="2"/>
        <v>3925780</v>
      </c>
      <c r="V38">
        <v>81895</v>
      </c>
      <c r="W38" s="188">
        <f t="shared" si="3"/>
        <v>4.7936748275230479E-2</v>
      </c>
      <c r="Y38" s="188"/>
      <c r="AB38" s="188"/>
    </row>
    <row r="39" spans="1:28" x14ac:dyDescent="0.25">
      <c r="A39" t="s">
        <v>519</v>
      </c>
      <c r="B39" t="s">
        <v>170</v>
      </c>
      <c r="C39">
        <f t="shared" si="4"/>
        <v>7612</v>
      </c>
      <c r="D39">
        <v>4557</v>
      </c>
      <c r="E39">
        <v>3055</v>
      </c>
      <c r="F39">
        <v>0</v>
      </c>
      <c r="G39">
        <v>426</v>
      </c>
      <c r="H39">
        <v>157</v>
      </c>
      <c r="I39">
        <v>289</v>
      </c>
      <c r="J39">
        <v>2521</v>
      </c>
      <c r="K39">
        <v>2442</v>
      </c>
      <c r="L39">
        <v>251</v>
      </c>
      <c r="M39">
        <v>39</v>
      </c>
      <c r="N39">
        <v>761</v>
      </c>
      <c r="O39">
        <v>493</v>
      </c>
      <c r="P39" s="128">
        <v>3386</v>
      </c>
      <c r="Q39" s="128">
        <v>3026</v>
      </c>
      <c r="R39" s="128">
        <v>360</v>
      </c>
      <c r="S39" s="128">
        <f t="shared" si="0"/>
        <v>6941337.9999999991</v>
      </c>
      <c r="T39">
        <f t="shared" si="1"/>
        <v>-670662.00000000093</v>
      </c>
      <c r="U39">
        <f t="shared" si="2"/>
        <v>0</v>
      </c>
      <c r="V39">
        <v>69468</v>
      </c>
      <c r="W39" s="188">
        <f t="shared" si="3"/>
        <v>-9.6542580756607491E-3</v>
      </c>
      <c r="Y39" s="188"/>
      <c r="AB39" s="188"/>
    </row>
    <row r="40" spans="1:28" x14ac:dyDescent="0.25">
      <c r="A40" t="s">
        <v>518</v>
      </c>
      <c r="B40" t="s">
        <v>243</v>
      </c>
      <c r="C40">
        <f t="shared" si="4"/>
        <v>9268</v>
      </c>
      <c r="D40">
        <v>4692</v>
      </c>
      <c r="E40">
        <v>4576</v>
      </c>
      <c r="F40">
        <v>865</v>
      </c>
      <c r="G40">
        <v>1761</v>
      </c>
      <c r="H40">
        <v>19</v>
      </c>
      <c r="I40">
        <v>321</v>
      </c>
      <c r="J40">
        <v>4163</v>
      </c>
      <c r="K40">
        <v>4807</v>
      </c>
      <c r="L40">
        <v>467</v>
      </c>
      <c r="M40">
        <v>429</v>
      </c>
      <c r="N40">
        <v>621</v>
      </c>
      <c r="O40">
        <v>767</v>
      </c>
      <c r="P40" s="128">
        <v>5685</v>
      </c>
      <c r="Q40" s="128">
        <v>4660</v>
      </c>
      <c r="R40" s="128">
        <v>1025</v>
      </c>
      <c r="S40" s="128">
        <f t="shared" si="0"/>
        <v>12433630</v>
      </c>
      <c r="T40">
        <f t="shared" si="1"/>
        <v>3165630</v>
      </c>
      <c r="U40">
        <f t="shared" si="2"/>
        <v>3165630</v>
      </c>
      <c r="V40">
        <v>134939</v>
      </c>
      <c r="W40" s="188">
        <f t="shared" si="3"/>
        <v>2.3459711425162479E-2</v>
      </c>
      <c r="Y40" s="188"/>
      <c r="AB40" s="188"/>
    </row>
    <row r="41" spans="1:28" x14ac:dyDescent="0.25">
      <c r="A41" t="s">
        <v>517</v>
      </c>
      <c r="B41" t="s">
        <v>350</v>
      </c>
      <c r="C41">
        <f t="shared" si="4"/>
        <v>4245</v>
      </c>
      <c r="D41">
        <v>2395</v>
      </c>
      <c r="E41">
        <v>1850</v>
      </c>
      <c r="F41">
        <v>0</v>
      </c>
      <c r="G41">
        <v>0</v>
      </c>
      <c r="H41">
        <v>785</v>
      </c>
      <c r="I41">
        <v>80</v>
      </c>
      <c r="J41">
        <v>2014</v>
      </c>
      <c r="K41">
        <v>1237</v>
      </c>
      <c r="L41">
        <v>214</v>
      </c>
      <c r="M41">
        <v>0</v>
      </c>
      <c r="N41">
        <v>1188</v>
      </c>
      <c r="O41">
        <v>94</v>
      </c>
      <c r="P41" s="128">
        <v>3327</v>
      </c>
      <c r="Q41" s="128">
        <v>2668</v>
      </c>
      <c r="R41" s="128">
        <v>660</v>
      </c>
      <c r="S41" s="128">
        <f t="shared" si="0"/>
        <v>7389764</v>
      </c>
      <c r="T41">
        <f t="shared" si="1"/>
        <v>3144764</v>
      </c>
      <c r="U41">
        <f t="shared" si="2"/>
        <v>3144764</v>
      </c>
      <c r="V41">
        <v>59864</v>
      </c>
      <c r="W41" s="188">
        <f t="shared" si="3"/>
        <v>5.2531805425631434E-2</v>
      </c>
      <c r="Y41" s="188"/>
      <c r="AB41" s="188"/>
    </row>
    <row r="42" spans="1:28" x14ac:dyDescent="0.25">
      <c r="A42" t="s">
        <v>518</v>
      </c>
      <c r="B42" t="s">
        <v>244</v>
      </c>
      <c r="C42">
        <f t="shared" si="4"/>
        <v>4247</v>
      </c>
      <c r="D42">
        <v>3588</v>
      </c>
      <c r="E42">
        <v>659</v>
      </c>
      <c r="F42">
        <v>0</v>
      </c>
      <c r="G42">
        <v>710</v>
      </c>
      <c r="H42">
        <v>6</v>
      </c>
      <c r="I42">
        <v>13</v>
      </c>
      <c r="J42">
        <v>1145</v>
      </c>
      <c r="K42">
        <v>1184</v>
      </c>
      <c r="L42">
        <v>158</v>
      </c>
      <c r="M42">
        <v>180</v>
      </c>
      <c r="N42">
        <v>1679</v>
      </c>
      <c r="O42">
        <v>114</v>
      </c>
      <c r="P42" s="128">
        <v>3407</v>
      </c>
      <c r="Q42" s="128">
        <v>3286</v>
      </c>
      <c r="R42" s="128">
        <v>121</v>
      </c>
      <c r="S42" s="128">
        <f t="shared" si="0"/>
        <v>6537383.9999999991</v>
      </c>
      <c r="T42">
        <f t="shared" si="1"/>
        <v>2290383.9999999991</v>
      </c>
      <c r="U42">
        <f t="shared" si="2"/>
        <v>2290383.9999999991</v>
      </c>
      <c r="V42">
        <v>41688</v>
      </c>
      <c r="W42" s="188">
        <f t="shared" si="3"/>
        <v>5.4941086163884066E-2</v>
      </c>
      <c r="Y42" s="188"/>
      <c r="AB42" s="188"/>
    </row>
    <row r="43" spans="1:28" x14ac:dyDescent="0.25">
      <c r="A43" t="s">
        <v>518</v>
      </c>
      <c r="B43" t="s">
        <v>245</v>
      </c>
      <c r="C43">
        <f t="shared" si="4"/>
        <v>9906</v>
      </c>
      <c r="D43">
        <v>8067</v>
      </c>
      <c r="E43">
        <v>1839</v>
      </c>
      <c r="F43">
        <v>1182</v>
      </c>
      <c r="G43">
        <v>782</v>
      </c>
      <c r="H43">
        <v>902</v>
      </c>
      <c r="I43">
        <v>1</v>
      </c>
      <c r="J43">
        <v>2883</v>
      </c>
      <c r="K43">
        <v>3173</v>
      </c>
      <c r="L43">
        <v>287</v>
      </c>
      <c r="M43">
        <v>301</v>
      </c>
      <c r="N43">
        <v>737</v>
      </c>
      <c r="O43">
        <v>53</v>
      </c>
      <c r="P43" s="128">
        <v>7786</v>
      </c>
      <c r="Q43" s="128">
        <v>7446</v>
      </c>
      <c r="R43" s="128">
        <v>340</v>
      </c>
      <c r="S43" s="128">
        <f t="shared" si="0"/>
        <v>15057477.999999998</v>
      </c>
      <c r="T43">
        <f t="shared" si="1"/>
        <v>5151477.9999999981</v>
      </c>
      <c r="U43">
        <f t="shared" si="2"/>
        <v>5151477.9999999981</v>
      </c>
      <c r="V43">
        <v>69909</v>
      </c>
      <c r="W43" s="188">
        <f t="shared" si="3"/>
        <v>7.3688337696147826E-2</v>
      </c>
      <c r="Y43" s="188"/>
      <c r="AB43" s="188"/>
    </row>
    <row r="44" spans="1:28" x14ac:dyDescent="0.25">
      <c r="A44" t="s">
        <v>521</v>
      </c>
      <c r="B44" t="s">
        <v>287</v>
      </c>
      <c r="C44">
        <f t="shared" si="4"/>
        <v>9421</v>
      </c>
      <c r="D44">
        <v>6298</v>
      </c>
      <c r="E44">
        <v>3123</v>
      </c>
      <c r="F44">
        <v>0</v>
      </c>
      <c r="G44">
        <v>929</v>
      </c>
      <c r="H44">
        <v>818</v>
      </c>
      <c r="I44">
        <v>0</v>
      </c>
      <c r="J44">
        <v>4914</v>
      </c>
      <c r="K44">
        <v>4542</v>
      </c>
      <c r="L44">
        <v>372</v>
      </c>
      <c r="M44">
        <v>344</v>
      </c>
      <c r="N44">
        <v>1910</v>
      </c>
      <c r="O44">
        <v>138</v>
      </c>
      <c r="P44" s="128">
        <v>5622</v>
      </c>
      <c r="Q44" s="128">
        <v>4900</v>
      </c>
      <c r="R44" s="128">
        <v>722</v>
      </c>
      <c r="S44" s="128">
        <f t="shared" si="0"/>
        <v>11755431.999999998</v>
      </c>
      <c r="T44">
        <f t="shared" si="1"/>
        <v>2334431.9999999981</v>
      </c>
      <c r="U44">
        <f t="shared" si="2"/>
        <v>2334431.9999999981</v>
      </c>
      <c r="V44">
        <v>89877</v>
      </c>
      <c r="W44" s="188">
        <f t="shared" si="3"/>
        <v>2.5973630628525632E-2</v>
      </c>
      <c r="Y44" s="188"/>
      <c r="AB44" s="188"/>
    </row>
    <row r="45" spans="1:28" x14ac:dyDescent="0.25">
      <c r="A45" t="s">
        <v>517</v>
      </c>
      <c r="B45" t="s">
        <v>351</v>
      </c>
      <c r="C45">
        <f t="shared" si="4"/>
        <v>2729</v>
      </c>
      <c r="D45">
        <v>1765</v>
      </c>
      <c r="E45">
        <v>964</v>
      </c>
      <c r="F45">
        <v>0</v>
      </c>
      <c r="G45">
        <v>0</v>
      </c>
      <c r="H45">
        <v>30</v>
      </c>
      <c r="I45">
        <v>0</v>
      </c>
      <c r="J45">
        <v>1069</v>
      </c>
      <c r="K45">
        <v>796</v>
      </c>
      <c r="L45">
        <v>112</v>
      </c>
      <c r="M45">
        <v>90</v>
      </c>
      <c r="N45">
        <v>338</v>
      </c>
      <c r="O45">
        <v>289</v>
      </c>
      <c r="P45" s="128">
        <v>1478</v>
      </c>
      <c r="Q45" s="128">
        <v>1227</v>
      </c>
      <c r="R45" s="128">
        <v>251</v>
      </c>
      <c r="S45" s="128">
        <f t="shared" si="0"/>
        <v>3203836.9999999995</v>
      </c>
      <c r="T45">
        <f t="shared" si="1"/>
        <v>474836.99999999953</v>
      </c>
      <c r="U45">
        <f t="shared" si="2"/>
        <v>474836.99999999953</v>
      </c>
      <c r="V45">
        <v>33969</v>
      </c>
      <c r="W45" s="188">
        <f t="shared" si="3"/>
        <v>1.3978539256380804E-2</v>
      </c>
      <c r="Y45" s="188"/>
      <c r="AB45" s="188"/>
    </row>
    <row r="46" spans="1:28" x14ac:dyDescent="0.25">
      <c r="A46" t="s">
        <v>516</v>
      </c>
      <c r="B46" t="s">
        <v>108</v>
      </c>
      <c r="C46">
        <f t="shared" si="4"/>
        <v>6332</v>
      </c>
      <c r="D46">
        <v>4921</v>
      </c>
      <c r="E46">
        <v>1411</v>
      </c>
      <c r="F46">
        <v>0</v>
      </c>
      <c r="G46">
        <v>0</v>
      </c>
      <c r="H46">
        <v>1464</v>
      </c>
      <c r="I46">
        <v>45</v>
      </c>
      <c r="J46">
        <v>2962</v>
      </c>
      <c r="K46">
        <v>2434</v>
      </c>
      <c r="L46">
        <v>235</v>
      </c>
      <c r="M46">
        <v>142</v>
      </c>
      <c r="N46">
        <v>506</v>
      </c>
      <c r="O46">
        <v>23</v>
      </c>
      <c r="P46" s="128">
        <v>2750</v>
      </c>
      <c r="Q46" s="128">
        <v>2320</v>
      </c>
      <c r="R46" s="128">
        <v>430</v>
      </c>
      <c r="S46" s="128">
        <f t="shared" si="0"/>
        <v>5892539.9999999991</v>
      </c>
      <c r="T46">
        <f t="shared" si="1"/>
        <v>-439460.00000000093</v>
      </c>
      <c r="U46">
        <f t="shared" si="2"/>
        <v>0</v>
      </c>
      <c r="V46">
        <v>77974</v>
      </c>
      <c r="W46" s="188">
        <f t="shared" si="3"/>
        <v>-5.6359812245107459E-3</v>
      </c>
      <c r="Y46" s="188"/>
      <c r="AB46" s="188"/>
    </row>
    <row r="47" spans="1:28" x14ac:dyDescent="0.25">
      <c r="A47" t="s">
        <v>522</v>
      </c>
      <c r="B47" t="s">
        <v>142</v>
      </c>
      <c r="C47">
        <f t="shared" si="4"/>
        <v>6532</v>
      </c>
      <c r="D47">
        <v>4350</v>
      </c>
      <c r="E47">
        <v>2182</v>
      </c>
      <c r="F47">
        <v>0</v>
      </c>
      <c r="G47">
        <v>0</v>
      </c>
      <c r="H47">
        <v>0</v>
      </c>
      <c r="I47">
        <v>182</v>
      </c>
      <c r="J47">
        <v>1722</v>
      </c>
      <c r="K47">
        <v>1370</v>
      </c>
      <c r="L47">
        <v>226</v>
      </c>
      <c r="M47">
        <v>148</v>
      </c>
      <c r="N47">
        <v>581</v>
      </c>
      <c r="O47">
        <v>131</v>
      </c>
      <c r="P47" s="128">
        <v>2912</v>
      </c>
      <c r="Q47" s="128">
        <v>2563</v>
      </c>
      <c r="R47" s="128">
        <v>349</v>
      </c>
      <c r="S47" s="128">
        <f t="shared" si="0"/>
        <v>6042632.9999999991</v>
      </c>
      <c r="T47">
        <f t="shared" si="1"/>
        <v>-489367.00000000093</v>
      </c>
      <c r="U47">
        <f t="shared" si="2"/>
        <v>0</v>
      </c>
      <c r="V47">
        <v>60324</v>
      </c>
      <c r="W47" s="188">
        <f t="shared" si="3"/>
        <v>-8.1123101916318694E-3</v>
      </c>
      <c r="Y47" s="188"/>
      <c r="AB47" s="188"/>
    </row>
    <row r="48" spans="1:28" x14ac:dyDescent="0.25">
      <c r="A48" t="s">
        <v>528</v>
      </c>
      <c r="B48" t="s">
        <v>330</v>
      </c>
      <c r="C48">
        <f t="shared" si="4"/>
        <v>8189</v>
      </c>
      <c r="D48">
        <v>2869</v>
      </c>
      <c r="E48">
        <v>5320</v>
      </c>
      <c r="F48">
        <v>0</v>
      </c>
      <c r="G48">
        <v>517</v>
      </c>
      <c r="H48">
        <v>28</v>
      </c>
      <c r="I48">
        <v>129</v>
      </c>
      <c r="J48">
        <v>1634</v>
      </c>
      <c r="K48">
        <v>2862</v>
      </c>
      <c r="L48">
        <v>226</v>
      </c>
      <c r="M48">
        <v>349</v>
      </c>
      <c r="N48">
        <v>941</v>
      </c>
      <c r="O48">
        <v>143</v>
      </c>
      <c r="P48" s="128">
        <v>3409</v>
      </c>
      <c r="Q48" s="128">
        <v>2238</v>
      </c>
      <c r="R48" s="128">
        <v>1172</v>
      </c>
      <c r="S48" s="128">
        <f t="shared" si="0"/>
        <v>8490445.9999999981</v>
      </c>
      <c r="T48">
        <f t="shared" si="1"/>
        <v>301445.99999999814</v>
      </c>
      <c r="U48">
        <f t="shared" si="2"/>
        <v>301445.99999999814</v>
      </c>
      <c r="V48">
        <v>61166</v>
      </c>
      <c r="W48" s="188">
        <f t="shared" si="3"/>
        <v>4.9283261942909152E-3</v>
      </c>
      <c r="Y48" s="188"/>
      <c r="AB48" s="188"/>
    </row>
    <row r="49" spans="1:28" x14ac:dyDescent="0.25">
      <c r="A49" t="s">
        <v>517</v>
      </c>
      <c r="B49" t="s">
        <v>352</v>
      </c>
      <c r="C49">
        <f t="shared" si="4"/>
        <v>6376</v>
      </c>
      <c r="D49">
        <v>3673</v>
      </c>
      <c r="E49">
        <v>2703</v>
      </c>
      <c r="F49">
        <v>0</v>
      </c>
      <c r="G49">
        <v>0</v>
      </c>
      <c r="H49">
        <v>140</v>
      </c>
      <c r="I49">
        <v>86</v>
      </c>
      <c r="J49">
        <v>3254</v>
      </c>
      <c r="K49">
        <v>2361</v>
      </c>
      <c r="L49">
        <v>344</v>
      </c>
      <c r="M49">
        <v>52</v>
      </c>
      <c r="N49">
        <v>656</v>
      </c>
      <c r="O49">
        <v>213</v>
      </c>
      <c r="P49" s="128">
        <v>3905</v>
      </c>
      <c r="Q49" s="128">
        <v>3155</v>
      </c>
      <c r="R49" s="128">
        <v>751</v>
      </c>
      <c r="S49" s="128">
        <f t="shared" si="0"/>
        <v>8629420.9999999981</v>
      </c>
      <c r="T49">
        <f t="shared" si="1"/>
        <v>2253420.9999999981</v>
      </c>
      <c r="U49">
        <f t="shared" si="2"/>
        <v>2253420.9999999981</v>
      </c>
      <c r="V49">
        <v>78185</v>
      </c>
      <c r="W49" s="188">
        <f t="shared" si="3"/>
        <v>2.8821653769904688E-2</v>
      </c>
      <c r="Y49" s="188"/>
      <c r="AB49" s="188"/>
    </row>
    <row r="50" spans="1:28" x14ac:dyDescent="0.25">
      <c r="A50" t="s">
        <v>517</v>
      </c>
      <c r="B50" t="s">
        <v>353</v>
      </c>
      <c r="C50">
        <f t="shared" si="4"/>
        <v>7301</v>
      </c>
      <c r="D50">
        <v>4392</v>
      </c>
      <c r="E50">
        <v>2909</v>
      </c>
      <c r="F50">
        <v>164</v>
      </c>
      <c r="G50">
        <v>1</v>
      </c>
      <c r="H50">
        <v>24</v>
      </c>
      <c r="I50">
        <v>41</v>
      </c>
      <c r="J50">
        <v>3065</v>
      </c>
      <c r="K50">
        <v>2944</v>
      </c>
      <c r="L50">
        <v>281</v>
      </c>
      <c r="M50">
        <v>233</v>
      </c>
      <c r="N50">
        <v>666</v>
      </c>
      <c r="O50">
        <v>99</v>
      </c>
      <c r="P50" s="128">
        <v>4336</v>
      </c>
      <c r="Q50" s="128">
        <v>3666</v>
      </c>
      <c r="R50" s="128">
        <v>670</v>
      </c>
      <c r="S50" s="128">
        <f>0.1853%*SUM(Q50,R50,R50)*1000000</f>
        <v>9276117.9999999981</v>
      </c>
      <c r="T50">
        <f>SUM(S50,-C50*1000)</f>
        <v>1975117.9999999981</v>
      </c>
      <c r="U50">
        <f>IF(T50&gt;0,T50,0)</f>
        <v>1975117.9999999981</v>
      </c>
      <c r="V50">
        <v>110239</v>
      </c>
      <c r="W50" s="188">
        <f>T50/(V50*1000)</f>
        <v>1.791669010059959E-2</v>
      </c>
      <c r="Y50" s="188"/>
      <c r="AB50" s="188"/>
    </row>
    <row r="51" spans="1:28" x14ac:dyDescent="0.25">
      <c r="A51" t="s">
        <v>517</v>
      </c>
      <c r="B51" t="s">
        <v>354</v>
      </c>
      <c r="C51">
        <f t="shared" si="4"/>
        <v>36294</v>
      </c>
      <c r="D51">
        <v>19390</v>
      </c>
      <c r="E51">
        <v>16904</v>
      </c>
      <c r="F51">
        <v>6278</v>
      </c>
      <c r="G51">
        <v>784</v>
      </c>
      <c r="H51">
        <v>280</v>
      </c>
      <c r="I51">
        <v>1031</v>
      </c>
      <c r="J51">
        <v>20088</v>
      </c>
      <c r="K51">
        <v>22425</v>
      </c>
      <c r="L51">
        <v>2328</v>
      </c>
      <c r="M51">
        <v>0</v>
      </c>
      <c r="N51">
        <v>6530</v>
      </c>
      <c r="O51">
        <v>4569</v>
      </c>
      <c r="P51" s="128">
        <v>29479</v>
      </c>
      <c r="Q51" s="128">
        <v>24804</v>
      </c>
      <c r="R51" s="128">
        <v>4675</v>
      </c>
      <c r="S51" s="128">
        <f t="shared" si="0"/>
        <v>63287361.999999993</v>
      </c>
      <c r="T51">
        <f t="shared" si="1"/>
        <v>26993361.999999993</v>
      </c>
      <c r="U51">
        <f t="shared" si="2"/>
        <v>26993361.999999993</v>
      </c>
      <c r="V51">
        <v>730897</v>
      </c>
      <c r="W51" s="188">
        <f t="shared" si="3"/>
        <v>3.6931827603615817E-2</v>
      </c>
      <c r="Y51" s="188"/>
      <c r="AB51" s="188"/>
    </row>
    <row r="52" spans="1:28" x14ac:dyDescent="0.25">
      <c r="A52" t="s">
        <v>521</v>
      </c>
      <c r="B52" t="s">
        <v>288</v>
      </c>
      <c r="C52">
        <f t="shared" si="4"/>
        <v>3182</v>
      </c>
      <c r="D52">
        <v>2402</v>
      </c>
      <c r="E52">
        <v>780</v>
      </c>
      <c r="F52">
        <v>0</v>
      </c>
      <c r="G52">
        <v>26</v>
      </c>
      <c r="H52">
        <v>240</v>
      </c>
      <c r="I52">
        <v>196</v>
      </c>
      <c r="J52">
        <v>1918</v>
      </c>
      <c r="K52">
        <v>1330</v>
      </c>
      <c r="L52">
        <v>221</v>
      </c>
      <c r="M52">
        <v>70</v>
      </c>
      <c r="N52">
        <v>446</v>
      </c>
      <c r="O52">
        <v>48</v>
      </c>
      <c r="P52" s="128">
        <v>2439</v>
      </c>
      <c r="Q52" s="128">
        <v>2064</v>
      </c>
      <c r="R52" s="128">
        <v>374</v>
      </c>
      <c r="S52" s="128">
        <f t="shared" si="0"/>
        <v>5210635.9999999991</v>
      </c>
      <c r="T52">
        <f t="shared" si="1"/>
        <v>2028635.9999999991</v>
      </c>
      <c r="U52">
        <f t="shared" si="2"/>
        <v>2028635.9999999991</v>
      </c>
      <c r="V52">
        <v>70561</v>
      </c>
      <c r="W52" s="188">
        <f t="shared" si="3"/>
        <v>2.8750102747976916E-2</v>
      </c>
      <c r="Y52" s="188"/>
      <c r="AB52" s="188"/>
    </row>
    <row r="53" spans="1:28" x14ac:dyDescent="0.25">
      <c r="A53" t="s">
        <v>519</v>
      </c>
      <c r="B53" t="s">
        <v>171</v>
      </c>
      <c r="C53">
        <f t="shared" si="4"/>
        <v>7696</v>
      </c>
      <c r="D53">
        <v>5108</v>
      </c>
      <c r="E53">
        <v>2588</v>
      </c>
      <c r="F53">
        <v>0</v>
      </c>
      <c r="G53">
        <v>0</v>
      </c>
      <c r="H53">
        <v>0</v>
      </c>
      <c r="I53">
        <v>457</v>
      </c>
      <c r="J53">
        <v>4592</v>
      </c>
      <c r="K53">
        <v>2629</v>
      </c>
      <c r="L53">
        <v>385</v>
      </c>
      <c r="M53">
        <v>136</v>
      </c>
      <c r="N53">
        <v>832</v>
      </c>
      <c r="O53">
        <v>225</v>
      </c>
      <c r="P53" s="128">
        <v>5212</v>
      </c>
      <c r="Q53" s="128">
        <v>4411</v>
      </c>
      <c r="R53" s="128">
        <v>802</v>
      </c>
      <c r="S53" s="128">
        <f t="shared" si="0"/>
        <v>11145795</v>
      </c>
      <c r="T53">
        <f t="shared" si="1"/>
        <v>3449795</v>
      </c>
      <c r="U53">
        <f t="shared" si="2"/>
        <v>3449795</v>
      </c>
      <c r="V53">
        <v>88094</v>
      </c>
      <c r="W53" s="188">
        <f t="shared" si="3"/>
        <v>3.9160385497309692E-2</v>
      </c>
      <c r="Y53" s="188"/>
      <c r="AB53" s="188"/>
    </row>
    <row r="54" spans="1:28" x14ac:dyDescent="0.25">
      <c r="A54" t="s">
        <v>519</v>
      </c>
      <c r="B54" t="s">
        <v>172</v>
      </c>
      <c r="C54">
        <f t="shared" si="4"/>
        <v>5067</v>
      </c>
      <c r="D54">
        <v>3384</v>
      </c>
      <c r="E54">
        <v>1683</v>
      </c>
      <c r="F54">
        <v>0</v>
      </c>
      <c r="G54">
        <v>0</v>
      </c>
      <c r="H54">
        <v>819</v>
      </c>
      <c r="I54">
        <v>43</v>
      </c>
      <c r="J54">
        <v>2731</v>
      </c>
      <c r="K54">
        <v>1446</v>
      </c>
      <c r="L54">
        <v>206</v>
      </c>
      <c r="M54">
        <v>114</v>
      </c>
      <c r="N54">
        <v>771</v>
      </c>
      <c r="O54">
        <v>136</v>
      </c>
      <c r="P54" s="128">
        <v>2835</v>
      </c>
      <c r="Q54" s="128">
        <v>2469</v>
      </c>
      <c r="R54" s="128">
        <v>366</v>
      </c>
      <c r="S54" s="128">
        <f t="shared" si="0"/>
        <v>5931452.9999999991</v>
      </c>
      <c r="T54">
        <f t="shared" si="1"/>
        <v>864452.99999999907</v>
      </c>
      <c r="U54">
        <f t="shared" si="2"/>
        <v>864452.99999999907</v>
      </c>
      <c r="V54">
        <v>53288</v>
      </c>
      <c r="W54" s="188">
        <f t="shared" si="3"/>
        <v>1.6222282690286725E-2</v>
      </c>
      <c r="Y54" s="188"/>
      <c r="AB54" s="188"/>
    </row>
    <row r="55" spans="1:28" x14ac:dyDescent="0.25">
      <c r="A55" t="s">
        <v>526</v>
      </c>
      <c r="B55" t="s">
        <v>402</v>
      </c>
      <c r="C55">
        <f t="shared" si="4"/>
        <v>6048</v>
      </c>
      <c r="D55">
        <v>4355</v>
      </c>
      <c r="E55">
        <v>1693</v>
      </c>
      <c r="F55">
        <v>0</v>
      </c>
      <c r="G55">
        <v>17</v>
      </c>
      <c r="H55">
        <v>205</v>
      </c>
      <c r="I55">
        <v>334</v>
      </c>
      <c r="J55">
        <v>3553</v>
      </c>
      <c r="K55">
        <v>3236</v>
      </c>
      <c r="L55">
        <v>266</v>
      </c>
      <c r="M55">
        <v>116</v>
      </c>
      <c r="N55">
        <v>774</v>
      </c>
      <c r="O55">
        <v>62</v>
      </c>
      <c r="P55" s="128">
        <v>2712</v>
      </c>
      <c r="Q55" s="128">
        <v>2331</v>
      </c>
      <c r="R55" s="128">
        <v>380</v>
      </c>
      <c r="S55" s="128">
        <f t="shared" si="0"/>
        <v>5727622.9999999991</v>
      </c>
      <c r="T55">
        <f t="shared" si="1"/>
        <v>-320377.00000000093</v>
      </c>
      <c r="U55">
        <f t="shared" si="2"/>
        <v>0</v>
      </c>
      <c r="V55">
        <v>103671</v>
      </c>
      <c r="W55" s="188">
        <f t="shared" si="3"/>
        <v>-3.0903241986669459E-3</v>
      </c>
      <c r="Y55" s="188"/>
      <c r="AB55" s="188"/>
    </row>
    <row r="56" spans="1:28" x14ac:dyDescent="0.25">
      <c r="A56" t="s">
        <v>524</v>
      </c>
      <c r="B56" t="s">
        <v>216</v>
      </c>
      <c r="C56">
        <f t="shared" si="4"/>
        <v>5235</v>
      </c>
      <c r="D56">
        <v>3461</v>
      </c>
      <c r="E56">
        <v>1774</v>
      </c>
      <c r="F56">
        <v>0</v>
      </c>
      <c r="G56">
        <v>0</v>
      </c>
      <c r="H56">
        <v>122</v>
      </c>
      <c r="I56">
        <v>72</v>
      </c>
      <c r="J56">
        <v>1431</v>
      </c>
      <c r="K56">
        <v>1475</v>
      </c>
      <c r="L56">
        <v>163</v>
      </c>
      <c r="M56">
        <v>0</v>
      </c>
      <c r="N56">
        <v>1271</v>
      </c>
      <c r="O56">
        <v>56</v>
      </c>
      <c r="P56" s="128">
        <v>2746</v>
      </c>
      <c r="Q56" s="128">
        <v>2403</v>
      </c>
      <c r="R56" s="128">
        <v>343</v>
      </c>
      <c r="S56" s="128">
        <f t="shared" si="0"/>
        <v>5723916.9999999991</v>
      </c>
      <c r="T56">
        <f t="shared" si="1"/>
        <v>488916.99999999907</v>
      </c>
      <c r="U56">
        <f t="shared" si="2"/>
        <v>488916.99999999907</v>
      </c>
      <c r="V56">
        <v>34056</v>
      </c>
      <c r="W56" s="188">
        <f t="shared" si="3"/>
        <v>1.4356266149870773E-2</v>
      </c>
      <c r="Y56" s="188"/>
      <c r="AB56" s="188"/>
    </row>
    <row r="57" spans="1:28" x14ac:dyDescent="0.25">
      <c r="A57" t="s">
        <v>524</v>
      </c>
      <c r="B57" t="s">
        <v>217</v>
      </c>
      <c r="C57">
        <f t="shared" si="4"/>
        <v>4198</v>
      </c>
      <c r="D57">
        <v>2423</v>
      </c>
      <c r="E57">
        <v>1775</v>
      </c>
      <c r="F57">
        <v>0</v>
      </c>
      <c r="G57">
        <v>852</v>
      </c>
      <c r="H57">
        <v>7</v>
      </c>
      <c r="I57">
        <v>22</v>
      </c>
      <c r="J57">
        <v>1548</v>
      </c>
      <c r="K57">
        <v>1523</v>
      </c>
      <c r="L57">
        <v>232</v>
      </c>
      <c r="M57">
        <v>499</v>
      </c>
      <c r="N57">
        <v>656</v>
      </c>
      <c r="O57">
        <v>248</v>
      </c>
      <c r="P57" s="128">
        <v>3200</v>
      </c>
      <c r="Q57" s="128">
        <v>2622</v>
      </c>
      <c r="R57" s="128">
        <v>577</v>
      </c>
      <c r="S57" s="128">
        <f t="shared" si="0"/>
        <v>6996928</v>
      </c>
      <c r="T57">
        <f t="shared" si="1"/>
        <v>2798928</v>
      </c>
      <c r="U57">
        <f t="shared" si="2"/>
        <v>2798928</v>
      </c>
      <c r="V57">
        <v>59965</v>
      </c>
      <c r="W57" s="188">
        <f t="shared" si="3"/>
        <v>4.6676027682814973E-2</v>
      </c>
      <c r="Y57" s="188"/>
      <c r="AB57" s="188"/>
    </row>
    <row r="58" spans="1:28" x14ac:dyDescent="0.25">
      <c r="A58" t="s">
        <v>519</v>
      </c>
      <c r="B58" t="s">
        <v>173</v>
      </c>
      <c r="C58">
        <f t="shared" si="4"/>
        <v>6885</v>
      </c>
      <c r="D58">
        <v>4785</v>
      </c>
      <c r="E58">
        <v>2100</v>
      </c>
      <c r="F58">
        <v>0</v>
      </c>
      <c r="G58">
        <v>1343</v>
      </c>
      <c r="H58">
        <v>249</v>
      </c>
      <c r="I58">
        <v>199</v>
      </c>
      <c r="J58">
        <v>2814</v>
      </c>
      <c r="K58">
        <v>0</v>
      </c>
      <c r="L58">
        <v>279</v>
      </c>
      <c r="M58">
        <v>176</v>
      </c>
      <c r="N58">
        <v>901</v>
      </c>
      <c r="O58">
        <v>68</v>
      </c>
      <c r="P58" s="128">
        <v>3892</v>
      </c>
      <c r="Q58" s="128">
        <v>3400</v>
      </c>
      <c r="R58" s="128">
        <v>493</v>
      </c>
      <c r="S58" s="128">
        <f t="shared" si="0"/>
        <v>8127257.9999999991</v>
      </c>
      <c r="T58">
        <f t="shared" si="1"/>
        <v>1242257.9999999991</v>
      </c>
      <c r="U58">
        <f t="shared" si="2"/>
        <v>1242257.9999999991</v>
      </c>
      <c r="V58">
        <v>65728</v>
      </c>
      <c r="W58" s="188">
        <f t="shared" si="3"/>
        <v>1.8899981742940591E-2</v>
      </c>
      <c r="Y58" s="188"/>
      <c r="AB58" s="188"/>
    </row>
    <row r="59" spans="1:28" x14ac:dyDescent="0.25">
      <c r="A59" t="s">
        <v>521</v>
      </c>
      <c r="B59" t="s">
        <v>289</v>
      </c>
      <c r="C59">
        <f t="shared" si="4"/>
        <v>12271</v>
      </c>
      <c r="D59">
        <v>7140</v>
      </c>
      <c r="E59">
        <v>5131</v>
      </c>
      <c r="F59">
        <v>0</v>
      </c>
      <c r="G59">
        <v>0</v>
      </c>
      <c r="H59">
        <v>35</v>
      </c>
      <c r="I59">
        <v>306</v>
      </c>
      <c r="J59">
        <v>3999</v>
      </c>
      <c r="K59">
        <v>7539</v>
      </c>
      <c r="L59">
        <v>748</v>
      </c>
      <c r="M59">
        <v>0</v>
      </c>
      <c r="N59">
        <v>1405</v>
      </c>
      <c r="O59">
        <v>392</v>
      </c>
      <c r="P59" s="128">
        <v>8197</v>
      </c>
      <c r="Q59" s="128">
        <v>7127</v>
      </c>
      <c r="R59" s="128">
        <v>1071</v>
      </c>
      <c r="S59" s="128">
        <f t="shared" si="0"/>
        <v>17175456.999999996</v>
      </c>
      <c r="T59">
        <f t="shared" si="1"/>
        <v>4904456.9999999963</v>
      </c>
      <c r="U59">
        <f t="shared" si="2"/>
        <v>4904456.9999999963</v>
      </c>
      <c r="V59">
        <v>304075</v>
      </c>
      <c r="W59" s="188">
        <f t="shared" si="3"/>
        <v>1.6129103017347681E-2</v>
      </c>
      <c r="Y59" s="188"/>
      <c r="AB59" s="188"/>
    </row>
    <row r="60" spans="1:28" x14ac:dyDescent="0.25">
      <c r="A60" t="s">
        <v>518</v>
      </c>
      <c r="B60" t="s">
        <v>246</v>
      </c>
      <c r="C60">
        <f t="shared" si="4"/>
        <v>6690</v>
      </c>
      <c r="D60">
        <v>4794</v>
      </c>
      <c r="E60">
        <v>1896</v>
      </c>
      <c r="F60">
        <v>0</v>
      </c>
      <c r="G60">
        <v>1114</v>
      </c>
      <c r="H60">
        <v>842</v>
      </c>
      <c r="I60">
        <v>69</v>
      </c>
      <c r="J60">
        <v>3376</v>
      </c>
      <c r="K60">
        <v>3981</v>
      </c>
      <c r="L60">
        <v>416</v>
      </c>
      <c r="M60">
        <v>220</v>
      </c>
      <c r="N60">
        <v>1230</v>
      </c>
      <c r="O60">
        <v>27</v>
      </c>
      <c r="P60" s="128">
        <v>5944</v>
      </c>
      <c r="Q60" s="128">
        <v>5458</v>
      </c>
      <c r="R60" s="128">
        <v>486</v>
      </c>
      <c r="S60" s="128">
        <f t="shared" si="0"/>
        <v>11914789.999999998</v>
      </c>
      <c r="T60">
        <f t="shared" si="1"/>
        <v>5224789.9999999981</v>
      </c>
      <c r="U60">
        <f t="shared" si="2"/>
        <v>5224789.9999999981</v>
      </c>
      <c r="V60">
        <v>100437</v>
      </c>
      <c r="W60" s="188">
        <f t="shared" si="3"/>
        <v>5.2020570108625291E-2</v>
      </c>
      <c r="Y60" s="188"/>
      <c r="AB60" s="188"/>
    </row>
    <row r="61" spans="1:28" x14ac:dyDescent="0.25">
      <c r="A61" t="s">
        <v>516</v>
      </c>
      <c r="B61" t="s">
        <v>109</v>
      </c>
      <c r="C61">
        <f t="shared" si="4"/>
        <v>8497</v>
      </c>
      <c r="D61">
        <v>5766</v>
      </c>
      <c r="E61">
        <v>2731</v>
      </c>
      <c r="F61">
        <v>0</v>
      </c>
      <c r="G61">
        <v>0</v>
      </c>
      <c r="H61">
        <v>1349</v>
      </c>
      <c r="I61">
        <v>230</v>
      </c>
      <c r="J61">
        <v>3428</v>
      </c>
      <c r="K61">
        <v>4120</v>
      </c>
      <c r="L61">
        <v>335</v>
      </c>
      <c r="M61">
        <v>478</v>
      </c>
      <c r="N61">
        <v>1349</v>
      </c>
      <c r="O61">
        <v>194</v>
      </c>
      <c r="P61" s="128">
        <v>4070</v>
      </c>
      <c r="Q61" s="128">
        <v>3193</v>
      </c>
      <c r="R61" s="128">
        <v>877</v>
      </c>
      <c r="S61" s="128">
        <f t="shared" si="0"/>
        <v>9166791</v>
      </c>
      <c r="T61">
        <f t="shared" si="1"/>
        <v>669791</v>
      </c>
      <c r="U61">
        <f t="shared" si="2"/>
        <v>669791</v>
      </c>
      <c r="V61">
        <v>115446</v>
      </c>
      <c r="W61" s="188">
        <f t="shared" si="3"/>
        <v>5.8017687923358104E-3</v>
      </c>
      <c r="Y61" s="188"/>
      <c r="AB61" s="188"/>
    </row>
    <row r="62" spans="1:28" x14ac:dyDescent="0.25">
      <c r="A62" t="s">
        <v>517</v>
      </c>
      <c r="B62" t="s">
        <v>355</v>
      </c>
      <c r="C62">
        <f t="shared" si="4"/>
        <v>5254</v>
      </c>
      <c r="D62">
        <v>4362</v>
      </c>
      <c r="E62">
        <v>892</v>
      </c>
      <c r="F62">
        <v>0</v>
      </c>
      <c r="G62">
        <v>2</v>
      </c>
      <c r="H62">
        <v>242</v>
      </c>
      <c r="I62">
        <v>27</v>
      </c>
      <c r="J62">
        <v>2095</v>
      </c>
      <c r="K62">
        <v>1993</v>
      </c>
      <c r="L62">
        <v>190</v>
      </c>
      <c r="M62">
        <v>60</v>
      </c>
      <c r="N62">
        <v>801</v>
      </c>
      <c r="O62">
        <v>320</v>
      </c>
      <c r="P62" s="128">
        <v>2954</v>
      </c>
      <c r="Q62" s="128">
        <v>2419</v>
      </c>
      <c r="R62" s="128">
        <v>534</v>
      </c>
      <c r="S62" s="128">
        <f t="shared" si="0"/>
        <v>6461410.9999999991</v>
      </c>
      <c r="T62">
        <f t="shared" si="1"/>
        <v>1207410.9999999991</v>
      </c>
      <c r="U62">
        <f t="shared" si="2"/>
        <v>1207410.9999999991</v>
      </c>
      <c r="V62">
        <v>69539</v>
      </c>
      <c r="W62" s="188">
        <f t="shared" si="3"/>
        <v>1.736307683458202E-2</v>
      </c>
      <c r="Y62" s="188"/>
      <c r="AB62" s="188"/>
    </row>
    <row r="63" spans="1:28" x14ac:dyDescent="0.25">
      <c r="A63" t="s">
        <v>517</v>
      </c>
      <c r="B63" t="s">
        <v>356</v>
      </c>
      <c r="C63">
        <f t="shared" si="4"/>
        <v>7446</v>
      </c>
      <c r="D63">
        <v>6063</v>
      </c>
      <c r="E63">
        <v>1383</v>
      </c>
      <c r="F63">
        <v>25</v>
      </c>
      <c r="G63">
        <v>0</v>
      </c>
      <c r="H63">
        <v>157</v>
      </c>
      <c r="I63">
        <v>73</v>
      </c>
      <c r="J63">
        <v>2100</v>
      </c>
      <c r="K63">
        <v>11</v>
      </c>
      <c r="L63">
        <v>284</v>
      </c>
      <c r="M63">
        <v>111</v>
      </c>
      <c r="N63">
        <v>1151</v>
      </c>
      <c r="O63">
        <v>256</v>
      </c>
      <c r="P63" s="128">
        <v>3244</v>
      </c>
      <c r="Q63" s="128">
        <v>2609</v>
      </c>
      <c r="R63" s="128">
        <v>635</v>
      </c>
      <c r="S63" s="128">
        <f t="shared" si="0"/>
        <v>7187786.9999999991</v>
      </c>
      <c r="T63">
        <f t="shared" si="1"/>
        <v>-258213.00000000093</v>
      </c>
      <c r="U63">
        <f t="shared" si="2"/>
        <v>0</v>
      </c>
      <c r="V63">
        <v>104063</v>
      </c>
      <c r="W63" s="188">
        <f t="shared" si="3"/>
        <v>-2.4813142038957259E-3</v>
      </c>
      <c r="Y63" s="188"/>
      <c r="AB63" s="188"/>
    </row>
    <row r="64" spans="1:28" x14ac:dyDescent="0.25">
      <c r="A64" t="s">
        <v>519</v>
      </c>
      <c r="B64" t="s">
        <v>174</v>
      </c>
      <c r="C64">
        <f t="shared" si="4"/>
        <v>6394</v>
      </c>
      <c r="D64">
        <v>3716</v>
      </c>
      <c r="E64">
        <v>2678</v>
      </c>
      <c r="F64">
        <v>348</v>
      </c>
      <c r="G64">
        <v>2019</v>
      </c>
      <c r="H64">
        <v>18</v>
      </c>
      <c r="I64">
        <v>95</v>
      </c>
      <c r="J64">
        <v>3366</v>
      </c>
      <c r="K64">
        <v>2689</v>
      </c>
      <c r="L64">
        <v>250</v>
      </c>
      <c r="M64">
        <v>0</v>
      </c>
      <c r="N64">
        <v>786</v>
      </c>
      <c r="O64">
        <v>188</v>
      </c>
      <c r="P64" s="128">
        <v>3516</v>
      </c>
      <c r="Q64" s="128">
        <v>2983</v>
      </c>
      <c r="R64" s="128">
        <v>532</v>
      </c>
      <c r="S64" s="128">
        <f t="shared" si="0"/>
        <v>7499090.9999999991</v>
      </c>
      <c r="T64">
        <f t="shared" si="1"/>
        <v>1105090.9999999991</v>
      </c>
      <c r="U64">
        <f t="shared" si="2"/>
        <v>1105090.9999999991</v>
      </c>
      <c r="V64">
        <v>80062</v>
      </c>
      <c r="W64" s="188">
        <f t="shared" si="3"/>
        <v>1.3802940221328459E-2</v>
      </c>
      <c r="Y64" s="188"/>
      <c r="AB64" s="188"/>
    </row>
    <row r="65" spans="1:28" x14ac:dyDescent="0.25">
      <c r="A65" t="s">
        <v>522</v>
      </c>
      <c r="B65" t="s">
        <v>143</v>
      </c>
      <c r="C65">
        <f t="shared" si="4"/>
        <v>6079</v>
      </c>
      <c r="D65">
        <v>3917</v>
      </c>
      <c r="E65">
        <v>2162</v>
      </c>
      <c r="F65">
        <v>0</v>
      </c>
      <c r="G65">
        <v>20</v>
      </c>
      <c r="H65">
        <v>134</v>
      </c>
      <c r="I65">
        <v>132</v>
      </c>
      <c r="J65">
        <v>1444</v>
      </c>
      <c r="K65">
        <v>2535</v>
      </c>
      <c r="L65">
        <v>304</v>
      </c>
      <c r="M65">
        <v>286</v>
      </c>
      <c r="N65">
        <v>1009</v>
      </c>
      <c r="O65">
        <v>412</v>
      </c>
      <c r="P65" s="128">
        <v>4200</v>
      </c>
      <c r="Q65" s="128">
        <v>3550</v>
      </c>
      <c r="R65" s="128">
        <v>650</v>
      </c>
      <c r="S65" s="128">
        <f t="shared" si="0"/>
        <v>8987050</v>
      </c>
      <c r="T65">
        <f t="shared" si="1"/>
        <v>2908050</v>
      </c>
      <c r="U65">
        <f t="shared" si="2"/>
        <v>2908050</v>
      </c>
      <c r="V65">
        <v>69900</v>
      </c>
      <c r="W65" s="188">
        <f t="shared" si="3"/>
        <v>4.1603004291845491E-2</v>
      </c>
      <c r="Y65" s="188"/>
      <c r="AB65" s="188"/>
    </row>
    <row r="66" spans="1:28" x14ac:dyDescent="0.25">
      <c r="A66" t="s">
        <v>520</v>
      </c>
      <c r="B66" t="s">
        <v>129</v>
      </c>
      <c r="C66">
        <f t="shared" si="4"/>
        <v>3871</v>
      </c>
      <c r="D66">
        <v>2870</v>
      </c>
      <c r="E66">
        <v>1001</v>
      </c>
      <c r="F66">
        <v>0</v>
      </c>
      <c r="G66">
        <v>0</v>
      </c>
      <c r="H66">
        <v>0</v>
      </c>
      <c r="I66">
        <v>0</v>
      </c>
      <c r="J66">
        <v>1641</v>
      </c>
      <c r="K66">
        <v>1871</v>
      </c>
      <c r="L66">
        <v>178</v>
      </c>
      <c r="M66">
        <v>0</v>
      </c>
      <c r="N66">
        <v>364</v>
      </c>
      <c r="O66">
        <v>66</v>
      </c>
      <c r="P66" s="128">
        <v>1745</v>
      </c>
      <c r="Q66" s="128">
        <v>1494</v>
      </c>
      <c r="R66" s="128">
        <v>251</v>
      </c>
      <c r="S66" s="128">
        <f t="shared" ref="S66:S129" si="5">0.1853%*SUM(Q66,R66,R66)*1000000</f>
        <v>3698587.9999999995</v>
      </c>
      <c r="T66">
        <f t="shared" ref="T66:T129" si="6">SUM(S66,-C66*1000)</f>
        <v>-172412.00000000047</v>
      </c>
      <c r="U66">
        <f t="shared" ref="U66:U129" si="7">IF(T66&gt;0,T66,0)</f>
        <v>0</v>
      </c>
      <c r="V66">
        <v>60369</v>
      </c>
      <c r="W66" s="188">
        <f t="shared" ref="W66:W129" si="8">T66/(V66*1000)</f>
        <v>-2.8559691232255043E-3</v>
      </c>
      <c r="Y66" s="188"/>
      <c r="AB66" s="188"/>
    </row>
    <row r="67" spans="1:28" x14ac:dyDescent="0.25">
      <c r="A67" t="s">
        <v>524</v>
      </c>
      <c r="B67" t="s">
        <v>218</v>
      </c>
      <c r="C67">
        <f t="shared" ref="C67:C130" si="9">SUM(D67,E67)</f>
        <v>11821</v>
      </c>
      <c r="D67">
        <v>8280</v>
      </c>
      <c r="E67">
        <v>3541</v>
      </c>
      <c r="F67">
        <v>0</v>
      </c>
      <c r="G67">
        <v>80</v>
      </c>
      <c r="H67">
        <v>138</v>
      </c>
      <c r="I67">
        <v>377</v>
      </c>
      <c r="J67">
        <v>5129</v>
      </c>
      <c r="K67">
        <v>4111</v>
      </c>
      <c r="L67">
        <v>448</v>
      </c>
      <c r="M67">
        <v>389</v>
      </c>
      <c r="N67">
        <v>912</v>
      </c>
      <c r="O67">
        <v>161</v>
      </c>
      <c r="P67" s="128">
        <v>8788</v>
      </c>
      <c r="Q67" s="128">
        <v>8028</v>
      </c>
      <c r="R67" s="128">
        <v>760</v>
      </c>
      <c r="S67" s="128">
        <f t="shared" si="5"/>
        <v>17692444</v>
      </c>
      <c r="T67">
        <f t="shared" si="6"/>
        <v>5871444</v>
      </c>
      <c r="U67">
        <f t="shared" si="7"/>
        <v>5871444</v>
      </c>
      <c r="V67">
        <v>112517</v>
      </c>
      <c r="W67" s="188">
        <f t="shared" si="8"/>
        <v>5.2182727943333007E-2</v>
      </c>
      <c r="Y67" s="188"/>
      <c r="AB67" s="188"/>
    </row>
    <row r="68" spans="1:28" x14ac:dyDescent="0.25">
      <c r="A68" t="s">
        <v>520</v>
      </c>
      <c r="B68" t="s">
        <v>529</v>
      </c>
      <c r="C68">
        <f t="shared" si="9"/>
        <v>10938</v>
      </c>
      <c r="D68">
        <v>9348</v>
      </c>
      <c r="E68">
        <v>1590</v>
      </c>
      <c r="F68">
        <v>0</v>
      </c>
      <c r="G68">
        <v>0</v>
      </c>
      <c r="H68">
        <v>2214</v>
      </c>
      <c r="I68">
        <v>67</v>
      </c>
      <c r="J68">
        <v>5011</v>
      </c>
      <c r="K68">
        <v>5521</v>
      </c>
      <c r="L68">
        <v>518</v>
      </c>
      <c r="M68">
        <v>369</v>
      </c>
      <c r="N68">
        <v>1289</v>
      </c>
      <c r="O68">
        <v>447</v>
      </c>
      <c r="P68" s="128">
        <v>6684</v>
      </c>
      <c r="Q68" s="128">
        <v>5655</v>
      </c>
      <c r="R68" s="128">
        <v>1029</v>
      </c>
      <c r="S68" s="128">
        <f t="shared" si="5"/>
        <v>14292188.999999998</v>
      </c>
      <c r="T68">
        <f t="shared" si="6"/>
        <v>3354188.9999999981</v>
      </c>
      <c r="U68">
        <f t="shared" si="7"/>
        <v>3354188.9999999981</v>
      </c>
      <c r="V68">
        <v>143043</v>
      </c>
      <c r="W68" s="188">
        <f t="shared" si="8"/>
        <v>2.3448816090266549E-2</v>
      </c>
      <c r="Y68" s="188"/>
      <c r="AB68" s="188"/>
    </row>
    <row r="69" spans="1:28" x14ac:dyDescent="0.25">
      <c r="A69" t="s">
        <v>524</v>
      </c>
      <c r="B69" t="s">
        <v>219</v>
      </c>
      <c r="C69">
        <f t="shared" si="9"/>
        <v>7809</v>
      </c>
      <c r="D69">
        <v>5760</v>
      </c>
      <c r="E69">
        <v>2049</v>
      </c>
      <c r="F69">
        <v>35</v>
      </c>
      <c r="G69">
        <v>2261</v>
      </c>
      <c r="H69">
        <v>460</v>
      </c>
      <c r="I69">
        <v>351</v>
      </c>
      <c r="J69">
        <v>4938</v>
      </c>
      <c r="K69">
        <v>4648</v>
      </c>
      <c r="L69">
        <v>470</v>
      </c>
      <c r="M69">
        <v>80</v>
      </c>
      <c r="N69">
        <v>2454</v>
      </c>
      <c r="O69">
        <v>227</v>
      </c>
      <c r="P69" s="128">
        <v>8097</v>
      </c>
      <c r="Q69" s="128">
        <v>7118</v>
      </c>
      <c r="R69" s="128">
        <v>979</v>
      </c>
      <c r="S69" s="128">
        <f t="shared" si="5"/>
        <v>16817828</v>
      </c>
      <c r="T69">
        <f t="shared" si="6"/>
        <v>9008828</v>
      </c>
      <c r="U69">
        <f t="shared" si="7"/>
        <v>9008828</v>
      </c>
      <c r="V69">
        <v>122399</v>
      </c>
      <c r="W69" s="188">
        <f t="shared" si="8"/>
        <v>7.3602137272363338E-2</v>
      </c>
      <c r="Y69" s="188"/>
      <c r="AB69" s="188"/>
    </row>
    <row r="70" spans="1:28" x14ac:dyDescent="0.25">
      <c r="A70" t="s">
        <v>516</v>
      </c>
      <c r="B70" t="s">
        <v>117</v>
      </c>
      <c r="C70">
        <f t="shared" si="9"/>
        <v>4314</v>
      </c>
      <c r="D70">
        <v>3021</v>
      </c>
      <c r="E70">
        <v>1293</v>
      </c>
      <c r="F70">
        <v>0</v>
      </c>
      <c r="G70">
        <v>0</v>
      </c>
      <c r="H70">
        <v>423</v>
      </c>
      <c r="I70">
        <v>0</v>
      </c>
      <c r="J70">
        <v>2612</v>
      </c>
      <c r="K70">
        <v>2236</v>
      </c>
      <c r="L70">
        <v>266</v>
      </c>
      <c r="M70">
        <v>202</v>
      </c>
      <c r="N70">
        <v>525</v>
      </c>
      <c r="O70">
        <v>86</v>
      </c>
      <c r="P70" s="128">
        <v>3220</v>
      </c>
      <c r="Q70" s="128">
        <v>2752</v>
      </c>
      <c r="R70" s="128">
        <v>468</v>
      </c>
      <c r="S70" s="128">
        <f t="shared" si="5"/>
        <v>6833863.9999999991</v>
      </c>
      <c r="T70">
        <f t="shared" si="6"/>
        <v>2519863.9999999991</v>
      </c>
      <c r="U70">
        <f t="shared" si="7"/>
        <v>2519863.9999999991</v>
      </c>
      <c r="V70">
        <v>56236</v>
      </c>
      <c r="W70" s="188">
        <f t="shared" si="8"/>
        <v>4.4808734618393894E-2</v>
      </c>
      <c r="Y70" s="188"/>
      <c r="AB70" s="188"/>
    </row>
    <row r="71" spans="1:28" x14ac:dyDescent="0.25">
      <c r="A71" t="s">
        <v>521</v>
      </c>
      <c r="B71" t="s">
        <v>290</v>
      </c>
      <c r="C71">
        <f t="shared" si="9"/>
        <v>28020</v>
      </c>
      <c r="D71">
        <v>14652</v>
      </c>
      <c r="E71">
        <v>13368</v>
      </c>
      <c r="F71">
        <v>2844</v>
      </c>
      <c r="G71">
        <v>2160</v>
      </c>
      <c r="H71">
        <v>343</v>
      </c>
      <c r="I71">
        <v>-230</v>
      </c>
      <c r="J71">
        <v>12574</v>
      </c>
      <c r="K71">
        <v>15118</v>
      </c>
      <c r="L71">
        <v>1176</v>
      </c>
      <c r="M71">
        <v>0</v>
      </c>
      <c r="N71">
        <v>4390</v>
      </c>
      <c r="O71">
        <v>2525</v>
      </c>
      <c r="P71" s="128">
        <v>15034</v>
      </c>
      <c r="Q71" s="128">
        <v>12291</v>
      </c>
      <c r="R71" s="128">
        <v>2743</v>
      </c>
      <c r="S71" s="128">
        <f t="shared" si="5"/>
        <v>32940780.999999993</v>
      </c>
      <c r="T71">
        <f t="shared" si="6"/>
        <v>4920780.9999999925</v>
      </c>
      <c r="U71">
        <f t="shared" si="7"/>
        <v>4920780.9999999925</v>
      </c>
      <c r="V71">
        <v>533372</v>
      </c>
      <c r="W71" s="188">
        <f t="shared" si="8"/>
        <v>9.2257955048258861E-3</v>
      </c>
      <c r="Y71" s="188"/>
      <c r="AB71" s="188"/>
    </row>
    <row r="72" spans="1:28" x14ac:dyDescent="0.25">
      <c r="A72" t="s">
        <v>525</v>
      </c>
      <c r="B72" t="s">
        <v>120</v>
      </c>
      <c r="C72">
        <f t="shared" si="9"/>
        <v>11857</v>
      </c>
      <c r="D72">
        <v>3284</v>
      </c>
      <c r="E72">
        <v>8573</v>
      </c>
      <c r="F72">
        <v>0</v>
      </c>
      <c r="G72">
        <v>311</v>
      </c>
      <c r="H72">
        <v>101</v>
      </c>
      <c r="I72">
        <v>212</v>
      </c>
      <c r="J72">
        <v>3157</v>
      </c>
      <c r="K72">
        <v>2940</v>
      </c>
      <c r="L72">
        <v>229</v>
      </c>
      <c r="M72">
        <v>192</v>
      </c>
      <c r="N72">
        <v>1373</v>
      </c>
      <c r="O72">
        <v>82</v>
      </c>
      <c r="P72" s="128">
        <v>2507</v>
      </c>
      <c r="Q72" s="128">
        <v>1572</v>
      </c>
      <c r="R72" s="128">
        <v>935</v>
      </c>
      <c r="S72" s="128">
        <f>0.1853%*SUM(Q72,R72,R72)*1000000</f>
        <v>6378025.9999999991</v>
      </c>
      <c r="T72">
        <f>SUM(S72,-C72*1000)</f>
        <v>-5478974.0000000009</v>
      </c>
      <c r="U72">
        <f>IF(T72&gt;0,T72,0)</f>
        <v>0</v>
      </c>
      <c r="V72">
        <v>134947</v>
      </c>
      <c r="W72" s="188">
        <f>T72/(V72*1000)</f>
        <v>-4.0600932217833674E-2</v>
      </c>
      <c r="Y72" s="188"/>
      <c r="AB72" s="188"/>
    </row>
    <row r="73" spans="1:28" x14ac:dyDescent="0.25">
      <c r="A73" t="s">
        <v>518</v>
      </c>
      <c r="B73" t="s">
        <v>247</v>
      </c>
      <c r="C73">
        <f t="shared" si="9"/>
        <v>14036</v>
      </c>
      <c r="D73">
        <v>6215</v>
      </c>
      <c r="E73">
        <v>7821</v>
      </c>
      <c r="F73">
        <v>88</v>
      </c>
      <c r="G73">
        <v>17</v>
      </c>
      <c r="H73">
        <v>1231</v>
      </c>
      <c r="I73">
        <v>0</v>
      </c>
      <c r="J73">
        <v>3924</v>
      </c>
      <c r="K73">
        <v>10264</v>
      </c>
      <c r="L73">
        <v>563</v>
      </c>
      <c r="M73">
        <v>268</v>
      </c>
      <c r="N73">
        <v>970</v>
      </c>
      <c r="O73">
        <v>55</v>
      </c>
      <c r="P73" s="128">
        <v>5979</v>
      </c>
      <c r="Q73" s="128">
        <v>4767</v>
      </c>
      <c r="R73" s="128">
        <v>1212</v>
      </c>
      <c r="S73" s="128">
        <f t="shared" si="5"/>
        <v>13324922.999999998</v>
      </c>
      <c r="T73">
        <f t="shared" si="6"/>
        <v>-711077.00000000186</v>
      </c>
      <c r="U73">
        <f t="shared" si="7"/>
        <v>0</v>
      </c>
      <c r="V73">
        <v>203257</v>
      </c>
      <c r="W73" s="188">
        <f t="shared" si="8"/>
        <v>-3.4984133387780092E-3</v>
      </c>
      <c r="Y73" s="188"/>
      <c r="AB73" s="188"/>
    </row>
    <row r="74" spans="1:28" x14ac:dyDescent="0.25">
      <c r="A74" t="s">
        <v>517</v>
      </c>
      <c r="B74" t="s">
        <v>357</v>
      </c>
      <c r="C74">
        <f t="shared" si="9"/>
        <v>8158</v>
      </c>
      <c r="D74">
        <v>5299</v>
      </c>
      <c r="E74">
        <v>2859</v>
      </c>
      <c r="F74">
        <v>218</v>
      </c>
      <c r="G74">
        <v>0</v>
      </c>
      <c r="H74">
        <v>266</v>
      </c>
      <c r="I74">
        <v>280</v>
      </c>
      <c r="J74">
        <v>3867</v>
      </c>
      <c r="K74">
        <v>2435</v>
      </c>
      <c r="L74">
        <v>317</v>
      </c>
      <c r="M74">
        <v>75</v>
      </c>
      <c r="N74">
        <v>1068</v>
      </c>
      <c r="O74">
        <v>536</v>
      </c>
      <c r="P74" s="128">
        <v>4781</v>
      </c>
      <c r="Q74" s="128">
        <v>3942</v>
      </c>
      <c r="R74" s="128">
        <v>839</v>
      </c>
      <c r="S74" s="128">
        <f t="shared" si="5"/>
        <v>10413860</v>
      </c>
      <c r="T74">
        <f t="shared" si="6"/>
        <v>2255860</v>
      </c>
      <c r="U74">
        <f t="shared" si="7"/>
        <v>2255860</v>
      </c>
      <c r="V74">
        <v>96437</v>
      </c>
      <c r="W74" s="188">
        <f t="shared" si="8"/>
        <v>2.3392059064466959E-2</v>
      </c>
      <c r="Y74" s="188"/>
      <c r="AB74" s="188"/>
    </row>
    <row r="75" spans="1:28" x14ac:dyDescent="0.25">
      <c r="A75" t="s">
        <v>522</v>
      </c>
      <c r="B75" t="s">
        <v>144</v>
      </c>
      <c r="C75">
        <f t="shared" si="9"/>
        <v>27150</v>
      </c>
      <c r="D75">
        <v>14529</v>
      </c>
      <c r="E75">
        <v>12621</v>
      </c>
      <c r="F75">
        <v>3205</v>
      </c>
      <c r="G75">
        <v>118</v>
      </c>
      <c r="H75">
        <v>114</v>
      </c>
      <c r="I75">
        <v>672</v>
      </c>
      <c r="J75">
        <v>8274</v>
      </c>
      <c r="K75">
        <v>13164</v>
      </c>
      <c r="L75">
        <v>1066</v>
      </c>
      <c r="M75">
        <v>188</v>
      </c>
      <c r="N75">
        <v>3663</v>
      </c>
      <c r="O75">
        <v>1355</v>
      </c>
      <c r="P75" s="128">
        <v>12294</v>
      </c>
      <c r="Q75" s="128">
        <v>10291</v>
      </c>
      <c r="R75" s="128">
        <v>2003</v>
      </c>
      <c r="S75" s="128">
        <f t="shared" si="5"/>
        <v>26492340.999999996</v>
      </c>
      <c r="T75">
        <f t="shared" si="6"/>
        <v>-657659.00000000373</v>
      </c>
      <c r="U75">
        <f t="shared" si="7"/>
        <v>0</v>
      </c>
      <c r="V75">
        <v>395582</v>
      </c>
      <c r="W75" s="188">
        <f t="shared" si="8"/>
        <v>-1.6625099220894876E-3</v>
      </c>
      <c r="Y75" s="188"/>
      <c r="AB75" s="188"/>
    </row>
    <row r="76" spans="1:28" x14ac:dyDescent="0.25">
      <c r="A76" t="s">
        <v>518</v>
      </c>
      <c r="B76" t="s">
        <v>248</v>
      </c>
      <c r="C76">
        <f t="shared" si="9"/>
        <v>7024</v>
      </c>
      <c r="D76">
        <v>3994</v>
      </c>
      <c r="E76">
        <v>3030</v>
      </c>
      <c r="F76">
        <v>1228</v>
      </c>
      <c r="G76">
        <v>642</v>
      </c>
      <c r="H76">
        <v>152</v>
      </c>
      <c r="I76">
        <v>65</v>
      </c>
      <c r="J76">
        <v>3453</v>
      </c>
      <c r="K76">
        <v>4030</v>
      </c>
      <c r="L76">
        <v>305</v>
      </c>
      <c r="M76">
        <v>6</v>
      </c>
      <c r="N76">
        <v>1945</v>
      </c>
      <c r="O76">
        <v>93</v>
      </c>
      <c r="P76" s="128">
        <v>5430</v>
      </c>
      <c r="Q76" s="128">
        <v>4765</v>
      </c>
      <c r="R76" s="128">
        <v>665</v>
      </c>
      <c r="S76" s="128">
        <f t="shared" si="5"/>
        <v>11294035</v>
      </c>
      <c r="T76">
        <f t="shared" si="6"/>
        <v>4270035</v>
      </c>
      <c r="U76">
        <f t="shared" si="7"/>
        <v>4270035</v>
      </c>
      <c r="V76">
        <v>89035</v>
      </c>
      <c r="W76" s="188">
        <f t="shared" si="8"/>
        <v>4.7959061043409898E-2</v>
      </c>
      <c r="Y76" s="188"/>
      <c r="AB76" s="188"/>
    </row>
    <row r="77" spans="1:28" x14ac:dyDescent="0.25">
      <c r="A77" t="s">
        <v>522</v>
      </c>
      <c r="B77" t="s">
        <v>145</v>
      </c>
      <c r="C77">
        <f t="shared" si="9"/>
        <v>6560</v>
      </c>
      <c r="D77">
        <v>3912</v>
      </c>
      <c r="E77">
        <v>2648</v>
      </c>
      <c r="F77">
        <v>0</v>
      </c>
      <c r="G77">
        <v>17</v>
      </c>
      <c r="H77">
        <v>605</v>
      </c>
      <c r="I77">
        <v>104</v>
      </c>
      <c r="J77">
        <v>3115</v>
      </c>
      <c r="K77">
        <v>1424</v>
      </c>
      <c r="L77">
        <v>275</v>
      </c>
      <c r="M77">
        <v>0</v>
      </c>
      <c r="N77">
        <v>490</v>
      </c>
      <c r="O77">
        <v>197</v>
      </c>
      <c r="P77" s="128">
        <v>3667</v>
      </c>
      <c r="Q77" s="128">
        <v>2925</v>
      </c>
      <c r="R77" s="128">
        <v>742</v>
      </c>
      <c r="S77" s="128">
        <f t="shared" si="5"/>
        <v>8169877</v>
      </c>
      <c r="T77">
        <f t="shared" si="6"/>
        <v>1609877</v>
      </c>
      <c r="U77">
        <f t="shared" si="7"/>
        <v>1609877</v>
      </c>
      <c r="V77">
        <v>68731</v>
      </c>
      <c r="W77" s="188">
        <f t="shared" si="8"/>
        <v>2.3422865955682298E-2</v>
      </c>
      <c r="Y77" s="188"/>
      <c r="AB77" s="188"/>
    </row>
    <row r="78" spans="1:28" x14ac:dyDescent="0.25">
      <c r="A78" t="s">
        <v>519</v>
      </c>
      <c r="B78" t="s">
        <v>175</v>
      </c>
      <c r="C78">
        <f t="shared" si="9"/>
        <v>2136</v>
      </c>
      <c r="D78">
        <v>1673</v>
      </c>
      <c r="E78">
        <v>463</v>
      </c>
      <c r="F78">
        <v>369</v>
      </c>
      <c r="G78">
        <v>521</v>
      </c>
      <c r="H78">
        <v>254</v>
      </c>
      <c r="I78">
        <v>100</v>
      </c>
      <c r="J78">
        <v>1141</v>
      </c>
      <c r="K78">
        <v>1532</v>
      </c>
      <c r="L78">
        <v>115</v>
      </c>
      <c r="M78">
        <v>86</v>
      </c>
      <c r="N78">
        <v>254</v>
      </c>
      <c r="O78">
        <v>55</v>
      </c>
      <c r="P78" s="128">
        <v>1250</v>
      </c>
      <c r="Q78" s="128">
        <v>1111</v>
      </c>
      <c r="R78" s="128">
        <v>139</v>
      </c>
      <c r="S78" s="128">
        <f t="shared" si="5"/>
        <v>2573816.9999999995</v>
      </c>
      <c r="T78">
        <f t="shared" si="6"/>
        <v>437816.99999999953</v>
      </c>
      <c r="U78">
        <f t="shared" si="7"/>
        <v>437816.99999999953</v>
      </c>
      <c r="V78">
        <v>36326</v>
      </c>
      <c r="W78" s="188">
        <f t="shared" si="8"/>
        <v>1.205244177723943E-2</v>
      </c>
      <c r="Y78" s="188"/>
      <c r="AB78" s="188"/>
    </row>
    <row r="79" spans="1:28" x14ac:dyDescent="0.25">
      <c r="A79" t="s">
        <v>519</v>
      </c>
      <c r="B79" t="s">
        <v>176</v>
      </c>
      <c r="C79">
        <f t="shared" si="9"/>
        <v>13190</v>
      </c>
      <c r="D79">
        <v>7352</v>
      </c>
      <c r="E79">
        <v>5838</v>
      </c>
      <c r="F79">
        <v>2578</v>
      </c>
      <c r="G79">
        <v>23</v>
      </c>
      <c r="H79">
        <v>0</v>
      </c>
      <c r="I79">
        <v>711</v>
      </c>
      <c r="J79">
        <v>5901</v>
      </c>
      <c r="K79">
        <v>6110</v>
      </c>
      <c r="L79">
        <v>618</v>
      </c>
      <c r="M79">
        <v>0</v>
      </c>
      <c r="N79">
        <v>1529</v>
      </c>
      <c r="O79">
        <v>575</v>
      </c>
      <c r="P79" s="128">
        <v>7012</v>
      </c>
      <c r="Q79" s="128">
        <v>5797</v>
      </c>
      <c r="R79" s="128">
        <v>1215</v>
      </c>
      <c r="S79" s="128">
        <f t="shared" si="5"/>
        <v>15244630.999999998</v>
      </c>
      <c r="T79">
        <f t="shared" si="6"/>
        <v>2054630.9999999981</v>
      </c>
      <c r="U79">
        <f t="shared" si="7"/>
        <v>2054630.9999999981</v>
      </c>
      <c r="V79">
        <v>280111</v>
      </c>
      <c r="W79" s="188">
        <f t="shared" si="8"/>
        <v>7.3350600297739047E-3</v>
      </c>
      <c r="Y79" s="188"/>
      <c r="AB79" s="188"/>
    </row>
    <row r="80" spans="1:28" x14ac:dyDescent="0.25">
      <c r="A80" t="s">
        <v>517</v>
      </c>
      <c r="B80" t="s">
        <v>358</v>
      </c>
      <c r="C80">
        <f t="shared" si="9"/>
        <v>6118</v>
      </c>
      <c r="D80">
        <v>4185</v>
      </c>
      <c r="E80">
        <v>1933</v>
      </c>
      <c r="F80">
        <v>0</v>
      </c>
      <c r="G80">
        <v>0</v>
      </c>
      <c r="H80">
        <v>0</v>
      </c>
      <c r="I80">
        <v>67</v>
      </c>
      <c r="J80">
        <v>1559</v>
      </c>
      <c r="K80">
        <v>3480</v>
      </c>
      <c r="L80">
        <v>275</v>
      </c>
      <c r="M80">
        <v>165</v>
      </c>
      <c r="N80">
        <v>647</v>
      </c>
      <c r="O80">
        <v>99</v>
      </c>
      <c r="P80" s="128">
        <v>3450</v>
      </c>
      <c r="Q80" s="128">
        <v>2949</v>
      </c>
      <c r="R80" s="128">
        <v>501</v>
      </c>
      <c r="S80" s="128">
        <f t="shared" si="5"/>
        <v>7321203</v>
      </c>
      <c r="T80">
        <f t="shared" si="6"/>
        <v>1203203</v>
      </c>
      <c r="U80">
        <f t="shared" si="7"/>
        <v>1203203</v>
      </c>
      <c r="V80">
        <v>62751</v>
      </c>
      <c r="W80" s="188">
        <f t="shared" si="8"/>
        <v>1.9174244235151631E-2</v>
      </c>
      <c r="Y80" s="188"/>
      <c r="AB80" s="188"/>
    </row>
    <row r="81" spans="1:28" x14ac:dyDescent="0.25">
      <c r="A81" t="s">
        <v>521</v>
      </c>
      <c r="B81" t="s">
        <v>291</v>
      </c>
      <c r="C81">
        <f t="shared" si="9"/>
        <v>24406</v>
      </c>
      <c r="D81">
        <v>12557</v>
      </c>
      <c r="E81">
        <v>11849</v>
      </c>
      <c r="F81">
        <v>5210</v>
      </c>
      <c r="G81">
        <v>5997</v>
      </c>
      <c r="H81">
        <v>0</v>
      </c>
      <c r="I81">
        <v>1217</v>
      </c>
      <c r="J81">
        <v>12553</v>
      </c>
      <c r="K81">
        <v>15342</v>
      </c>
      <c r="L81">
        <v>1320</v>
      </c>
      <c r="M81">
        <v>2375</v>
      </c>
      <c r="N81">
        <v>5176</v>
      </c>
      <c r="O81">
        <v>556</v>
      </c>
      <c r="P81" s="128">
        <v>14326</v>
      </c>
      <c r="Q81" s="128">
        <v>11356</v>
      </c>
      <c r="R81" s="128">
        <v>2970</v>
      </c>
      <c r="S81" s="128">
        <f t="shared" si="5"/>
        <v>32049487.999999996</v>
      </c>
      <c r="T81">
        <f t="shared" si="6"/>
        <v>7643487.9999999963</v>
      </c>
      <c r="U81">
        <f t="shared" si="7"/>
        <v>7643487.9999999963</v>
      </c>
      <c r="V81">
        <v>926059</v>
      </c>
      <c r="W81" s="188">
        <f t="shared" si="8"/>
        <v>8.253780806622469E-3</v>
      </c>
      <c r="Y81" s="188"/>
      <c r="AB81" s="188"/>
    </row>
    <row r="82" spans="1:28" x14ac:dyDescent="0.25">
      <c r="A82" t="s">
        <v>518</v>
      </c>
      <c r="B82" t="s">
        <v>249</v>
      </c>
      <c r="C82">
        <f t="shared" si="9"/>
        <v>2639</v>
      </c>
      <c r="D82">
        <v>1978</v>
      </c>
      <c r="E82">
        <v>661</v>
      </c>
      <c r="F82">
        <v>0</v>
      </c>
      <c r="G82">
        <v>0</v>
      </c>
      <c r="H82">
        <v>49</v>
      </c>
      <c r="I82">
        <v>0</v>
      </c>
      <c r="J82">
        <v>1415</v>
      </c>
      <c r="K82">
        <v>2806</v>
      </c>
      <c r="L82">
        <v>181</v>
      </c>
      <c r="M82">
        <v>61</v>
      </c>
      <c r="N82">
        <v>560</v>
      </c>
      <c r="O82">
        <v>16</v>
      </c>
      <c r="P82" s="128">
        <v>2579</v>
      </c>
      <c r="Q82" s="128">
        <v>2283</v>
      </c>
      <c r="R82" s="128">
        <v>296</v>
      </c>
      <c r="S82" s="128">
        <f t="shared" si="5"/>
        <v>5327374.9999999991</v>
      </c>
      <c r="T82">
        <f t="shared" si="6"/>
        <v>2688374.9999999991</v>
      </c>
      <c r="U82">
        <f t="shared" si="7"/>
        <v>2688374.9999999991</v>
      </c>
      <c r="V82">
        <v>49642</v>
      </c>
      <c r="W82" s="188">
        <f t="shared" si="8"/>
        <v>5.4155251601466482E-2</v>
      </c>
      <c r="Y82" s="188"/>
      <c r="AB82" s="188"/>
    </row>
    <row r="83" spans="1:28" x14ac:dyDescent="0.25">
      <c r="A83" t="s">
        <v>517</v>
      </c>
      <c r="B83" t="s">
        <v>359</v>
      </c>
      <c r="C83">
        <f t="shared" si="9"/>
        <v>4522</v>
      </c>
      <c r="D83">
        <v>3263</v>
      </c>
      <c r="E83">
        <v>1259</v>
      </c>
      <c r="F83">
        <v>0</v>
      </c>
      <c r="G83">
        <v>-482</v>
      </c>
      <c r="H83">
        <v>64</v>
      </c>
      <c r="I83">
        <v>25</v>
      </c>
      <c r="J83">
        <v>3096</v>
      </c>
      <c r="K83">
        <v>2971</v>
      </c>
      <c r="L83">
        <v>275</v>
      </c>
      <c r="M83">
        <v>69</v>
      </c>
      <c r="N83">
        <v>838</v>
      </c>
      <c r="O83">
        <v>160</v>
      </c>
      <c r="P83" s="128">
        <v>3557</v>
      </c>
      <c r="Q83" s="128">
        <v>3079</v>
      </c>
      <c r="R83" s="128">
        <v>478</v>
      </c>
      <c r="S83" s="128">
        <f t="shared" si="5"/>
        <v>7476855</v>
      </c>
      <c r="T83">
        <f t="shared" si="6"/>
        <v>2954855</v>
      </c>
      <c r="U83">
        <f t="shared" si="7"/>
        <v>2954855</v>
      </c>
      <c r="V83">
        <v>61625</v>
      </c>
      <c r="W83" s="188">
        <f t="shared" si="8"/>
        <v>4.7948965517241378E-2</v>
      </c>
      <c r="Y83" s="188"/>
      <c r="AB83" s="188"/>
    </row>
    <row r="84" spans="1:28" x14ac:dyDescent="0.25">
      <c r="A84" t="s">
        <v>523</v>
      </c>
      <c r="B84" t="s">
        <v>430</v>
      </c>
      <c r="C84">
        <f t="shared" si="9"/>
        <v>10034</v>
      </c>
      <c r="D84">
        <v>5899</v>
      </c>
      <c r="E84">
        <v>4135</v>
      </c>
      <c r="F84">
        <v>0</v>
      </c>
      <c r="G84">
        <v>976</v>
      </c>
      <c r="H84">
        <v>842</v>
      </c>
      <c r="I84">
        <v>138</v>
      </c>
      <c r="J84">
        <v>2561</v>
      </c>
      <c r="K84">
        <v>4582</v>
      </c>
      <c r="L84">
        <v>307</v>
      </c>
      <c r="M84">
        <v>355</v>
      </c>
      <c r="N84">
        <v>1350</v>
      </c>
      <c r="O84">
        <v>420</v>
      </c>
      <c r="P84" s="128">
        <v>5093</v>
      </c>
      <c r="Q84" s="128">
        <v>3982</v>
      </c>
      <c r="R84" s="128">
        <v>1111</v>
      </c>
      <c r="S84" s="128">
        <f t="shared" si="5"/>
        <v>11496011.999999998</v>
      </c>
      <c r="T84">
        <f t="shared" si="6"/>
        <v>1462011.9999999981</v>
      </c>
      <c r="U84">
        <f t="shared" si="7"/>
        <v>1462011.9999999981</v>
      </c>
      <c r="V84">
        <v>120649</v>
      </c>
      <c r="W84" s="188">
        <f t="shared" si="8"/>
        <v>1.2117895714013362E-2</v>
      </c>
      <c r="Y84" s="188"/>
      <c r="AB84" s="188"/>
    </row>
    <row r="85" spans="1:28" x14ac:dyDescent="0.25">
      <c r="A85" t="s">
        <v>519</v>
      </c>
      <c r="B85" t="s">
        <v>177</v>
      </c>
      <c r="C85">
        <f t="shared" si="9"/>
        <v>3374</v>
      </c>
      <c r="D85">
        <v>2295</v>
      </c>
      <c r="E85">
        <v>1079</v>
      </c>
      <c r="F85">
        <v>0</v>
      </c>
      <c r="G85">
        <v>0</v>
      </c>
      <c r="H85">
        <v>0</v>
      </c>
      <c r="I85">
        <v>209</v>
      </c>
      <c r="J85">
        <v>1858</v>
      </c>
      <c r="K85">
        <v>1419</v>
      </c>
      <c r="L85">
        <v>177</v>
      </c>
      <c r="M85">
        <v>33</v>
      </c>
      <c r="N85">
        <v>950</v>
      </c>
      <c r="O85">
        <v>344</v>
      </c>
      <c r="P85" s="128">
        <v>2370</v>
      </c>
      <c r="Q85" s="128">
        <v>2006</v>
      </c>
      <c r="R85" s="128">
        <v>364</v>
      </c>
      <c r="S85" s="128">
        <f t="shared" si="5"/>
        <v>5066102</v>
      </c>
      <c r="T85">
        <f t="shared" si="6"/>
        <v>1692102</v>
      </c>
      <c r="U85">
        <f t="shared" si="7"/>
        <v>1692102</v>
      </c>
      <c r="V85">
        <v>49410</v>
      </c>
      <c r="W85" s="188">
        <f t="shared" si="8"/>
        <v>3.4246144505160898E-2</v>
      </c>
      <c r="Y85" s="188"/>
      <c r="AB85" s="188"/>
    </row>
    <row r="86" spans="1:28" x14ac:dyDescent="0.25">
      <c r="A86" t="s">
        <v>519</v>
      </c>
      <c r="B86" t="s">
        <v>178</v>
      </c>
      <c r="C86">
        <f t="shared" si="9"/>
        <v>5730</v>
      </c>
      <c r="D86">
        <v>3497</v>
      </c>
      <c r="E86">
        <v>2233</v>
      </c>
      <c r="F86">
        <v>0</v>
      </c>
      <c r="G86">
        <v>265</v>
      </c>
      <c r="H86">
        <v>125</v>
      </c>
      <c r="I86">
        <v>222</v>
      </c>
      <c r="J86">
        <v>2431</v>
      </c>
      <c r="K86">
        <v>2426</v>
      </c>
      <c r="L86">
        <v>264</v>
      </c>
      <c r="M86">
        <v>51</v>
      </c>
      <c r="N86">
        <v>800</v>
      </c>
      <c r="O86">
        <v>173</v>
      </c>
      <c r="P86" s="128">
        <v>3336</v>
      </c>
      <c r="Q86" s="128">
        <v>2570</v>
      </c>
      <c r="R86" s="128">
        <v>766</v>
      </c>
      <c r="S86" s="128">
        <f t="shared" si="5"/>
        <v>7601005.9999999991</v>
      </c>
      <c r="T86">
        <f t="shared" si="6"/>
        <v>1871005.9999999991</v>
      </c>
      <c r="U86">
        <f t="shared" si="7"/>
        <v>1871005.9999999991</v>
      </c>
      <c r="V86">
        <v>66961</v>
      </c>
      <c r="W86" s="188">
        <f t="shared" si="8"/>
        <v>2.79417272740849E-2</v>
      </c>
      <c r="Y86" s="188"/>
      <c r="AB86" s="188"/>
    </row>
    <row r="87" spans="1:28" x14ac:dyDescent="0.25">
      <c r="A87" t="s">
        <v>526</v>
      </c>
      <c r="B87" t="s">
        <v>403</v>
      </c>
      <c r="C87">
        <f t="shared" si="9"/>
        <v>6574</v>
      </c>
      <c r="D87">
        <v>4410</v>
      </c>
      <c r="E87">
        <v>2164</v>
      </c>
      <c r="F87">
        <v>0</v>
      </c>
      <c r="G87">
        <v>0</v>
      </c>
      <c r="H87">
        <v>478</v>
      </c>
      <c r="I87">
        <v>177</v>
      </c>
      <c r="J87">
        <v>4184</v>
      </c>
      <c r="K87">
        <v>3176</v>
      </c>
      <c r="L87">
        <v>464</v>
      </c>
      <c r="M87">
        <v>52</v>
      </c>
      <c r="N87">
        <v>1430</v>
      </c>
      <c r="O87">
        <v>61</v>
      </c>
      <c r="P87" s="128">
        <v>3964</v>
      </c>
      <c r="Q87" s="128">
        <v>3361</v>
      </c>
      <c r="R87" s="128">
        <v>603</v>
      </c>
      <c r="S87" s="128">
        <f t="shared" si="5"/>
        <v>8462651</v>
      </c>
      <c r="T87">
        <f t="shared" si="6"/>
        <v>1888651</v>
      </c>
      <c r="U87">
        <f t="shared" si="7"/>
        <v>1888651</v>
      </c>
      <c r="V87">
        <v>89447</v>
      </c>
      <c r="W87" s="188">
        <f t="shared" si="8"/>
        <v>2.1114749516473443E-2</v>
      </c>
      <c r="Y87" s="188"/>
      <c r="AB87" s="188"/>
    </row>
    <row r="88" spans="1:28" x14ac:dyDescent="0.25">
      <c r="A88" t="s">
        <v>518</v>
      </c>
      <c r="B88" t="s">
        <v>250</v>
      </c>
      <c r="C88">
        <f t="shared" si="9"/>
        <v>6145</v>
      </c>
      <c r="D88">
        <v>4135</v>
      </c>
      <c r="E88">
        <v>2010</v>
      </c>
      <c r="F88">
        <v>47</v>
      </c>
      <c r="G88">
        <v>0</v>
      </c>
      <c r="H88">
        <v>593</v>
      </c>
      <c r="I88">
        <v>140</v>
      </c>
      <c r="J88">
        <v>3302</v>
      </c>
      <c r="K88">
        <v>4269</v>
      </c>
      <c r="L88">
        <v>357</v>
      </c>
      <c r="M88">
        <v>97</v>
      </c>
      <c r="N88">
        <v>1526</v>
      </c>
      <c r="O88">
        <v>1203</v>
      </c>
      <c r="P88" s="128">
        <v>5277</v>
      </c>
      <c r="Q88" s="128">
        <v>4603</v>
      </c>
      <c r="R88" s="128">
        <v>674</v>
      </c>
      <c r="S88" s="128">
        <f t="shared" si="5"/>
        <v>11027202.999999998</v>
      </c>
      <c r="T88">
        <f t="shared" si="6"/>
        <v>4882202.9999999981</v>
      </c>
      <c r="U88">
        <f t="shared" si="7"/>
        <v>4882202.9999999981</v>
      </c>
      <c r="V88">
        <v>85706</v>
      </c>
      <c r="W88" s="188">
        <f t="shared" si="8"/>
        <v>5.6964541572351972E-2</v>
      </c>
      <c r="Y88" s="188"/>
      <c r="AB88" s="188"/>
    </row>
    <row r="89" spans="1:28" x14ac:dyDescent="0.25">
      <c r="A89" t="s">
        <v>519</v>
      </c>
      <c r="B89" t="s">
        <v>179</v>
      </c>
      <c r="C89">
        <f t="shared" si="9"/>
        <v>25424</v>
      </c>
      <c r="D89">
        <v>14233</v>
      </c>
      <c r="E89">
        <v>11191</v>
      </c>
      <c r="F89">
        <v>1485</v>
      </c>
      <c r="G89">
        <v>6475</v>
      </c>
      <c r="H89">
        <v>2165</v>
      </c>
      <c r="I89">
        <v>360</v>
      </c>
      <c r="J89">
        <v>11031</v>
      </c>
      <c r="K89">
        <v>10867</v>
      </c>
      <c r="L89">
        <v>1274</v>
      </c>
      <c r="M89">
        <v>1467</v>
      </c>
      <c r="N89">
        <v>3950</v>
      </c>
      <c r="O89">
        <v>949</v>
      </c>
      <c r="P89" s="128">
        <v>16863</v>
      </c>
      <c r="Q89" s="128">
        <v>13640</v>
      </c>
      <c r="R89" s="128">
        <v>3223</v>
      </c>
      <c r="S89" s="128">
        <f t="shared" si="5"/>
        <v>37219358</v>
      </c>
      <c r="T89">
        <f t="shared" si="6"/>
        <v>11795358</v>
      </c>
      <c r="U89">
        <f t="shared" si="7"/>
        <v>11795358</v>
      </c>
      <c r="V89">
        <v>383731</v>
      </c>
      <c r="W89" s="188">
        <f t="shared" si="8"/>
        <v>3.0738611162507069E-2</v>
      </c>
      <c r="Y89" s="188"/>
      <c r="AB89" s="188"/>
    </row>
    <row r="90" spans="1:28" x14ac:dyDescent="0.25">
      <c r="A90" t="s">
        <v>524</v>
      </c>
      <c r="B90" t="s">
        <v>220</v>
      </c>
      <c r="C90">
        <f t="shared" si="9"/>
        <v>2290</v>
      </c>
      <c r="D90">
        <v>1712</v>
      </c>
      <c r="E90">
        <v>578</v>
      </c>
      <c r="F90">
        <v>0</v>
      </c>
      <c r="G90">
        <v>570</v>
      </c>
      <c r="H90">
        <v>61</v>
      </c>
      <c r="I90">
        <v>68</v>
      </c>
      <c r="J90">
        <v>766</v>
      </c>
      <c r="K90">
        <v>1219</v>
      </c>
      <c r="L90">
        <v>95</v>
      </c>
      <c r="M90">
        <v>14</v>
      </c>
      <c r="N90">
        <v>373</v>
      </c>
      <c r="O90">
        <v>58</v>
      </c>
      <c r="P90" s="128">
        <v>1678</v>
      </c>
      <c r="Q90" s="128">
        <v>1489</v>
      </c>
      <c r="R90" s="128">
        <v>189</v>
      </c>
      <c r="S90" s="128">
        <f t="shared" si="5"/>
        <v>3459551</v>
      </c>
      <c r="T90">
        <f t="shared" si="6"/>
        <v>1169551</v>
      </c>
      <c r="U90">
        <f t="shared" si="7"/>
        <v>1169551</v>
      </c>
      <c r="V90">
        <v>24492</v>
      </c>
      <c r="W90" s="188">
        <f t="shared" si="8"/>
        <v>4.7752368120202518E-2</v>
      </c>
      <c r="Y90" s="188"/>
      <c r="AB90" s="188"/>
    </row>
    <row r="91" spans="1:28" x14ac:dyDescent="0.25">
      <c r="A91" t="s">
        <v>517</v>
      </c>
      <c r="B91" t="s">
        <v>360</v>
      </c>
      <c r="C91">
        <f t="shared" si="9"/>
        <v>3696</v>
      </c>
      <c r="D91">
        <v>2358</v>
      </c>
      <c r="E91">
        <v>1338</v>
      </c>
      <c r="F91">
        <v>0</v>
      </c>
      <c r="G91">
        <v>0</v>
      </c>
      <c r="H91">
        <v>327</v>
      </c>
      <c r="I91">
        <v>71</v>
      </c>
      <c r="J91">
        <v>2120</v>
      </c>
      <c r="K91">
        <v>1293</v>
      </c>
      <c r="L91">
        <v>207</v>
      </c>
      <c r="M91">
        <v>0</v>
      </c>
      <c r="N91">
        <v>528</v>
      </c>
      <c r="O91">
        <v>122</v>
      </c>
      <c r="P91" s="128">
        <v>3184</v>
      </c>
      <c r="Q91" s="128">
        <v>2686</v>
      </c>
      <c r="R91" s="128">
        <v>498</v>
      </c>
      <c r="S91" s="128">
        <f t="shared" si="5"/>
        <v>6822745.9999999991</v>
      </c>
      <c r="T91">
        <f t="shared" si="6"/>
        <v>3126745.9999999991</v>
      </c>
      <c r="U91">
        <f t="shared" si="7"/>
        <v>3126745.9999999991</v>
      </c>
      <c r="V91">
        <v>51426</v>
      </c>
      <c r="W91" s="188">
        <f t="shared" si="8"/>
        <v>6.0800878932835513E-2</v>
      </c>
      <c r="Y91" s="188"/>
      <c r="AB91" s="188"/>
    </row>
    <row r="92" spans="1:28" x14ac:dyDescent="0.25">
      <c r="A92" t="s">
        <v>526</v>
      </c>
      <c r="B92" t="s">
        <v>404</v>
      </c>
      <c r="C92">
        <f t="shared" si="9"/>
        <v>5440</v>
      </c>
      <c r="D92">
        <v>4396</v>
      </c>
      <c r="E92">
        <v>1044</v>
      </c>
      <c r="F92">
        <v>0</v>
      </c>
      <c r="G92">
        <v>0</v>
      </c>
      <c r="H92">
        <v>496</v>
      </c>
      <c r="I92">
        <v>159</v>
      </c>
      <c r="J92">
        <v>3264</v>
      </c>
      <c r="K92">
        <v>2745</v>
      </c>
      <c r="L92">
        <v>264</v>
      </c>
      <c r="M92">
        <v>92</v>
      </c>
      <c r="N92">
        <v>418</v>
      </c>
      <c r="O92">
        <v>37</v>
      </c>
      <c r="P92" s="128">
        <v>3538</v>
      </c>
      <c r="Q92" s="128">
        <v>3145</v>
      </c>
      <c r="R92" s="128">
        <v>393</v>
      </c>
      <c r="S92" s="128">
        <f t="shared" si="5"/>
        <v>7284142.9999999991</v>
      </c>
      <c r="T92">
        <f t="shared" si="6"/>
        <v>1844142.9999999991</v>
      </c>
      <c r="U92">
        <f t="shared" si="7"/>
        <v>1844142.9999999991</v>
      </c>
      <c r="V92">
        <v>63014</v>
      </c>
      <c r="W92" s="188">
        <f t="shared" si="8"/>
        <v>2.9265607642746043E-2</v>
      </c>
      <c r="Y92" s="188"/>
      <c r="AB92" s="188"/>
    </row>
    <row r="93" spans="1:28" x14ac:dyDescent="0.25">
      <c r="A93" t="s">
        <v>517</v>
      </c>
      <c r="B93" t="s">
        <v>361</v>
      </c>
      <c r="C93">
        <f t="shared" si="9"/>
        <v>75717</v>
      </c>
      <c r="D93">
        <v>35471</v>
      </c>
      <c r="E93">
        <v>40246</v>
      </c>
      <c r="F93">
        <v>12399</v>
      </c>
      <c r="G93">
        <v>0</v>
      </c>
      <c r="H93">
        <v>2128</v>
      </c>
      <c r="I93">
        <v>1966</v>
      </c>
      <c r="J93">
        <v>18330</v>
      </c>
      <c r="K93">
        <v>25360</v>
      </c>
      <c r="L93">
        <v>2592</v>
      </c>
      <c r="M93">
        <v>538</v>
      </c>
      <c r="N93">
        <v>8549</v>
      </c>
      <c r="O93">
        <v>1190</v>
      </c>
      <c r="P93" s="128">
        <v>38657</v>
      </c>
      <c r="Q93" s="128">
        <v>30406</v>
      </c>
      <c r="R93" s="128">
        <v>8251</v>
      </c>
      <c r="S93" s="128">
        <f t="shared" si="5"/>
        <v>86920523.999999985</v>
      </c>
      <c r="T93">
        <f t="shared" si="6"/>
        <v>11203523.999999985</v>
      </c>
      <c r="U93">
        <f t="shared" si="7"/>
        <v>11203523.999999985</v>
      </c>
      <c r="V93">
        <v>1031003</v>
      </c>
      <c r="W93" s="188">
        <f t="shared" si="8"/>
        <v>1.0866625994298742E-2</v>
      </c>
      <c r="Y93" s="188"/>
      <c r="AB93" s="188"/>
    </row>
    <row r="94" spans="1:28" x14ac:dyDescent="0.25">
      <c r="A94" t="s">
        <v>519</v>
      </c>
      <c r="B94" t="s">
        <v>180</v>
      </c>
      <c r="C94">
        <f t="shared" si="9"/>
        <v>0</v>
      </c>
      <c r="D94">
        <v>0</v>
      </c>
      <c r="E94">
        <v>0</v>
      </c>
      <c r="F94">
        <v>0</v>
      </c>
      <c r="G94">
        <v>0</v>
      </c>
      <c r="H94">
        <v>0</v>
      </c>
      <c r="I94">
        <v>0</v>
      </c>
      <c r="J94">
        <v>2208</v>
      </c>
      <c r="K94">
        <v>2028</v>
      </c>
      <c r="L94">
        <v>242</v>
      </c>
      <c r="M94">
        <v>606</v>
      </c>
      <c r="N94">
        <v>0</v>
      </c>
      <c r="O94">
        <v>361</v>
      </c>
      <c r="P94" s="128">
        <v>2958</v>
      </c>
      <c r="Q94" s="128">
        <v>2472</v>
      </c>
      <c r="R94" s="128">
        <v>485</v>
      </c>
      <c r="S94" s="128">
        <f t="shared" si="5"/>
        <v>6378025.9999999991</v>
      </c>
      <c r="T94">
        <f t="shared" si="6"/>
        <v>6378025.9999999991</v>
      </c>
      <c r="U94">
        <f t="shared" si="7"/>
        <v>6378025.9999999991</v>
      </c>
      <c r="V94">
        <v>57169</v>
      </c>
      <c r="W94" s="188">
        <f t="shared" si="8"/>
        <v>0.11156441428046666</v>
      </c>
      <c r="Y94" s="188"/>
      <c r="AB94" s="188"/>
    </row>
    <row r="95" spans="1:28" x14ac:dyDescent="0.25">
      <c r="A95" t="s">
        <v>516</v>
      </c>
      <c r="B95" t="s">
        <v>110</v>
      </c>
      <c r="C95">
        <f t="shared" si="9"/>
        <v>26110</v>
      </c>
      <c r="D95">
        <v>15792</v>
      </c>
      <c r="E95">
        <v>10318</v>
      </c>
      <c r="F95">
        <v>2586</v>
      </c>
      <c r="G95">
        <v>27</v>
      </c>
      <c r="H95">
        <v>326</v>
      </c>
      <c r="I95">
        <v>307</v>
      </c>
      <c r="J95">
        <v>10021</v>
      </c>
      <c r="K95">
        <v>13804</v>
      </c>
      <c r="L95">
        <v>1023</v>
      </c>
      <c r="M95">
        <v>856</v>
      </c>
      <c r="N95">
        <v>3376</v>
      </c>
      <c r="O95">
        <v>371</v>
      </c>
      <c r="P95" s="128">
        <v>10439</v>
      </c>
      <c r="Q95" s="128">
        <v>8505</v>
      </c>
      <c r="R95" s="128">
        <v>1934</v>
      </c>
      <c r="S95" s="128">
        <f t="shared" si="5"/>
        <v>22927169</v>
      </c>
      <c r="T95">
        <f t="shared" si="6"/>
        <v>-3182831</v>
      </c>
      <c r="U95">
        <f t="shared" si="7"/>
        <v>0</v>
      </c>
      <c r="V95">
        <v>474679</v>
      </c>
      <c r="W95" s="188">
        <f t="shared" si="8"/>
        <v>-6.7052281647176299E-3</v>
      </c>
      <c r="Y95" s="188"/>
      <c r="AB95" s="188"/>
    </row>
    <row r="96" spans="1:28" x14ac:dyDescent="0.25">
      <c r="A96" t="s">
        <v>518</v>
      </c>
      <c r="B96" t="s">
        <v>251</v>
      </c>
      <c r="C96">
        <f t="shared" si="9"/>
        <v>3832</v>
      </c>
      <c r="D96">
        <v>1849</v>
      </c>
      <c r="E96">
        <v>1983</v>
      </c>
      <c r="F96">
        <v>137</v>
      </c>
      <c r="G96">
        <v>0</v>
      </c>
      <c r="H96">
        <v>302</v>
      </c>
      <c r="I96">
        <v>0</v>
      </c>
      <c r="J96">
        <v>1622</v>
      </c>
      <c r="K96">
        <v>3026</v>
      </c>
      <c r="L96">
        <v>185</v>
      </c>
      <c r="M96">
        <v>172</v>
      </c>
      <c r="N96">
        <v>393</v>
      </c>
      <c r="O96">
        <v>393</v>
      </c>
      <c r="P96" s="128">
        <v>2328</v>
      </c>
      <c r="Q96" s="128">
        <v>1921</v>
      </c>
      <c r="R96" s="128">
        <v>407</v>
      </c>
      <c r="S96" s="128">
        <f t="shared" si="5"/>
        <v>5067955</v>
      </c>
      <c r="T96">
        <f t="shared" si="6"/>
        <v>1235955</v>
      </c>
      <c r="U96">
        <f t="shared" si="7"/>
        <v>1235955</v>
      </c>
      <c r="V96">
        <v>55361</v>
      </c>
      <c r="W96" s="188">
        <f t="shared" si="8"/>
        <v>2.2325373457849389E-2</v>
      </c>
      <c r="Y96" s="188"/>
      <c r="AB96" s="188"/>
    </row>
    <row r="97" spans="1:28" x14ac:dyDescent="0.25">
      <c r="A97" t="s">
        <v>522</v>
      </c>
      <c r="B97" t="s">
        <v>146</v>
      </c>
      <c r="C97">
        <f t="shared" si="9"/>
        <v>51046</v>
      </c>
      <c r="D97">
        <v>22018</v>
      </c>
      <c r="E97">
        <v>29028</v>
      </c>
      <c r="F97">
        <v>901</v>
      </c>
      <c r="G97">
        <v>50</v>
      </c>
      <c r="H97">
        <v>307</v>
      </c>
      <c r="I97">
        <v>1050</v>
      </c>
      <c r="J97">
        <v>19513</v>
      </c>
      <c r="K97">
        <v>18165</v>
      </c>
      <c r="L97">
        <v>1928</v>
      </c>
      <c r="M97">
        <v>499</v>
      </c>
      <c r="N97">
        <v>3898</v>
      </c>
      <c r="O97">
        <v>119</v>
      </c>
      <c r="P97" s="128">
        <v>17901</v>
      </c>
      <c r="Q97" s="128">
        <v>14362</v>
      </c>
      <c r="R97" s="128">
        <v>3539</v>
      </c>
      <c r="S97" s="128">
        <f t="shared" si="5"/>
        <v>39728320</v>
      </c>
      <c r="T97">
        <f t="shared" si="6"/>
        <v>-11317680</v>
      </c>
      <c r="U97">
        <f t="shared" si="7"/>
        <v>0</v>
      </c>
      <c r="V97">
        <v>784807</v>
      </c>
      <c r="W97" s="188">
        <f t="shared" si="8"/>
        <v>-1.4420972290002511E-2</v>
      </c>
      <c r="Y97" s="188"/>
      <c r="AB97" s="188"/>
    </row>
    <row r="98" spans="1:28" x14ac:dyDescent="0.25">
      <c r="A98" t="s">
        <v>519</v>
      </c>
      <c r="B98" t="s">
        <v>181</v>
      </c>
      <c r="C98">
        <f t="shared" si="9"/>
        <v>5806</v>
      </c>
      <c r="D98">
        <v>4276</v>
      </c>
      <c r="E98">
        <v>1530</v>
      </c>
      <c r="F98">
        <v>0</v>
      </c>
      <c r="G98">
        <v>2054</v>
      </c>
      <c r="H98">
        <v>994</v>
      </c>
      <c r="I98">
        <v>-674</v>
      </c>
      <c r="J98">
        <v>2735</v>
      </c>
      <c r="K98">
        <v>3784</v>
      </c>
      <c r="L98">
        <v>340</v>
      </c>
      <c r="M98">
        <v>810</v>
      </c>
      <c r="N98">
        <v>869</v>
      </c>
      <c r="O98">
        <v>209</v>
      </c>
      <c r="P98" s="128">
        <v>5204</v>
      </c>
      <c r="Q98" s="128">
        <v>4516</v>
      </c>
      <c r="R98" s="128">
        <v>688</v>
      </c>
      <c r="S98" s="128">
        <f t="shared" si="5"/>
        <v>10917876</v>
      </c>
      <c r="T98">
        <f t="shared" si="6"/>
        <v>5111876</v>
      </c>
      <c r="U98">
        <f t="shared" si="7"/>
        <v>5111876</v>
      </c>
      <c r="V98">
        <v>83336</v>
      </c>
      <c r="W98" s="188">
        <f t="shared" si="8"/>
        <v>6.1340549102428719E-2</v>
      </c>
      <c r="Y98" s="188"/>
      <c r="AB98" s="188"/>
    </row>
    <row r="99" spans="1:28" x14ac:dyDescent="0.25">
      <c r="A99" t="s">
        <v>519</v>
      </c>
      <c r="B99" t="s">
        <v>182</v>
      </c>
      <c r="C99">
        <f t="shared" si="9"/>
        <v>7888</v>
      </c>
      <c r="D99">
        <v>4673</v>
      </c>
      <c r="E99">
        <v>3215</v>
      </c>
      <c r="F99">
        <v>0</v>
      </c>
      <c r="G99">
        <v>1382</v>
      </c>
      <c r="H99">
        <v>1658</v>
      </c>
      <c r="I99">
        <v>224</v>
      </c>
      <c r="J99">
        <v>2950</v>
      </c>
      <c r="K99">
        <v>2222</v>
      </c>
      <c r="L99">
        <v>276</v>
      </c>
      <c r="M99">
        <v>555</v>
      </c>
      <c r="N99">
        <v>669</v>
      </c>
      <c r="O99">
        <v>88</v>
      </c>
      <c r="P99" s="128">
        <v>4221</v>
      </c>
      <c r="Q99" s="128">
        <v>3509</v>
      </c>
      <c r="R99" s="128">
        <v>712</v>
      </c>
      <c r="S99" s="128">
        <f t="shared" si="5"/>
        <v>9140849</v>
      </c>
      <c r="T99">
        <f t="shared" si="6"/>
        <v>1252849</v>
      </c>
      <c r="U99">
        <f t="shared" si="7"/>
        <v>1252849</v>
      </c>
      <c r="V99">
        <v>84157</v>
      </c>
      <c r="W99" s="188">
        <f t="shared" si="8"/>
        <v>1.4887044452630203E-2</v>
      </c>
      <c r="Y99" s="188"/>
      <c r="AB99" s="188"/>
    </row>
    <row r="100" spans="1:28" x14ac:dyDescent="0.25">
      <c r="A100" t="s">
        <v>517</v>
      </c>
      <c r="B100" t="s">
        <v>362</v>
      </c>
      <c r="C100">
        <f t="shared" si="9"/>
        <v>8856</v>
      </c>
      <c r="D100">
        <v>5117</v>
      </c>
      <c r="E100">
        <v>3739</v>
      </c>
      <c r="F100">
        <v>648</v>
      </c>
      <c r="G100">
        <v>20</v>
      </c>
      <c r="H100">
        <v>0</v>
      </c>
      <c r="I100">
        <v>235</v>
      </c>
      <c r="J100">
        <v>4449</v>
      </c>
      <c r="K100">
        <v>6069</v>
      </c>
      <c r="L100">
        <v>428</v>
      </c>
      <c r="M100">
        <v>95</v>
      </c>
      <c r="N100">
        <v>1282</v>
      </c>
      <c r="O100">
        <v>1782</v>
      </c>
      <c r="P100" s="128">
        <v>6219</v>
      </c>
      <c r="Q100" s="128">
        <v>5081</v>
      </c>
      <c r="R100" s="128">
        <v>1138</v>
      </c>
      <c r="S100" s="128">
        <f t="shared" si="5"/>
        <v>13632520.999999998</v>
      </c>
      <c r="T100">
        <f t="shared" si="6"/>
        <v>4776520.9999999981</v>
      </c>
      <c r="U100">
        <f t="shared" si="7"/>
        <v>4776520.9999999981</v>
      </c>
      <c r="V100">
        <v>122860</v>
      </c>
      <c r="W100" s="188">
        <f t="shared" si="8"/>
        <v>3.8877755168484442E-2</v>
      </c>
      <c r="Y100" s="188"/>
      <c r="AB100" s="188"/>
    </row>
    <row r="101" spans="1:28" x14ac:dyDescent="0.25">
      <c r="A101" t="s">
        <v>517</v>
      </c>
      <c r="B101" t="s">
        <v>363</v>
      </c>
      <c r="C101">
        <f t="shared" si="9"/>
        <v>6022</v>
      </c>
      <c r="D101">
        <v>2689</v>
      </c>
      <c r="E101">
        <v>3333</v>
      </c>
      <c r="F101">
        <v>0</v>
      </c>
      <c r="G101">
        <v>572</v>
      </c>
      <c r="H101">
        <v>14</v>
      </c>
      <c r="I101">
        <v>89</v>
      </c>
      <c r="J101">
        <v>2547</v>
      </c>
      <c r="K101">
        <v>2180</v>
      </c>
      <c r="L101">
        <v>221</v>
      </c>
      <c r="M101">
        <v>59</v>
      </c>
      <c r="N101">
        <v>471</v>
      </c>
      <c r="O101">
        <v>13</v>
      </c>
      <c r="P101" s="128">
        <v>2918</v>
      </c>
      <c r="Q101" s="128">
        <v>2309</v>
      </c>
      <c r="R101" s="128">
        <v>609</v>
      </c>
      <c r="S101" s="128">
        <f t="shared" si="5"/>
        <v>6535531</v>
      </c>
      <c r="T101">
        <f t="shared" si="6"/>
        <v>513531</v>
      </c>
      <c r="U101">
        <f t="shared" si="7"/>
        <v>513531</v>
      </c>
      <c r="V101">
        <v>58921</v>
      </c>
      <c r="W101" s="188">
        <f t="shared" si="8"/>
        <v>8.7155852751989952E-3</v>
      </c>
      <c r="Y101" s="188"/>
      <c r="AB101" s="188"/>
    </row>
    <row r="102" spans="1:28" x14ac:dyDescent="0.25">
      <c r="A102" t="s">
        <v>517</v>
      </c>
      <c r="B102" t="s">
        <v>364</v>
      </c>
      <c r="C102">
        <f t="shared" si="9"/>
        <v>5518</v>
      </c>
      <c r="D102">
        <v>3854</v>
      </c>
      <c r="E102">
        <v>1664</v>
      </c>
      <c r="F102">
        <v>327</v>
      </c>
      <c r="G102">
        <v>0</v>
      </c>
      <c r="H102">
        <v>513</v>
      </c>
      <c r="I102">
        <v>293</v>
      </c>
      <c r="J102">
        <v>3783</v>
      </c>
      <c r="K102">
        <v>4269</v>
      </c>
      <c r="L102">
        <v>433</v>
      </c>
      <c r="M102">
        <v>0</v>
      </c>
      <c r="N102">
        <v>787</v>
      </c>
      <c r="O102">
        <v>69</v>
      </c>
      <c r="P102" s="128">
        <v>5524</v>
      </c>
      <c r="Q102" s="128">
        <v>4905</v>
      </c>
      <c r="R102" s="128">
        <v>619</v>
      </c>
      <c r="S102" s="128">
        <f t="shared" si="5"/>
        <v>11382978.999999998</v>
      </c>
      <c r="T102">
        <f t="shared" si="6"/>
        <v>5864978.9999999981</v>
      </c>
      <c r="U102">
        <f t="shared" si="7"/>
        <v>5864978.9999999981</v>
      </c>
      <c r="V102">
        <v>98353</v>
      </c>
      <c r="W102" s="188">
        <f t="shared" si="8"/>
        <v>5.9631927851717774E-2</v>
      </c>
      <c r="Y102" s="188"/>
      <c r="AB102" s="188"/>
    </row>
    <row r="103" spans="1:28" x14ac:dyDescent="0.25">
      <c r="A103" t="s">
        <v>517</v>
      </c>
      <c r="B103" t="s">
        <v>365</v>
      </c>
      <c r="C103">
        <f t="shared" si="9"/>
        <v>8484</v>
      </c>
      <c r="D103">
        <v>5689</v>
      </c>
      <c r="E103">
        <v>2795</v>
      </c>
      <c r="F103">
        <v>0</v>
      </c>
      <c r="G103">
        <v>0</v>
      </c>
      <c r="H103">
        <v>114</v>
      </c>
      <c r="I103">
        <v>219</v>
      </c>
      <c r="J103">
        <v>2489</v>
      </c>
      <c r="K103">
        <v>2717</v>
      </c>
      <c r="L103">
        <v>302</v>
      </c>
      <c r="M103">
        <v>0</v>
      </c>
      <c r="N103">
        <v>1860</v>
      </c>
      <c r="O103">
        <v>265</v>
      </c>
      <c r="P103" s="128">
        <v>4321</v>
      </c>
      <c r="Q103" s="128">
        <v>3652</v>
      </c>
      <c r="R103" s="128">
        <v>669</v>
      </c>
      <c r="S103" s="128">
        <f t="shared" si="5"/>
        <v>9246469.9999999981</v>
      </c>
      <c r="T103">
        <f t="shared" si="6"/>
        <v>762469.99999999814</v>
      </c>
      <c r="U103">
        <f t="shared" si="7"/>
        <v>762469.99999999814</v>
      </c>
      <c r="V103">
        <v>95470</v>
      </c>
      <c r="W103" s="188">
        <f t="shared" si="8"/>
        <v>7.9864879019587113E-3</v>
      </c>
      <c r="Y103" s="188"/>
      <c r="AB103" s="188"/>
    </row>
    <row r="104" spans="1:28" x14ac:dyDescent="0.25">
      <c r="A104" t="s">
        <v>526</v>
      </c>
      <c r="B104" t="s">
        <v>405</v>
      </c>
      <c r="C104">
        <f t="shared" si="9"/>
        <v>3118</v>
      </c>
      <c r="D104">
        <v>2120</v>
      </c>
      <c r="E104">
        <v>998</v>
      </c>
      <c r="F104">
        <v>0</v>
      </c>
      <c r="G104">
        <v>0</v>
      </c>
      <c r="H104">
        <v>1136</v>
      </c>
      <c r="I104">
        <v>84</v>
      </c>
      <c r="J104">
        <v>1946</v>
      </c>
      <c r="K104">
        <v>1229</v>
      </c>
      <c r="L104">
        <v>153</v>
      </c>
      <c r="M104">
        <v>28</v>
      </c>
      <c r="N104">
        <v>333</v>
      </c>
      <c r="O104">
        <v>282</v>
      </c>
      <c r="P104" s="128">
        <v>2264</v>
      </c>
      <c r="Q104" s="128">
        <v>1916</v>
      </c>
      <c r="R104" s="128">
        <v>348</v>
      </c>
      <c r="S104" s="128">
        <f t="shared" si="5"/>
        <v>4840036</v>
      </c>
      <c r="T104">
        <f t="shared" si="6"/>
        <v>1722036</v>
      </c>
      <c r="U104">
        <f t="shared" si="7"/>
        <v>1722036</v>
      </c>
      <c r="V104">
        <v>51523</v>
      </c>
      <c r="W104" s="188">
        <f t="shared" si="8"/>
        <v>3.3422665605651845E-2</v>
      </c>
      <c r="Y104" s="188"/>
      <c r="AB104" s="188"/>
    </row>
    <row r="105" spans="1:28" x14ac:dyDescent="0.25">
      <c r="A105" t="s">
        <v>517</v>
      </c>
      <c r="B105" t="s">
        <v>366</v>
      </c>
      <c r="C105">
        <f t="shared" si="9"/>
        <v>7336</v>
      </c>
      <c r="D105">
        <v>3327</v>
      </c>
      <c r="E105">
        <v>4009</v>
      </c>
      <c r="F105">
        <v>0</v>
      </c>
      <c r="G105">
        <v>0</v>
      </c>
      <c r="H105">
        <v>0</v>
      </c>
      <c r="I105">
        <v>402</v>
      </c>
      <c r="J105">
        <v>1345</v>
      </c>
      <c r="K105">
        <v>2144</v>
      </c>
      <c r="L105">
        <v>263</v>
      </c>
      <c r="M105">
        <v>0</v>
      </c>
      <c r="N105">
        <v>525</v>
      </c>
      <c r="O105">
        <v>127</v>
      </c>
      <c r="P105" s="128">
        <v>3790</v>
      </c>
      <c r="Q105" s="128">
        <v>2917</v>
      </c>
      <c r="R105" s="128">
        <v>873</v>
      </c>
      <c r="S105" s="128">
        <f t="shared" si="5"/>
        <v>8640538.9999999981</v>
      </c>
      <c r="T105">
        <f t="shared" si="6"/>
        <v>1304538.9999999981</v>
      </c>
      <c r="U105">
        <f t="shared" si="7"/>
        <v>1304538.9999999981</v>
      </c>
      <c r="V105">
        <v>73918</v>
      </c>
      <c r="W105" s="188">
        <f t="shared" si="8"/>
        <v>1.7648461809031603E-2</v>
      </c>
      <c r="Y105" s="188"/>
      <c r="AB105" s="188"/>
    </row>
    <row r="106" spans="1:28" x14ac:dyDescent="0.25">
      <c r="A106" t="s">
        <v>521</v>
      </c>
      <c r="B106" t="s">
        <v>292</v>
      </c>
      <c r="C106">
        <f t="shared" si="9"/>
        <v>9658</v>
      </c>
      <c r="D106">
        <v>7320</v>
      </c>
      <c r="E106">
        <v>2338</v>
      </c>
      <c r="F106">
        <v>18</v>
      </c>
      <c r="G106">
        <v>13</v>
      </c>
      <c r="H106">
        <v>2808</v>
      </c>
      <c r="I106">
        <v>569</v>
      </c>
      <c r="J106">
        <v>5998</v>
      </c>
      <c r="K106">
        <v>5739</v>
      </c>
      <c r="L106">
        <v>546</v>
      </c>
      <c r="M106">
        <v>1076</v>
      </c>
      <c r="N106">
        <v>1830</v>
      </c>
      <c r="O106">
        <v>260</v>
      </c>
      <c r="P106" s="128">
        <v>7199</v>
      </c>
      <c r="Q106" s="128">
        <v>6023</v>
      </c>
      <c r="R106" s="128">
        <v>1176</v>
      </c>
      <c r="S106" s="128">
        <f t="shared" si="5"/>
        <v>15518874.999999998</v>
      </c>
      <c r="T106">
        <f t="shared" si="6"/>
        <v>5860874.9999999981</v>
      </c>
      <c r="U106">
        <f t="shared" si="7"/>
        <v>5860874.9999999981</v>
      </c>
      <c r="V106">
        <v>189366</v>
      </c>
      <c r="W106" s="188">
        <f t="shared" si="8"/>
        <v>3.0949985741896634E-2</v>
      </c>
      <c r="Y106" s="188"/>
      <c r="AB106" s="188"/>
    </row>
    <row r="107" spans="1:28" x14ac:dyDescent="0.25">
      <c r="A107" t="s">
        <v>528</v>
      </c>
      <c r="B107" t="s">
        <v>331</v>
      </c>
      <c r="C107">
        <f t="shared" si="9"/>
        <v>10707</v>
      </c>
      <c r="D107">
        <v>6010</v>
      </c>
      <c r="E107">
        <v>4697</v>
      </c>
      <c r="F107">
        <v>3071</v>
      </c>
      <c r="G107">
        <v>345</v>
      </c>
      <c r="H107">
        <v>302</v>
      </c>
      <c r="I107">
        <v>2</v>
      </c>
      <c r="J107">
        <v>4027</v>
      </c>
      <c r="K107">
        <v>3803</v>
      </c>
      <c r="L107">
        <v>31</v>
      </c>
      <c r="M107">
        <v>422</v>
      </c>
      <c r="N107">
        <v>2803</v>
      </c>
      <c r="O107">
        <v>680</v>
      </c>
      <c r="P107" s="128">
        <v>5330</v>
      </c>
      <c r="Q107" s="128">
        <v>4172</v>
      </c>
      <c r="R107" s="128">
        <v>1158</v>
      </c>
      <c r="S107" s="128">
        <f t="shared" si="5"/>
        <v>12022263.999999998</v>
      </c>
      <c r="T107">
        <f t="shared" si="6"/>
        <v>1315263.9999999981</v>
      </c>
      <c r="U107">
        <f t="shared" si="7"/>
        <v>1315263.9999999981</v>
      </c>
      <c r="V107">
        <v>147600</v>
      </c>
      <c r="W107" s="188">
        <f t="shared" si="8"/>
        <v>8.9110027100270869E-3</v>
      </c>
      <c r="Y107" s="188"/>
      <c r="AB107" s="188"/>
    </row>
    <row r="108" spans="1:28" x14ac:dyDescent="0.25">
      <c r="A108" t="s">
        <v>517</v>
      </c>
      <c r="B108" t="s">
        <v>367</v>
      </c>
      <c r="C108">
        <f t="shared" si="9"/>
        <v>5748</v>
      </c>
      <c r="D108">
        <v>4014</v>
      </c>
      <c r="E108">
        <v>1734</v>
      </c>
      <c r="F108">
        <v>0</v>
      </c>
      <c r="G108">
        <v>0</v>
      </c>
      <c r="H108">
        <v>52</v>
      </c>
      <c r="I108">
        <v>359</v>
      </c>
      <c r="J108">
        <v>2285</v>
      </c>
      <c r="K108">
        <v>2227</v>
      </c>
      <c r="L108">
        <v>242</v>
      </c>
      <c r="M108">
        <v>0</v>
      </c>
      <c r="N108">
        <v>839</v>
      </c>
      <c r="O108">
        <v>131</v>
      </c>
      <c r="P108" s="128">
        <v>3410</v>
      </c>
      <c r="Q108" s="128">
        <v>3043</v>
      </c>
      <c r="R108" s="128">
        <v>368</v>
      </c>
      <c r="S108" s="128">
        <f t="shared" si="5"/>
        <v>7002486.9999999991</v>
      </c>
      <c r="T108">
        <f t="shared" si="6"/>
        <v>1254486.9999999991</v>
      </c>
      <c r="U108">
        <f t="shared" si="7"/>
        <v>1254486.9999999991</v>
      </c>
      <c r="V108">
        <v>59972</v>
      </c>
      <c r="W108" s="188">
        <f t="shared" si="8"/>
        <v>2.0917878343226823E-2</v>
      </c>
      <c r="Y108" s="188"/>
      <c r="AB108" s="188"/>
    </row>
    <row r="109" spans="1:28" x14ac:dyDescent="0.25">
      <c r="A109" t="s">
        <v>518</v>
      </c>
      <c r="B109" t="s">
        <v>490</v>
      </c>
      <c r="C109">
        <f t="shared" si="9"/>
        <v>10978</v>
      </c>
      <c r="D109">
        <v>8319</v>
      </c>
      <c r="E109">
        <v>2659</v>
      </c>
      <c r="F109">
        <v>1894</v>
      </c>
      <c r="G109">
        <v>2232</v>
      </c>
      <c r="H109">
        <v>19</v>
      </c>
      <c r="I109">
        <v>166</v>
      </c>
      <c r="J109">
        <v>5647</v>
      </c>
      <c r="K109">
        <v>6097</v>
      </c>
      <c r="L109">
        <v>641</v>
      </c>
      <c r="M109">
        <v>681</v>
      </c>
      <c r="N109">
        <v>2417</v>
      </c>
      <c r="O109">
        <v>1742</v>
      </c>
      <c r="P109" s="128">
        <v>12562</v>
      </c>
      <c r="Q109" s="128">
        <v>11619</v>
      </c>
      <c r="R109" s="128">
        <v>944</v>
      </c>
      <c r="S109" s="128">
        <f t="shared" si="5"/>
        <v>25028470.999999996</v>
      </c>
      <c r="T109">
        <f t="shared" si="6"/>
        <v>14050470.999999996</v>
      </c>
      <c r="U109">
        <f t="shared" si="7"/>
        <v>14050470.999999996</v>
      </c>
      <c r="V109">
        <v>153876</v>
      </c>
      <c r="W109" s="188">
        <f t="shared" si="8"/>
        <v>9.1310347292625202E-2</v>
      </c>
      <c r="Y109" s="188"/>
      <c r="AB109" s="188"/>
    </row>
    <row r="110" spans="1:28" x14ac:dyDescent="0.25">
      <c r="A110" t="s">
        <v>521</v>
      </c>
      <c r="B110" t="s">
        <v>293</v>
      </c>
      <c r="C110">
        <f t="shared" si="9"/>
        <v>9383</v>
      </c>
      <c r="D110">
        <v>4540</v>
      </c>
      <c r="E110">
        <v>4843</v>
      </c>
      <c r="F110">
        <v>1480</v>
      </c>
      <c r="G110">
        <v>407</v>
      </c>
      <c r="H110">
        <v>0</v>
      </c>
      <c r="I110">
        <v>305</v>
      </c>
      <c r="J110">
        <v>3983</v>
      </c>
      <c r="K110">
        <v>4199</v>
      </c>
      <c r="L110">
        <v>425</v>
      </c>
      <c r="M110">
        <v>186</v>
      </c>
      <c r="N110">
        <v>2469</v>
      </c>
      <c r="O110">
        <v>1484</v>
      </c>
      <c r="P110" s="128">
        <v>4723</v>
      </c>
      <c r="Q110" s="128">
        <v>3776</v>
      </c>
      <c r="R110" s="128">
        <v>947</v>
      </c>
      <c r="S110" s="128">
        <f t="shared" si="5"/>
        <v>10506509.999999998</v>
      </c>
      <c r="T110">
        <f t="shared" si="6"/>
        <v>1123509.9999999981</v>
      </c>
      <c r="U110">
        <f t="shared" si="7"/>
        <v>1123509.9999999981</v>
      </c>
      <c r="V110">
        <v>176187</v>
      </c>
      <c r="W110" s="188">
        <f t="shared" si="8"/>
        <v>6.3768041910015954E-3</v>
      </c>
      <c r="Y110" s="188"/>
      <c r="AB110" s="188"/>
    </row>
    <row r="111" spans="1:28" x14ac:dyDescent="0.25">
      <c r="A111" t="s">
        <v>521</v>
      </c>
      <c r="B111" t="s">
        <v>294</v>
      </c>
      <c r="C111">
        <f t="shared" si="9"/>
        <v>15191</v>
      </c>
      <c r="D111">
        <v>7412</v>
      </c>
      <c r="E111">
        <v>7779</v>
      </c>
      <c r="F111">
        <v>3425</v>
      </c>
      <c r="G111">
        <v>2103</v>
      </c>
      <c r="H111">
        <v>15</v>
      </c>
      <c r="I111">
        <v>251</v>
      </c>
      <c r="J111">
        <v>19230</v>
      </c>
      <c r="K111">
        <v>9595</v>
      </c>
      <c r="L111">
        <v>811</v>
      </c>
      <c r="M111">
        <v>0</v>
      </c>
      <c r="N111">
        <v>2579</v>
      </c>
      <c r="O111">
        <v>264</v>
      </c>
      <c r="P111" s="128">
        <v>8866</v>
      </c>
      <c r="Q111" s="128">
        <v>7351</v>
      </c>
      <c r="R111" s="128">
        <v>1515</v>
      </c>
      <c r="S111" s="128">
        <f t="shared" si="5"/>
        <v>19235992.999999996</v>
      </c>
      <c r="T111">
        <f t="shared" si="6"/>
        <v>4044992.9999999963</v>
      </c>
      <c r="U111">
        <f t="shared" si="7"/>
        <v>4044992.9999999963</v>
      </c>
      <c r="V111">
        <v>299851</v>
      </c>
      <c r="W111" s="188">
        <f t="shared" si="8"/>
        <v>1.349001003831902E-2</v>
      </c>
      <c r="Y111" s="188"/>
      <c r="AB111" s="188"/>
    </row>
    <row r="112" spans="1:28" x14ac:dyDescent="0.25">
      <c r="A112" t="s">
        <v>517</v>
      </c>
      <c r="B112" t="s">
        <v>368</v>
      </c>
      <c r="C112">
        <f t="shared" si="9"/>
        <v>2975</v>
      </c>
      <c r="D112">
        <v>2659</v>
      </c>
      <c r="E112">
        <v>316</v>
      </c>
      <c r="F112">
        <v>16</v>
      </c>
      <c r="G112">
        <v>0</v>
      </c>
      <c r="H112">
        <v>0</v>
      </c>
      <c r="I112">
        <v>149</v>
      </c>
      <c r="J112">
        <v>1128</v>
      </c>
      <c r="K112">
        <v>30</v>
      </c>
      <c r="L112">
        <v>144</v>
      </c>
      <c r="M112">
        <v>54</v>
      </c>
      <c r="N112">
        <v>490</v>
      </c>
      <c r="O112">
        <v>139</v>
      </c>
      <c r="P112" s="128">
        <v>1480</v>
      </c>
      <c r="Q112" s="128">
        <v>1257</v>
      </c>
      <c r="R112" s="128">
        <v>222</v>
      </c>
      <c r="S112" s="128">
        <f t="shared" si="5"/>
        <v>3151953</v>
      </c>
      <c r="T112">
        <f t="shared" si="6"/>
        <v>176953</v>
      </c>
      <c r="U112">
        <f t="shared" si="7"/>
        <v>176953</v>
      </c>
      <c r="V112">
        <v>32049</v>
      </c>
      <c r="W112" s="188">
        <f t="shared" si="8"/>
        <v>5.5213267184623547E-3</v>
      </c>
      <c r="Y112" s="188"/>
      <c r="AB112" s="188"/>
    </row>
    <row r="113" spans="1:28" x14ac:dyDescent="0.25">
      <c r="A113" t="s">
        <v>525</v>
      </c>
      <c r="B113" t="s">
        <v>121</v>
      </c>
      <c r="C113">
        <f t="shared" si="9"/>
        <v>89312</v>
      </c>
      <c r="D113">
        <v>44666</v>
      </c>
      <c r="E113">
        <v>44646</v>
      </c>
      <c r="F113">
        <v>12457</v>
      </c>
      <c r="G113">
        <v>800</v>
      </c>
      <c r="H113">
        <v>1732</v>
      </c>
      <c r="I113">
        <v>1169</v>
      </c>
      <c r="J113">
        <v>18772</v>
      </c>
      <c r="K113">
        <v>37621</v>
      </c>
      <c r="L113">
        <v>2319</v>
      </c>
      <c r="M113">
        <v>1373</v>
      </c>
      <c r="N113">
        <v>20308</v>
      </c>
      <c r="O113">
        <v>6322</v>
      </c>
      <c r="P113" s="128">
        <v>29544</v>
      </c>
      <c r="Q113" s="128">
        <v>23865</v>
      </c>
      <c r="R113" s="128">
        <v>5679</v>
      </c>
      <c r="S113" s="128">
        <f t="shared" si="5"/>
        <v>65268218.999999985</v>
      </c>
      <c r="T113">
        <f t="shared" si="6"/>
        <v>-24043781.000000015</v>
      </c>
      <c r="U113">
        <f t="shared" si="7"/>
        <v>0</v>
      </c>
      <c r="V113">
        <v>1098597</v>
      </c>
      <c r="W113" s="188">
        <f t="shared" si="8"/>
        <v>-2.1885897194330602E-2</v>
      </c>
      <c r="Y113" s="188"/>
      <c r="AB113" s="188"/>
    </row>
    <row r="114" spans="1:28" x14ac:dyDescent="0.25">
      <c r="A114" t="s">
        <v>526</v>
      </c>
      <c r="B114" t="s">
        <v>406</v>
      </c>
      <c r="C114">
        <f t="shared" si="9"/>
        <v>3851</v>
      </c>
      <c r="D114">
        <v>2659</v>
      </c>
      <c r="E114">
        <v>1192</v>
      </c>
      <c r="F114">
        <v>0</v>
      </c>
      <c r="G114">
        <v>0</v>
      </c>
      <c r="H114">
        <v>992</v>
      </c>
      <c r="I114">
        <v>6</v>
      </c>
      <c r="J114">
        <v>1988</v>
      </c>
      <c r="K114">
        <v>1263</v>
      </c>
      <c r="L114">
        <v>143</v>
      </c>
      <c r="M114">
        <v>18</v>
      </c>
      <c r="N114">
        <v>332</v>
      </c>
      <c r="O114">
        <v>23</v>
      </c>
      <c r="P114" s="128">
        <v>1906</v>
      </c>
      <c r="Q114" s="128">
        <v>1677</v>
      </c>
      <c r="R114" s="128">
        <v>229</v>
      </c>
      <c r="S114" s="128">
        <f t="shared" si="5"/>
        <v>3956154.9999999995</v>
      </c>
      <c r="T114">
        <f t="shared" si="6"/>
        <v>105154.99999999953</v>
      </c>
      <c r="U114">
        <f t="shared" si="7"/>
        <v>105154.99999999953</v>
      </c>
      <c r="V114">
        <v>41921</v>
      </c>
      <c r="W114" s="188">
        <f t="shared" si="8"/>
        <v>2.508408673457206E-3</v>
      </c>
      <c r="Y114" s="188"/>
      <c r="AB114" s="188"/>
    </row>
    <row r="115" spans="1:28" x14ac:dyDescent="0.25">
      <c r="A115" t="s">
        <v>522</v>
      </c>
      <c r="B115" t="s">
        <v>147</v>
      </c>
      <c r="C115">
        <f t="shared" si="9"/>
        <v>5877</v>
      </c>
      <c r="D115">
        <v>3492</v>
      </c>
      <c r="E115">
        <v>2385</v>
      </c>
      <c r="F115">
        <v>1</v>
      </c>
      <c r="G115">
        <v>0</v>
      </c>
      <c r="H115">
        <v>150</v>
      </c>
      <c r="I115">
        <v>242</v>
      </c>
      <c r="J115">
        <v>3789</v>
      </c>
      <c r="K115">
        <v>2031</v>
      </c>
      <c r="L115">
        <v>239</v>
      </c>
      <c r="M115">
        <v>18</v>
      </c>
      <c r="N115">
        <v>711</v>
      </c>
      <c r="O115">
        <v>97</v>
      </c>
      <c r="P115" s="128">
        <v>3060</v>
      </c>
      <c r="Q115" s="128">
        <v>2526</v>
      </c>
      <c r="R115" s="128">
        <v>534</v>
      </c>
      <c r="S115" s="128">
        <f t="shared" si="5"/>
        <v>6659681.9999999991</v>
      </c>
      <c r="T115">
        <f t="shared" si="6"/>
        <v>782681.99999999907</v>
      </c>
      <c r="U115">
        <f t="shared" si="7"/>
        <v>782681.99999999907</v>
      </c>
      <c r="V115">
        <v>63363</v>
      </c>
      <c r="W115" s="188">
        <f t="shared" si="8"/>
        <v>1.2352350740968689E-2</v>
      </c>
      <c r="Y115" s="188"/>
      <c r="AB115" s="188"/>
    </row>
    <row r="116" spans="1:28" x14ac:dyDescent="0.25">
      <c r="A116" t="s">
        <v>517</v>
      </c>
      <c r="B116" t="s">
        <v>369</v>
      </c>
      <c r="C116">
        <f t="shared" si="9"/>
        <v>3436</v>
      </c>
      <c r="D116">
        <v>2530</v>
      </c>
      <c r="E116">
        <v>906</v>
      </c>
      <c r="F116">
        <v>0</v>
      </c>
      <c r="G116">
        <v>0</v>
      </c>
      <c r="H116">
        <v>134</v>
      </c>
      <c r="I116">
        <v>3</v>
      </c>
      <c r="J116">
        <v>1597</v>
      </c>
      <c r="K116">
        <v>1025</v>
      </c>
      <c r="L116">
        <v>147</v>
      </c>
      <c r="M116">
        <v>0</v>
      </c>
      <c r="N116">
        <v>281</v>
      </c>
      <c r="O116">
        <v>160</v>
      </c>
      <c r="P116" s="128">
        <v>2264</v>
      </c>
      <c r="Q116" s="128">
        <v>1980</v>
      </c>
      <c r="R116" s="128">
        <v>283</v>
      </c>
      <c r="S116" s="128">
        <f>0.1853%*SUM(Q116,R116,R116)*1000000</f>
        <v>4717738</v>
      </c>
      <c r="T116">
        <f>SUM(S116,-C116*1000)</f>
        <v>1281738</v>
      </c>
      <c r="U116">
        <f>IF(T116&gt;0,T116,0)</f>
        <v>1281738</v>
      </c>
      <c r="V116">
        <v>33784</v>
      </c>
      <c r="W116" s="188">
        <f>T116/(V116*1000)</f>
        <v>3.7939201989107267E-2</v>
      </c>
      <c r="Y116" s="188"/>
      <c r="AB116" s="188"/>
    </row>
    <row r="117" spans="1:28" x14ac:dyDescent="0.25">
      <c r="A117" t="s">
        <v>518</v>
      </c>
      <c r="B117" t="s">
        <v>252</v>
      </c>
      <c r="C117">
        <f t="shared" si="9"/>
        <v>42306</v>
      </c>
      <c r="D117">
        <v>23274</v>
      </c>
      <c r="E117">
        <v>19032</v>
      </c>
      <c r="F117">
        <v>1233</v>
      </c>
      <c r="G117">
        <v>6631</v>
      </c>
      <c r="H117">
        <v>1274</v>
      </c>
      <c r="I117">
        <v>2014</v>
      </c>
      <c r="J117">
        <v>12443</v>
      </c>
      <c r="K117">
        <v>24945</v>
      </c>
      <c r="L117">
        <v>2045</v>
      </c>
      <c r="M117">
        <v>923</v>
      </c>
      <c r="N117">
        <v>7416</v>
      </c>
      <c r="O117">
        <v>17205</v>
      </c>
      <c r="P117" s="128">
        <v>31355</v>
      </c>
      <c r="Q117" s="128">
        <v>27484</v>
      </c>
      <c r="R117" s="128">
        <v>3871</v>
      </c>
      <c r="S117" s="128">
        <f t="shared" si="5"/>
        <v>65273777.999999993</v>
      </c>
      <c r="T117">
        <f t="shared" si="6"/>
        <v>22967777.999999993</v>
      </c>
      <c r="U117">
        <f t="shared" si="7"/>
        <v>22967777.999999993</v>
      </c>
      <c r="V117">
        <v>643347</v>
      </c>
      <c r="W117" s="188">
        <f t="shared" si="8"/>
        <v>3.570045092306328E-2</v>
      </c>
      <c r="Y117" s="188"/>
      <c r="AB117" s="188"/>
    </row>
    <row r="118" spans="1:28" x14ac:dyDescent="0.25">
      <c r="A118" t="s">
        <v>518</v>
      </c>
      <c r="B118" t="s">
        <v>253</v>
      </c>
      <c r="C118">
        <f t="shared" si="9"/>
        <v>78445</v>
      </c>
      <c r="D118">
        <v>18479</v>
      </c>
      <c r="E118">
        <v>59966</v>
      </c>
      <c r="F118">
        <v>2382</v>
      </c>
      <c r="G118">
        <v>6569</v>
      </c>
      <c r="H118">
        <v>4114</v>
      </c>
      <c r="I118">
        <v>1729</v>
      </c>
      <c r="J118">
        <v>9670</v>
      </c>
      <c r="K118">
        <v>18199</v>
      </c>
      <c r="L118">
        <v>1890</v>
      </c>
      <c r="M118">
        <v>758</v>
      </c>
      <c r="N118">
        <v>12293</v>
      </c>
      <c r="O118">
        <v>842</v>
      </c>
      <c r="P118" s="128">
        <v>33232</v>
      </c>
      <c r="Q118" s="128">
        <v>21825</v>
      </c>
      <c r="R118" s="128">
        <v>11407</v>
      </c>
      <c r="S118" s="128">
        <f t="shared" si="5"/>
        <v>82716067</v>
      </c>
      <c r="T118">
        <f t="shared" si="6"/>
        <v>4271067</v>
      </c>
      <c r="U118">
        <f t="shared" si="7"/>
        <v>4271067</v>
      </c>
      <c r="V118">
        <v>521956</v>
      </c>
      <c r="W118" s="188">
        <f t="shared" si="8"/>
        <v>8.1828104284652342E-3</v>
      </c>
      <c r="Y118" s="188"/>
      <c r="AB118" s="188"/>
    </row>
    <row r="119" spans="1:28" x14ac:dyDescent="0.25">
      <c r="A119" t="s">
        <v>517</v>
      </c>
      <c r="B119" t="s">
        <v>370</v>
      </c>
      <c r="C119">
        <f t="shared" si="9"/>
        <v>6848</v>
      </c>
      <c r="D119">
        <v>3604</v>
      </c>
      <c r="E119">
        <v>3244</v>
      </c>
      <c r="F119">
        <v>0</v>
      </c>
      <c r="G119">
        <v>0</v>
      </c>
      <c r="H119">
        <v>214</v>
      </c>
      <c r="I119">
        <v>0</v>
      </c>
      <c r="J119">
        <v>2987</v>
      </c>
      <c r="K119">
        <v>3690</v>
      </c>
      <c r="L119">
        <v>337</v>
      </c>
      <c r="M119">
        <v>28</v>
      </c>
      <c r="N119">
        <v>840</v>
      </c>
      <c r="O119">
        <v>122</v>
      </c>
      <c r="P119" s="128">
        <v>4296</v>
      </c>
      <c r="Q119" s="128">
        <v>3436</v>
      </c>
      <c r="R119" s="128">
        <v>860</v>
      </c>
      <c r="S119" s="128">
        <f t="shared" si="5"/>
        <v>9554068</v>
      </c>
      <c r="T119">
        <f t="shared" si="6"/>
        <v>2706068</v>
      </c>
      <c r="U119">
        <f t="shared" si="7"/>
        <v>2706068</v>
      </c>
      <c r="V119">
        <v>80635</v>
      </c>
      <c r="W119" s="188">
        <f t="shared" si="8"/>
        <v>3.3559471693433374E-2</v>
      </c>
      <c r="Y119" s="188"/>
      <c r="AB119" s="188"/>
    </row>
    <row r="120" spans="1:28" x14ac:dyDescent="0.25">
      <c r="A120" t="s">
        <v>522</v>
      </c>
      <c r="B120" t="s">
        <v>148</v>
      </c>
      <c r="C120">
        <f t="shared" si="9"/>
        <v>14433</v>
      </c>
      <c r="D120">
        <v>6530</v>
      </c>
      <c r="E120">
        <v>7903</v>
      </c>
      <c r="F120">
        <v>1095</v>
      </c>
      <c r="G120">
        <v>0</v>
      </c>
      <c r="H120">
        <v>1561</v>
      </c>
      <c r="I120">
        <v>332</v>
      </c>
      <c r="J120">
        <v>6884</v>
      </c>
      <c r="K120">
        <v>5611</v>
      </c>
      <c r="L120">
        <v>636</v>
      </c>
      <c r="M120">
        <v>493</v>
      </c>
      <c r="N120">
        <v>2027</v>
      </c>
      <c r="O120">
        <v>350</v>
      </c>
      <c r="P120" s="128">
        <v>6866</v>
      </c>
      <c r="Q120" s="128">
        <v>5453</v>
      </c>
      <c r="R120" s="128">
        <v>1414</v>
      </c>
      <c r="S120" s="128">
        <f t="shared" si="5"/>
        <v>15344693</v>
      </c>
      <c r="T120">
        <f t="shared" si="6"/>
        <v>911693</v>
      </c>
      <c r="U120">
        <f t="shared" si="7"/>
        <v>911693</v>
      </c>
      <c r="V120">
        <v>188713</v>
      </c>
      <c r="W120" s="188">
        <f t="shared" si="8"/>
        <v>4.8311086146688356E-3</v>
      </c>
      <c r="Y120" s="188"/>
      <c r="AB120" s="188"/>
    </row>
    <row r="121" spans="1:28" x14ac:dyDescent="0.25">
      <c r="A121" t="s">
        <v>519</v>
      </c>
      <c r="B121" t="s">
        <v>183</v>
      </c>
      <c r="C121">
        <f t="shared" si="9"/>
        <v>10090</v>
      </c>
      <c r="D121">
        <v>5904</v>
      </c>
      <c r="E121">
        <v>4186</v>
      </c>
      <c r="F121">
        <v>1358</v>
      </c>
      <c r="G121">
        <v>1769</v>
      </c>
      <c r="H121">
        <v>309</v>
      </c>
      <c r="I121">
        <v>248</v>
      </c>
      <c r="J121">
        <v>3523</v>
      </c>
      <c r="K121">
        <v>3905</v>
      </c>
      <c r="L121">
        <v>514</v>
      </c>
      <c r="M121">
        <v>892</v>
      </c>
      <c r="N121">
        <v>1133</v>
      </c>
      <c r="O121">
        <v>590</v>
      </c>
      <c r="P121" s="128">
        <v>6429</v>
      </c>
      <c r="Q121" s="128">
        <v>5440</v>
      </c>
      <c r="R121" s="128">
        <v>989</v>
      </c>
      <c r="S121" s="128">
        <f t="shared" si="5"/>
        <v>13745553.999999998</v>
      </c>
      <c r="T121">
        <f t="shared" si="6"/>
        <v>3655553.9999999981</v>
      </c>
      <c r="U121">
        <f t="shared" si="7"/>
        <v>3655553.9999999981</v>
      </c>
      <c r="V121">
        <v>198669</v>
      </c>
      <c r="W121" s="188">
        <f t="shared" si="8"/>
        <v>1.8400223487308024E-2</v>
      </c>
      <c r="Y121" s="188"/>
      <c r="AB121" s="188"/>
    </row>
    <row r="122" spans="1:28" x14ac:dyDescent="0.25">
      <c r="A122" t="s">
        <v>521</v>
      </c>
      <c r="B122" t="s">
        <v>295</v>
      </c>
      <c r="C122">
        <f t="shared" si="9"/>
        <v>3674</v>
      </c>
      <c r="D122">
        <v>2249</v>
      </c>
      <c r="E122">
        <v>1425</v>
      </c>
      <c r="F122">
        <v>0</v>
      </c>
      <c r="G122">
        <v>94</v>
      </c>
      <c r="H122">
        <v>0</v>
      </c>
      <c r="I122">
        <v>154</v>
      </c>
      <c r="J122">
        <v>1804</v>
      </c>
      <c r="K122">
        <v>2071</v>
      </c>
      <c r="L122">
        <v>170</v>
      </c>
      <c r="M122">
        <v>403</v>
      </c>
      <c r="N122">
        <v>347</v>
      </c>
      <c r="O122">
        <v>47</v>
      </c>
      <c r="P122" s="128">
        <v>2279</v>
      </c>
      <c r="Q122" s="128">
        <v>1877</v>
      </c>
      <c r="R122" s="128">
        <v>401</v>
      </c>
      <c r="S122" s="128">
        <f t="shared" si="5"/>
        <v>4964187</v>
      </c>
      <c r="T122">
        <f t="shared" si="6"/>
        <v>1290187</v>
      </c>
      <c r="U122">
        <f t="shared" si="7"/>
        <v>1290187</v>
      </c>
      <c r="V122">
        <v>61546</v>
      </c>
      <c r="W122" s="188">
        <f t="shared" si="8"/>
        <v>2.0962970786078707E-2</v>
      </c>
      <c r="Y122" s="188"/>
      <c r="AB122" s="188"/>
    </row>
    <row r="123" spans="1:28" x14ac:dyDescent="0.25">
      <c r="A123" t="s">
        <v>520</v>
      </c>
      <c r="B123" t="s">
        <v>130</v>
      </c>
      <c r="C123">
        <f t="shared" si="9"/>
        <v>3734</v>
      </c>
      <c r="D123">
        <v>1643</v>
      </c>
      <c r="E123">
        <v>2091</v>
      </c>
      <c r="F123">
        <v>662</v>
      </c>
      <c r="G123">
        <v>827</v>
      </c>
      <c r="H123">
        <v>136</v>
      </c>
      <c r="I123">
        <v>53</v>
      </c>
      <c r="J123">
        <v>1522</v>
      </c>
      <c r="K123">
        <v>1670</v>
      </c>
      <c r="L123">
        <v>146</v>
      </c>
      <c r="M123">
        <v>38</v>
      </c>
      <c r="N123">
        <v>185</v>
      </c>
      <c r="O123">
        <v>250</v>
      </c>
      <c r="P123" s="128">
        <v>1720</v>
      </c>
      <c r="Q123" s="128">
        <v>1321</v>
      </c>
      <c r="R123" s="128">
        <v>400</v>
      </c>
      <c r="S123" s="128">
        <f t="shared" si="5"/>
        <v>3930212.9999999995</v>
      </c>
      <c r="T123">
        <f t="shared" si="6"/>
        <v>196212.99999999953</v>
      </c>
      <c r="U123">
        <f t="shared" si="7"/>
        <v>196212.99999999953</v>
      </c>
      <c r="V123">
        <v>64583</v>
      </c>
      <c r="W123" s="188">
        <f t="shared" si="8"/>
        <v>3.0381524549804055E-3</v>
      </c>
      <c r="Y123" s="188"/>
      <c r="AB123" s="188"/>
    </row>
    <row r="124" spans="1:28" x14ac:dyDescent="0.25">
      <c r="A124" t="s">
        <v>522</v>
      </c>
      <c r="B124" t="s">
        <v>184</v>
      </c>
      <c r="C124">
        <f t="shared" si="9"/>
        <v>2994</v>
      </c>
      <c r="D124">
        <v>2310</v>
      </c>
      <c r="E124">
        <v>684</v>
      </c>
      <c r="F124">
        <v>0</v>
      </c>
      <c r="G124">
        <v>579</v>
      </c>
      <c r="H124">
        <v>225</v>
      </c>
      <c r="I124">
        <v>0</v>
      </c>
      <c r="J124">
        <v>1072</v>
      </c>
      <c r="K124">
        <v>1152</v>
      </c>
      <c r="L124">
        <v>149</v>
      </c>
      <c r="M124">
        <v>262</v>
      </c>
      <c r="N124">
        <v>886</v>
      </c>
      <c r="O124">
        <v>142</v>
      </c>
      <c r="P124" s="128">
        <v>1684</v>
      </c>
      <c r="Q124" s="128">
        <v>1544</v>
      </c>
      <c r="R124" s="128">
        <v>139</v>
      </c>
      <c r="S124" s="128">
        <f t="shared" si="5"/>
        <v>3376165.9999999995</v>
      </c>
      <c r="T124">
        <f t="shared" si="6"/>
        <v>382165.99999999953</v>
      </c>
      <c r="U124">
        <f t="shared" si="7"/>
        <v>382165.99999999953</v>
      </c>
      <c r="V124">
        <v>32812</v>
      </c>
      <c r="W124" s="188">
        <f t="shared" si="8"/>
        <v>1.164714128977202E-2</v>
      </c>
      <c r="Y124" s="188"/>
      <c r="AB124" s="188"/>
    </row>
    <row r="125" spans="1:28" x14ac:dyDescent="0.25">
      <c r="A125" t="s">
        <v>518</v>
      </c>
      <c r="B125" t="s">
        <v>254</v>
      </c>
      <c r="C125">
        <f t="shared" si="9"/>
        <v>6023</v>
      </c>
      <c r="D125">
        <v>4671</v>
      </c>
      <c r="E125">
        <v>1352</v>
      </c>
      <c r="F125">
        <v>0</v>
      </c>
      <c r="G125">
        <v>-1</v>
      </c>
      <c r="H125">
        <v>0</v>
      </c>
      <c r="I125">
        <v>409</v>
      </c>
      <c r="J125">
        <v>3248</v>
      </c>
      <c r="K125">
        <v>5314</v>
      </c>
      <c r="L125">
        <v>421</v>
      </c>
      <c r="M125">
        <v>193</v>
      </c>
      <c r="N125">
        <v>2176</v>
      </c>
      <c r="O125">
        <v>261</v>
      </c>
      <c r="P125" s="128">
        <v>5455</v>
      </c>
      <c r="Q125" s="128">
        <v>4963</v>
      </c>
      <c r="R125" s="128">
        <v>492</v>
      </c>
      <c r="S125" s="128">
        <f t="shared" si="5"/>
        <v>11019791</v>
      </c>
      <c r="T125">
        <f t="shared" si="6"/>
        <v>4996791</v>
      </c>
      <c r="U125">
        <f t="shared" si="7"/>
        <v>4996791</v>
      </c>
      <c r="V125">
        <v>102610</v>
      </c>
      <c r="W125" s="188">
        <f t="shared" si="8"/>
        <v>4.8696920378130788E-2</v>
      </c>
      <c r="Y125" s="188"/>
      <c r="AB125" s="188"/>
    </row>
    <row r="126" spans="1:28" x14ac:dyDescent="0.25">
      <c r="A126" t="s">
        <v>518</v>
      </c>
      <c r="B126" t="s">
        <v>255</v>
      </c>
      <c r="C126">
        <f t="shared" si="9"/>
        <v>6372</v>
      </c>
      <c r="D126">
        <v>5014</v>
      </c>
      <c r="E126">
        <v>1358</v>
      </c>
      <c r="F126">
        <v>652</v>
      </c>
      <c r="G126">
        <v>202</v>
      </c>
      <c r="H126">
        <v>0</v>
      </c>
      <c r="I126">
        <v>69</v>
      </c>
      <c r="J126">
        <v>2877</v>
      </c>
      <c r="K126">
        <v>3483</v>
      </c>
      <c r="L126">
        <v>336</v>
      </c>
      <c r="M126">
        <v>461</v>
      </c>
      <c r="N126">
        <v>244</v>
      </c>
      <c r="O126">
        <v>41</v>
      </c>
      <c r="P126" s="128">
        <v>6841</v>
      </c>
      <c r="Q126" s="128">
        <v>6501</v>
      </c>
      <c r="R126" s="128">
        <v>340</v>
      </c>
      <c r="S126" s="128">
        <f t="shared" si="5"/>
        <v>13306392.999999998</v>
      </c>
      <c r="T126">
        <f t="shared" si="6"/>
        <v>6934392.9999999981</v>
      </c>
      <c r="U126">
        <f t="shared" si="7"/>
        <v>6934392.9999999981</v>
      </c>
      <c r="V126">
        <v>98718</v>
      </c>
      <c r="W126" s="188">
        <f t="shared" si="8"/>
        <v>7.0244464028849832E-2</v>
      </c>
      <c r="Y126" s="188"/>
      <c r="AB126" s="188"/>
    </row>
    <row r="127" spans="1:28" x14ac:dyDescent="0.25">
      <c r="A127" t="s">
        <v>519</v>
      </c>
      <c r="B127" t="s">
        <v>185</v>
      </c>
      <c r="C127">
        <f t="shared" si="9"/>
        <v>4807</v>
      </c>
      <c r="D127">
        <v>3585</v>
      </c>
      <c r="E127">
        <v>1222</v>
      </c>
      <c r="F127">
        <v>0</v>
      </c>
      <c r="G127">
        <v>1121</v>
      </c>
      <c r="H127">
        <v>220</v>
      </c>
      <c r="I127">
        <v>6</v>
      </c>
      <c r="J127">
        <v>1425</v>
      </c>
      <c r="K127">
        <v>1704</v>
      </c>
      <c r="L127">
        <v>128</v>
      </c>
      <c r="M127">
        <v>244</v>
      </c>
      <c r="N127">
        <v>901</v>
      </c>
      <c r="O127">
        <v>146</v>
      </c>
      <c r="P127" s="128">
        <v>2526</v>
      </c>
      <c r="Q127" s="128">
        <v>2243</v>
      </c>
      <c r="R127" s="128">
        <v>283</v>
      </c>
      <c r="S127" s="128">
        <f t="shared" si="5"/>
        <v>5205076.9999999991</v>
      </c>
      <c r="T127">
        <f t="shared" si="6"/>
        <v>398076.99999999907</v>
      </c>
      <c r="U127">
        <f t="shared" si="7"/>
        <v>398076.99999999907</v>
      </c>
      <c r="V127">
        <v>51059</v>
      </c>
      <c r="W127" s="188">
        <f t="shared" si="8"/>
        <v>7.7964119939677445E-3</v>
      </c>
      <c r="Y127" s="188"/>
      <c r="AB127" s="188"/>
    </row>
    <row r="128" spans="1:28" x14ac:dyDescent="0.25">
      <c r="A128" t="s">
        <v>520</v>
      </c>
      <c r="B128" t="s">
        <v>131</v>
      </c>
      <c r="C128">
        <f t="shared" si="9"/>
        <v>14069</v>
      </c>
      <c r="D128">
        <v>6922</v>
      </c>
      <c r="E128">
        <v>7147</v>
      </c>
      <c r="F128">
        <v>1849</v>
      </c>
      <c r="G128">
        <v>3403</v>
      </c>
      <c r="H128">
        <v>163</v>
      </c>
      <c r="I128">
        <v>-1</v>
      </c>
      <c r="J128">
        <v>5841</v>
      </c>
      <c r="K128">
        <v>6572</v>
      </c>
      <c r="L128">
        <v>524</v>
      </c>
      <c r="M128">
        <v>303</v>
      </c>
      <c r="N128">
        <v>1578</v>
      </c>
      <c r="O128">
        <v>705</v>
      </c>
      <c r="P128" s="128">
        <v>6405</v>
      </c>
      <c r="Q128" s="128">
        <v>5198</v>
      </c>
      <c r="R128" s="128">
        <v>1206</v>
      </c>
      <c r="S128" s="128">
        <f t="shared" si="5"/>
        <v>14101329.999999998</v>
      </c>
      <c r="T128">
        <f t="shared" si="6"/>
        <v>32329.999999998137</v>
      </c>
      <c r="U128">
        <f t="shared" si="7"/>
        <v>32329.999999998137</v>
      </c>
      <c r="V128">
        <v>174302</v>
      </c>
      <c r="W128" s="188">
        <f t="shared" si="8"/>
        <v>1.8548266801297826E-4</v>
      </c>
      <c r="Y128" s="188"/>
      <c r="AB128" s="188"/>
    </row>
    <row r="129" spans="1:28" x14ac:dyDescent="0.25">
      <c r="A129" t="s">
        <v>518</v>
      </c>
      <c r="B129" t="s">
        <v>256</v>
      </c>
      <c r="C129">
        <f t="shared" si="9"/>
        <v>12700</v>
      </c>
      <c r="D129">
        <v>6294</v>
      </c>
      <c r="E129">
        <v>6406</v>
      </c>
      <c r="F129">
        <v>120</v>
      </c>
      <c r="G129">
        <v>0</v>
      </c>
      <c r="H129">
        <v>0</v>
      </c>
      <c r="I129">
        <v>0</v>
      </c>
      <c r="J129">
        <v>5397</v>
      </c>
      <c r="K129">
        <v>6116</v>
      </c>
      <c r="L129">
        <v>579</v>
      </c>
      <c r="M129">
        <v>124</v>
      </c>
      <c r="N129">
        <v>2153</v>
      </c>
      <c r="O129">
        <v>154</v>
      </c>
      <c r="P129" s="128">
        <v>7292</v>
      </c>
      <c r="Q129" s="128">
        <v>6082</v>
      </c>
      <c r="R129" s="128">
        <v>1210</v>
      </c>
      <c r="S129" s="128">
        <f t="shared" si="5"/>
        <v>15754205.999999998</v>
      </c>
      <c r="T129">
        <f t="shared" si="6"/>
        <v>3054205.9999999981</v>
      </c>
      <c r="U129">
        <f t="shared" si="7"/>
        <v>3054205.9999999981</v>
      </c>
      <c r="V129">
        <v>193941</v>
      </c>
      <c r="W129" s="188">
        <f t="shared" si="8"/>
        <v>1.5748119273387259E-2</v>
      </c>
      <c r="Y129" s="188"/>
      <c r="AB129" s="188"/>
    </row>
    <row r="130" spans="1:28" x14ac:dyDescent="0.25">
      <c r="A130" t="s">
        <v>526</v>
      </c>
      <c r="B130" t="s">
        <v>407</v>
      </c>
      <c r="C130">
        <f t="shared" si="9"/>
        <v>24481</v>
      </c>
      <c r="D130">
        <v>13770</v>
      </c>
      <c r="E130">
        <v>10711</v>
      </c>
      <c r="F130">
        <v>1381</v>
      </c>
      <c r="G130">
        <v>114</v>
      </c>
      <c r="H130">
        <v>188</v>
      </c>
      <c r="I130">
        <v>852</v>
      </c>
      <c r="J130">
        <v>8115</v>
      </c>
      <c r="K130">
        <v>10980</v>
      </c>
      <c r="L130">
        <v>1036</v>
      </c>
      <c r="M130">
        <v>480</v>
      </c>
      <c r="N130">
        <v>2113</v>
      </c>
      <c r="O130">
        <v>389</v>
      </c>
      <c r="P130" s="128">
        <v>9035</v>
      </c>
      <c r="Q130" s="128">
        <v>6869</v>
      </c>
      <c r="R130" s="128">
        <v>2166</v>
      </c>
      <c r="S130" s="128">
        <f t="shared" ref="S130:S193" si="10">0.1853%*SUM(Q130,R130,R130)*1000000</f>
        <v>20755453</v>
      </c>
      <c r="T130">
        <f t="shared" ref="T130:T193" si="11">SUM(S130,-C130*1000)</f>
        <v>-3725547</v>
      </c>
      <c r="U130">
        <f t="shared" ref="U130:U193" si="12">IF(T130&gt;0,T130,0)</f>
        <v>0</v>
      </c>
      <c r="V130">
        <v>458564</v>
      </c>
      <c r="W130" s="188">
        <f t="shared" ref="W130:W193" si="13">T130/(V130*1000)</f>
        <v>-8.1243774042445548E-3</v>
      </c>
      <c r="Y130" s="188"/>
      <c r="AB130" s="188"/>
    </row>
    <row r="131" spans="1:28" x14ac:dyDescent="0.25">
      <c r="A131" t="s">
        <v>517</v>
      </c>
      <c r="B131" t="s">
        <v>371</v>
      </c>
      <c r="C131">
        <f t="shared" ref="C131:C194" si="14">SUM(D131,E131)</f>
        <v>3663</v>
      </c>
      <c r="D131">
        <v>2550</v>
      </c>
      <c r="E131">
        <v>1113</v>
      </c>
      <c r="F131">
        <v>0</v>
      </c>
      <c r="G131">
        <v>0</v>
      </c>
      <c r="H131">
        <v>203</v>
      </c>
      <c r="I131">
        <v>0</v>
      </c>
      <c r="J131">
        <v>2089</v>
      </c>
      <c r="K131">
        <v>1472</v>
      </c>
      <c r="L131">
        <v>165</v>
      </c>
      <c r="M131">
        <v>2</v>
      </c>
      <c r="N131">
        <v>552</v>
      </c>
      <c r="O131">
        <v>137</v>
      </c>
      <c r="P131" s="128">
        <v>2835</v>
      </c>
      <c r="Q131" s="128">
        <v>2424</v>
      </c>
      <c r="R131" s="128">
        <v>411</v>
      </c>
      <c r="S131" s="128">
        <f t="shared" si="10"/>
        <v>6014837.9999999991</v>
      </c>
      <c r="T131">
        <f t="shared" si="11"/>
        <v>2351837.9999999991</v>
      </c>
      <c r="U131">
        <f t="shared" si="12"/>
        <v>2351837.9999999991</v>
      </c>
      <c r="V131">
        <v>39650</v>
      </c>
      <c r="W131" s="188">
        <f t="shared" si="13"/>
        <v>5.9314955863808298E-2</v>
      </c>
      <c r="Y131" s="188"/>
      <c r="AB131" s="188"/>
    </row>
    <row r="132" spans="1:28" x14ac:dyDescent="0.25">
      <c r="A132" t="s">
        <v>518</v>
      </c>
      <c r="B132" t="s">
        <v>257</v>
      </c>
      <c r="C132">
        <f t="shared" si="14"/>
        <v>4515</v>
      </c>
      <c r="D132">
        <v>3532</v>
      </c>
      <c r="E132">
        <v>983</v>
      </c>
      <c r="F132">
        <v>0</v>
      </c>
      <c r="G132">
        <v>1</v>
      </c>
      <c r="H132">
        <v>39</v>
      </c>
      <c r="I132">
        <v>0</v>
      </c>
      <c r="J132">
        <v>1954</v>
      </c>
      <c r="K132">
        <v>2862</v>
      </c>
      <c r="L132">
        <v>235</v>
      </c>
      <c r="M132">
        <v>131</v>
      </c>
      <c r="N132">
        <v>310</v>
      </c>
      <c r="O132">
        <v>43</v>
      </c>
      <c r="P132" s="128">
        <v>4250</v>
      </c>
      <c r="Q132" s="128">
        <v>3891</v>
      </c>
      <c r="R132" s="128">
        <v>360</v>
      </c>
      <c r="S132" s="128">
        <f t="shared" si="10"/>
        <v>8544182.9999999981</v>
      </c>
      <c r="T132">
        <f t="shared" si="11"/>
        <v>4029182.9999999981</v>
      </c>
      <c r="U132">
        <f t="shared" si="12"/>
        <v>4029182.9999999981</v>
      </c>
      <c r="V132">
        <v>62681</v>
      </c>
      <c r="W132" s="188">
        <f t="shared" si="13"/>
        <v>6.4280770887509747E-2</v>
      </c>
      <c r="Y132" s="188"/>
      <c r="AB132" s="188"/>
    </row>
    <row r="133" spans="1:28" x14ac:dyDescent="0.25">
      <c r="A133" t="s">
        <v>522</v>
      </c>
      <c r="B133" t="s">
        <v>149</v>
      </c>
      <c r="C133">
        <f t="shared" si="14"/>
        <v>9697</v>
      </c>
      <c r="D133">
        <v>6165</v>
      </c>
      <c r="E133">
        <v>3532</v>
      </c>
      <c r="F133">
        <v>0</v>
      </c>
      <c r="G133">
        <v>0</v>
      </c>
      <c r="H133">
        <v>450</v>
      </c>
      <c r="I133">
        <v>179</v>
      </c>
      <c r="J133">
        <v>4276</v>
      </c>
      <c r="K133">
        <v>3275</v>
      </c>
      <c r="L133">
        <v>313</v>
      </c>
      <c r="M133">
        <v>452</v>
      </c>
      <c r="N133">
        <v>1449</v>
      </c>
      <c r="O133">
        <v>219</v>
      </c>
      <c r="P133" s="128">
        <v>4541</v>
      </c>
      <c r="Q133" s="128">
        <v>3857</v>
      </c>
      <c r="R133" s="128">
        <v>683</v>
      </c>
      <c r="S133" s="128">
        <f t="shared" si="10"/>
        <v>9678218.9999999981</v>
      </c>
      <c r="T133">
        <f t="shared" si="11"/>
        <v>-18781.000000001863</v>
      </c>
      <c r="U133">
        <f t="shared" si="12"/>
        <v>0</v>
      </c>
      <c r="V133">
        <v>103352</v>
      </c>
      <c r="W133" s="188">
        <f t="shared" si="13"/>
        <v>-1.8171878628378611E-4</v>
      </c>
      <c r="Y133" s="188"/>
      <c r="AB133" s="188"/>
    </row>
    <row r="134" spans="1:28" x14ac:dyDescent="0.25">
      <c r="A134" t="s">
        <v>521</v>
      </c>
      <c r="B134" t="s">
        <v>296</v>
      </c>
      <c r="C134">
        <f t="shared" si="14"/>
        <v>5538</v>
      </c>
      <c r="D134">
        <v>3861</v>
      </c>
      <c r="E134">
        <v>1677</v>
      </c>
      <c r="F134">
        <v>0</v>
      </c>
      <c r="G134">
        <v>0</v>
      </c>
      <c r="H134">
        <v>507</v>
      </c>
      <c r="I134">
        <v>249</v>
      </c>
      <c r="J134">
        <v>3038</v>
      </c>
      <c r="K134">
        <v>4406</v>
      </c>
      <c r="L134">
        <v>375</v>
      </c>
      <c r="M134">
        <v>188</v>
      </c>
      <c r="N134">
        <v>336</v>
      </c>
      <c r="O134">
        <v>89</v>
      </c>
      <c r="P134" s="128">
        <v>4738</v>
      </c>
      <c r="Q134" s="128">
        <v>4199</v>
      </c>
      <c r="R134" s="128">
        <v>538</v>
      </c>
      <c r="S134" s="128">
        <f t="shared" si="10"/>
        <v>9774574.9999999981</v>
      </c>
      <c r="T134">
        <f t="shared" si="11"/>
        <v>4236574.9999999981</v>
      </c>
      <c r="U134">
        <f t="shared" si="12"/>
        <v>4236574.9999999981</v>
      </c>
      <c r="V134">
        <v>179944</v>
      </c>
      <c r="W134" s="188">
        <f t="shared" si="13"/>
        <v>2.3543852531898803E-2</v>
      </c>
      <c r="Y134" s="188"/>
      <c r="AB134" s="188"/>
    </row>
    <row r="135" spans="1:28" x14ac:dyDescent="0.25">
      <c r="A135" t="s">
        <v>517</v>
      </c>
      <c r="B135" t="s">
        <v>372</v>
      </c>
      <c r="C135">
        <f t="shared" si="14"/>
        <v>22559</v>
      </c>
      <c r="D135">
        <v>19214</v>
      </c>
      <c r="E135">
        <v>3345</v>
      </c>
      <c r="F135">
        <v>2460</v>
      </c>
      <c r="G135">
        <v>103</v>
      </c>
      <c r="H135">
        <v>54</v>
      </c>
      <c r="I135">
        <v>744</v>
      </c>
      <c r="J135">
        <v>9282</v>
      </c>
      <c r="K135">
        <v>9597</v>
      </c>
      <c r="L135">
        <v>1030</v>
      </c>
      <c r="M135">
        <v>0</v>
      </c>
      <c r="N135">
        <v>3705</v>
      </c>
      <c r="O135">
        <v>111</v>
      </c>
      <c r="P135" s="128">
        <v>11608</v>
      </c>
      <c r="Q135" s="128">
        <v>9486</v>
      </c>
      <c r="R135" s="128">
        <v>2122</v>
      </c>
      <c r="S135" s="128">
        <f t="shared" si="10"/>
        <v>25441689.999999996</v>
      </c>
      <c r="T135">
        <f t="shared" si="11"/>
        <v>2882689.9999999963</v>
      </c>
      <c r="U135">
        <f t="shared" si="12"/>
        <v>2882689.9999999963</v>
      </c>
      <c r="V135">
        <v>368284</v>
      </c>
      <c r="W135" s="188">
        <f t="shared" si="13"/>
        <v>7.8273560621694022E-3</v>
      </c>
      <c r="Y135" s="188"/>
      <c r="AB135" s="188"/>
    </row>
    <row r="136" spans="1:28" x14ac:dyDescent="0.25">
      <c r="A136" t="s">
        <v>521</v>
      </c>
      <c r="B136" t="s">
        <v>297</v>
      </c>
      <c r="C136">
        <f t="shared" si="14"/>
        <v>5425</v>
      </c>
      <c r="D136">
        <v>3884</v>
      </c>
      <c r="E136">
        <v>1541</v>
      </c>
      <c r="F136">
        <v>0</v>
      </c>
      <c r="G136">
        <v>528</v>
      </c>
      <c r="H136">
        <v>0</v>
      </c>
      <c r="I136">
        <v>193</v>
      </c>
      <c r="J136">
        <v>2305</v>
      </c>
      <c r="K136">
        <v>3771</v>
      </c>
      <c r="L136">
        <v>298</v>
      </c>
      <c r="M136">
        <v>280</v>
      </c>
      <c r="N136">
        <v>1227</v>
      </c>
      <c r="O136">
        <v>178</v>
      </c>
      <c r="P136" s="128">
        <v>3830</v>
      </c>
      <c r="Q136" s="128">
        <v>3467</v>
      </c>
      <c r="R136" s="128">
        <v>363</v>
      </c>
      <c r="S136" s="128">
        <f t="shared" si="10"/>
        <v>7769628.9999999991</v>
      </c>
      <c r="T136">
        <f t="shared" si="11"/>
        <v>2344628.9999999991</v>
      </c>
      <c r="U136">
        <f t="shared" si="12"/>
        <v>2344628.9999999991</v>
      </c>
      <c r="V136">
        <v>119207</v>
      </c>
      <c r="W136" s="188">
        <f t="shared" si="13"/>
        <v>1.9668551343461366E-2</v>
      </c>
      <c r="Y136" s="188"/>
      <c r="AB136" s="188"/>
    </row>
    <row r="137" spans="1:28" x14ac:dyDescent="0.25">
      <c r="A137" t="s">
        <v>522</v>
      </c>
      <c r="B137" t="s">
        <v>444</v>
      </c>
      <c r="C137">
        <f t="shared" si="14"/>
        <v>24481</v>
      </c>
      <c r="D137">
        <v>11037</v>
      </c>
      <c r="E137">
        <v>13444</v>
      </c>
      <c r="F137">
        <v>1411</v>
      </c>
      <c r="G137">
        <v>159</v>
      </c>
      <c r="H137">
        <v>78</v>
      </c>
      <c r="I137">
        <v>689</v>
      </c>
      <c r="J137">
        <v>10201</v>
      </c>
      <c r="K137">
        <v>7357</v>
      </c>
      <c r="L137">
        <v>890</v>
      </c>
      <c r="M137">
        <v>558</v>
      </c>
      <c r="N137">
        <v>2011</v>
      </c>
      <c r="O137">
        <v>1062</v>
      </c>
      <c r="P137" s="128">
        <v>9700</v>
      </c>
      <c r="Q137" s="128">
        <v>7700</v>
      </c>
      <c r="R137" s="128">
        <v>2000</v>
      </c>
      <c r="S137" s="128">
        <f t="shared" si="10"/>
        <v>21680100</v>
      </c>
      <c r="T137">
        <f t="shared" si="11"/>
        <v>-2800900</v>
      </c>
      <c r="U137">
        <f t="shared" si="12"/>
        <v>0</v>
      </c>
      <c r="V137">
        <v>320160</v>
      </c>
      <c r="W137" s="188">
        <f t="shared" si="13"/>
        <v>-8.7484382808595707E-3</v>
      </c>
      <c r="Y137" s="188"/>
      <c r="AB137" s="188"/>
    </row>
    <row r="138" spans="1:28" x14ac:dyDescent="0.25">
      <c r="A138" t="s">
        <v>525</v>
      </c>
      <c r="B138" t="s">
        <v>600</v>
      </c>
      <c r="C138">
        <f t="shared" si="14"/>
        <v>21293</v>
      </c>
      <c r="D138">
        <v>6468</v>
      </c>
      <c r="E138">
        <v>14825</v>
      </c>
      <c r="F138">
        <v>0</v>
      </c>
      <c r="G138">
        <v>0</v>
      </c>
      <c r="H138">
        <v>553</v>
      </c>
      <c r="I138">
        <v>5</v>
      </c>
      <c r="J138">
        <v>5856</v>
      </c>
      <c r="K138">
        <v>5427</v>
      </c>
      <c r="L138">
        <v>474</v>
      </c>
      <c r="M138">
        <v>655</v>
      </c>
      <c r="N138">
        <v>2185</v>
      </c>
      <c r="O138">
        <v>32</v>
      </c>
      <c r="P138" s="128">
        <v>5665</v>
      </c>
      <c r="Q138" s="128">
        <v>3744</v>
      </c>
      <c r="R138" s="128">
        <v>1921</v>
      </c>
      <c r="S138" s="128">
        <f t="shared" si="10"/>
        <v>14056857.999999998</v>
      </c>
      <c r="T138">
        <f t="shared" si="11"/>
        <v>-7236142.0000000019</v>
      </c>
      <c r="U138">
        <f t="shared" si="12"/>
        <v>0</v>
      </c>
      <c r="V138">
        <v>187069</v>
      </c>
      <c r="W138" s="188">
        <f t="shared" si="13"/>
        <v>-3.868167360706478E-2</v>
      </c>
      <c r="Y138" s="188"/>
      <c r="AB138" s="188"/>
    </row>
    <row r="139" spans="1:28" x14ac:dyDescent="0.25">
      <c r="A139" t="s">
        <v>519</v>
      </c>
      <c r="B139" t="s">
        <v>186</v>
      </c>
      <c r="C139">
        <f t="shared" si="14"/>
        <v>4534</v>
      </c>
      <c r="D139">
        <v>3433</v>
      </c>
      <c r="E139">
        <v>1101</v>
      </c>
      <c r="F139">
        <v>0</v>
      </c>
      <c r="G139">
        <v>0</v>
      </c>
      <c r="H139">
        <v>0</v>
      </c>
      <c r="I139">
        <v>187</v>
      </c>
      <c r="J139">
        <v>1239</v>
      </c>
      <c r="K139">
        <v>1452</v>
      </c>
      <c r="L139">
        <v>178</v>
      </c>
      <c r="M139">
        <v>88</v>
      </c>
      <c r="N139">
        <v>380</v>
      </c>
      <c r="O139">
        <v>71</v>
      </c>
      <c r="P139" s="128">
        <v>2382</v>
      </c>
      <c r="Q139" s="128">
        <v>2153</v>
      </c>
      <c r="R139" s="128">
        <v>229</v>
      </c>
      <c r="S139" s="128">
        <f t="shared" si="10"/>
        <v>4838183</v>
      </c>
      <c r="T139">
        <f t="shared" si="11"/>
        <v>304183</v>
      </c>
      <c r="U139">
        <f t="shared" si="12"/>
        <v>304183</v>
      </c>
      <c r="V139">
        <v>41843</v>
      </c>
      <c r="W139" s="188">
        <f t="shared" si="13"/>
        <v>7.2696269387950195E-3</v>
      </c>
      <c r="Y139" s="188"/>
      <c r="AB139" s="188"/>
    </row>
    <row r="140" spans="1:28" x14ac:dyDescent="0.25">
      <c r="A140" t="s">
        <v>517</v>
      </c>
      <c r="B140" t="s">
        <v>373</v>
      </c>
      <c r="C140">
        <f t="shared" si="14"/>
        <v>8835</v>
      </c>
      <c r="D140">
        <v>6117</v>
      </c>
      <c r="E140">
        <v>2718</v>
      </c>
      <c r="F140">
        <v>51</v>
      </c>
      <c r="G140">
        <v>0</v>
      </c>
      <c r="H140">
        <v>77</v>
      </c>
      <c r="I140">
        <v>310</v>
      </c>
      <c r="J140">
        <v>3910</v>
      </c>
      <c r="K140">
        <v>3981</v>
      </c>
      <c r="L140">
        <v>388</v>
      </c>
      <c r="M140">
        <v>181</v>
      </c>
      <c r="N140">
        <v>970</v>
      </c>
      <c r="O140">
        <v>183</v>
      </c>
      <c r="P140" s="128">
        <v>6357</v>
      </c>
      <c r="Q140" s="128">
        <v>5533</v>
      </c>
      <c r="R140" s="128">
        <v>824</v>
      </c>
      <c r="S140" s="128">
        <f t="shared" si="10"/>
        <v>13306392.999999998</v>
      </c>
      <c r="T140">
        <f t="shared" si="11"/>
        <v>4471392.9999999981</v>
      </c>
      <c r="U140">
        <f t="shared" si="12"/>
        <v>4471392.9999999981</v>
      </c>
      <c r="V140">
        <v>120429</v>
      </c>
      <c r="W140" s="188">
        <f t="shared" si="13"/>
        <v>3.7128872613739199E-2</v>
      </c>
      <c r="Y140" s="188"/>
      <c r="AB140" s="188"/>
    </row>
    <row r="141" spans="1:28" x14ac:dyDescent="0.25">
      <c r="A141" t="s">
        <v>521</v>
      </c>
      <c r="B141" t="s">
        <v>298</v>
      </c>
      <c r="C141">
        <f t="shared" si="14"/>
        <v>4124</v>
      </c>
      <c r="D141">
        <v>2882</v>
      </c>
      <c r="E141">
        <v>1242</v>
      </c>
      <c r="F141">
        <v>0</v>
      </c>
      <c r="G141">
        <v>1995</v>
      </c>
      <c r="H141">
        <v>0</v>
      </c>
      <c r="I141">
        <v>2663</v>
      </c>
      <c r="J141">
        <v>2321</v>
      </c>
      <c r="K141">
        <v>0</v>
      </c>
      <c r="L141">
        <v>219</v>
      </c>
      <c r="M141">
        <v>64</v>
      </c>
      <c r="N141">
        <v>502</v>
      </c>
      <c r="O141">
        <v>159</v>
      </c>
      <c r="P141" s="128">
        <v>3340</v>
      </c>
      <c r="Q141" s="128">
        <v>2914</v>
      </c>
      <c r="R141" s="128">
        <v>426</v>
      </c>
      <c r="S141" s="128">
        <f t="shared" si="10"/>
        <v>6978397.9999999991</v>
      </c>
      <c r="T141">
        <f t="shared" si="11"/>
        <v>2854397.9999999991</v>
      </c>
      <c r="U141">
        <f t="shared" si="12"/>
        <v>2854397.9999999991</v>
      </c>
      <c r="V141">
        <v>55755</v>
      </c>
      <c r="W141" s="188">
        <f t="shared" si="13"/>
        <v>5.1195372612321745E-2</v>
      </c>
      <c r="Y141" s="188"/>
      <c r="AB141" s="188"/>
    </row>
    <row r="142" spans="1:28" x14ac:dyDescent="0.25">
      <c r="A142" t="s">
        <v>517</v>
      </c>
      <c r="B142" t="s">
        <v>374</v>
      </c>
      <c r="C142">
        <f t="shared" si="14"/>
        <v>3710</v>
      </c>
      <c r="D142">
        <v>2509</v>
      </c>
      <c r="E142">
        <v>1201</v>
      </c>
      <c r="F142">
        <v>0</v>
      </c>
      <c r="G142">
        <v>1111</v>
      </c>
      <c r="H142">
        <v>1121</v>
      </c>
      <c r="I142">
        <v>0</v>
      </c>
      <c r="J142">
        <v>1486</v>
      </c>
      <c r="K142">
        <v>1099</v>
      </c>
      <c r="L142">
        <v>176</v>
      </c>
      <c r="M142">
        <v>0</v>
      </c>
      <c r="N142">
        <v>953</v>
      </c>
      <c r="O142">
        <v>191</v>
      </c>
      <c r="P142" s="128">
        <v>2571</v>
      </c>
      <c r="Q142" s="128">
        <v>2135</v>
      </c>
      <c r="R142" s="128">
        <v>436</v>
      </c>
      <c r="S142" s="128">
        <f t="shared" si="10"/>
        <v>5571971</v>
      </c>
      <c r="T142">
        <f t="shared" si="11"/>
        <v>1861971</v>
      </c>
      <c r="U142">
        <f t="shared" si="12"/>
        <v>1861971</v>
      </c>
      <c r="V142">
        <v>39173</v>
      </c>
      <c r="W142" s="188">
        <f t="shared" si="13"/>
        <v>4.7531999080999671E-2</v>
      </c>
      <c r="Y142" s="188"/>
      <c r="AB142" s="188"/>
    </row>
    <row r="143" spans="1:28" x14ac:dyDescent="0.25">
      <c r="A143" t="s">
        <v>518</v>
      </c>
      <c r="B143" t="s">
        <v>258</v>
      </c>
      <c r="C143">
        <f t="shared" si="14"/>
        <v>21310</v>
      </c>
      <c r="D143">
        <v>11662</v>
      </c>
      <c r="E143">
        <v>9648</v>
      </c>
      <c r="F143">
        <v>4189</v>
      </c>
      <c r="G143">
        <v>76</v>
      </c>
      <c r="H143">
        <v>0</v>
      </c>
      <c r="I143">
        <v>463</v>
      </c>
      <c r="J143">
        <v>8057</v>
      </c>
      <c r="K143">
        <v>10668</v>
      </c>
      <c r="L143">
        <v>999</v>
      </c>
      <c r="M143">
        <v>0</v>
      </c>
      <c r="N143">
        <v>1893</v>
      </c>
      <c r="O143">
        <v>1315</v>
      </c>
      <c r="P143" s="128">
        <v>16732</v>
      </c>
      <c r="Q143" s="128">
        <v>14265</v>
      </c>
      <c r="R143" s="128">
        <v>2467</v>
      </c>
      <c r="S143" s="128">
        <f t="shared" si="10"/>
        <v>35575747</v>
      </c>
      <c r="T143">
        <f t="shared" si="11"/>
        <v>14265747</v>
      </c>
      <c r="U143">
        <f t="shared" si="12"/>
        <v>14265747</v>
      </c>
      <c r="V143">
        <v>310594</v>
      </c>
      <c r="W143" s="188">
        <f t="shared" si="13"/>
        <v>4.593052988789223E-2</v>
      </c>
      <c r="Y143" s="188"/>
      <c r="AB143" s="188"/>
    </row>
    <row r="144" spans="1:28" x14ac:dyDescent="0.25">
      <c r="A144" t="s">
        <v>521</v>
      </c>
      <c r="B144" t="s">
        <v>601</v>
      </c>
      <c r="C144">
        <f t="shared" si="14"/>
        <v>16347</v>
      </c>
      <c r="D144">
        <v>9537</v>
      </c>
      <c r="E144">
        <v>6810</v>
      </c>
      <c r="F144">
        <v>0</v>
      </c>
      <c r="G144">
        <v>5177</v>
      </c>
      <c r="H144">
        <v>107</v>
      </c>
      <c r="I144">
        <v>824</v>
      </c>
      <c r="J144">
        <v>8169</v>
      </c>
      <c r="K144">
        <v>8423</v>
      </c>
      <c r="L144">
        <v>913</v>
      </c>
      <c r="M144">
        <v>1352</v>
      </c>
      <c r="N144">
        <v>3028</v>
      </c>
      <c r="O144">
        <v>709</v>
      </c>
      <c r="P144" s="128">
        <v>11859</v>
      </c>
      <c r="Q144" s="128">
        <v>10069</v>
      </c>
      <c r="R144" s="128">
        <v>1790</v>
      </c>
      <c r="S144" s="128">
        <f t="shared" si="10"/>
        <v>25291597</v>
      </c>
      <c r="T144">
        <f t="shared" si="11"/>
        <v>8944597</v>
      </c>
      <c r="U144">
        <f t="shared" si="12"/>
        <v>8944597</v>
      </c>
      <c r="V144">
        <v>285840</v>
      </c>
      <c r="W144" s="188">
        <f t="shared" si="13"/>
        <v>3.1292320878813319E-2</v>
      </c>
      <c r="Y144" s="188"/>
      <c r="AB144" s="188"/>
    </row>
    <row r="145" spans="1:28" x14ac:dyDescent="0.25">
      <c r="A145" t="s">
        <v>522</v>
      </c>
      <c r="B145" t="s">
        <v>150</v>
      </c>
      <c r="C145" s="207">
        <v>6771</v>
      </c>
      <c r="D145" s="207">
        <v>4084</v>
      </c>
      <c r="E145" s="207">
        <v>2687</v>
      </c>
      <c r="F145" s="207">
        <v>14</v>
      </c>
      <c r="G145" s="207">
        <v>0</v>
      </c>
      <c r="H145" s="207">
        <v>408</v>
      </c>
      <c r="I145" s="207">
        <v>83</v>
      </c>
      <c r="J145" s="207">
        <v>4679</v>
      </c>
      <c r="K145" s="207">
        <v>3011</v>
      </c>
      <c r="L145" s="207">
        <v>639</v>
      </c>
      <c r="M145" s="207">
        <v>256</v>
      </c>
      <c r="N145" s="207">
        <v>963</v>
      </c>
      <c r="O145" s="207">
        <v>197</v>
      </c>
      <c r="P145" s="128">
        <v>4570</v>
      </c>
      <c r="Q145" s="128">
        <v>3705</v>
      </c>
      <c r="R145" s="128">
        <v>865</v>
      </c>
      <c r="S145" s="128">
        <f t="shared" si="10"/>
        <v>10071055</v>
      </c>
      <c r="T145">
        <f t="shared" si="11"/>
        <v>3300055</v>
      </c>
      <c r="U145">
        <f t="shared" si="12"/>
        <v>3300055</v>
      </c>
      <c r="V145">
        <v>77649</v>
      </c>
      <c r="W145" s="188">
        <f t="shared" si="13"/>
        <v>4.2499645842187281E-2</v>
      </c>
      <c r="Y145" s="188"/>
      <c r="AB145" s="188"/>
    </row>
    <row r="146" spans="1:28" x14ac:dyDescent="0.25">
      <c r="A146" t="s">
        <v>518</v>
      </c>
      <c r="B146" t="s">
        <v>259</v>
      </c>
      <c r="C146">
        <f t="shared" si="14"/>
        <v>10353</v>
      </c>
      <c r="D146">
        <v>5385</v>
      </c>
      <c r="E146">
        <v>4968</v>
      </c>
      <c r="F146">
        <v>0</v>
      </c>
      <c r="G146">
        <v>0</v>
      </c>
      <c r="H146">
        <v>332</v>
      </c>
      <c r="I146">
        <v>0</v>
      </c>
      <c r="J146">
        <v>3918</v>
      </c>
      <c r="K146">
        <v>6202</v>
      </c>
      <c r="L146">
        <v>399</v>
      </c>
      <c r="M146">
        <v>432</v>
      </c>
      <c r="N146">
        <v>2587</v>
      </c>
      <c r="O146">
        <v>1489</v>
      </c>
      <c r="P146" s="128">
        <v>6270</v>
      </c>
      <c r="Q146" s="128">
        <v>4495</v>
      </c>
      <c r="R146" s="128">
        <v>1775</v>
      </c>
      <c r="S146" s="128">
        <f t="shared" si="10"/>
        <v>14907384.999999998</v>
      </c>
      <c r="T146">
        <f t="shared" si="11"/>
        <v>4554384.9999999981</v>
      </c>
      <c r="U146">
        <f t="shared" si="12"/>
        <v>4554384.9999999981</v>
      </c>
      <c r="V146">
        <v>124787</v>
      </c>
      <c r="W146" s="188">
        <f t="shared" si="13"/>
        <v>3.6497271350381034E-2</v>
      </c>
      <c r="Y146" s="188"/>
      <c r="AB146" s="188"/>
    </row>
    <row r="147" spans="1:28" x14ac:dyDescent="0.25">
      <c r="A147" t="s">
        <v>516</v>
      </c>
      <c r="B147" t="s">
        <v>111</v>
      </c>
      <c r="C147">
        <f t="shared" si="14"/>
        <v>12676</v>
      </c>
      <c r="D147">
        <v>7595</v>
      </c>
      <c r="E147">
        <v>5081</v>
      </c>
      <c r="F147">
        <v>2140</v>
      </c>
      <c r="G147">
        <v>69</v>
      </c>
      <c r="H147">
        <v>92</v>
      </c>
      <c r="I147">
        <v>242</v>
      </c>
      <c r="J147">
        <v>4661</v>
      </c>
      <c r="K147">
        <v>6519</v>
      </c>
      <c r="L147">
        <v>596</v>
      </c>
      <c r="M147">
        <v>1195</v>
      </c>
      <c r="N147">
        <v>802</v>
      </c>
      <c r="O147">
        <v>103</v>
      </c>
      <c r="P147" s="128">
        <v>5702</v>
      </c>
      <c r="Q147" s="128">
        <v>4607</v>
      </c>
      <c r="R147" s="128">
        <v>1095</v>
      </c>
      <c r="S147" s="128">
        <f t="shared" si="10"/>
        <v>12594840.999999998</v>
      </c>
      <c r="T147">
        <f t="shared" si="11"/>
        <v>-81159.000000001863</v>
      </c>
      <c r="U147">
        <f t="shared" si="12"/>
        <v>0</v>
      </c>
      <c r="V147">
        <v>197453</v>
      </c>
      <c r="W147" s="188">
        <f t="shared" si="13"/>
        <v>-4.1102946017534231E-4</v>
      </c>
      <c r="Y147" s="188"/>
      <c r="AB147" s="188"/>
    </row>
    <row r="148" spans="1:28" x14ac:dyDescent="0.25">
      <c r="A148" t="s">
        <v>518</v>
      </c>
      <c r="B148" t="s">
        <v>260</v>
      </c>
      <c r="C148">
        <f t="shared" si="14"/>
        <v>11961</v>
      </c>
      <c r="D148">
        <v>7701</v>
      </c>
      <c r="E148">
        <v>4260</v>
      </c>
      <c r="F148">
        <v>3351</v>
      </c>
      <c r="G148">
        <v>251</v>
      </c>
      <c r="H148">
        <v>106</v>
      </c>
      <c r="I148">
        <v>1299</v>
      </c>
      <c r="J148">
        <v>5431</v>
      </c>
      <c r="K148">
        <v>10189</v>
      </c>
      <c r="L148">
        <v>851</v>
      </c>
      <c r="M148">
        <v>168</v>
      </c>
      <c r="N148">
        <v>1274</v>
      </c>
      <c r="O148">
        <v>380</v>
      </c>
      <c r="P148" s="128">
        <v>9143</v>
      </c>
      <c r="Q148" s="128">
        <v>7704</v>
      </c>
      <c r="R148" s="128">
        <v>1440</v>
      </c>
      <c r="S148" s="128">
        <f t="shared" si="10"/>
        <v>19612152</v>
      </c>
      <c r="T148">
        <f t="shared" si="11"/>
        <v>7651152</v>
      </c>
      <c r="U148">
        <f t="shared" si="12"/>
        <v>7651152</v>
      </c>
      <c r="V148">
        <v>262620</v>
      </c>
      <c r="W148" s="188">
        <f t="shared" si="13"/>
        <v>2.9133927347498288E-2</v>
      </c>
      <c r="Y148" s="188"/>
      <c r="AB148" s="188"/>
    </row>
    <row r="149" spans="1:28" x14ac:dyDescent="0.25">
      <c r="A149" t="s">
        <v>526</v>
      </c>
      <c r="B149" t="s">
        <v>408</v>
      </c>
      <c r="C149">
        <f t="shared" si="14"/>
        <v>11652</v>
      </c>
      <c r="D149">
        <v>7053</v>
      </c>
      <c r="E149">
        <v>4599</v>
      </c>
      <c r="F149">
        <v>0</v>
      </c>
      <c r="G149">
        <v>18</v>
      </c>
      <c r="H149">
        <v>1791</v>
      </c>
      <c r="I149">
        <v>68</v>
      </c>
      <c r="J149">
        <v>4164</v>
      </c>
      <c r="K149">
        <v>3200</v>
      </c>
      <c r="L149">
        <v>437</v>
      </c>
      <c r="M149">
        <v>15</v>
      </c>
      <c r="N149">
        <v>1957</v>
      </c>
      <c r="O149">
        <v>67</v>
      </c>
      <c r="P149" s="128">
        <v>5810</v>
      </c>
      <c r="Q149" s="128">
        <v>4651</v>
      </c>
      <c r="R149" s="128">
        <v>1160</v>
      </c>
      <c r="S149" s="128">
        <f t="shared" si="10"/>
        <v>12917262.999999998</v>
      </c>
      <c r="T149">
        <f t="shared" si="11"/>
        <v>1265262.9999999981</v>
      </c>
      <c r="U149">
        <f t="shared" si="12"/>
        <v>1265262.9999999981</v>
      </c>
      <c r="V149">
        <v>116326</v>
      </c>
      <c r="W149" s="188">
        <f t="shared" si="13"/>
        <v>1.0876871894503362E-2</v>
      </c>
      <c r="Y149" s="188"/>
      <c r="AB149" s="188"/>
    </row>
    <row r="150" spans="1:28" x14ac:dyDescent="0.25">
      <c r="A150" t="s">
        <v>524</v>
      </c>
      <c r="B150" t="s">
        <v>221</v>
      </c>
      <c r="C150">
        <f t="shared" si="14"/>
        <v>12728</v>
      </c>
      <c r="D150">
        <v>7816</v>
      </c>
      <c r="E150">
        <v>4912</v>
      </c>
      <c r="F150">
        <v>0</v>
      </c>
      <c r="G150">
        <v>0</v>
      </c>
      <c r="H150">
        <v>130</v>
      </c>
      <c r="I150">
        <v>166</v>
      </c>
      <c r="J150">
        <v>2993</v>
      </c>
      <c r="K150">
        <v>4628</v>
      </c>
      <c r="L150">
        <v>509</v>
      </c>
      <c r="M150">
        <v>137</v>
      </c>
      <c r="N150">
        <v>1195</v>
      </c>
      <c r="O150">
        <v>322</v>
      </c>
      <c r="P150" s="128">
        <v>8076</v>
      </c>
      <c r="Q150" s="128">
        <v>7107</v>
      </c>
      <c r="R150" s="128">
        <v>969</v>
      </c>
      <c r="S150" s="128">
        <f t="shared" si="10"/>
        <v>16760385</v>
      </c>
      <c r="T150">
        <f t="shared" si="11"/>
        <v>4032385</v>
      </c>
      <c r="U150">
        <f t="shared" si="12"/>
        <v>4032385</v>
      </c>
      <c r="V150">
        <v>124236</v>
      </c>
      <c r="W150" s="188">
        <f t="shared" si="13"/>
        <v>3.2457459995492446E-2</v>
      </c>
      <c r="Y150" s="188"/>
      <c r="AB150" s="188"/>
    </row>
    <row r="151" spans="1:28" x14ac:dyDescent="0.25">
      <c r="A151" t="s">
        <v>518</v>
      </c>
      <c r="B151" t="s">
        <v>261</v>
      </c>
      <c r="C151">
        <f t="shared" si="14"/>
        <v>4791</v>
      </c>
      <c r="D151">
        <v>3427</v>
      </c>
      <c r="E151">
        <v>1364</v>
      </c>
      <c r="F151">
        <v>5</v>
      </c>
      <c r="G151">
        <v>158</v>
      </c>
      <c r="H151">
        <v>26</v>
      </c>
      <c r="I151">
        <v>122</v>
      </c>
      <c r="J151">
        <v>4328</v>
      </c>
      <c r="K151">
        <v>5083</v>
      </c>
      <c r="L151">
        <v>418</v>
      </c>
      <c r="M151">
        <v>364</v>
      </c>
      <c r="N151">
        <v>433</v>
      </c>
      <c r="O151">
        <v>147</v>
      </c>
      <c r="P151" s="128">
        <v>6846</v>
      </c>
      <c r="Q151" s="128">
        <v>6288</v>
      </c>
      <c r="R151" s="128">
        <v>558</v>
      </c>
      <c r="S151" s="128">
        <f t="shared" si="10"/>
        <v>13719611.999999998</v>
      </c>
      <c r="T151">
        <f t="shared" si="11"/>
        <v>8928611.9999999981</v>
      </c>
      <c r="U151">
        <f t="shared" si="12"/>
        <v>8928611.9999999981</v>
      </c>
      <c r="V151">
        <v>103604</v>
      </c>
      <c r="W151" s="188">
        <f t="shared" si="13"/>
        <v>8.6180186093201022E-2</v>
      </c>
      <c r="Y151" s="188"/>
      <c r="AB151" s="188"/>
    </row>
    <row r="152" spans="1:28" x14ac:dyDescent="0.25">
      <c r="A152" t="s">
        <v>528</v>
      </c>
      <c r="B152" t="s">
        <v>332</v>
      </c>
      <c r="C152">
        <f t="shared" si="14"/>
        <v>4756</v>
      </c>
      <c r="D152">
        <v>3149</v>
      </c>
      <c r="E152">
        <v>1607</v>
      </c>
      <c r="F152">
        <v>597</v>
      </c>
      <c r="G152">
        <v>828</v>
      </c>
      <c r="H152">
        <v>284</v>
      </c>
      <c r="I152">
        <v>244</v>
      </c>
      <c r="J152">
        <v>3489</v>
      </c>
      <c r="K152">
        <v>3375</v>
      </c>
      <c r="L152">
        <v>266</v>
      </c>
      <c r="M152">
        <v>130</v>
      </c>
      <c r="N152">
        <v>1063</v>
      </c>
      <c r="O152">
        <v>234</v>
      </c>
      <c r="P152" s="128">
        <v>3288</v>
      </c>
      <c r="Q152" s="128">
        <v>2803</v>
      </c>
      <c r="R152" s="128">
        <v>485</v>
      </c>
      <c r="S152" s="128">
        <f t="shared" si="10"/>
        <v>6991369</v>
      </c>
      <c r="T152">
        <f t="shared" si="11"/>
        <v>2235369</v>
      </c>
      <c r="U152">
        <f t="shared" si="12"/>
        <v>2235369</v>
      </c>
      <c r="V152">
        <v>76294</v>
      </c>
      <c r="W152" s="188">
        <f t="shared" si="13"/>
        <v>2.9299407554984665E-2</v>
      </c>
      <c r="Y152" s="188"/>
      <c r="AB152" s="188"/>
    </row>
    <row r="153" spans="1:28" x14ac:dyDescent="0.25">
      <c r="A153" t="s">
        <v>524</v>
      </c>
      <c r="B153" t="s">
        <v>222</v>
      </c>
      <c r="C153">
        <f t="shared" si="14"/>
        <v>5122</v>
      </c>
      <c r="D153">
        <v>3852</v>
      </c>
      <c r="E153">
        <v>1270</v>
      </c>
      <c r="F153">
        <v>717</v>
      </c>
      <c r="G153">
        <v>0</v>
      </c>
      <c r="H153">
        <v>0</v>
      </c>
      <c r="I153">
        <v>269</v>
      </c>
      <c r="J153">
        <v>3944</v>
      </c>
      <c r="K153">
        <v>3946</v>
      </c>
      <c r="L153">
        <v>339</v>
      </c>
      <c r="M153">
        <v>286</v>
      </c>
      <c r="N153">
        <v>566</v>
      </c>
      <c r="O153">
        <v>75</v>
      </c>
      <c r="P153" s="128">
        <v>4518</v>
      </c>
      <c r="Q153" s="128">
        <v>4098</v>
      </c>
      <c r="R153" s="128">
        <v>420</v>
      </c>
      <c r="S153" s="128">
        <f t="shared" si="10"/>
        <v>9150113.9999999981</v>
      </c>
      <c r="T153">
        <f t="shared" si="11"/>
        <v>4028113.9999999981</v>
      </c>
      <c r="U153">
        <f t="shared" si="12"/>
        <v>4028113.9999999981</v>
      </c>
      <c r="V153">
        <v>82235</v>
      </c>
      <c r="W153" s="188">
        <f t="shared" si="13"/>
        <v>4.8982963458381448E-2</v>
      </c>
      <c r="Y153" s="188"/>
      <c r="AB153" s="188"/>
    </row>
    <row r="154" spans="1:28" x14ac:dyDescent="0.25">
      <c r="A154" t="s">
        <v>521</v>
      </c>
      <c r="B154" t="s">
        <v>299</v>
      </c>
      <c r="C154">
        <f t="shared" si="14"/>
        <v>5645</v>
      </c>
      <c r="D154">
        <v>4180</v>
      </c>
      <c r="E154">
        <v>1465</v>
      </c>
      <c r="F154">
        <v>0</v>
      </c>
      <c r="G154">
        <v>2928</v>
      </c>
      <c r="H154">
        <v>347</v>
      </c>
      <c r="I154">
        <v>49</v>
      </c>
      <c r="J154">
        <v>3732</v>
      </c>
      <c r="K154">
        <v>3196</v>
      </c>
      <c r="L154">
        <v>679</v>
      </c>
      <c r="M154">
        <v>120</v>
      </c>
      <c r="N154">
        <v>1634</v>
      </c>
      <c r="O154">
        <v>9</v>
      </c>
      <c r="P154" s="128">
        <v>4355</v>
      </c>
      <c r="Q154" s="128">
        <v>3861</v>
      </c>
      <c r="R154" s="128">
        <v>494</v>
      </c>
      <c r="S154" s="128">
        <f t="shared" si="10"/>
        <v>8985197</v>
      </c>
      <c r="T154">
        <f t="shared" si="11"/>
        <v>3340197</v>
      </c>
      <c r="U154">
        <f t="shared" si="12"/>
        <v>3340197</v>
      </c>
      <c r="V154">
        <v>67705</v>
      </c>
      <c r="W154" s="188">
        <f t="shared" si="13"/>
        <v>4.9334569086478104E-2</v>
      </c>
      <c r="Y154" s="188"/>
      <c r="AB154" s="188"/>
    </row>
    <row r="155" spans="1:28" x14ac:dyDescent="0.25">
      <c r="A155" t="s">
        <v>522</v>
      </c>
      <c r="B155" t="s">
        <v>151</v>
      </c>
      <c r="C155">
        <f t="shared" si="14"/>
        <v>11827</v>
      </c>
      <c r="D155">
        <v>6982</v>
      </c>
      <c r="E155">
        <v>4845</v>
      </c>
      <c r="F155">
        <v>1465</v>
      </c>
      <c r="G155">
        <v>90</v>
      </c>
      <c r="H155">
        <v>16</v>
      </c>
      <c r="I155">
        <v>420</v>
      </c>
      <c r="J155">
        <v>3197</v>
      </c>
      <c r="K155">
        <v>5204</v>
      </c>
      <c r="L155">
        <v>509</v>
      </c>
      <c r="M155">
        <v>740</v>
      </c>
      <c r="N155">
        <v>2021</v>
      </c>
      <c r="O155">
        <v>541</v>
      </c>
      <c r="P155" s="128">
        <v>6257</v>
      </c>
      <c r="Q155" s="128">
        <v>5110</v>
      </c>
      <c r="R155" s="128">
        <v>1147</v>
      </c>
      <c r="S155" s="128">
        <f t="shared" si="10"/>
        <v>13719611.999999998</v>
      </c>
      <c r="T155">
        <f t="shared" si="11"/>
        <v>1892611.9999999981</v>
      </c>
      <c r="U155">
        <f t="shared" si="12"/>
        <v>1892611.9999999981</v>
      </c>
      <c r="V155">
        <v>193330</v>
      </c>
      <c r="W155" s="188">
        <f t="shared" si="13"/>
        <v>9.7895411989861805E-3</v>
      </c>
      <c r="Y155" s="188"/>
      <c r="AB155" s="188"/>
    </row>
    <row r="156" spans="1:28" x14ac:dyDescent="0.25">
      <c r="A156" t="s">
        <v>528</v>
      </c>
      <c r="B156" t="s">
        <v>333</v>
      </c>
      <c r="C156">
        <f t="shared" si="14"/>
        <v>2503</v>
      </c>
      <c r="D156">
        <v>2066</v>
      </c>
      <c r="E156">
        <v>437</v>
      </c>
      <c r="F156">
        <v>0</v>
      </c>
      <c r="G156">
        <v>288</v>
      </c>
      <c r="H156">
        <v>249</v>
      </c>
      <c r="I156">
        <v>72</v>
      </c>
      <c r="J156">
        <v>1508</v>
      </c>
      <c r="K156">
        <v>1357</v>
      </c>
      <c r="L156">
        <v>136</v>
      </c>
      <c r="M156">
        <v>179</v>
      </c>
      <c r="N156">
        <v>924</v>
      </c>
      <c r="O156">
        <v>49</v>
      </c>
      <c r="P156" s="128">
        <v>1637</v>
      </c>
      <c r="Q156" s="128">
        <v>1376</v>
      </c>
      <c r="R156" s="128">
        <v>261</v>
      </c>
      <c r="S156" s="128">
        <f t="shared" si="10"/>
        <v>3516993.9999999995</v>
      </c>
      <c r="T156">
        <f t="shared" si="11"/>
        <v>1013993.9999999995</v>
      </c>
      <c r="U156">
        <f t="shared" si="12"/>
        <v>1013993.9999999995</v>
      </c>
      <c r="V156">
        <v>38378</v>
      </c>
      <c r="W156" s="188">
        <f t="shared" si="13"/>
        <v>2.6421230913544206E-2</v>
      </c>
      <c r="Y156" s="188"/>
      <c r="AB156" s="188"/>
    </row>
    <row r="157" spans="1:28" x14ac:dyDescent="0.25">
      <c r="A157" t="s">
        <v>521</v>
      </c>
      <c r="B157" t="s">
        <v>300</v>
      </c>
      <c r="C157">
        <f t="shared" si="14"/>
        <v>12849</v>
      </c>
      <c r="D157">
        <v>7605</v>
      </c>
      <c r="E157">
        <v>5244</v>
      </c>
      <c r="F157">
        <v>1700</v>
      </c>
      <c r="G157">
        <v>3484</v>
      </c>
      <c r="H157">
        <v>288</v>
      </c>
      <c r="I157">
        <v>426</v>
      </c>
      <c r="J157">
        <v>4140</v>
      </c>
      <c r="K157">
        <v>7594</v>
      </c>
      <c r="L157">
        <v>919</v>
      </c>
      <c r="M157">
        <v>414</v>
      </c>
      <c r="N157">
        <v>1704</v>
      </c>
      <c r="O157">
        <v>934</v>
      </c>
      <c r="P157" s="128">
        <v>9881</v>
      </c>
      <c r="Q157" s="128">
        <v>8663</v>
      </c>
      <c r="R157" s="128">
        <v>1218</v>
      </c>
      <c r="S157" s="128">
        <f t="shared" si="10"/>
        <v>20566446.999999996</v>
      </c>
      <c r="T157">
        <f t="shared" si="11"/>
        <v>7717446.9999999963</v>
      </c>
      <c r="U157">
        <f t="shared" si="12"/>
        <v>7717446.9999999963</v>
      </c>
      <c r="V157">
        <v>181733</v>
      </c>
      <c r="W157" s="188">
        <f t="shared" si="13"/>
        <v>4.2465853752483018E-2</v>
      </c>
      <c r="Y157" s="188"/>
      <c r="AB157" s="188"/>
    </row>
    <row r="158" spans="1:28" x14ac:dyDescent="0.25">
      <c r="A158" t="s">
        <v>526</v>
      </c>
      <c r="B158" t="s">
        <v>409</v>
      </c>
      <c r="C158">
        <f t="shared" si="14"/>
        <v>13110</v>
      </c>
      <c r="D158">
        <v>7465</v>
      </c>
      <c r="E158">
        <v>5645</v>
      </c>
      <c r="F158">
        <v>303</v>
      </c>
      <c r="G158">
        <v>2</v>
      </c>
      <c r="H158">
        <v>171</v>
      </c>
      <c r="I158">
        <v>451</v>
      </c>
      <c r="J158">
        <v>5369</v>
      </c>
      <c r="K158">
        <v>6035</v>
      </c>
      <c r="L158">
        <v>477</v>
      </c>
      <c r="M158">
        <v>60</v>
      </c>
      <c r="N158">
        <v>937</v>
      </c>
      <c r="O158">
        <v>252</v>
      </c>
      <c r="P158" s="128">
        <v>4396</v>
      </c>
      <c r="Q158" s="128">
        <v>3623</v>
      </c>
      <c r="R158" s="128">
        <v>773</v>
      </c>
      <c r="S158" s="128">
        <f t="shared" si="10"/>
        <v>9578157</v>
      </c>
      <c r="T158">
        <f t="shared" si="11"/>
        <v>-3531843</v>
      </c>
      <c r="U158">
        <f t="shared" si="12"/>
        <v>0</v>
      </c>
      <c r="V158">
        <v>182990</v>
      </c>
      <c r="W158" s="188">
        <f t="shared" si="13"/>
        <v>-1.9300743210011476E-2</v>
      </c>
      <c r="Y158" s="188"/>
      <c r="AB158" s="188"/>
    </row>
    <row r="159" spans="1:28" x14ac:dyDescent="0.25">
      <c r="A159" t="s">
        <v>518</v>
      </c>
      <c r="B159" t="s">
        <v>262</v>
      </c>
      <c r="C159">
        <f t="shared" si="14"/>
        <v>2770</v>
      </c>
      <c r="D159">
        <v>1921</v>
      </c>
      <c r="E159">
        <v>849</v>
      </c>
      <c r="F159">
        <v>0</v>
      </c>
      <c r="G159">
        <v>0</v>
      </c>
      <c r="H159">
        <v>103</v>
      </c>
      <c r="I159">
        <v>0</v>
      </c>
      <c r="J159">
        <v>1459</v>
      </c>
      <c r="K159">
        <v>2739</v>
      </c>
      <c r="L159">
        <v>225</v>
      </c>
      <c r="M159">
        <v>33</v>
      </c>
      <c r="N159">
        <v>845</v>
      </c>
      <c r="O159">
        <v>19</v>
      </c>
      <c r="P159" s="128">
        <v>2976</v>
      </c>
      <c r="Q159" s="128">
        <v>2508</v>
      </c>
      <c r="R159" s="128">
        <v>467</v>
      </c>
      <c r="S159" s="128">
        <f t="shared" si="10"/>
        <v>6378025.9999999991</v>
      </c>
      <c r="T159">
        <f t="shared" si="11"/>
        <v>3608025.9999999991</v>
      </c>
      <c r="U159">
        <f t="shared" si="12"/>
        <v>3608025.9999999991</v>
      </c>
      <c r="V159">
        <v>63252</v>
      </c>
      <c r="W159" s="188">
        <f t="shared" si="13"/>
        <v>5.704208562575095E-2</v>
      </c>
      <c r="Y159" s="188"/>
      <c r="AB159" s="188"/>
    </row>
    <row r="160" spans="1:28" x14ac:dyDescent="0.25">
      <c r="A160" t="s">
        <v>521</v>
      </c>
      <c r="B160" t="s">
        <v>301</v>
      </c>
      <c r="C160">
        <f t="shared" si="14"/>
        <v>5820</v>
      </c>
      <c r="D160">
        <v>3681</v>
      </c>
      <c r="E160">
        <v>2139</v>
      </c>
      <c r="F160">
        <v>0</v>
      </c>
      <c r="G160">
        <v>0</v>
      </c>
      <c r="H160">
        <v>0</v>
      </c>
      <c r="I160">
        <v>0</v>
      </c>
      <c r="J160">
        <v>3406</v>
      </c>
      <c r="K160">
        <v>4014</v>
      </c>
      <c r="L160">
        <v>286</v>
      </c>
      <c r="M160">
        <v>521</v>
      </c>
      <c r="N160">
        <v>352</v>
      </c>
      <c r="O160">
        <v>140</v>
      </c>
      <c r="P160" s="128">
        <v>3797</v>
      </c>
      <c r="Q160" s="128">
        <v>3344</v>
      </c>
      <c r="R160" s="128">
        <v>453</v>
      </c>
      <c r="S160" s="128">
        <f t="shared" si="10"/>
        <v>7875249.9999999991</v>
      </c>
      <c r="T160">
        <f t="shared" si="11"/>
        <v>2055249.9999999991</v>
      </c>
      <c r="U160">
        <f t="shared" si="12"/>
        <v>2055249.9999999991</v>
      </c>
      <c r="V160">
        <v>105962</v>
      </c>
      <c r="W160" s="188">
        <f t="shared" si="13"/>
        <v>1.9396104263792673E-2</v>
      </c>
      <c r="Y160" s="188"/>
      <c r="AB160" s="188"/>
    </row>
    <row r="161" spans="1:28" x14ac:dyDescent="0.25">
      <c r="A161" t="s">
        <v>521</v>
      </c>
      <c r="B161" t="s">
        <v>478</v>
      </c>
      <c r="C161">
        <f t="shared" si="14"/>
        <v>11597</v>
      </c>
      <c r="D161">
        <v>7260</v>
      </c>
      <c r="E161">
        <v>4337</v>
      </c>
      <c r="F161">
        <v>0</v>
      </c>
      <c r="G161">
        <v>0</v>
      </c>
      <c r="H161">
        <v>215</v>
      </c>
      <c r="I161">
        <v>156</v>
      </c>
      <c r="J161">
        <v>5843</v>
      </c>
      <c r="K161">
        <v>6037</v>
      </c>
      <c r="L161">
        <v>575</v>
      </c>
      <c r="M161">
        <v>1153</v>
      </c>
      <c r="N161">
        <v>1821</v>
      </c>
      <c r="O161">
        <v>347</v>
      </c>
      <c r="P161" s="128">
        <v>7546</v>
      </c>
      <c r="Q161" s="128">
        <v>6502</v>
      </c>
      <c r="R161" s="128">
        <v>1044</v>
      </c>
      <c r="S161" s="128">
        <f t="shared" si="10"/>
        <v>15917269.999999998</v>
      </c>
      <c r="T161">
        <f t="shared" si="11"/>
        <v>4320269.9999999981</v>
      </c>
      <c r="U161">
        <f t="shared" si="12"/>
        <v>4320269.9999999981</v>
      </c>
      <c r="V161">
        <v>169498</v>
      </c>
      <c r="W161" s="188">
        <f t="shared" si="13"/>
        <v>2.5488619334741402E-2</v>
      </c>
      <c r="Y161" s="188"/>
      <c r="AB161" s="188"/>
    </row>
    <row r="162" spans="1:28" x14ac:dyDescent="0.25">
      <c r="A162" t="s">
        <v>517</v>
      </c>
      <c r="B162" t="s">
        <v>375</v>
      </c>
      <c r="C162">
        <f t="shared" si="14"/>
        <v>5398</v>
      </c>
      <c r="D162">
        <v>3543</v>
      </c>
      <c r="E162">
        <v>1855</v>
      </c>
      <c r="F162">
        <v>0</v>
      </c>
      <c r="G162">
        <v>0</v>
      </c>
      <c r="H162">
        <v>0</v>
      </c>
      <c r="I162">
        <v>28</v>
      </c>
      <c r="J162">
        <v>2001</v>
      </c>
      <c r="K162">
        <v>1950</v>
      </c>
      <c r="L162">
        <v>201</v>
      </c>
      <c r="M162">
        <v>0</v>
      </c>
      <c r="N162">
        <v>928</v>
      </c>
      <c r="O162">
        <v>197</v>
      </c>
      <c r="P162" s="128">
        <v>3277</v>
      </c>
      <c r="Q162" s="128">
        <v>2770</v>
      </c>
      <c r="R162" s="128">
        <v>508</v>
      </c>
      <c r="S162" s="128">
        <f t="shared" si="10"/>
        <v>7015458</v>
      </c>
      <c r="T162">
        <f t="shared" si="11"/>
        <v>1617458</v>
      </c>
      <c r="U162">
        <f t="shared" si="12"/>
        <v>1617458</v>
      </c>
      <c r="V162">
        <v>63925</v>
      </c>
      <c r="W162" s="188">
        <f t="shared" si="13"/>
        <v>2.5302432538130623E-2</v>
      </c>
      <c r="Y162" s="188"/>
      <c r="AB162" s="188"/>
    </row>
    <row r="163" spans="1:28" x14ac:dyDescent="0.25">
      <c r="A163" t="s">
        <v>517</v>
      </c>
      <c r="B163" t="s">
        <v>376</v>
      </c>
      <c r="C163">
        <f t="shared" si="14"/>
        <v>3375</v>
      </c>
      <c r="D163">
        <v>1908</v>
      </c>
      <c r="E163">
        <v>1467</v>
      </c>
      <c r="F163">
        <v>0</v>
      </c>
      <c r="G163">
        <v>1</v>
      </c>
      <c r="H163">
        <v>266</v>
      </c>
      <c r="I163">
        <v>0</v>
      </c>
      <c r="J163">
        <v>1185</v>
      </c>
      <c r="K163">
        <v>1470</v>
      </c>
      <c r="L163">
        <v>160</v>
      </c>
      <c r="M163">
        <v>41</v>
      </c>
      <c r="N163">
        <v>579</v>
      </c>
      <c r="O163">
        <v>83</v>
      </c>
      <c r="P163" s="128">
        <v>2361</v>
      </c>
      <c r="Q163" s="128">
        <v>2037</v>
      </c>
      <c r="R163" s="128">
        <v>324</v>
      </c>
      <c r="S163" s="128">
        <f t="shared" si="10"/>
        <v>4975305</v>
      </c>
      <c r="T163">
        <f t="shared" si="11"/>
        <v>1600305</v>
      </c>
      <c r="U163">
        <f t="shared" si="12"/>
        <v>1600305</v>
      </c>
      <c r="V163">
        <v>40242</v>
      </c>
      <c r="W163" s="188">
        <f t="shared" si="13"/>
        <v>3.976703444162815E-2</v>
      </c>
      <c r="Y163" s="188"/>
      <c r="AB163" s="188"/>
    </row>
    <row r="164" spans="1:28" x14ac:dyDescent="0.25">
      <c r="A164" t="s">
        <v>526</v>
      </c>
      <c r="B164" t="s">
        <v>410</v>
      </c>
      <c r="C164">
        <f t="shared" si="14"/>
        <v>7536</v>
      </c>
      <c r="D164">
        <v>5619</v>
      </c>
      <c r="E164">
        <v>1917</v>
      </c>
      <c r="F164">
        <v>0</v>
      </c>
      <c r="G164">
        <v>21</v>
      </c>
      <c r="H164">
        <v>111</v>
      </c>
      <c r="I164">
        <v>372</v>
      </c>
      <c r="J164">
        <v>4759</v>
      </c>
      <c r="K164">
        <v>3965</v>
      </c>
      <c r="L164">
        <v>387</v>
      </c>
      <c r="M164">
        <v>15</v>
      </c>
      <c r="N164">
        <v>283</v>
      </c>
      <c r="O164">
        <v>82</v>
      </c>
      <c r="P164" s="128">
        <v>3731</v>
      </c>
      <c r="Q164" s="128">
        <v>3329</v>
      </c>
      <c r="R164" s="128">
        <v>402</v>
      </c>
      <c r="S164" s="128">
        <f t="shared" si="10"/>
        <v>7658448.9999999991</v>
      </c>
      <c r="T164">
        <f t="shared" si="11"/>
        <v>122448.99999999907</v>
      </c>
      <c r="U164">
        <f t="shared" si="12"/>
        <v>122448.99999999907</v>
      </c>
      <c r="V164">
        <v>127319</v>
      </c>
      <c r="W164" s="188">
        <f t="shared" si="13"/>
        <v>9.6174962103063222E-4</v>
      </c>
      <c r="Y164" s="188"/>
      <c r="AB164" s="188"/>
    </row>
    <row r="165" spans="1:28" x14ac:dyDescent="0.25">
      <c r="A165" t="s">
        <v>518</v>
      </c>
      <c r="B165" t="s">
        <v>263</v>
      </c>
      <c r="C165">
        <f t="shared" si="14"/>
        <v>1996</v>
      </c>
      <c r="D165">
        <v>1836</v>
      </c>
      <c r="E165">
        <v>160</v>
      </c>
      <c r="F165">
        <v>0</v>
      </c>
      <c r="G165">
        <v>12</v>
      </c>
      <c r="H165">
        <v>-3</v>
      </c>
      <c r="I165">
        <v>0</v>
      </c>
      <c r="J165">
        <v>1137</v>
      </c>
      <c r="K165">
        <v>1468</v>
      </c>
      <c r="L165">
        <v>134</v>
      </c>
      <c r="M165">
        <v>176</v>
      </c>
      <c r="N165">
        <v>177</v>
      </c>
      <c r="O165">
        <v>303</v>
      </c>
      <c r="P165" s="128">
        <v>2227</v>
      </c>
      <c r="Q165" s="128">
        <v>2093</v>
      </c>
      <c r="R165" s="128">
        <v>134</v>
      </c>
      <c r="S165" s="128">
        <f t="shared" si="10"/>
        <v>4374932.9999999991</v>
      </c>
      <c r="T165">
        <f t="shared" si="11"/>
        <v>2378932.9999999991</v>
      </c>
      <c r="U165">
        <f t="shared" si="12"/>
        <v>2378932.9999999991</v>
      </c>
      <c r="V165">
        <v>27460</v>
      </c>
      <c r="W165" s="188">
        <f t="shared" si="13"/>
        <v>8.6632665695557137E-2</v>
      </c>
      <c r="Y165" s="188"/>
      <c r="AB165" s="188"/>
    </row>
    <row r="166" spans="1:28" x14ac:dyDescent="0.25">
      <c r="A166" t="s">
        <v>518</v>
      </c>
      <c r="B166" t="s">
        <v>264</v>
      </c>
      <c r="C166">
        <f t="shared" si="14"/>
        <v>5137</v>
      </c>
      <c r="D166">
        <v>3440</v>
      </c>
      <c r="E166">
        <v>1697</v>
      </c>
      <c r="F166">
        <v>0</v>
      </c>
      <c r="G166">
        <v>1838</v>
      </c>
      <c r="H166">
        <v>128</v>
      </c>
      <c r="I166">
        <v>0</v>
      </c>
      <c r="J166">
        <v>4424</v>
      </c>
      <c r="K166">
        <v>2948</v>
      </c>
      <c r="L166">
        <v>267</v>
      </c>
      <c r="M166">
        <v>395</v>
      </c>
      <c r="N166">
        <v>1060</v>
      </c>
      <c r="O166">
        <v>50</v>
      </c>
      <c r="P166" s="128">
        <v>3910</v>
      </c>
      <c r="Q166" s="128">
        <v>3469</v>
      </c>
      <c r="R166" s="128">
        <v>442</v>
      </c>
      <c r="S166" s="128">
        <f t="shared" si="10"/>
        <v>8066108.9999999991</v>
      </c>
      <c r="T166">
        <f t="shared" si="11"/>
        <v>2929108.9999999991</v>
      </c>
      <c r="U166">
        <f t="shared" si="12"/>
        <v>2929108.9999999991</v>
      </c>
      <c r="V166">
        <v>82376</v>
      </c>
      <c r="W166" s="188">
        <f t="shared" si="13"/>
        <v>3.5557795959988335E-2</v>
      </c>
      <c r="Y166" s="188"/>
      <c r="AB166" s="188"/>
    </row>
    <row r="167" spans="1:28" x14ac:dyDescent="0.25">
      <c r="A167" t="s">
        <v>521</v>
      </c>
      <c r="B167" t="s">
        <v>302</v>
      </c>
      <c r="C167">
        <f t="shared" si="14"/>
        <v>14875</v>
      </c>
      <c r="D167">
        <v>8553</v>
      </c>
      <c r="E167">
        <v>6322</v>
      </c>
      <c r="F167">
        <v>0</v>
      </c>
      <c r="G167">
        <v>238</v>
      </c>
      <c r="H167">
        <v>0</v>
      </c>
      <c r="I167">
        <v>390</v>
      </c>
      <c r="J167">
        <v>6557</v>
      </c>
      <c r="K167">
        <v>6661</v>
      </c>
      <c r="L167">
        <v>665</v>
      </c>
      <c r="M167">
        <v>46</v>
      </c>
      <c r="N167">
        <v>2691</v>
      </c>
      <c r="O167">
        <v>161</v>
      </c>
      <c r="P167" s="128">
        <v>10527</v>
      </c>
      <c r="Q167" s="128">
        <v>8503</v>
      </c>
      <c r="R167" s="128">
        <v>2024</v>
      </c>
      <c r="S167" s="128">
        <f t="shared" si="10"/>
        <v>23257002.999999996</v>
      </c>
      <c r="T167">
        <f t="shared" si="11"/>
        <v>8382002.9999999963</v>
      </c>
      <c r="U167">
        <f t="shared" si="12"/>
        <v>8382002.9999999963</v>
      </c>
      <c r="V167">
        <v>315546</v>
      </c>
      <c r="W167" s="188">
        <f t="shared" si="13"/>
        <v>2.6563489950752018E-2</v>
      </c>
      <c r="Y167" s="188"/>
      <c r="AB167" s="188"/>
    </row>
    <row r="168" spans="1:28" x14ac:dyDescent="0.25">
      <c r="A168" t="s">
        <v>518</v>
      </c>
      <c r="B168" t="s">
        <v>265</v>
      </c>
      <c r="C168">
        <f t="shared" si="14"/>
        <v>4503</v>
      </c>
      <c r="D168">
        <v>3691</v>
      </c>
      <c r="E168">
        <v>812</v>
      </c>
      <c r="F168">
        <v>0</v>
      </c>
      <c r="G168">
        <v>774</v>
      </c>
      <c r="H168">
        <v>0</v>
      </c>
      <c r="I168">
        <v>99</v>
      </c>
      <c r="J168">
        <v>1041</v>
      </c>
      <c r="K168">
        <v>1169</v>
      </c>
      <c r="L168">
        <v>133</v>
      </c>
      <c r="M168">
        <v>113</v>
      </c>
      <c r="N168">
        <v>641</v>
      </c>
      <c r="O168">
        <v>140</v>
      </c>
      <c r="P168" s="128">
        <v>3834</v>
      </c>
      <c r="Q168" s="128">
        <v>3560</v>
      </c>
      <c r="R168" s="128">
        <v>274</v>
      </c>
      <c r="S168" s="128">
        <f t="shared" si="10"/>
        <v>7612124</v>
      </c>
      <c r="T168">
        <f t="shared" si="11"/>
        <v>3109124</v>
      </c>
      <c r="U168">
        <f t="shared" si="12"/>
        <v>3109124</v>
      </c>
      <c r="V168">
        <v>37904</v>
      </c>
      <c r="W168" s="188">
        <f t="shared" si="13"/>
        <v>8.2026276910088639E-2</v>
      </c>
      <c r="Y168" s="188"/>
      <c r="AB168" s="188"/>
    </row>
    <row r="169" spans="1:28" x14ac:dyDescent="0.25">
      <c r="A169" t="s">
        <v>520</v>
      </c>
      <c r="B169" t="s">
        <v>132</v>
      </c>
      <c r="C169">
        <f t="shared" si="14"/>
        <v>33086</v>
      </c>
      <c r="D169">
        <v>14059</v>
      </c>
      <c r="E169">
        <v>19027</v>
      </c>
      <c r="F169">
        <v>2314</v>
      </c>
      <c r="G169">
        <v>121</v>
      </c>
      <c r="H169">
        <v>0</v>
      </c>
      <c r="I169">
        <v>954</v>
      </c>
      <c r="J169">
        <v>12245</v>
      </c>
      <c r="K169">
        <v>16954</v>
      </c>
      <c r="L169">
        <v>1113</v>
      </c>
      <c r="M169">
        <v>194</v>
      </c>
      <c r="N169">
        <v>3612</v>
      </c>
      <c r="O169">
        <v>1264</v>
      </c>
      <c r="P169" s="128">
        <v>13048</v>
      </c>
      <c r="Q169" s="128">
        <v>10354</v>
      </c>
      <c r="R169" s="128">
        <v>2694</v>
      </c>
      <c r="S169" s="128">
        <f t="shared" si="10"/>
        <v>29169925.999999996</v>
      </c>
      <c r="T169">
        <f t="shared" si="11"/>
        <v>-3916074.0000000037</v>
      </c>
      <c r="U169">
        <f t="shared" si="12"/>
        <v>0</v>
      </c>
      <c r="V169">
        <v>614424</v>
      </c>
      <c r="W169" s="188">
        <f t="shared" si="13"/>
        <v>-6.3735693918206384E-3</v>
      </c>
      <c r="Y169" s="188"/>
      <c r="AB169" s="188"/>
    </row>
    <row r="170" spans="1:28" x14ac:dyDescent="0.25">
      <c r="A170" t="s">
        <v>521</v>
      </c>
      <c r="B170" t="s">
        <v>303</v>
      </c>
      <c r="C170">
        <f t="shared" si="14"/>
        <v>54275</v>
      </c>
      <c r="D170">
        <v>22486</v>
      </c>
      <c r="E170">
        <v>31789</v>
      </c>
      <c r="F170">
        <v>12057</v>
      </c>
      <c r="G170">
        <v>7552</v>
      </c>
      <c r="H170">
        <v>422</v>
      </c>
      <c r="I170">
        <v>628</v>
      </c>
      <c r="J170">
        <v>7758</v>
      </c>
      <c r="K170">
        <v>15762</v>
      </c>
      <c r="L170">
        <v>1370</v>
      </c>
      <c r="M170">
        <v>0</v>
      </c>
      <c r="N170">
        <v>8133</v>
      </c>
      <c r="O170">
        <v>1960</v>
      </c>
      <c r="P170" s="128">
        <v>20787</v>
      </c>
      <c r="Q170" s="128">
        <v>17521</v>
      </c>
      <c r="R170" s="128">
        <v>3266</v>
      </c>
      <c r="S170" s="128">
        <f t="shared" si="10"/>
        <v>44570209</v>
      </c>
      <c r="T170">
        <f t="shared" si="11"/>
        <v>-9704791</v>
      </c>
      <c r="U170">
        <f t="shared" si="12"/>
        <v>0</v>
      </c>
      <c r="V170">
        <v>525552</v>
      </c>
      <c r="W170" s="188">
        <f t="shared" si="13"/>
        <v>-1.8465900614972448E-2</v>
      </c>
      <c r="Y170" s="188"/>
      <c r="AB170" s="188"/>
    </row>
    <row r="171" spans="1:28" x14ac:dyDescent="0.25">
      <c r="A171" t="s">
        <v>521</v>
      </c>
      <c r="B171" t="s">
        <v>304</v>
      </c>
      <c r="C171">
        <f t="shared" si="14"/>
        <v>7452</v>
      </c>
      <c r="D171">
        <v>5254</v>
      </c>
      <c r="E171">
        <v>2198</v>
      </c>
      <c r="F171">
        <v>0</v>
      </c>
      <c r="G171">
        <v>581</v>
      </c>
      <c r="H171">
        <v>15</v>
      </c>
      <c r="I171">
        <v>32</v>
      </c>
      <c r="J171">
        <v>1842</v>
      </c>
      <c r="K171">
        <v>3858</v>
      </c>
      <c r="L171">
        <v>318</v>
      </c>
      <c r="M171">
        <v>347</v>
      </c>
      <c r="N171">
        <v>206</v>
      </c>
      <c r="O171">
        <v>50</v>
      </c>
      <c r="P171" s="128">
        <v>4180</v>
      </c>
      <c r="Q171" s="128">
        <v>3740</v>
      </c>
      <c r="R171" s="128">
        <v>439</v>
      </c>
      <c r="S171" s="128">
        <f t="shared" si="10"/>
        <v>8557153.9999999981</v>
      </c>
      <c r="T171">
        <f t="shared" si="11"/>
        <v>1105153.9999999981</v>
      </c>
      <c r="U171">
        <f t="shared" si="12"/>
        <v>1105153.9999999981</v>
      </c>
      <c r="V171">
        <v>68358</v>
      </c>
      <c r="W171" s="188">
        <f t="shared" si="13"/>
        <v>1.6167149419234004E-2</v>
      </c>
      <c r="Y171" s="188"/>
      <c r="AB171" s="188"/>
    </row>
    <row r="172" spans="1:28" x14ac:dyDescent="0.25">
      <c r="A172" t="s">
        <v>521</v>
      </c>
      <c r="B172" t="s">
        <v>305</v>
      </c>
      <c r="C172">
        <f t="shared" si="14"/>
        <v>12263</v>
      </c>
      <c r="D172">
        <v>8696</v>
      </c>
      <c r="E172">
        <v>3567</v>
      </c>
      <c r="F172">
        <v>228</v>
      </c>
      <c r="G172">
        <v>368</v>
      </c>
      <c r="H172">
        <v>151</v>
      </c>
      <c r="I172">
        <v>479</v>
      </c>
      <c r="J172">
        <v>6413</v>
      </c>
      <c r="K172">
        <v>12136</v>
      </c>
      <c r="L172">
        <v>898</v>
      </c>
      <c r="M172">
        <v>827</v>
      </c>
      <c r="N172">
        <v>1565</v>
      </c>
      <c r="O172">
        <v>255</v>
      </c>
      <c r="P172" s="128">
        <v>11725</v>
      </c>
      <c r="Q172" s="128">
        <v>10799</v>
      </c>
      <c r="R172" s="128">
        <v>926</v>
      </c>
      <c r="S172" s="128">
        <f t="shared" si="10"/>
        <v>23442303</v>
      </c>
      <c r="T172">
        <f t="shared" si="11"/>
        <v>11179303</v>
      </c>
      <c r="U172">
        <f t="shared" si="12"/>
        <v>11179303</v>
      </c>
      <c r="V172">
        <v>365736</v>
      </c>
      <c r="W172" s="188">
        <f t="shared" si="13"/>
        <v>3.0566591749239889E-2</v>
      </c>
      <c r="Y172" s="188"/>
      <c r="AB172" s="188"/>
    </row>
    <row r="173" spans="1:28" x14ac:dyDescent="0.25">
      <c r="A173" t="s">
        <v>523</v>
      </c>
      <c r="B173" t="s">
        <v>431</v>
      </c>
      <c r="C173">
        <f t="shared" si="14"/>
        <v>23105</v>
      </c>
      <c r="D173">
        <v>11081</v>
      </c>
      <c r="E173">
        <v>12024</v>
      </c>
      <c r="F173">
        <v>0</v>
      </c>
      <c r="G173">
        <v>1768</v>
      </c>
      <c r="H173">
        <v>0</v>
      </c>
      <c r="I173">
        <v>768</v>
      </c>
      <c r="J173">
        <v>5992</v>
      </c>
      <c r="K173">
        <v>9319</v>
      </c>
      <c r="L173">
        <v>822</v>
      </c>
      <c r="M173">
        <v>392</v>
      </c>
      <c r="N173">
        <v>2900</v>
      </c>
      <c r="O173">
        <v>529</v>
      </c>
      <c r="P173" s="128">
        <v>8837</v>
      </c>
      <c r="Q173" s="128">
        <v>6959</v>
      </c>
      <c r="R173" s="128">
        <v>1879</v>
      </c>
      <c r="S173" s="128">
        <f t="shared" si="10"/>
        <v>19858600.999999996</v>
      </c>
      <c r="T173">
        <f t="shared" si="11"/>
        <v>-3246399.0000000037</v>
      </c>
      <c r="U173">
        <f t="shared" si="12"/>
        <v>0</v>
      </c>
      <c r="V173">
        <v>307944</v>
      </c>
      <c r="W173" s="188">
        <f t="shared" si="13"/>
        <v>-1.0542173252279647E-2</v>
      </c>
      <c r="Y173" s="188"/>
      <c r="AB173" s="188"/>
    </row>
    <row r="174" spans="1:28" x14ac:dyDescent="0.25">
      <c r="A174" t="s">
        <v>526</v>
      </c>
      <c r="B174" t="s">
        <v>411</v>
      </c>
      <c r="C174">
        <f t="shared" si="14"/>
        <v>5871</v>
      </c>
      <c r="D174">
        <v>4121</v>
      </c>
      <c r="E174">
        <v>1750</v>
      </c>
      <c r="F174">
        <v>0</v>
      </c>
      <c r="G174">
        <v>0</v>
      </c>
      <c r="H174">
        <v>966</v>
      </c>
      <c r="I174">
        <v>302</v>
      </c>
      <c r="J174">
        <v>4778</v>
      </c>
      <c r="K174">
        <v>3061</v>
      </c>
      <c r="L174">
        <v>376</v>
      </c>
      <c r="M174">
        <v>8</v>
      </c>
      <c r="N174">
        <v>819</v>
      </c>
      <c r="O174">
        <v>29</v>
      </c>
      <c r="P174" s="128">
        <v>4662</v>
      </c>
      <c r="Q174" s="128">
        <v>3912</v>
      </c>
      <c r="R174" s="128">
        <v>749</v>
      </c>
      <c r="S174" s="128">
        <f t="shared" si="10"/>
        <v>10024730</v>
      </c>
      <c r="T174">
        <f t="shared" si="11"/>
        <v>4153730</v>
      </c>
      <c r="U174">
        <f t="shared" si="12"/>
        <v>4153730</v>
      </c>
      <c r="V174">
        <v>96202</v>
      </c>
      <c r="W174" s="188">
        <f t="shared" si="13"/>
        <v>4.3177168873827984E-2</v>
      </c>
      <c r="Y174" s="188"/>
      <c r="AB174" s="188"/>
    </row>
    <row r="175" spans="1:28" x14ac:dyDescent="0.25">
      <c r="A175" t="s">
        <v>524</v>
      </c>
      <c r="B175" t="s">
        <v>223</v>
      </c>
      <c r="C175">
        <f t="shared" si="14"/>
        <v>7412</v>
      </c>
      <c r="D175">
        <v>4611</v>
      </c>
      <c r="E175">
        <v>2801</v>
      </c>
      <c r="F175">
        <v>0</v>
      </c>
      <c r="G175">
        <v>0</v>
      </c>
      <c r="H175">
        <v>138</v>
      </c>
      <c r="I175">
        <v>195</v>
      </c>
      <c r="J175">
        <v>1667</v>
      </c>
      <c r="K175">
        <v>3218</v>
      </c>
      <c r="L175">
        <v>331</v>
      </c>
      <c r="M175">
        <v>37</v>
      </c>
      <c r="N175">
        <v>1217</v>
      </c>
      <c r="O175">
        <v>144</v>
      </c>
      <c r="P175" s="128">
        <v>5007</v>
      </c>
      <c r="Q175" s="128">
        <v>4434</v>
      </c>
      <c r="R175" s="128">
        <v>573</v>
      </c>
      <c r="S175" s="128">
        <f t="shared" si="10"/>
        <v>10339739.999999998</v>
      </c>
      <c r="T175">
        <f t="shared" si="11"/>
        <v>2927739.9999999981</v>
      </c>
      <c r="U175">
        <f t="shared" si="12"/>
        <v>2927739.9999999981</v>
      </c>
      <c r="V175">
        <v>76228</v>
      </c>
      <c r="W175" s="188">
        <f t="shared" si="13"/>
        <v>3.8407671721677049E-2</v>
      </c>
      <c r="Y175" s="188"/>
      <c r="AB175" s="188"/>
    </row>
    <row r="176" spans="1:28" x14ac:dyDescent="0.25">
      <c r="A176" t="s">
        <v>519</v>
      </c>
      <c r="B176" t="s">
        <v>187</v>
      </c>
      <c r="C176">
        <f t="shared" si="14"/>
        <v>11943</v>
      </c>
      <c r="D176">
        <v>8981</v>
      </c>
      <c r="E176">
        <v>2962</v>
      </c>
      <c r="F176">
        <v>0</v>
      </c>
      <c r="G176">
        <v>3448</v>
      </c>
      <c r="H176">
        <v>86</v>
      </c>
      <c r="I176">
        <v>404</v>
      </c>
      <c r="J176">
        <v>4777</v>
      </c>
      <c r="K176">
        <v>4012</v>
      </c>
      <c r="L176">
        <v>431</v>
      </c>
      <c r="M176">
        <v>67</v>
      </c>
      <c r="N176">
        <v>1303</v>
      </c>
      <c r="O176">
        <v>141</v>
      </c>
      <c r="P176" s="128">
        <v>6007</v>
      </c>
      <c r="Q176" s="128">
        <v>5381</v>
      </c>
      <c r="R176" s="128">
        <v>625</v>
      </c>
      <c r="S176" s="128">
        <f t="shared" si="10"/>
        <v>12287242.999999998</v>
      </c>
      <c r="T176">
        <f t="shared" si="11"/>
        <v>344242.99999999814</v>
      </c>
      <c r="U176">
        <f t="shared" si="12"/>
        <v>344242.99999999814</v>
      </c>
      <c r="V176">
        <v>122166</v>
      </c>
      <c r="W176" s="188">
        <f t="shared" si="13"/>
        <v>2.8178298380891419E-3</v>
      </c>
      <c r="Y176" s="188"/>
      <c r="AB176" s="188"/>
    </row>
    <row r="177" spans="1:28" x14ac:dyDescent="0.25">
      <c r="A177" t="s">
        <v>518</v>
      </c>
      <c r="B177" t="s">
        <v>306</v>
      </c>
      <c r="C177">
        <f t="shared" si="14"/>
        <v>4999</v>
      </c>
      <c r="D177">
        <v>2672</v>
      </c>
      <c r="E177">
        <v>2327</v>
      </c>
      <c r="F177">
        <v>0</v>
      </c>
      <c r="G177">
        <v>2177</v>
      </c>
      <c r="H177">
        <v>59</v>
      </c>
      <c r="I177">
        <v>3300</v>
      </c>
      <c r="J177">
        <v>2557</v>
      </c>
      <c r="K177">
        <v>0</v>
      </c>
      <c r="L177">
        <v>226</v>
      </c>
      <c r="M177">
        <v>0</v>
      </c>
      <c r="N177">
        <v>1007</v>
      </c>
      <c r="O177">
        <v>164</v>
      </c>
      <c r="P177" s="128">
        <v>3766</v>
      </c>
      <c r="Q177" s="128">
        <v>3167</v>
      </c>
      <c r="R177" s="128">
        <v>599</v>
      </c>
      <c r="S177" s="128">
        <f t="shared" si="10"/>
        <v>8088344.9999999981</v>
      </c>
      <c r="T177">
        <f t="shared" si="11"/>
        <v>3089344.9999999981</v>
      </c>
      <c r="U177">
        <f t="shared" si="12"/>
        <v>3089344.9999999981</v>
      </c>
      <c r="V177">
        <v>59034</v>
      </c>
      <c r="W177" s="188">
        <f t="shared" si="13"/>
        <v>5.2331622454856494E-2</v>
      </c>
      <c r="Y177" s="188"/>
      <c r="AB177" s="188"/>
    </row>
    <row r="178" spans="1:28" x14ac:dyDescent="0.25">
      <c r="A178" t="s">
        <v>519</v>
      </c>
      <c r="B178" t="s">
        <v>188</v>
      </c>
      <c r="C178">
        <f t="shared" si="14"/>
        <v>5807</v>
      </c>
      <c r="D178">
        <v>4193</v>
      </c>
      <c r="E178">
        <v>1614</v>
      </c>
      <c r="F178">
        <v>15</v>
      </c>
      <c r="G178">
        <v>2264</v>
      </c>
      <c r="H178">
        <v>906</v>
      </c>
      <c r="I178">
        <v>51</v>
      </c>
      <c r="J178">
        <v>5693</v>
      </c>
      <c r="K178">
        <v>3846</v>
      </c>
      <c r="L178">
        <v>350</v>
      </c>
      <c r="M178">
        <v>298</v>
      </c>
      <c r="N178">
        <v>603</v>
      </c>
      <c r="O178">
        <v>456</v>
      </c>
      <c r="P178" s="128">
        <v>5620</v>
      </c>
      <c r="Q178" s="128">
        <v>4845</v>
      </c>
      <c r="R178" s="128">
        <v>775</v>
      </c>
      <c r="S178" s="128">
        <f t="shared" si="10"/>
        <v>11849934.999999998</v>
      </c>
      <c r="T178">
        <f t="shared" si="11"/>
        <v>6042934.9999999981</v>
      </c>
      <c r="U178">
        <f t="shared" si="12"/>
        <v>6042934.9999999981</v>
      </c>
      <c r="V178">
        <v>107237</v>
      </c>
      <c r="W178" s="188">
        <f t="shared" si="13"/>
        <v>5.6351212734410683E-2</v>
      </c>
      <c r="Y178" s="188"/>
      <c r="AB178" s="188"/>
    </row>
    <row r="179" spans="1:28" x14ac:dyDescent="0.25">
      <c r="A179" t="s">
        <v>517</v>
      </c>
      <c r="B179" t="s">
        <v>377</v>
      </c>
      <c r="C179">
        <f t="shared" si="14"/>
        <v>5837</v>
      </c>
      <c r="D179">
        <v>3659</v>
      </c>
      <c r="E179">
        <v>2178</v>
      </c>
      <c r="F179">
        <v>0</v>
      </c>
      <c r="G179">
        <v>0</v>
      </c>
      <c r="H179">
        <v>1630</v>
      </c>
      <c r="I179">
        <v>247</v>
      </c>
      <c r="J179">
        <v>2737</v>
      </c>
      <c r="K179">
        <v>3136</v>
      </c>
      <c r="L179">
        <v>0</v>
      </c>
      <c r="M179">
        <v>0</v>
      </c>
      <c r="N179">
        <v>378</v>
      </c>
      <c r="O179">
        <v>0</v>
      </c>
      <c r="P179" s="128">
        <v>3285</v>
      </c>
      <c r="Q179" s="128">
        <v>2741</v>
      </c>
      <c r="R179" s="128">
        <v>543</v>
      </c>
      <c r="S179" s="128">
        <f t="shared" si="10"/>
        <v>7091430.9999999991</v>
      </c>
      <c r="T179">
        <f t="shared" si="11"/>
        <v>1254430.9999999991</v>
      </c>
      <c r="U179">
        <f t="shared" si="12"/>
        <v>1254430.9999999991</v>
      </c>
      <c r="V179">
        <v>65105</v>
      </c>
      <c r="W179" s="188">
        <f t="shared" si="13"/>
        <v>1.9267813531986776E-2</v>
      </c>
      <c r="Y179" s="188"/>
      <c r="AB179" s="188"/>
    </row>
    <row r="180" spans="1:28" x14ac:dyDescent="0.25">
      <c r="A180" t="s">
        <v>519</v>
      </c>
      <c r="B180" t="s">
        <v>224</v>
      </c>
      <c r="C180">
        <f t="shared" si="14"/>
        <v>2945</v>
      </c>
      <c r="D180">
        <v>2299</v>
      </c>
      <c r="E180">
        <v>646</v>
      </c>
      <c r="F180">
        <v>0</v>
      </c>
      <c r="G180">
        <v>11</v>
      </c>
      <c r="H180">
        <v>29</v>
      </c>
      <c r="I180">
        <v>74</v>
      </c>
      <c r="J180">
        <v>1599</v>
      </c>
      <c r="K180">
        <v>1272</v>
      </c>
      <c r="L180">
        <v>146</v>
      </c>
      <c r="M180">
        <v>120</v>
      </c>
      <c r="N180">
        <v>327</v>
      </c>
      <c r="O180">
        <v>4</v>
      </c>
      <c r="P180" s="128">
        <v>1975</v>
      </c>
      <c r="Q180" s="128">
        <v>1676</v>
      </c>
      <c r="R180" s="128">
        <v>299</v>
      </c>
      <c r="S180" s="128">
        <f t="shared" si="10"/>
        <v>4213722</v>
      </c>
      <c r="T180">
        <f t="shared" si="11"/>
        <v>1268722</v>
      </c>
      <c r="U180">
        <f t="shared" si="12"/>
        <v>1268722</v>
      </c>
      <c r="V180">
        <v>34171</v>
      </c>
      <c r="W180" s="188">
        <f t="shared" si="13"/>
        <v>3.7128617833835711E-2</v>
      </c>
      <c r="Y180" s="188"/>
      <c r="AB180" s="188"/>
    </row>
    <row r="181" spans="1:28" x14ac:dyDescent="0.25">
      <c r="A181" t="s">
        <v>525</v>
      </c>
      <c r="B181" t="s">
        <v>122</v>
      </c>
      <c r="C181">
        <f t="shared" si="14"/>
        <v>1755</v>
      </c>
      <c r="D181">
        <v>1246</v>
      </c>
      <c r="E181">
        <v>509</v>
      </c>
      <c r="F181">
        <v>0</v>
      </c>
      <c r="G181">
        <v>0</v>
      </c>
      <c r="H181">
        <v>11</v>
      </c>
      <c r="I181">
        <v>99</v>
      </c>
      <c r="J181">
        <v>1537</v>
      </c>
      <c r="K181">
        <v>945</v>
      </c>
      <c r="L181">
        <v>90</v>
      </c>
      <c r="M181">
        <v>86</v>
      </c>
      <c r="N181">
        <v>1220</v>
      </c>
      <c r="O181">
        <v>138</v>
      </c>
      <c r="P181" s="128">
        <v>927</v>
      </c>
      <c r="Q181" s="128">
        <v>701</v>
      </c>
      <c r="R181" s="128">
        <v>226</v>
      </c>
      <c r="S181" s="128">
        <f>0.1853%*SUM(Q181,R181,R181)*1000000</f>
        <v>2136509</v>
      </c>
      <c r="T181">
        <f>SUM(S181,-C181*1000)</f>
        <v>381509</v>
      </c>
      <c r="U181">
        <f>IF(T181&gt;0,T181,0)</f>
        <v>381509</v>
      </c>
      <c r="V181">
        <v>35598</v>
      </c>
      <c r="W181" s="188">
        <f>T181/(V181*1000)</f>
        <v>1.0717147030732064E-2</v>
      </c>
      <c r="Y181" s="188"/>
      <c r="AB181" s="188"/>
    </row>
    <row r="182" spans="1:28" x14ac:dyDescent="0.25">
      <c r="A182" t="s">
        <v>522</v>
      </c>
      <c r="B182" t="s">
        <v>152</v>
      </c>
      <c r="C182">
        <f t="shared" si="14"/>
        <v>5023</v>
      </c>
      <c r="D182">
        <v>4473</v>
      </c>
      <c r="E182">
        <v>550</v>
      </c>
      <c r="F182">
        <v>0</v>
      </c>
      <c r="G182">
        <v>0</v>
      </c>
      <c r="H182">
        <v>33</v>
      </c>
      <c r="I182">
        <v>253</v>
      </c>
      <c r="J182">
        <v>2787</v>
      </c>
      <c r="K182">
        <v>2061</v>
      </c>
      <c r="L182">
        <v>241</v>
      </c>
      <c r="M182">
        <v>0</v>
      </c>
      <c r="N182">
        <v>537</v>
      </c>
      <c r="O182">
        <v>122</v>
      </c>
      <c r="P182" s="128">
        <v>2682</v>
      </c>
      <c r="Q182" s="128">
        <v>2296</v>
      </c>
      <c r="R182" s="128">
        <v>386</v>
      </c>
      <c r="S182" s="128">
        <f t="shared" si="10"/>
        <v>5685003.9999999991</v>
      </c>
      <c r="T182">
        <f t="shared" si="11"/>
        <v>662003.99999999907</v>
      </c>
      <c r="U182">
        <f t="shared" si="12"/>
        <v>662003.99999999907</v>
      </c>
      <c r="V182">
        <v>63560</v>
      </c>
      <c r="W182" s="188">
        <f t="shared" si="13"/>
        <v>1.0415418502202629E-2</v>
      </c>
      <c r="Y182" s="188"/>
      <c r="AB182" s="188"/>
    </row>
    <row r="183" spans="1:28" x14ac:dyDescent="0.25">
      <c r="A183" t="s">
        <v>519</v>
      </c>
      <c r="B183" t="s">
        <v>189</v>
      </c>
      <c r="C183">
        <f t="shared" si="14"/>
        <v>5269</v>
      </c>
      <c r="D183">
        <v>3188</v>
      </c>
      <c r="E183">
        <v>2081</v>
      </c>
      <c r="F183">
        <v>0</v>
      </c>
      <c r="G183">
        <v>1810</v>
      </c>
      <c r="H183">
        <v>143</v>
      </c>
      <c r="I183">
        <v>78</v>
      </c>
      <c r="J183">
        <v>2044</v>
      </c>
      <c r="K183">
        <v>0</v>
      </c>
      <c r="L183">
        <v>259</v>
      </c>
      <c r="M183">
        <v>63</v>
      </c>
      <c r="N183">
        <v>908</v>
      </c>
      <c r="O183">
        <v>266</v>
      </c>
      <c r="P183" s="128">
        <v>3253</v>
      </c>
      <c r="Q183" s="128">
        <v>2722</v>
      </c>
      <c r="R183" s="128">
        <v>530</v>
      </c>
      <c r="S183" s="128">
        <f t="shared" si="10"/>
        <v>7008045.9999999991</v>
      </c>
      <c r="T183">
        <f t="shared" si="11"/>
        <v>1739045.9999999991</v>
      </c>
      <c r="U183">
        <f t="shared" si="12"/>
        <v>1739045.9999999991</v>
      </c>
      <c r="V183">
        <v>63823</v>
      </c>
      <c r="W183" s="188">
        <f t="shared" si="13"/>
        <v>2.7247951365495182E-2</v>
      </c>
      <c r="Y183" s="188"/>
      <c r="AB183" s="188"/>
    </row>
    <row r="184" spans="1:28" x14ac:dyDescent="0.25">
      <c r="A184" t="s">
        <v>526</v>
      </c>
      <c r="B184" t="s">
        <v>412</v>
      </c>
      <c r="C184">
        <f t="shared" si="14"/>
        <v>4319</v>
      </c>
      <c r="D184">
        <v>2665</v>
      </c>
      <c r="E184">
        <v>1654</v>
      </c>
      <c r="F184">
        <v>65</v>
      </c>
      <c r="G184">
        <v>0</v>
      </c>
      <c r="H184">
        <v>411</v>
      </c>
      <c r="I184">
        <v>134</v>
      </c>
      <c r="J184">
        <v>2862</v>
      </c>
      <c r="K184">
        <v>2296</v>
      </c>
      <c r="L184">
        <v>228</v>
      </c>
      <c r="M184">
        <v>99</v>
      </c>
      <c r="N184">
        <v>481</v>
      </c>
      <c r="O184">
        <v>60</v>
      </c>
      <c r="P184" s="128">
        <v>3101</v>
      </c>
      <c r="Q184" s="128">
        <v>2594</v>
      </c>
      <c r="R184" s="128">
        <v>507</v>
      </c>
      <c r="S184" s="128">
        <f t="shared" si="10"/>
        <v>6685624</v>
      </c>
      <c r="T184">
        <f t="shared" si="11"/>
        <v>2366624</v>
      </c>
      <c r="U184">
        <f t="shared" si="12"/>
        <v>2366624</v>
      </c>
      <c r="V184">
        <v>60643</v>
      </c>
      <c r="W184" s="188">
        <f t="shared" si="13"/>
        <v>3.9025509951684446E-2</v>
      </c>
      <c r="Y184" s="188"/>
      <c r="AB184" s="188"/>
    </row>
    <row r="185" spans="1:28" x14ac:dyDescent="0.25">
      <c r="A185" t="s">
        <v>521</v>
      </c>
      <c r="B185" t="s">
        <v>307</v>
      </c>
      <c r="C185">
        <f t="shared" si="14"/>
        <v>6612</v>
      </c>
      <c r="D185">
        <v>4617</v>
      </c>
      <c r="E185">
        <v>1995</v>
      </c>
      <c r="F185">
        <v>0</v>
      </c>
      <c r="G185">
        <v>283</v>
      </c>
      <c r="H185">
        <v>0</v>
      </c>
      <c r="I185">
        <v>37</v>
      </c>
      <c r="J185">
        <v>2822</v>
      </c>
      <c r="K185">
        <v>6310</v>
      </c>
      <c r="L185">
        <v>365</v>
      </c>
      <c r="M185">
        <v>649</v>
      </c>
      <c r="N185">
        <v>2261</v>
      </c>
      <c r="O185">
        <v>215</v>
      </c>
      <c r="P185" s="128">
        <v>3842</v>
      </c>
      <c r="Q185" s="128">
        <v>3399</v>
      </c>
      <c r="R185" s="128">
        <v>443</v>
      </c>
      <c r="S185" s="128">
        <f t="shared" si="10"/>
        <v>7940104.9999999991</v>
      </c>
      <c r="T185">
        <f t="shared" si="11"/>
        <v>1328104.9999999991</v>
      </c>
      <c r="U185">
        <f t="shared" si="12"/>
        <v>1328104.9999999991</v>
      </c>
      <c r="V185">
        <v>111415</v>
      </c>
      <c r="W185" s="188">
        <f t="shared" si="13"/>
        <v>1.1920342862271678E-2</v>
      </c>
      <c r="Y185" s="188"/>
      <c r="AB185" s="188"/>
    </row>
    <row r="186" spans="1:28" x14ac:dyDescent="0.25">
      <c r="A186" t="s">
        <v>526</v>
      </c>
      <c r="B186" t="s">
        <v>413</v>
      </c>
      <c r="C186">
        <f t="shared" si="14"/>
        <v>33918</v>
      </c>
      <c r="D186">
        <v>16115</v>
      </c>
      <c r="E186">
        <v>17803</v>
      </c>
      <c r="F186">
        <v>6071</v>
      </c>
      <c r="G186">
        <v>1015</v>
      </c>
      <c r="H186">
        <v>4021</v>
      </c>
      <c r="I186">
        <v>1465</v>
      </c>
      <c r="J186">
        <v>14552</v>
      </c>
      <c r="K186">
        <v>17583</v>
      </c>
      <c r="L186">
        <v>1426</v>
      </c>
      <c r="M186">
        <v>525</v>
      </c>
      <c r="N186">
        <v>4757</v>
      </c>
      <c r="O186">
        <v>2625</v>
      </c>
      <c r="P186" s="128">
        <v>17465</v>
      </c>
      <c r="Q186" s="128">
        <v>13775</v>
      </c>
      <c r="R186" s="128">
        <v>3690</v>
      </c>
      <c r="S186" s="128">
        <f t="shared" si="10"/>
        <v>39200214.999999993</v>
      </c>
      <c r="T186">
        <f t="shared" si="11"/>
        <v>5282214.9999999925</v>
      </c>
      <c r="U186">
        <f t="shared" si="12"/>
        <v>5282214.9999999925</v>
      </c>
      <c r="V186">
        <v>521493</v>
      </c>
      <c r="W186" s="188">
        <f t="shared" si="13"/>
        <v>1.0129023783636584E-2</v>
      </c>
      <c r="Y186" s="188"/>
      <c r="AB186" s="188"/>
    </row>
    <row r="187" spans="1:28" x14ac:dyDescent="0.25">
      <c r="A187" t="s">
        <v>518</v>
      </c>
      <c r="B187" t="s">
        <v>266</v>
      </c>
      <c r="C187">
        <f t="shared" si="14"/>
        <v>6716</v>
      </c>
      <c r="D187">
        <v>4133</v>
      </c>
      <c r="E187">
        <v>2583</v>
      </c>
      <c r="F187">
        <v>0</v>
      </c>
      <c r="G187">
        <v>0</v>
      </c>
      <c r="H187">
        <v>765</v>
      </c>
      <c r="I187">
        <v>190</v>
      </c>
      <c r="J187">
        <v>4372</v>
      </c>
      <c r="K187">
        <v>5738</v>
      </c>
      <c r="L187">
        <v>469</v>
      </c>
      <c r="M187">
        <v>212</v>
      </c>
      <c r="N187">
        <v>1433</v>
      </c>
      <c r="O187">
        <v>249</v>
      </c>
      <c r="P187" s="128">
        <v>6150</v>
      </c>
      <c r="Q187" s="128">
        <v>5000</v>
      </c>
      <c r="R187" s="128">
        <v>1151</v>
      </c>
      <c r="S187" s="128">
        <f t="shared" si="10"/>
        <v>13530605.999999998</v>
      </c>
      <c r="T187">
        <f t="shared" si="11"/>
        <v>6814605.9999999981</v>
      </c>
      <c r="U187">
        <f t="shared" si="12"/>
        <v>6814605.9999999981</v>
      </c>
      <c r="V187">
        <v>113616</v>
      </c>
      <c r="W187" s="188">
        <f t="shared" si="13"/>
        <v>5.9979281087170808E-2</v>
      </c>
      <c r="Y187" s="188"/>
      <c r="AB187" s="188"/>
    </row>
    <row r="188" spans="1:28" x14ac:dyDescent="0.25">
      <c r="A188" t="s">
        <v>526</v>
      </c>
      <c r="B188" t="s">
        <v>414</v>
      </c>
      <c r="C188">
        <f t="shared" si="14"/>
        <v>4809</v>
      </c>
      <c r="D188">
        <v>3942</v>
      </c>
      <c r="E188">
        <v>867</v>
      </c>
      <c r="F188">
        <v>0</v>
      </c>
      <c r="G188">
        <v>0</v>
      </c>
      <c r="H188">
        <v>41</v>
      </c>
      <c r="I188">
        <v>126</v>
      </c>
      <c r="J188">
        <v>2910</v>
      </c>
      <c r="K188">
        <v>1993</v>
      </c>
      <c r="L188">
        <v>145</v>
      </c>
      <c r="M188">
        <v>134</v>
      </c>
      <c r="N188">
        <v>174</v>
      </c>
      <c r="O188">
        <v>47</v>
      </c>
      <c r="P188" s="128">
        <v>2467</v>
      </c>
      <c r="Q188" s="128">
        <v>2284</v>
      </c>
      <c r="R188" s="128">
        <v>183</v>
      </c>
      <c r="S188" s="128">
        <f t="shared" si="10"/>
        <v>4910450</v>
      </c>
      <c r="T188">
        <f t="shared" si="11"/>
        <v>101450</v>
      </c>
      <c r="U188">
        <f t="shared" si="12"/>
        <v>101450</v>
      </c>
      <c r="V188">
        <v>49170</v>
      </c>
      <c r="W188" s="188">
        <f t="shared" si="13"/>
        <v>2.0632499491559896E-3</v>
      </c>
      <c r="Y188" s="188"/>
      <c r="AB188" s="188"/>
    </row>
    <row r="189" spans="1:28" x14ac:dyDescent="0.25">
      <c r="A189" t="s">
        <v>517</v>
      </c>
      <c r="B189" t="s">
        <v>587</v>
      </c>
      <c r="C189">
        <f t="shared" si="14"/>
        <v>19436</v>
      </c>
      <c r="D189">
        <v>10894</v>
      </c>
      <c r="E189">
        <v>8542</v>
      </c>
      <c r="F189">
        <v>0</v>
      </c>
      <c r="G189">
        <v>2</v>
      </c>
      <c r="H189">
        <v>97</v>
      </c>
      <c r="I189">
        <v>215</v>
      </c>
      <c r="J189">
        <v>7095</v>
      </c>
      <c r="K189">
        <v>7457</v>
      </c>
      <c r="L189">
        <v>865</v>
      </c>
      <c r="M189">
        <v>95</v>
      </c>
      <c r="N189">
        <v>3393</v>
      </c>
      <c r="O189">
        <v>819</v>
      </c>
      <c r="P189" s="128">
        <v>12108</v>
      </c>
      <c r="Q189" s="128">
        <v>9692</v>
      </c>
      <c r="R189" s="128">
        <v>2417</v>
      </c>
      <c r="S189" s="128">
        <f t="shared" si="10"/>
        <v>26916677.999999996</v>
      </c>
      <c r="T189">
        <f t="shared" si="11"/>
        <v>7480677.9999999963</v>
      </c>
      <c r="U189">
        <f t="shared" si="12"/>
        <v>7480677.9999999963</v>
      </c>
      <c r="V189">
        <v>238869</v>
      </c>
      <c r="W189" s="188">
        <f t="shared" si="13"/>
        <v>3.1317073374946082E-2</v>
      </c>
      <c r="Y189" s="188"/>
      <c r="AB189" s="188"/>
    </row>
    <row r="190" spans="1:28" x14ac:dyDescent="0.25">
      <c r="A190" t="s">
        <v>516</v>
      </c>
      <c r="B190" t="s">
        <v>112</v>
      </c>
      <c r="C190">
        <f t="shared" si="14"/>
        <v>8563</v>
      </c>
      <c r="D190">
        <v>4180</v>
      </c>
      <c r="E190">
        <v>4383</v>
      </c>
      <c r="F190">
        <v>1080</v>
      </c>
      <c r="G190">
        <v>13</v>
      </c>
      <c r="H190">
        <v>0</v>
      </c>
      <c r="I190">
        <v>180</v>
      </c>
      <c r="J190">
        <v>2841</v>
      </c>
      <c r="K190">
        <v>3096</v>
      </c>
      <c r="L190">
        <v>360</v>
      </c>
      <c r="M190">
        <v>295</v>
      </c>
      <c r="N190">
        <v>885</v>
      </c>
      <c r="O190">
        <v>339</v>
      </c>
      <c r="P190" s="128">
        <v>4050</v>
      </c>
      <c r="Q190" s="128">
        <v>3282</v>
      </c>
      <c r="R190" s="128">
        <v>768</v>
      </c>
      <c r="S190" s="128">
        <f t="shared" si="10"/>
        <v>8927753.9999999981</v>
      </c>
      <c r="T190">
        <f t="shared" si="11"/>
        <v>364753.99999999814</v>
      </c>
      <c r="U190">
        <f t="shared" si="12"/>
        <v>364753.99999999814</v>
      </c>
      <c r="V190">
        <v>109665</v>
      </c>
      <c r="W190" s="188">
        <f t="shared" si="13"/>
        <v>3.3260748643596239E-3</v>
      </c>
      <c r="Y190" s="188"/>
      <c r="AB190" s="188"/>
    </row>
    <row r="191" spans="1:28" x14ac:dyDescent="0.25">
      <c r="A191" t="s">
        <v>528</v>
      </c>
      <c r="B191" t="s">
        <v>334</v>
      </c>
      <c r="C191">
        <f t="shared" si="14"/>
        <v>11566</v>
      </c>
      <c r="D191">
        <v>6048</v>
      </c>
      <c r="E191">
        <v>5518</v>
      </c>
      <c r="F191">
        <v>4580</v>
      </c>
      <c r="G191">
        <v>1271</v>
      </c>
      <c r="H191">
        <v>1026</v>
      </c>
      <c r="I191">
        <v>367</v>
      </c>
      <c r="J191">
        <v>5419</v>
      </c>
      <c r="K191">
        <v>0</v>
      </c>
      <c r="L191">
        <v>497</v>
      </c>
      <c r="M191">
        <v>1709</v>
      </c>
      <c r="N191">
        <v>1243</v>
      </c>
      <c r="O191">
        <v>728</v>
      </c>
      <c r="P191" s="128">
        <v>5849</v>
      </c>
      <c r="Q191" s="128">
        <v>4817</v>
      </c>
      <c r="R191" s="128">
        <v>1032</v>
      </c>
      <c r="S191" s="128">
        <f t="shared" si="10"/>
        <v>12750492.999999998</v>
      </c>
      <c r="T191">
        <f t="shared" si="11"/>
        <v>1184492.9999999981</v>
      </c>
      <c r="U191">
        <f t="shared" si="12"/>
        <v>1184492.9999999981</v>
      </c>
      <c r="V191">
        <v>177463</v>
      </c>
      <c r="W191" s="188">
        <f t="shared" si="13"/>
        <v>6.67459132326174E-3</v>
      </c>
      <c r="Y191" s="188"/>
      <c r="AB191" s="188"/>
    </row>
    <row r="192" spans="1:28" x14ac:dyDescent="0.25">
      <c r="A192" t="s">
        <v>516</v>
      </c>
      <c r="B192" t="s">
        <v>308</v>
      </c>
      <c r="C192">
        <f t="shared" si="14"/>
        <v>5098</v>
      </c>
      <c r="D192">
        <v>3368</v>
      </c>
      <c r="E192">
        <v>1730</v>
      </c>
      <c r="F192">
        <v>0</v>
      </c>
      <c r="G192">
        <v>0</v>
      </c>
      <c r="H192">
        <v>0</v>
      </c>
      <c r="I192">
        <v>0</v>
      </c>
      <c r="J192">
        <v>1847</v>
      </c>
      <c r="K192">
        <v>2722</v>
      </c>
      <c r="L192">
        <v>214</v>
      </c>
      <c r="M192">
        <v>42</v>
      </c>
      <c r="N192">
        <v>784</v>
      </c>
      <c r="O192">
        <v>16</v>
      </c>
      <c r="P192" s="128">
        <v>3318</v>
      </c>
      <c r="Q192" s="128">
        <v>2777</v>
      </c>
      <c r="R192" s="128">
        <v>541</v>
      </c>
      <c r="S192" s="128">
        <f t="shared" si="10"/>
        <v>7150726.9999999991</v>
      </c>
      <c r="T192">
        <f t="shared" si="11"/>
        <v>2052726.9999999991</v>
      </c>
      <c r="U192">
        <f t="shared" si="12"/>
        <v>2052726.9999999991</v>
      </c>
      <c r="V192">
        <v>49780</v>
      </c>
      <c r="W192" s="188">
        <f t="shared" si="13"/>
        <v>4.1235978304539955E-2</v>
      </c>
      <c r="Y192" s="188"/>
      <c r="AB192" s="188"/>
    </row>
    <row r="193" spans="1:28" x14ac:dyDescent="0.25">
      <c r="A193" t="s">
        <v>521</v>
      </c>
      <c r="B193" t="s">
        <v>113</v>
      </c>
      <c r="C193">
        <f t="shared" si="14"/>
        <v>6248</v>
      </c>
      <c r="D193">
        <v>3632</v>
      </c>
      <c r="E193">
        <v>2616</v>
      </c>
      <c r="F193">
        <v>0</v>
      </c>
      <c r="G193">
        <v>0</v>
      </c>
      <c r="H193">
        <v>1196</v>
      </c>
      <c r="I193">
        <v>32</v>
      </c>
      <c r="J193">
        <v>3915</v>
      </c>
      <c r="K193">
        <v>3370</v>
      </c>
      <c r="L193">
        <v>332</v>
      </c>
      <c r="M193">
        <v>363</v>
      </c>
      <c r="N193">
        <v>1543</v>
      </c>
      <c r="O193">
        <v>123</v>
      </c>
      <c r="P193" s="128">
        <v>4089</v>
      </c>
      <c r="Q193" s="128">
        <v>3273</v>
      </c>
      <c r="R193" s="128">
        <v>816</v>
      </c>
      <c r="S193" s="128">
        <f t="shared" si="10"/>
        <v>9088965</v>
      </c>
      <c r="T193">
        <f t="shared" si="11"/>
        <v>2840965</v>
      </c>
      <c r="U193">
        <f t="shared" si="12"/>
        <v>2840965</v>
      </c>
      <c r="V193">
        <v>92399</v>
      </c>
      <c r="W193" s="188">
        <f t="shared" si="13"/>
        <v>3.0746707215446055E-2</v>
      </c>
      <c r="Y193" s="188"/>
      <c r="AB193" s="188"/>
    </row>
    <row r="194" spans="1:28" x14ac:dyDescent="0.25">
      <c r="A194" t="s">
        <v>525</v>
      </c>
      <c r="B194" t="s">
        <v>602</v>
      </c>
      <c r="C194">
        <f t="shared" si="14"/>
        <v>18590</v>
      </c>
      <c r="D194">
        <v>9997</v>
      </c>
      <c r="E194">
        <v>8593</v>
      </c>
      <c r="F194">
        <v>0</v>
      </c>
      <c r="G194">
        <v>0</v>
      </c>
      <c r="H194">
        <v>253</v>
      </c>
      <c r="I194">
        <v>0</v>
      </c>
      <c r="J194">
        <v>5788</v>
      </c>
      <c r="K194">
        <v>5719</v>
      </c>
      <c r="L194">
        <v>610</v>
      </c>
      <c r="M194">
        <v>209</v>
      </c>
      <c r="N194">
        <v>3041</v>
      </c>
      <c r="O194">
        <v>195</v>
      </c>
      <c r="P194" s="128">
        <v>5783</v>
      </c>
      <c r="Q194" s="128">
        <v>4750</v>
      </c>
      <c r="R194" s="128">
        <v>1033</v>
      </c>
      <c r="S194" s="128">
        <f t="shared" ref="S194:S257" si="15">0.1853%*SUM(Q194,R194,R194)*1000000</f>
        <v>12630047.999999998</v>
      </c>
      <c r="T194">
        <f t="shared" ref="T194:T257" si="16">SUM(S194,-C194*1000)</f>
        <v>-5959952.0000000019</v>
      </c>
      <c r="U194">
        <f t="shared" ref="U194:U257" si="17">IF(T194&gt;0,T194,0)</f>
        <v>0</v>
      </c>
      <c r="V194">
        <v>222122</v>
      </c>
      <c r="W194" s="188">
        <f t="shared" ref="W194:W257" si="18">T194/(V194*1000)</f>
        <v>-2.6831885180216286E-2</v>
      </c>
      <c r="Y194" s="188"/>
      <c r="AB194" s="188"/>
    </row>
    <row r="195" spans="1:28" x14ac:dyDescent="0.25">
      <c r="A195" t="s">
        <v>526</v>
      </c>
      <c r="B195" t="s">
        <v>378</v>
      </c>
      <c r="C195">
        <f t="shared" ref="C195:C258" si="19">SUM(D195,E195)</f>
        <v>2900</v>
      </c>
      <c r="D195">
        <v>2474</v>
      </c>
      <c r="E195">
        <v>426</v>
      </c>
      <c r="F195">
        <v>0</v>
      </c>
      <c r="G195">
        <v>0</v>
      </c>
      <c r="H195">
        <v>43</v>
      </c>
      <c r="I195">
        <v>0</v>
      </c>
      <c r="J195">
        <v>1127</v>
      </c>
      <c r="K195">
        <v>0</v>
      </c>
      <c r="L195">
        <v>153</v>
      </c>
      <c r="M195">
        <v>0</v>
      </c>
      <c r="N195">
        <v>426</v>
      </c>
      <c r="O195">
        <v>95</v>
      </c>
      <c r="P195" s="128">
        <v>1456</v>
      </c>
      <c r="Q195" s="128">
        <v>1214</v>
      </c>
      <c r="R195" s="128">
        <v>242</v>
      </c>
      <c r="S195" s="128">
        <f t="shared" si="15"/>
        <v>3146394</v>
      </c>
      <c r="T195">
        <f t="shared" si="16"/>
        <v>246394</v>
      </c>
      <c r="U195">
        <f t="shared" si="17"/>
        <v>246394</v>
      </c>
      <c r="V195">
        <v>29270</v>
      </c>
      <c r="W195" s="188">
        <f t="shared" si="18"/>
        <v>8.4179706183805953E-3</v>
      </c>
      <c r="Y195" s="188"/>
      <c r="AB195" s="188"/>
    </row>
    <row r="196" spans="1:28" x14ac:dyDescent="0.25">
      <c r="A196" t="s">
        <v>517</v>
      </c>
      <c r="B196" t="s">
        <v>379</v>
      </c>
      <c r="C196">
        <f t="shared" si="19"/>
        <v>17060</v>
      </c>
      <c r="D196">
        <v>3541</v>
      </c>
      <c r="E196">
        <v>13519</v>
      </c>
      <c r="F196">
        <v>0</v>
      </c>
      <c r="G196">
        <v>0</v>
      </c>
      <c r="H196">
        <v>0</v>
      </c>
      <c r="I196">
        <v>64</v>
      </c>
      <c r="J196">
        <v>5563</v>
      </c>
      <c r="K196">
        <v>3837</v>
      </c>
      <c r="L196">
        <v>375</v>
      </c>
      <c r="M196">
        <v>137</v>
      </c>
      <c r="N196">
        <v>1633</v>
      </c>
      <c r="O196">
        <v>282</v>
      </c>
      <c r="P196" s="128">
        <v>6714</v>
      </c>
      <c r="Q196" s="128">
        <v>3968</v>
      </c>
      <c r="R196" s="128">
        <v>2745</v>
      </c>
      <c r="S196" s="128">
        <f t="shared" si="15"/>
        <v>17525674</v>
      </c>
      <c r="T196">
        <f t="shared" si="16"/>
        <v>465674</v>
      </c>
      <c r="U196">
        <f t="shared" si="17"/>
        <v>465674</v>
      </c>
      <c r="V196">
        <v>128440</v>
      </c>
      <c r="W196" s="188">
        <f t="shared" si="18"/>
        <v>3.6256150731859235E-3</v>
      </c>
      <c r="Y196" s="188"/>
      <c r="AB196" s="188"/>
    </row>
    <row r="197" spans="1:28" x14ac:dyDescent="0.25">
      <c r="A197" t="s">
        <v>521</v>
      </c>
      <c r="B197" t="s">
        <v>603</v>
      </c>
      <c r="C197">
        <f t="shared" si="19"/>
        <v>7932</v>
      </c>
      <c r="D197">
        <v>5122</v>
      </c>
      <c r="E197">
        <v>2810</v>
      </c>
      <c r="F197">
        <v>0</v>
      </c>
      <c r="G197">
        <v>1728</v>
      </c>
      <c r="H197">
        <v>36</v>
      </c>
      <c r="I197">
        <v>13</v>
      </c>
      <c r="J197">
        <v>3584</v>
      </c>
      <c r="K197">
        <v>4686</v>
      </c>
      <c r="L197">
        <v>409</v>
      </c>
      <c r="M197">
        <v>332</v>
      </c>
      <c r="N197">
        <v>2898</v>
      </c>
      <c r="O197">
        <v>499</v>
      </c>
      <c r="P197" s="128">
        <v>5845</v>
      </c>
      <c r="Q197" s="128">
        <v>4878</v>
      </c>
      <c r="R197" s="128">
        <v>967</v>
      </c>
      <c r="S197" s="128">
        <f t="shared" si="15"/>
        <v>12622635.999999998</v>
      </c>
      <c r="T197">
        <f t="shared" si="16"/>
        <v>4690635.9999999981</v>
      </c>
      <c r="U197">
        <f t="shared" si="17"/>
        <v>4690635.9999999981</v>
      </c>
      <c r="V197">
        <v>141152</v>
      </c>
      <c r="W197" s="188">
        <f t="shared" si="18"/>
        <v>3.3231098390387653E-2</v>
      </c>
      <c r="Y197" s="188"/>
      <c r="AB197" s="188"/>
    </row>
    <row r="198" spans="1:28" x14ac:dyDescent="0.25">
      <c r="A198" t="s">
        <v>519</v>
      </c>
      <c r="B198" t="s">
        <v>190</v>
      </c>
      <c r="C198">
        <f t="shared" si="19"/>
        <v>7116</v>
      </c>
      <c r="D198">
        <v>4873</v>
      </c>
      <c r="E198">
        <v>2243</v>
      </c>
      <c r="F198">
        <v>0</v>
      </c>
      <c r="G198">
        <v>0</v>
      </c>
      <c r="H198">
        <v>334</v>
      </c>
      <c r="I198">
        <v>308</v>
      </c>
      <c r="J198">
        <v>4236</v>
      </c>
      <c r="K198">
        <v>3339</v>
      </c>
      <c r="L198">
        <v>455</v>
      </c>
      <c r="M198">
        <v>145</v>
      </c>
      <c r="N198">
        <v>1471</v>
      </c>
      <c r="O198">
        <v>234</v>
      </c>
      <c r="P198" s="128">
        <v>4059</v>
      </c>
      <c r="Q198" s="128">
        <v>3458</v>
      </c>
      <c r="R198" s="128">
        <v>602</v>
      </c>
      <c r="S198" s="128">
        <f t="shared" si="15"/>
        <v>8638686</v>
      </c>
      <c r="T198">
        <f t="shared" si="16"/>
        <v>1522686</v>
      </c>
      <c r="U198">
        <f t="shared" si="17"/>
        <v>1522686</v>
      </c>
      <c r="V198">
        <v>100755</v>
      </c>
      <c r="W198" s="188">
        <f t="shared" si="18"/>
        <v>1.5112758672026202E-2</v>
      </c>
      <c r="Y198" s="188"/>
      <c r="AB198" s="188"/>
    </row>
    <row r="199" spans="1:28" x14ac:dyDescent="0.25">
      <c r="A199" t="s">
        <v>524</v>
      </c>
      <c r="B199" t="s">
        <v>438</v>
      </c>
      <c r="C199">
        <f t="shared" si="19"/>
        <v>3649</v>
      </c>
      <c r="D199">
        <v>2176</v>
      </c>
      <c r="E199">
        <v>1473</v>
      </c>
      <c r="F199">
        <v>0</v>
      </c>
      <c r="G199">
        <v>0</v>
      </c>
      <c r="H199">
        <v>0</v>
      </c>
      <c r="I199">
        <v>0</v>
      </c>
      <c r="J199">
        <v>1500</v>
      </c>
      <c r="K199">
        <v>1394</v>
      </c>
      <c r="L199">
        <v>160</v>
      </c>
      <c r="M199">
        <v>67</v>
      </c>
      <c r="N199">
        <v>236</v>
      </c>
      <c r="O199">
        <v>32</v>
      </c>
      <c r="P199" s="128">
        <v>1985</v>
      </c>
      <c r="Q199" s="128">
        <v>1721</v>
      </c>
      <c r="R199" s="128">
        <v>263</v>
      </c>
      <c r="S199" s="128">
        <f t="shared" si="15"/>
        <v>4163691</v>
      </c>
      <c r="T199">
        <f t="shared" si="16"/>
        <v>514691</v>
      </c>
      <c r="U199">
        <f t="shared" si="17"/>
        <v>514691</v>
      </c>
      <c r="V199">
        <v>27755</v>
      </c>
      <c r="W199" s="188">
        <f t="shared" si="18"/>
        <v>1.8544082147360835E-2</v>
      </c>
      <c r="Y199" s="188"/>
      <c r="AB199" s="188"/>
    </row>
    <row r="200" spans="1:28" x14ac:dyDescent="0.25">
      <c r="A200" t="s">
        <v>526</v>
      </c>
      <c r="B200" t="s">
        <v>415</v>
      </c>
      <c r="C200">
        <f t="shared" si="19"/>
        <v>1862</v>
      </c>
      <c r="D200">
        <v>1506</v>
      </c>
      <c r="E200">
        <v>356</v>
      </c>
      <c r="F200">
        <v>0</v>
      </c>
      <c r="G200">
        <v>0</v>
      </c>
      <c r="H200">
        <v>117</v>
      </c>
      <c r="I200">
        <v>58</v>
      </c>
      <c r="J200">
        <v>624</v>
      </c>
      <c r="K200">
        <v>770</v>
      </c>
      <c r="L200">
        <v>84</v>
      </c>
      <c r="M200">
        <v>0</v>
      </c>
      <c r="N200">
        <v>130</v>
      </c>
      <c r="O200">
        <v>42</v>
      </c>
      <c r="P200" s="128">
        <v>1166</v>
      </c>
      <c r="Q200" s="128">
        <v>1084</v>
      </c>
      <c r="R200" s="128">
        <v>82</v>
      </c>
      <c r="S200" s="128">
        <f t="shared" si="15"/>
        <v>2312544</v>
      </c>
      <c r="T200">
        <f t="shared" si="16"/>
        <v>450544</v>
      </c>
      <c r="U200">
        <f t="shared" si="17"/>
        <v>450544</v>
      </c>
      <c r="V200">
        <v>17328</v>
      </c>
      <c r="W200" s="188">
        <f t="shared" si="18"/>
        <v>2.6000923361034163E-2</v>
      </c>
      <c r="Y200" s="188"/>
      <c r="AB200" s="188"/>
    </row>
    <row r="201" spans="1:28" x14ac:dyDescent="0.25">
      <c r="A201" t="s">
        <v>519</v>
      </c>
      <c r="B201" t="s">
        <v>191</v>
      </c>
      <c r="C201">
        <f t="shared" si="19"/>
        <v>4898</v>
      </c>
      <c r="D201">
        <v>3391</v>
      </c>
      <c r="E201">
        <v>1507</v>
      </c>
      <c r="F201">
        <v>0</v>
      </c>
      <c r="G201">
        <v>1502</v>
      </c>
      <c r="H201">
        <v>0</v>
      </c>
      <c r="I201">
        <v>185</v>
      </c>
      <c r="J201">
        <v>2183</v>
      </c>
      <c r="K201">
        <v>2278</v>
      </c>
      <c r="L201">
        <v>352</v>
      </c>
      <c r="M201">
        <v>348</v>
      </c>
      <c r="N201">
        <v>854</v>
      </c>
      <c r="O201">
        <v>1531</v>
      </c>
      <c r="P201" s="128">
        <v>2721</v>
      </c>
      <c r="Q201" s="128">
        <v>2292</v>
      </c>
      <c r="R201" s="128">
        <v>429</v>
      </c>
      <c r="S201" s="128">
        <f t="shared" si="15"/>
        <v>5836950</v>
      </c>
      <c r="T201">
        <f t="shared" si="16"/>
        <v>938950</v>
      </c>
      <c r="U201">
        <f t="shared" si="17"/>
        <v>938950</v>
      </c>
      <c r="V201">
        <v>59581</v>
      </c>
      <c r="W201" s="188">
        <f t="shared" si="18"/>
        <v>1.5759218542824055E-2</v>
      </c>
      <c r="Y201" s="188"/>
      <c r="AB201" s="188"/>
    </row>
    <row r="202" spans="1:28" x14ac:dyDescent="0.25">
      <c r="A202" t="s">
        <v>526</v>
      </c>
      <c r="B202" t="s">
        <v>416</v>
      </c>
      <c r="C202">
        <f t="shared" si="19"/>
        <v>4419</v>
      </c>
      <c r="D202">
        <v>2583</v>
      </c>
      <c r="E202">
        <v>1836</v>
      </c>
      <c r="F202">
        <v>0</v>
      </c>
      <c r="G202">
        <v>0</v>
      </c>
      <c r="H202">
        <v>27</v>
      </c>
      <c r="I202">
        <v>53</v>
      </c>
      <c r="J202">
        <v>2199</v>
      </c>
      <c r="K202">
        <v>1172</v>
      </c>
      <c r="L202">
        <v>110</v>
      </c>
      <c r="M202">
        <v>9</v>
      </c>
      <c r="N202">
        <v>468</v>
      </c>
      <c r="O202">
        <v>15</v>
      </c>
      <c r="P202" s="128">
        <v>2476</v>
      </c>
      <c r="Q202" s="128">
        <v>2057</v>
      </c>
      <c r="R202" s="128">
        <v>419</v>
      </c>
      <c r="S202" s="128">
        <f t="shared" si="15"/>
        <v>5364434.9999999991</v>
      </c>
      <c r="T202">
        <f t="shared" si="16"/>
        <v>945434.99999999907</v>
      </c>
      <c r="U202">
        <f t="shared" si="17"/>
        <v>945434.99999999907</v>
      </c>
      <c r="V202">
        <v>48321</v>
      </c>
      <c r="W202" s="188">
        <f t="shared" si="18"/>
        <v>1.9565716769106581E-2</v>
      </c>
      <c r="Y202" s="188"/>
      <c r="AB202" s="188"/>
    </row>
    <row r="203" spans="1:28" x14ac:dyDescent="0.25">
      <c r="A203" t="s">
        <v>524</v>
      </c>
      <c r="B203" t="s">
        <v>225</v>
      </c>
      <c r="C203">
        <f t="shared" si="19"/>
        <v>18276</v>
      </c>
      <c r="D203">
        <v>6769</v>
      </c>
      <c r="E203">
        <v>11507</v>
      </c>
      <c r="F203">
        <v>1490</v>
      </c>
      <c r="G203">
        <v>186</v>
      </c>
      <c r="H203">
        <v>42</v>
      </c>
      <c r="I203">
        <v>15</v>
      </c>
      <c r="J203">
        <v>5184</v>
      </c>
      <c r="K203">
        <v>6882</v>
      </c>
      <c r="L203">
        <v>798</v>
      </c>
      <c r="M203">
        <v>466</v>
      </c>
      <c r="N203">
        <v>2902</v>
      </c>
      <c r="O203">
        <v>2949</v>
      </c>
      <c r="P203" s="128">
        <v>9049</v>
      </c>
      <c r="Q203" s="128">
        <v>7225</v>
      </c>
      <c r="R203" s="128">
        <v>1824</v>
      </c>
      <c r="S203" s="128">
        <f t="shared" si="15"/>
        <v>20147668.999999996</v>
      </c>
      <c r="T203">
        <f t="shared" si="16"/>
        <v>1871668.9999999963</v>
      </c>
      <c r="U203">
        <f t="shared" si="17"/>
        <v>1871668.9999999963</v>
      </c>
      <c r="V203">
        <v>220812</v>
      </c>
      <c r="W203" s="188">
        <f t="shared" si="18"/>
        <v>8.4763011068238869E-3</v>
      </c>
      <c r="Y203" s="188"/>
      <c r="AB203" s="188"/>
    </row>
    <row r="204" spans="1:28" x14ac:dyDescent="0.25">
      <c r="A204" t="s">
        <v>524</v>
      </c>
      <c r="B204" t="s">
        <v>309</v>
      </c>
      <c r="C204">
        <f t="shared" si="19"/>
        <v>7709</v>
      </c>
      <c r="D204">
        <v>6537</v>
      </c>
      <c r="E204">
        <v>1172</v>
      </c>
      <c r="F204">
        <v>0</v>
      </c>
      <c r="G204">
        <v>535</v>
      </c>
      <c r="H204">
        <v>0</v>
      </c>
      <c r="I204">
        <v>190</v>
      </c>
      <c r="J204">
        <v>2594</v>
      </c>
      <c r="K204">
        <v>3529</v>
      </c>
      <c r="L204">
        <v>291</v>
      </c>
      <c r="M204">
        <v>228</v>
      </c>
      <c r="N204">
        <v>1062</v>
      </c>
      <c r="O204">
        <v>566</v>
      </c>
      <c r="P204" s="128">
        <v>4374</v>
      </c>
      <c r="Q204" s="128">
        <v>3783</v>
      </c>
      <c r="R204" s="128">
        <v>591</v>
      </c>
      <c r="S204" s="128">
        <f t="shared" si="15"/>
        <v>9200145</v>
      </c>
      <c r="T204">
        <f t="shared" si="16"/>
        <v>1491145</v>
      </c>
      <c r="U204">
        <f t="shared" si="17"/>
        <v>1491145</v>
      </c>
      <c r="V204">
        <v>100066</v>
      </c>
      <c r="W204" s="188">
        <f t="shared" si="18"/>
        <v>1.4901614934143464E-2</v>
      </c>
      <c r="Y204" s="188"/>
      <c r="AB204" s="188"/>
    </row>
    <row r="205" spans="1:28" x14ac:dyDescent="0.25">
      <c r="A205" t="s">
        <v>519</v>
      </c>
      <c r="B205" t="s">
        <v>192</v>
      </c>
      <c r="C205">
        <f t="shared" si="19"/>
        <v>9480</v>
      </c>
      <c r="D205">
        <v>5447</v>
      </c>
      <c r="E205">
        <v>4033</v>
      </c>
      <c r="F205">
        <v>0</v>
      </c>
      <c r="G205">
        <v>1909</v>
      </c>
      <c r="H205">
        <v>259</v>
      </c>
      <c r="I205">
        <v>194</v>
      </c>
      <c r="J205">
        <v>2096</v>
      </c>
      <c r="K205">
        <v>3014</v>
      </c>
      <c r="L205">
        <v>457</v>
      </c>
      <c r="M205">
        <v>461</v>
      </c>
      <c r="N205">
        <v>1591</v>
      </c>
      <c r="O205">
        <v>436</v>
      </c>
      <c r="P205" s="128">
        <v>6838</v>
      </c>
      <c r="Q205" s="128">
        <v>5698</v>
      </c>
      <c r="R205" s="128">
        <v>1139</v>
      </c>
      <c r="S205" s="128">
        <f t="shared" si="15"/>
        <v>14779528</v>
      </c>
      <c r="T205">
        <f t="shared" si="16"/>
        <v>5299528</v>
      </c>
      <c r="U205">
        <f t="shared" si="17"/>
        <v>5299528</v>
      </c>
      <c r="V205">
        <v>109794</v>
      </c>
      <c r="W205" s="188">
        <f t="shared" si="18"/>
        <v>4.8267919922764448E-2</v>
      </c>
      <c r="Y205" s="188"/>
      <c r="AB205" s="188"/>
    </row>
    <row r="206" spans="1:28" x14ac:dyDescent="0.25">
      <c r="A206" t="s">
        <v>519</v>
      </c>
      <c r="B206" t="s">
        <v>193</v>
      </c>
      <c r="C206">
        <f t="shared" si="19"/>
        <v>86821</v>
      </c>
      <c r="D206">
        <v>46427</v>
      </c>
      <c r="E206">
        <v>40394</v>
      </c>
      <c r="F206">
        <v>13676</v>
      </c>
      <c r="G206">
        <v>6</v>
      </c>
      <c r="H206">
        <v>598</v>
      </c>
      <c r="I206">
        <v>1330</v>
      </c>
      <c r="J206">
        <v>16057</v>
      </c>
      <c r="K206">
        <v>3327</v>
      </c>
      <c r="L206">
        <v>2003</v>
      </c>
      <c r="M206">
        <v>0</v>
      </c>
      <c r="N206">
        <v>6509</v>
      </c>
      <c r="O206">
        <v>2191</v>
      </c>
      <c r="P206" s="128">
        <v>24683</v>
      </c>
      <c r="Q206" s="128">
        <v>20447</v>
      </c>
      <c r="R206" s="128">
        <v>4235</v>
      </c>
      <c r="S206" s="128">
        <f t="shared" si="15"/>
        <v>53583200.999999993</v>
      </c>
      <c r="T206">
        <f t="shared" si="16"/>
        <v>-33237799.000000007</v>
      </c>
      <c r="U206">
        <f t="shared" si="17"/>
        <v>0</v>
      </c>
      <c r="V206">
        <v>863502</v>
      </c>
      <c r="W206" s="188">
        <f t="shared" si="18"/>
        <v>-3.8491861049540138E-2</v>
      </c>
      <c r="Y206" s="188"/>
      <c r="AB206" s="188"/>
    </row>
    <row r="207" spans="1:28" x14ac:dyDescent="0.25">
      <c r="A207" t="s">
        <v>521</v>
      </c>
      <c r="B207" t="s">
        <v>479</v>
      </c>
      <c r="C207">
        <f t="shared" si="19"/>
        <v>16136</v>
      </c>
      <c r="D207">
        <v>9983</v>
      </c>
      <c r="E207">
        <v>6153</v>
      </c>
      <c r="F207">
        <v>0</v>
      </c>
      <c r="G207">
        <v>4355</v>
      </c>
      <c r="H207">
        <v>272</v>
      </c>
      <c r="I207">
        <v>679</v>
      </c>
      <c r="J207">
        <v>5341</v>
      </c>
      <c r="K207">
        <v>11258</v>
      </c>
      <c r="L207">
        <v>886</v>
      </c>
      <c r="M207">
        <v>480</v>
      </c>
      <c r="N207">
        <v>0</v>
      </c>
      <c r="O207">
        <v>1790</v>
      </c>
      <c r="P207" s="128">
        <v>9097</v>
      </c>
      <c r="Q207" s="128">
        <v>7886</v>
      </c>
      <c r="R207" s="128">
        <v>1211</v>
      </c>
      <c r="S207" s="128">
        <f t="shared" si="15"/>
        <v>19100724</v>
      </c>
      <c r="T207">
        <f t="shared" si="16"/>
        <v>2964724</v>
      </c>
      <c r="U207">
        <f t="shared" si="17"/>
        <v>2964724</v>
      </c>
      <c r="V207">
        <v>405063</v>
      </c>
      <c r="W207" s="188">
        <f t="shared" si="18"/>
        <v>7.3191676356517384E-3</v>
      </c>
      <c r="Y207" s="188"/>
      <c r="AB207" s="188"/>
    </row>
    <row r="208" spans="1:28" x14ac:dyDescent="0.25">
      <c r="A208" t="s">
        <v>520</v>
      </c>
      <c r="B208" t="s">
        <v>604</v>
      </c>
      <c r="C208">
        <f t="shared" si="19"/>
        <v>9287</v>
      </c>
      <c r="D208">
        <v>5879</v>
      </c>
      <c r="E208">
        <v>3408</v>
      </c>
      <c r="F208">
        <v>248</v>
      </c>
      <c r="G208">
        <v>2884</v>
      </c>
      <c r="H208">
        <v>405</v>
      </c>
      <c r="I208">
        <v>85</v>
      </c>
      <c r="J208">
        <v>5009</v>
      </c>
      <c r="K208">
        <v>5000</v>
      </c>
      <c r="L208">
        <v>433</v>
      </c>
      <c r="M208">
        <v>386</v>
      </c>
      <c r="N208">
        <v>1116</v>
      </c>
      <c r="O208">
        <v>257</v>
      </c>
      <c r="P208" s="128">
        <v>4352</v>
      </c>
      <c r="Q208" s="128">
        <v>3430</v>
      </c>
      <c r="R208" s="128">
        <v>922</v>
      </c>
      <c r="S208" s="128">
        <f t="shared" si="15"/>
        <v>9772722</v>
      </c>
      <c r="T208">
        <f t="shared" si="16"/>
        <v>485722</v>
      </c>
      <c r="U208">
        <f t="shared" si="17"/>
        <v>485722</v>
      </c>
      <c r="V208">
        <v>189047</v>
      </c>
      <c r="W208" s="188">
        <f t="shared" si="18"/>
        <v>2.5693187408422245E-3</v>
      </c>
      <c r="Y208" s="188"/>
      <c r="AB208" s="188"/>
    </row>
    <row r="209" spans="1:28" x14ac:dyDescent="0.25">
      <c r="A209" t="s">
        <v>528</v>
      </c>
      <c r="B209" t="s">
        <v>335</v>
      </c>
      <c r="C209">
        <f t="shared" si="19"/>
        <v>2309</v>
      </c>
      <c r="D209">
        <v>1696</v>
      </c>
      <c r="E209">
        <v>613</v>
      </c>
      <c r="F209">
        <v>19</v>
      </c>
      <c r="G209">
        <v>254</v>
      </c>
      <c r="H209">
        <v>2579</v>
      </c>
      <c r="I209">
        <v>29</v>
      </c>
      <c r="J209">
        <v>958</v>
      </c>
      <c r="K209">
        <v>1178</v>
      </c>
      <c r="L209">
        <v>85</v>
      </c>
      <c r="M209">
        <v>73</v>
      </c>
      <c r="N209">
        <v>560</v>
      </c>
      <c r="O209">
        <v>221</v>
      </c>
      <c r="P209" s="128">
        <v>1612</v>
      </c>
      <c r="Q209" s="128">
        <v>1327</v>
      </c>
      <c r="R209" s="128">
        <v>285</v>
      </c>
      <c r="S209" s="128">
        <f t="shared" si="15"/>
        <v>3515141</v>
      </c>
      <c r="T209">
        <f t="shared" si="16"/>
        <v>1206141</v>
      </c>
      <c r="U209">
        <f t="shared" si="17"/>
        <v>1206141</v>
      </c>
      <c r="V209">
        <v>31116</v>
      </c>
      <c r="W209" s="188">
        <f t="shared" si="18"/>
        <v>3.8762726571538758E-2</v>
      </c>
      <c r="Y209" s="188"/>
      <c r="AB209" s="188"/>
    </row>
    <row r="210" spans="1:28" x14ac:dyDescent="0.25">
      <c r="A210" t="s">
        <v>516</v>
      </c>
      <c r="B210" t="s">
        <v>114</v>
      </c>
      <c r="C210">
        <f t="shared" si="19"/>
        <v>5723</v>
      </c>
      <c r="D210">
        <v>3903</v>
      </c>
      <c r="E210">
        <v>1820</v>
      </c>
      <c r="F210">
        <v>0</v>
      </c>
      <c r="G210">
        <v>0</v>
      </c>
      <c r="H210">
        <v>415</v>
      </c>
      <c r="I210">
        <v>294</v>
      </c>
      <c r="J210">
        <v>3999</v>
      </c>
      <c r="K210">
        <v>2797</v>
      </c>
      <c r="L210">
        <v>282</v>
      </c>
      <c r="M210">
        <v>204</v>
      </c>
      <c r="N210">
        <v>0</v>
      </c>
      <c r="O210">
        <v>59</v>
      </c>
      <c r="P210" s="128">
        <v>4340</v>
      </c>
      <c r="Q210" s="128">
        <v>3558</v>
      </c>
      <c r="R210" s="128">
        <v>781</v>
      </c>
      <c r="S210" s="128">
        <f t="shared" si="15"/>
        <v>9487359.9999999981</v>
      </c>
      <c r="T210">
        <f t="shared" si="16"/>
        <v>3764359.9999999981</v>
      </c>
      <c r="U210">
        <f t="shared" si="17"/>
        <v>3764359.9999999981</v>
      </c>
      <c r="V210">
        <v>112624</v>
      </c>
      <c r="W210" s="188">
        <f t="shared" si="18"/>
        <v>3.3424136951271471E-2</v>
      </c>
      <c r="Y210" s="188"/>
      <c r="AB210" s="188"/>
    </row>
    <row r="211" spans="1:28" x14ac:dyDescent="0.25">
      <c r="A211" t="s">
        <v>523</v>
      </c>
      <c r="B211" t="s">
        <v>432</v>
      </c>
      <c r="C211">
        <f t="shared" si="19"/>
        <v>11689</v>
      </c>
      <c r="D211">
        <v>5659</v>
      </c>
      <c r="E211">
        <v>6030</v>
      </c>
      <c r="F211">
        <v>0</v>
      </c>
      <c r="G211">
        <v>0</v>
      </c>
      <c r="H211">
        <v>460</v>
      </c>
      <c r="I211">
        <v>118</v>
      </c>
      <c r="J211">
        <v>3162</v>
      </c>
      <c r="K211">
        <v>5234</v>
      </c>
      <c r="L211">
        <v>477</v>
      </c>
      <c r="M211">
        <v>579</v>
      </c>
      <c r="N211">
        <v>3349</v>
      </c>
      <c r="O211">
        <v>585</v>
      </c>
      <c r="P211" s="128">
        <v>5821</v>
      </c>
      <c r="Q211" s="128">
        <v>3927</v>
      </c>
      <c r="R211" s="128">
        <v>1895</v>
      </c>
      <c r="S211" s="128">
        <f t="shared" si="15"/>
        <v>14299601</v>
      </c>
      <c r="T211">
        <f t="shared" si="16"/>
        <v>2610601</v>
      </c>
      <c r="U211">
        <f t="shared" si="17"/>
        <v>2610601</v>
      </c>
      <c r="V211">
        <v>160474</v>
      </c>
      <c r="W211" s="188">
        <f t="shared" si="18"/>
        <v>1.6268062115981405E-2</v>
      </c>
      <c r="Y211" s="188"/>
      <c r="AB211" s="188"/>
    </row>
    <row r="212" spans="1:28" x14ac:dyDescent="0.25">
      <c r="A212" t="s">
        <v>521</v>
      </c>
      <c r="B212" t="s">
        <v>310</v>
      </c>
      <c r="C212">
        <f t="shared" si="19"/>
        <v>10756</v>
      </c>
      <c r="D212">
        <v>7480</v>
      </c>
      <c r="E212">
        <v>3276</v>
      </c>
      <c r="F212">
        <v>4119</v>
      </c>
      <c r="G212">
        <v>4808</v>
      </c>
      <c r="H212">
        <v>3447</v>
      </c>
      <c r="I212">
        <v>264</v>
      </c>
      <c r="J212">
        <v>4468</v>
      </c>
      <c r="K212">
        <v>5999</v>
      </c>
      <c r="L212">
        <v>372</v>
      </c>
      <c r="M212">
        <v>180</v>
      </c>
      <c r="N212">
        <v>1808</v>
      </c>
      <c r="O212">
        <v>59</v>
      </c>
      <c r="P212" s="128">
        <v>8920</v>
      </c>
      <c r="Q212" s="128">
        <v>7611</v>
      </c>
      <c r="R212" s="128">
        <v>1309</v>
      </c>
      <c r="S212" s="128">
        <f t="shared" si="15"/>
        <v>18954337</v>
      </c>
      <c r="T212">
        <f t="shared" si="16"/>
        <v>8198337</v>
      </c>
      <c r="U212">
        <f t="shared" si="17"/>
        <v>8198337</v>
      </c>
      <c r="V212">
        <v>133634</v>
      </c>
      <c r="W212" s="188">
        <f t="shared" si="18"/>
        <v>6.1349185087627399E-2</v>
      </c>
      <c r="Y212" s="188"/>
      <c r="AB212" s="188"/>
    </row>
    <row r="213" spans="1:28" x14ac:dyDescent="0.25">
      <c r="A213" t="s">
        <v>517</v>
      </c>
      <c r="B213" t="s">
        <v>435</v>
      </c>
      <c r="C213">
        <f t="shared" si="19"/>
        <v>6056</v>
      </c>
      <c r="D213">
        <v>4755</v>
      </c>
      <c r="E213">
        <v>1301</v>
      </c>
      <c r="F213">
        <v>0</v>
      </c>
      <c r="G213">
        <v>0</v>
      </c>
      <c r="H213">
        <v>63</v>
      </c>
      <c r="I213">
        <v>70</v>
      </c>
      <c r="J213">
        <v>2176</v>
      </c>
      <c r="K213">
        <v>2138</v>
      </c>
      <c r="L213">
        <v>258</v>
      </c>
      <c r="M213">
        <v>521</v>
      </c>
      <c r="N213">
        <v>596</v>
      </c>
      <c r="O213">
        <v>45</v>
      </c>
      <c r="P213" s="128">
        <v>3876</v>
      </c>
      <c r="Q213" s="128">
        <v>3520</v>
      </c>
      <c r="R213" s="128">
        <v>355</v>
      </c>
      <c r="S213" s="128">
        <f t="shared" si="15"/>
        <v>7838189.9999999991</v>
      </c>
      <c r="T213">
        <f t="shared" si="16"/>
        <v>1782189.9999999991</v>
      </c>
      <c r="U213">
        <f t="shared" si="17"/>
        <v>1782189.9999999991</v>
      </c>
      <c r="V213">
        <v>60709</v>
      </c>
      <c r="W213" s="188">
        <f t="shared" si="18"/>
        <v>2.9356273369681579E-2</v>
      </c>
      <c r="Y213" s="188"/>
      <c r="AB213" s="188"/>
    </row>
    <row r="214" spans="1:28" x14ac:dyDescent="0.25">
      <c r="A214" t="s">
        <v>519</v>
      </c>
      <c r="B214" t="s">
        <v>194</v>
      </c>
      <c r="C214">
        <f t="shared" si="19"/>
        <v>4747</v>
      </c>
      <c r="D214">
        <v>3213</v>
      </c>
      <c r="E214">
        <v>1534</v>
      </c>
      <c r="F214">
        <v>0</v>
      </c>
      <c r="G214">
        <v>0</v>
      </c>
      <c r="H214">
        <v>1229</v>
      </c>
      <c r="I214">
        <v>1553</v>
      </c>
      <c r="J214">
        <v>1874</v>
      </c>
      <c r="K214">
        <v>1821</v>
      </c>
      <c r="L214">
        <v>308</v>
      </c>
      <c r="M214">
        <v>437</v>
      </c>
      <c r="N214">
        <v>1061</v>
      </c>
      <c r="O214">
        <v>136</v>
      </c>
      <c r="P214" s="128">
        <v>3964</v>
      </c>
      <c r="Q214" s="128">
        <v>3445</v>
      </c>
      <c r="R214" s="128">
        <v>519</v>
      </c>
      <c r="S214" s="128">
        <f t="shared" si="15"/>
        <v>8306998.9999999991</v>
      </c>
      <c r="T214">
        <f t="shared" si="16"/>
        <v>3559998.9999999991</v>
      </c>
      <c r="U214">
        <f t="shared" si="17"/>
        <v>3559998.9999999991</v>
      </c>
      <c r="V214">
        <v>73163</v>
      </c>
      <c r="W214" s="188">
        <f t="shared" si="18"/>
        <v>4.8658461244071444E-2</v>
      </c>
      <c r="Y214" s="188"/>
      <c r="AB214" s="188"/>
    </row>
    <row r="215" spans="1:28" x14ac:dyDescent="0.25">
      <c r="A215" t="s">
        <v>521</v>
      </c>
      <c r="B215" t="s">
        <v>311</v>
      </c>
      <c r="C215">
        <f t="shared" si="19"/>
        <v>7441</v>
      </c>
      <c r="D215">
        <v>5362</v>
      </c>
      <c r="E215">
        <v>2079</v>
      </c>
      <c r="F215">
        <v>0</v>
      </c>
      <c r="G215">
        <v>1809</v>
      </c>
      <c r="H215">
        <v>152</v>
      </c>
      <c r="I215">
        <v>116</v>
      </c>
      <c r="J215">
        <v>2316</v>
      </c>
      <c r="K215">
        <v>3363</v>
      </c>
      <c r="L215">
        <v>327</v>
      </c>
      <c r="M215">
        <v>0</v>
      </c>
      <c r="N215">
        <v>2762</v>
      </c>
      <c r="O215">
        <v>111</v>
      </c>
      <c r="P215" s="128">
        <v>5189</v>
      </c>
      <c r="Q215" s="128">
        <v>4740</v>
      </c>
      <c r="R215" s="128">
        <v>449</v>
      </c>
      <c r="S215" s="128">
        <f t="shared" si="15"/>
        <v>10447213.999999998</v>
      </c>
      <c r="T215">
        <f t="shared" si="16"/>
        <v>3006213.9999999981</v>
      </c>
      <c r="U215">
        <f t="shared" si="17"/>
        <v>3006213.9999999981</v>
      </c>
      <c r="V215">
        <v>71080</v>
      </c>
      <c r="W215" s="188">
        <f t="shared" si="18"/>
        <v>4.229338773213278E-2</v>
      </c>
      <c r="Y215" s="188"/>
      <c r="AB215" s="188"/>
    </row>
    <row r="216" spans="1:28" x14ac:dyDescent="0.25">
      <c r="A216" t="s">
        <v>517</v>
      </c>
      <c r="B216" t="s">
        <v>380</v>
      </c>
      <c r="C216">
        <f t="shared" si="19"/>
        <v>6842</v>
      </c>
      <c r="D216">
        <v>3423</v>
      </c>
      <c r="E216">
        <v>3419</v>
      </c>
      <c r="F216">
        <v>0</v>
      </c>
      <c r="G216">
        <v>0</v>
      </c>
      <c r="H216">
        <v>309</v>
      </c>
      <c r="I216">
        <v>43</v>
      </c>
      <c r="J216">
        <v>1505</v>
      </c>
      <c r="K216">
        <v>1419</v>
      </c>
      <c r="L216">
        <v>196</v>
      </c>
      <c r="M216">
        <v>0</v>
      </c>
      <c r="N216">
        <v>465</v>
      </c>
      <c r="O216">
        <v>162</v>
      </c>
      <c r="P216" s="128">
        <v>3417</v>
      </c>
      <c r="Q216" s="128">
        <v>2629</v>
      </c>
      <c r="R216" s="128">
        <v>789</v>
      </c>
      <c r="S216" s="128">
        <f t="shared" si="15"/>
        <v>7795570.9999999991</v>
      </c>
      <c r="T216">
        <f t="shared" si="16"/>
        <v>953570.99999999907</v>
      </c>
      <c r="U216">
        <f t="shared" si="17"/>
        <v>953570.99999999907</v>
      </c>
      <c r="V216">
        <v>43582</v>
      </c>
      <c r="W216" s="188">
        <f t="shared" si="18"/>
        <v>2.1879927493001678E-2</v>
      </c>
      <c r="Y216" s="188"/>
      <c r="AB216" s="188"/>
    </row>
    <row r="217" spans="1:28" x14ac:dyDescent="0.25">
      <c r="A217" t="s">
        <v>517</v>
      </c>
      <c r="B217" t="s">
        <v>381</v>
      </c>
      <c r="C217">
        <f t="shared" si="19"/>
        <v>6807</v>
      </c>
      <c r="D217">
        <v>5006</v>
      </c>
      <c r="E217">
        <v>1801</v>
      </c>
      <c r="F217">
        <v>775</v>
      </c>
      <c r="G217">
        <v>1568</v>
      </c>
      <c r="H217">
        <v>729</v>
      </c>
      <c r="I217">
        <v>219</v>
      </c>
      <c r="J217">
        <v>2695</v>
      </c>
      <c r="K217">
        <v>2083</v>
      </c>
      <c r="L217">
        <v>299</v>
      </c>
      <c r="M217">
        <v>0</v>
      </c>
      <c r="N217">
        <v>1025</v>
      </c>
      <c r="O217">
        <v>201</v>
      </c>
      <c r="P217" s="128">
        <v>4621</v>
      </c>
      <c r="Q217" s="128">
        <v>4029</v>
      </c>
      <c r="R217" s="128">
        <v>592</v>
      </c>
      <c r="S217" s="128">
        <f>0.1853%*SUM(Q217,R217,R217)*1000000</f>
        <v>9659688.9999999981</v>
      </c>
      <c r="T217">
        <f>SUM(S217,-C217*1000)</f>
        <v>2852688.9999999981</v>
      </c>
      <c r="U217">
        <f>IF(T217&gt;0,T217,0)</f>
        <v>2852688.9999999981</v>
      </c>
      <c r="V217">
        <v>71213</v>
      </c>
      <c r="W217" s="188">
        <f>T217/(V217*1000)</f>
        <v>4.0058542681813684E-2</v>
      </c>
      <c r="Y217" s="188"/>
      <c r="AB217" s="188"/>
    </row>
    <row r="218" spans="1:28" x14ac:dyDescent="0.25">
      <c r="A218" t="s">
        <v>525</v>
      </c>
      <c r="B218" t="s">
        <v>123</v>
      </c>
      <c r="C218">
        <f t="shared" si="19"/>
        <v>13272</v>
      </c>
      <c r="D218">
        <v>6864</v>
      </c>
      <c r="E218">
        <v>6408</v>
      </c>
      <c r="F218">
        <v>0</v>
      </c>
      <c r="G218">
        <v>925</v>
      </c>
      <c r="H218">
        <v>90</v>
      </c>
      <c r="I218">
        <v>-2</v>
      </c>
      <c r="J218">
        <v>4700</v>
      </c>
      <c r="K218">
        <v>4033</v>
      </c>
      <c r="L218">
        <v>433</v>
      </c>
      <c r="M218">
        <v>180</v>
      </c>
      <c r="N218">
        <v>935</v>
      </c>
      <c r="O218">
        <v>66</v>
      </c>
      <c r="P218" s="128">
        <v>3686</v>
      </c>
      <c r="Q218" s="128">
        <v>2811</v>
      </c>
      <c r="R218" s="128">
        <v>875</v>
      </c>
      <c r="S218" s="128">
        <f t="shared" si="15"/>
        <v>8451533</v>
      </c>
      <c r="T218">
        <f t="shared" si="16"/>
        <v>-4820467</v>
      </c>
      <c r="U218">
        <f t="shared" si="17"/>
        <v>0</v>
      </c>
      <c r="V218">
        <v>168594</v>
      </c>
      <c r="W218" s="188">
        <f t="shared" si="18"/>
        <v>-2.8592162235904005E-2</v>
      </c>
      <c r="Y218" s="188"/>
      <c r="AB218" s="188"/>
    </row>
    <row r="219" spans="1:28" x14ac:dyDescent="0.25">
      <c r="A219" t="s">
        <v>519</v>
      </c>
      <c r="B219" t="s">
        <v>195</v>
      </c>
      <c r="C219">
        <f t="shared" si="19"/>
        <v>5212</v>
      </c>
      <c r="D219">
        <v>3301</v>
      </c>
      <c r="E219">
        <v>1911</v>
      </c>
      <c r="F219">
        <v>0</v>
      </c>
      <c r="G219">
        <v>1499</v>
      </c>
      <c r="H219">
        <v>679</v>
      </c>
      <c r="I219">
        <v>32</v>
      </c>
      <c r="J219">
        <v>1535</v>
      </c>
      <c r="K219">
        <v>2696</v>
      </c>
      <c r="L219">
        <v>227</v>
      </c>
      <c r="M219">
        <v>838</v>
      </c>
      <c r="N219">
        <v>815</v>
      </c>
      <c r="O219">
        <v>237</v>
      </c>
      <c r="P219" s="128">
        <v>3085</v>
      </c>
      <c r="Q219" s="128">
        <v>2647</v>
      </c>
      <c r="R219" s="128">
        <v>438</v>
      </c>
      <c r="S219" s="128">
        <f t="shared" si="15"/>
        <v>6528118.9999999991</v>
      </c>
      <c r="T219">
        <f t="shared" si="16"/>
        <v>1316118.9999999991</v>
      </c>
      <c r="U219">
        <f t="shared" si="17"/>
        <v>1316118.9999999991</v>
      </c>
      <c r="V219">
        <v>83468</v>
      </c>
      <c r="W219" s="188">
        <f t="shared" si="18"/>
        <v>1.5767946997651782E-2</v>
      </c>
      <c r="Y219" s="188"/>
      <c r="AB219" s="188"/>
    </row>
    <row r="220" spans="1:28" x14ac:dyDescent="0.25">
      <c r="A220" t="s">
        <v>522</v>
      </c>
      <c r="B220" t="s">
        <v>153</v>
      </c>
      <c r="C220">
        <f t="shared" si="19"/>
        <v>7843</v>
      </c>
      <c r="D220">
        <v>3973</v>
      </c>
      <c r="E220">
        <v>3870</v>
      </c>
      <c r="F220">
        <v>518</v>
      </c>
      <c r="G220">
        <v>-6</v>
      </c>
      <c r="H220">
        <v>1</v>
      </c>
      <c r="I220">
        <v>260</v>
      </c>
      <c r="J220">
        <v>2992</v>
      </c>
      <c r="K220">
        <v>3295</v>
      </c>
      <c r="L220">
        <v>301</v>
      </c>
      <c r="M220">
        <v>130</v>
      </c>
      <c r="N220">
        <v>1016</v>
      </c>
      <c r="O220">
        <v>55</v>
      </c>
      <c r="P220" s="128">
        <v>4240</v>
      </c>
      <c r="Q220" s="128">
        <v>3482</v>
      </c>
      <c r="R220" s="128">
        <v>759</v>
      </c>
      <c r="S220" s="128">
        <f t="shared" si="15"/>
        <v>9264999.9999999981</v>
      </c>
      <c r="T220">
        <f t="shared" si="16"/>
        <v>1421999.9999999981</v>
      </c>
      <c r="U220">
        <f t="shared" si="17"/>
        <v>1421999.9999999981</v>
      </c>
      <c r="V220">
        <v>120756</v>
      </c>
      <c r="W220" s="188">
        <f t="shared" si="18"/>
        <v>1.1775812381993427E-2</v>
      </c>
      <c r="Y220" s="188"/>
      <c r="AB220" s="188"/>
    </row>
    <row r="221" spans="1:28" x14ac:dyDescent="0.25">
      <c r="A221" t="s">
        <v>522</v>
      </c>
      <c r="B221" t="s">
        <v>154</v>
      </c>
      <c r="C221">
        <f t="shared" si="19"/>
        <v>4342</v>
      </c>
      <c r="D221">
        <v>3057</v>
      </c>
      <c r="E221">
        <v>1285</v>
      </c>
      <c r="F221">
        <v>0</v>
      </c>
      <c r="G221">
        <v>0</v>
      </c>
      <c r="H221">
        <v>29</v>
      </c>
      <c r="I221">
        <v>34</v>
      </c>
      <c r="J221">
        <v>1778</v>
      </c>
      <c r="K221">
        <v>1589</v>
      </c>
      <c r="L221">
        <v>183</v>
      </c>
      <c r="M221">
        <v>55</v>
      </c>
      <c r="N221">
        <v>345</v>
      </c>
      <c r="O221">
        <v>86</v>
      </c>
      <c r="P221" s="128">
        <v>2286</v>
      </c>
      <c r="Q221" s="128">
        <v>1981</v>
      </c>
      <c r="R221" s="128">
        <v>305</v>
      </c>
      <c r="S221" s="128">
        <f t="shared" si="15"/>
        <v>4801123</v>
      </c>
      <c r="T221">
        <f t="shared" si="16"/>
        <v>459123</v>
      </c>
      <c r="U221">
        <f t="shared" si="17"/>
        <v>459123</v>
      </c>
      <c r="V221">
        <v>48169</v>
      </c>
      <c r="W221" s="188">
        <f t="shared" si="18"/>
        <v>9.5315036641823586E-3</v>
      </c>
      <c r="Y221" s="188"/>
      <c r="AB221" s="188"/>
    </row>
    <row r="222" spans="1:28" x14ac:dyDescent="0.25">
      <c r="A222" t="s">
        <v>522</v>
      </c>
      <c r="B222" t="s">
        <v>155</v>
      </c>
      <c r="C222">
        <f t="shared" si="19"/>
        <v>4103</v>
      </c>
      <c r="D222">
        <v>2351</v>
      </c>
      <c r="E222">
        <v>1752</v>
      </c>
      <c r="F222">
        <v>0</v>
      </c>
      <c r="G222">
        <v>0</v>
      </c>
      <c r="H222">
        <v>1740</v>
      </c>
      <c r="I222">
        <v>65</v>
      </c>
      <c r="J222">
        <v>1750</v>
      </c>
      <c r="K222">
        <v>1867</v>
      </c>
      <c r="L222">
        <v>205</v>
      </c>
      <c r="M222">
        <v>200</v>
      </c>
      <c r="N222">
        <v>572</v>
      </c>
      <c r="O222">
        <v>70</v>
      </c>
      <c r="P222" s="128">
        <v>2548</v>
      </c>
      <c r="Q222" s="128">
        <v>2018</v>
      </c>
      <c r="R222" s="128">
        <v>529</v>
      </c>
      <c r="S222" s="128">
        <f t="shared" si="15"/>
        <v>5699827.9999999991</v>
      </c>
      <c r="T222">
        <f t="shared" si="16"/>
        <v>1596827.9999999991</v>
      </c>
      <c r="U222">
        <f t="shared" si="17"/>
        <v>1596827.9999999991</v>
      </c>
      <c r="V222">
        <v>61900</v>
      </c>
      <c r="W222" s="188">
        <f t="shared" si="18"/>
        <v>2.579689822294021E-2</v>
      </c>
      <c r="Y222" s="188"/>
      <c r="AB222" s="188"/>
    </row>
    <row r="223" spans="1:28" x14ac:dyDescent="0.25">
      <c r="A223" t="s">
        <v>519</v>
      </c>
      <c r="B223" t="s">
        <v>196</v>
      </c>
      <c r="C223">
        <f t="shared" si="19"/>
        <v>6133</v>
      </c>
      <c r="D223">
        <v>3906</v>
      </c>
      <c r="E223">
        <v>2227</v>
      </c>
      <c r="F223">
        <v>0</v>
      </c>
      <c r="G223">
        <v>7</v>
      </c>
      <c r="H223">
        <v>459</v>
      </c>
      <c r="I223">
        <v>179</v>
      </c>
      <c r="J223">
        <v>2336</v>
      </c>
      <c r="K223">
        <v>2521</v>
      </c>
      <c r="L223">
        <v>285</v>
      </c>
      <c r="M223">
        <v>0</v>
      </c>
      <c r="N223">
        <v>807</v>
      </c>
      <c r="O223">
        <v>231</v>
      </c>
      <c r="P223" s="128">
        <v>3613</v>
      </c>
      <c r="Q223" s="128">
        <v>2807</v>
      </c>
      <c r="R223" s="128">
        <v>805</v>
      </c>
      <c r="S223" s="128">
        <f t="shared" si="15"/>
        <v>8184700.9999999991</v>
      </c>
      <c r="T223">
        <f t="shared" si="16"/>
        <v>2051700.9999999991</v>
      </c>
      <c r="U223">
        <f t="shared" si="17"/>
        <v>2051700.9999999991</v>
      </c>
      <c r="V223">
        <v>78038</v>
      </c>
      <c r="W223" s="188">
        <f t="shared" si="18"/>
        <v>2.6291050513852214E-2</v>
      </c>
      <c r="Y223" s="188"/>
      <c r="AB223" s="188"/>
    </row>
    <row r="224" spans="1:28" x14ac:dyDescent="0.25">
      <c r="A224" t="s">
        <v>517</v>
      </c>
      <c r="B224" t="s">
        <v>382</v>
      </c>
      <c r="C224">
        <f t="shared" si="19"/>
        <v>12620</v>
      </c>
      <c r="D224">
        <v>6951</v>
      </c>
      <c r="E224">
        <v>5669</v>
      </c>
      <c r="F224">
        <v>338</v>
      </c>
      <c r="G224">
        <v>113</v>
      </c>
      <c r="H224">
        <v>321</v>
      </c>
      <c r="I224">
        <v>191</v>
      </c>
      <c r="J224">
        <v>5314</v>
      </c>
      <c r="K224">
        <v>5935</v>
      </c>
      <c r="L224">
        <v>775</v>
      </c>
      <c r="M224">
        <v>0</v>
      </c>
      <c r="N224">
        <v>2066</v>
      </c>
      <c r="O224">
        <v>2664</v>
      </c>
      <c r="P224" s="128">
        <v>8164</v>
      </c>
      <c r="Q224" s="128">
        <v>6577</v>
      </c>
      <c r="R224" s="128">
        <v>1587</v>
      </c>
      <c r="S224" s="128">
        <f t="shared" si="15"/>
        <v>18068603</v>
      </c>
      <c r="T224">
        <f t="shared" si="16"/>
        <v>5448603</v>
      </c>
      <c r="U224">
        <f t="shared" si="17"/>
        <v>5448603</v>
      </c>
      <c r="V224">
        <v>170589</v>
      </c>
      <c r="W224" s="188">
        <f t="shared" si="18"/>
        <v>3.1939943372667638E-2</v>
      </c>
      <c r="Y224" s="188"/>
      <c r="AB224" s="188"/>
    </row>
    <row r="225" spans="1:28" x14ac:dyDescent="0.25">
      <c r="A225" t="s">
        <v>520</v>
      </c>
      <c r="B225" t="s">
        <v>133</v>
      </c>
      <c r="C225">
        <f t="shared" si="19"/>
        <v>2983</v>
      </c>
      <c r="D225">
        <v>2368</v>
      </c>
      <c r="E225">
        <v>615</v>
      </c>
      <c r="F225">
        <v>0</v>
      </c>
      <c r="G225">
        <v>2118</v>
      </c>
      <c r="H225">
        <v>332</v>
      </c>
      <c r="I225">
        <v>41</v>
      </c>
      <c r="J225">
        <v>2759</v>
      </c>
      <c r="K225">
        <v>2206</v>
      </c>
      <c r="L225">
        <v>246</v>
      </c>
      <c r="M225">
        <v>0</v>
      </c>
      <c r="N225">
        <v>1061</v>
      </c>
      <c r="O225">
        <v>42</v>
      </c>
      <c r="P225" s="128">
        <v>2858</v>
      </c>
      <c r="Q225" s="128">
        <v>2382</v>
      </c>
      <c r="R225" s="128">
        <v>476</v>
      </c>
      <c r="S225" s="128">
        <f t="shared" si="15"/>
        <v>6177902</v>
      </c>
      <c r="T225">
        <f t="shared" si="16"/>
        <v>3194902</v>
      </c>
      <c r="U225">
        <f t="shared" si="17"/>
        <v>3194902</v>
      </c>
      <c r="V225">
        <v>78675</v>
      </c>
      <c r="W225" s="188">
        <f t="shared" si="18"/>
        <v>4.0608859231013664E-2</v>
      </c>
      <c r="Y225" s="188"/>
      <c r="AB225" s="188"/>
    </row>
    <row r="226" spans="1:28" x14ac:dyDescent="0.25">
      <c r="A226" t="s">
        <v>518</v>
      </c>
      <c r="B226" t="s">
        <v>267</v>
      </c>
      <c r="C226">
        <f t="shared" si="19"/>
        <v>2054</v>
      </c>
      <c r="D226">
        <v>1492</v>
      </c>
      <c r="E226">
        <v>562</v>
      </c>
      <c r="F226">
        <v>0</v>
      </c>
      <c r="G226">
        <v>517</v>
      </c>
      <c r="H226">
        <v>301</v>
      </c>
      <c r="I226">
        <v>38</v>
      </c>
      <c r="J226">
        <v>1324</v>
      </c>
      <c r="K226">
        <v>1285</v>
      </c>
      <c r="L226">
        <v>110</v>
      </c>
      <c r="M226">
        <v>137</v>
      </c>
      <c r="N226">
        <v>129</v>
      </c>
      <c r="O226">
        <v>34</v>
      </c>
      <c r="P226" s="128">
        <v>1661</v>
      </c>
      <c r="Q226" s="128">
        <v>1478</v>
      </c>
      <c r="R226" s="128">
        <v>183</v>
      </c>
      <c r="S226" s="128">
        <f t="shared" si="15"/>
        <v>3416931.9999999995</v>
      </c>
      <c r="T226">
        <f t="shared" si="16"/>
        <v>1362931.9999999995</v>
      </c>
      <c r="U226">
        <f t="shared" si="17"/>
        <v>1362931.9999999995</v>
      </c>
      <c r="V226">
        <v>23946</v>
      </c>
      <c r="W226" s="188">
        <f t="shared" si="18"/>
        <v>5.6916896350121086E-2</v>
      </c>
      <c r="Y226" s="188"/>
      <c r="AB226" s="188"/>
    </row>
    <row r="227" spans="1:28" x14ac:dyDescent="0.25">
      <c r="A227" t="s">
        <v>518</v>
      </c>
      <c r="B227" t="s">
        <v>268</v>
      </c>
      <c r="C227">
        <f t="shared" si="19"/>
        <v>2055</v>
      </c>
      <c r="D227">
        <v>1412</v>
      </c>
      <c r="E227">
        <v>643</v>
      </c>
      <c r="F227">
        <v>0</v>
      </c>
      <c r="G227">
        <v>0</v>
      </c>
      <c r="H227">
        <v>71</v>
      </c>
      <c r="I227">
        <v>32</v>
      </c>
      <c r="J227">
        <v>976</v>
      </c>
      <c r="K227">
        <v>0</v>
      </c>
      <c r="L227">
        <v>121</v>
      </c>
      <c r="M227">
        <v>0</v>
      </c>
      <c r="N227">
        <v>250</v>
      </c>
      <c r="O227">
        <v>24</v>
      </c>
      <c r="P227" s="128">
        <v>1554</v>
      </c>
      <c r="Q227" s="128">
        <v>1291</v>
      </c>
      <c r="R227" s="128">
        <v>263</v>
      </c>
      <c r="S227" s="128">
        <f t="shared" si="15"/>
        <v>3366900.9999999995</v>
      </c>
      <c r="T227">
        <f t="shared" si="16"/>
        <v>1311900.9999999995</v>
      </c>
      <c r="U227">
        <f t="shared" si="17"/>
        <v>1311900.9999999995</v>
      </c>
      <c r="V227">
        <v>36123</v>
      </c>
      <c r="W227" s="188">
        <f t="shared" si="18"/>
        <v>3.6317609279406457E-2</v>
      </c>
      <c r="Y227" s="188"/>
      <c r="AB227" s="188"/>
    </row>
    <row r="228" spans="1:28" x14ac:dyDescent="0.25">
      <c r="A228" t="s">
        <v>520</v>
      </c>
      <c r="B228" t="s">
        <v>134</v>
      </c>
      <c r="C228">
        <f t="shared" si="19"/>
        <v>4533</v>
      </c>
      <c r="D228">
        <v>3023</v>
      </c>
      <c r="E228">
        <v>1510</v>
      </c>
      <c r="F228">
        <v>0</v>
      </c>
      <c r="G228">
        <v>2315</v>
      </c>
      <c r="H228">
        <v>208</v>
      </c>
      <c r="I228">
        <v>35</v>
      </c>
      <c r="J228">
        <v>2854</v>
      </c>
      <c r="K228">
        <v>2969</v>
      </c>
      <c r="L228">
        <v>281</v>
      </c>
      <c r="M228">
        <v>157</v>
      </c>
      <c r="N228">
        <v>764</v>
      </c>
      <c r="O228">
        <v>15</v>
      </c>
      <c r="P228" s="128">
        <v>3410</v>
      </c>
      <c r="Q228" s="128">
        <v>2853</v>
      </c>
      <c r="R228" s="128">
        <v>557</v>
      </c>
      <c r="S228" s="128">
        <f t="shared" si="15"/>
        <v>7350851</v>
      </c>
      <c r="T228">
        <f t="shared" si="16"/>
        <v>2817851</v>
      </c>
      <c r="U228">
        <f t="shared" si="17"/>
        <v>2817851</v>
      </c>
      <c r="V228">
        <v>85969</v>
      </c>
      <c r="W228" s="188">
        <f t="shared" si="18"/>
        <v>3.2777524456490133E-2</v>
      </c>
      <c r="Y228" s="188"/>
      <c r="AB228" s="188"/>
    </row>
    <row r="229" spans="1:28" x14ac:dyDescent="0.25">
      <c r="A229" t="s">
        <v>517</v>
      </c>
      <c r="B229" t="s">
        <v>383</v>
      </c>
      <c r="C229">
        <f t="shared" si="19"/>
        <v>19824</v>
      </c>
      <c r="D229">
        <v>11718</v>
      </c>
      <c r="E229">
        <v>8106</v>
      </c>
      <c r="F229">
        <v>1174</v>
      </c>
      <c r="G229">
        <v>0</v>
      </c>
      <c r="H229">
        <v>63</v>
      </c>
      <c r="I229">
        <v>710</v>
      </c>
      <c r="J229">
        <v>8163</v>
      </c>
      <c r="K229">
        <v>10132</v>
      </c>
      <c r="L229">
        <v>976</v>
      </c>
      <c r="M229">
        <v>0</v>
      </c>
      <c r="N229">
        <v>3115</v>
      </c>
      <c r="O229">
        <v>602</v>
      </c>
      <c r="P229" s="128">
        <v>11984</v>
      </c>
      <c r="Q229" s="128">
        <v>10103</v>
      </c>
      <c r="R229" s="128">
        <v>1881</v>
      </c>
      <c r="S229" s="128">
        <f t="shared" si="15"/>
        <v>25691844.999999996</v>
      </c>
      <c r="T229">
        <f t="shared" si="16"/>
        <v>5867844.9999999963</v>
      </c>
      <c r="U229">
        <f t="shared" si="17"/>
        <v>5867844.9999999963</v>
      </c>
      <c r="V229">
        <v>371555</v>
      </c>
      <c r="W229" s="188">
        <f t="shared" si="18"/>
        <v>1.5792668649325124E-2</v>
      </c>
      <c r="Y229" s="188"/>
      <c r="AB229" s="188"/>
    </row>
    <row r="230" spans="1:28" x14ac:dyDescent="0.25">
      <c r="A230" t="s">
        <v>519</v>
      </c>
      <c r="B230" t="s">
        <v>197</v>
      </c>
      <c r="C230">
        <f t="shared" si="19"/>
        <v>8582</v>
      </c>
      <c r="D230">
        <v>6015</v>
      </c>
      <c r="E230">
        <v>2567</v>
      </c>
      <c r="F230">
        <v>0</v>
      </c>
      <c r="G230">
        <v>7</v>
      </c>
      <c r="H230">
        <v>211</v>
      </c>
      <c r="I230">
        <v>0</v>
      </c>
      <c r="J230">
        <v>4132</v>
      </c>
      <c r="K230">
        <v>3002</v>
      </c>
      <c r="L230">
        <v>385</v>
      </c>
      <c r="M230">
        <v>122</v>
      </c>
      <c r="N230">
        <v>671</v>
      </c>
      <c r="O230">
        <v>155</v>
      </c>
      <c r="P230" s="128">
        <v>4546</v>
      </c>
      <c r="Q230" s="128">
        <v>3724</v>
      </c>
      <c r="R230" s="128">
        <v>822</v>
      </c>
      <c r="S230" s="128">
        <f t="shared" si="15"/>
        <v>9946904</v>
      </c>
      <c r="T230">
        <f t="shared" si="16"/>
        <v>1364904</v>
      </c>
      <c r="U230">
        <f t="shared" si="17"/>
        <v>1364904</v>
      </c>
      <c r="V230">
        <v>114451</v>
      </c>
      <c r="W230" s="188">
        <f t="shared" si="18"/>
        <v>1.1925662510594053E-2</v>
      </c>
      <c r="Y230" s="188"/>
      <c r="AB230" s="188"/>
    </row>
    <row r="231" spans="1:28" x14ac:dyDescent="0.25">
      <c r="A231" t="s">
        <v>518</v>
      </c>
      <c r="B231" t="s">
        <v>269</v>
      </c>
      <c r="C231">
        <f t="shared" si="19"/>
        <v>5189</v>
      </c>
      <c r="D231">
        <v>1885</v>
      </c>
      <c r="E231">
        <v>3304</v>
      </c>
      <c r="F231">
        <v>504</v>
      </c>
      <c r="G231">
        <v>0</v>
      </c>
      <c r="H231">
        <v>217</v>
      </c>
      <c r="I231">
        <v>75</v>
      </c>
      <c r="J231">
        <v>1806</v>
      </c>
      <c r="K231">
        <v>1754</v>
      </c>
      <c r="L231">
        <v>227</v>
      </c>
      <c r="M231">
        <v>204</v>
      </c>
      <c r="N231">
        <v>916</v>
      </c>
      <c r="O231">
        <v>78</v>
      </c>
      <c r="P231" s="128">
        <v>3435</v>
      </c>
      <c r="Q231" s="128">
        <v>2711</v>
      </c>
      <c r="R231" s="128">
        <v>725</v>
      </c>
      <c r="S231" s="128">
        <f t="shared" si="15"/>
        <v>7710332.9999999991</v>
      </c>
      <c r="T231">
        <f t="shared" si="16"/>
        <v>2521332.9999999991</v>
      </c>
      <c r="U231">
        <f t="shared" si="17"/>
        <v>2521332.9999999991</v>
      </c>
      <c r="V231">
        <v>37371</v>
      </c>
      <c r="W231" s="188">
        <f t="shared" si="18"/>
        <v>6.7467635332209439E-2</v>
      </c>
      <c r="Y231" s="188"/>
      <c r="AB231" s="188"/>
    </row>
    <row r="232" spans="1:28" x14ac:dyDescent="0.25">
      <c r="A232" t="s">
        <v>524</v>
      </c>
      <c r="B232" t="s">
        <v>226</v>
      </c>
      <c r="C232">
        <f t="shared" si="19"/>
        <v>2588</v>
      </c>
      <c r="D232">
        <v>1749</v>
      </c>
      <c r="E232">
        <v>839</v>
      </c>
      <c r="F232">
        <v>0</v>
      </c>
      <c r="G232">
        <v>13</v>
      </c>
      <c r="H232">
        <v>19</v>
      </c>
      <c r="I232">
        <v>58</v>
      </c>
      <c r="J232">
        <v>1337</v>
      </c>
      <c r="K232">
        <v>1006</v>
      </c>
      <c r="L232">
        <v>89</v>
      </c>
      <c r="M232">
        <v>3</v>
      </c>
      <c r="N232">
        <v>311</v>
      </c>
      <c r="O232">
        <v>62</v>
      </c>
      <c r="P232" s="128">
        <v>1546</v>
      </c>
      <c r="Q232" s="128">
        <v>1346</v>
      </c>
      <c r="R232" s="128">
        <v>200</v>
      </c>
      <c r="S232" s="128">
        <f t="shared" si="15"/>
        <v>3235337.9999999995</v>
      </c>
      <c r="T232">
        <f t="shared" si="16"/>
        <v>647337.99999999953</v>
      </c>
      <c r="U232">
        <f t="shared" si="17"/>
        <v>647337.99999999953</v>
      </c>
      <c r="V232">
        <v>23326</v>
      </c>
      <c r="W232" s="188">
        <f t="shared" si="18"/>
        <v>2.7751779130583878E-2</v>
      </c>
      <c r="Y232" s="188"/>
      <c r="AB232" s="188"/>
    </row>
    <row r="233" spans="1:28" x14ac:dyDescent="0.25">
      <c r="A233" t="s">
        <v>519</v>
      </c>
      <c r="B233" t="s">
        <v>198</v>
      </c>
      <c r="C233">
        <f t="shared" si="19"/>
        <v>7615</v>
      </c>
      <c r="D233">
        <v>5219</v>
      </c>
      <c r="E233">
        <v>2396</v>
      </c>
      <c r="F233">
        <v>0</v>
      </c>
      <c r="G233">
        <v>2844</v>
      </c>
      <c r="H233">
        <v>0</v>
      </c>
      <c r="I233">
        <v>396</v>
      </c>
      <c r="J233">
        <v>1813</v>
      </c>
      <c r="K233">
        <v>5219</v>
      </c>
      <c r="L233">
        <v>523</v>
      </c>
      <c r="M233">
        <v>67</v>
      </c>
      <c r="N233">
        <v>1248</v>
      </c>
      <c r="O233">
        <v>544</v>
      </c>
      <c r="P233" s="128">
        <v>6114</v>
      </c>
      <c r="Q233" s="128">
        <v>5178</v>
      </c>
      <c r="R233" s="128">
        <v>936</v>
      </c>
      <c r="S233" s="128">
        <f t="shared" si="15"/>
        <v>13063650</v>
      </c>
      <c r="T233">
        <f t="shared" si="16"/>
        <v>5448650</v>
      </c>
      <c r="U233">
        <f t="shared" si="17"/>
        <v>5448650</v>
      </c>
      <c r="V233">
        <v>119886</v>
      </c>
      <c r="W233" s="188">
        <f t="shared" si="18"/>
        <v>4.5448592829855028E-2</v>
      </c>
      <c r="Y233" s="188"/>
      <c r="AB233" s="188"/>
    </row>
    <row r="234" spans="1:28" x14ac:dyDescent="0.25">
      <c r="A234" t="s">
        <v>521</v>
      </c>
      <c r="B234" t="s">
        <v>312</v>
      </c>
      <c r="C234">
        <f t="shared" si="19"/>
        <v>6011</v>
      </c>
      <c r="D234">
        <v>3865</v>
      </c>
      <c r="E234">
        <v>2146</v>
      </c>
      <c r="F234">
        <v>50</v>
      </c>
      <c r="G234">
        <v>1000</v>
      </c>
      <c r="H234">
        <v>28</v>
      </c>
      <c r="I234">
        <v>287</v>
      </c>
      <c r="J234">
        <v>2116</v>
      </c>
      <c r="K234">
        <v>4093</v>
      </c>
      <c r="L234">
        <v>325</v>
      </c>
      <c r="M234">
        <v>440</v>
      </c>
      <c r="N234">
        <v>812</v>
      </c>
      <c r="O234">
        <v>57</v>
      </c>
      <c r="P234" s="128">
        <v>3984</v>
      </c>
      <c r="Q234" s="128">
        <v>3403</v>
      </c>
      <c r="R234" s="128">
        <v>580</v>
      </c>
      <c r="S234" s="128">
        <f t="shared" si="15"/>
        <v>8455238.9999999981</v>
      </c>
      <c r="T234">
        <f t="shared" si="16"/>
        <v>2444238.9999999981</v>
      </c>
      <c r="U234">
        <f t="shared" si="17"/>
        <v>2444238.9999999981</v>
      </c>
      <c r="V234">
        <v>129012</v>
      </c>
      <c r="W234" s="188">
        <f t="shared" si="18"/>
        <v>1.8945826744798919E-2</v>
      </c>
      <c r="Y234" s="188"/>
      <c r="AB234" s="188"/>
    </row>
    <row r="235" spans="1:28" x14ac:dyDescent="0.25">
      <c r="A235" t="s">
        <v>526</v>
      </c>
      <c r="B235" t="s">
        <v>417</v>
      </c>
      <c r="C235">
        <f t="shared" si="19"/>
        <v>7865</v>
      </c>
      <c r="D235">
        <v>4625</v>
      </c>
      <c r="E235">
        <v>3240</v>
      </c>
      <c r="F235">
        <v>0</v>
      </c>
      <c r="G235">
        <v>0</v>
      </c>
      <c r="H235">
        <v>655</v>
      </c>
      <c r="I235">
        <v>0</v>
      </c>
      <c r="J235">
        <v>5680</v>
      </c>
      <c r="K235">
        <v>3242</v>
      </c>
      <c r="L235">
        <v>410</v>
      </c>
      <c r="M235">
        <v>72</v>
      </c>
      <c r="N235">
        <v>808</v>
      </c>
      <c r="O235">
        <v>171</v>
      </c>
      <c r="P235" s="128">
        <v>5802</v>
      </c>
      <c r="Q235" s="128">
        <v>4742</v>
      </c>
      <c r="R235" s="128">
        <v>1060</v>
      </c>
      <c r="S235" s="128">
        <f t="shared" si="15"/>
        <v>12715285.999999998</v>
      </c>
      <c r="T235">
        <f t="shared" si="16"/>
        <v>4850285.9999999981</v>
      </c>
      <c r="U235">
        <f t="shared" si="17"/>
        <v>4850285.9999999981</v>
      </c>
      <c r="V235">
        <v>107176</v>
      </c>
      <c r="W235" s="188">
        <f t="shared" si="18"/>
        <v>4.5255337015749776E-2</v>
      </c>
      <c r="Y235" s="188"/>
      <c r="AB235" s="188"/>
    </row>
    <row r="236" spans="1:28" x14ac:dyDescent="0.25">
      <c r="A236" t="s">
        <v>525</v>
      </c>
      <c r="B236" t="s">
        <v>124</v>
      </c>
      <c r="C236">
        <f t="shared" si="19"/>
        <v>2878</v>
      </c>
      <c r="D236">
        <v>1881</v>
      </c>
      <c r="E236">
        <v>997</v>
      </c>
      <c r="F236">
        <v>0</v>
      </c>
      <c r="G236">
        <v>0</v>
      </c>
      <c r="H236">
        <v>0</v>
      </c>
      <c r="I236">
        <v>113</v>
      </c>
      <c r="J236">
        <v>1100</v>
      </c>
      <c r="K236">
        <v>1398</v>
      </c>
      <c r="L236">
        <v>125</v>
      </c>
      <c r="M236">
        <v>33</v>
      </c>
      <c r="N236">
        <v>131</v>
      </c>
      <c r="O236">
        <v>7</v>
      </c>
      <c r="P236" s="128">
        <v>872</v>
      </c>
      <c r="Q236" s="128">
        <v>744</v>
      </c>
      <c r="R236" s="128">
        <v>128</v>
      </c>
      <c r="S236" s="128">
        <f t="shared" si="15"/>
        <v>1852999.9999999998</v>
      </c>
      <c r="T236">
        <f t="shared" si="16"/>
        <v>-1025000.0000000002</v>
      </c>
      <c r="U236">
        <f t="shared" si="17"/>
        <v>0</v>
      </c>
      <c r="V236">
        <v>48044</v>
      </c>
      <c r="W236" s="188">
        <f t="shared" si="18"/>
        <v>-2.1334609940887525E-2</v>
      </c>
      <c r="Y236" s="188"/>
      <c r="AB236" s="188"/>
    </row>
    <row r="237" spans="1:28" x14ac:dyDescent="0.25">
      <c r="A237" t="s">
        <v>521</v>
      </c>
      <c r="B237" t="s">
        <v>313</v>
      </c>
      <c r="C237">
        <f t="shared" si="19"/>
        <v>10117</v>
      </c>
      <c r="D237">
        <v>6839</v>
      </c>
      <c r="E237">
        <v>3278</v>
      </c>
      <c r="F237">
        <v>0</v>
      </c>
      <c r="G237">
        <v>0</v>
      </c>
      <c r="H237">
        <v>195</v>
      </c>
      <c r="I237">
        <v>202</v>
      </c>
      <c r="J237">
        <v>5131</v>
      </c>
      <c r="K237">
        <v>6894</v>
      </c>
      <c r="L237">
        <v>551</v>
      </c>
      <c r="M237">
        <v>0</v>
      </c>
      <c r="N237">
        <v>2728</v>
      </c>
      <c r="O237">
        <v>145</v>
      </c>
      <c r="P237" s="128">
        <v>8365</v>
      </c>
      <c r="Q237" s="128">
        <v>7347</v>
      </c>
      <c r="R237" s="128">
        <v>1018</v>
      </c>
      <c r="S237" s="128">
        <f t="shared" si="15"/>
        <v>17386699</v>
      </c>
      <c r="T237">
        <f t="shared" si="16"/>
        <v>7269699</v>
      </c>
      <c r="U237">
        <f t="shared" si="17"/>
        <v>7269699</v>
      </c>
      <c r="V237">
        <v>248185</v>
      </c>
      <c r="W237" s="188">
        <f t="shared" si="18"/>
        <v>2.9291451941092329E-2</v>
      </c>
      <c r="Y237" s="188"/>
      <c r="AB237" s="188"/>
    </row>
    <row r="238" spans="1:28" x14ac:dyDescent="0.25">
      <c r="A238" t="s">
        <v>518</v>
      </c>
      <c r="B238" t="s">
        <v>270</v>
      </c>
      <c r="C238">
        <f t="shared" si="19"/>
        <v>13804</v>
      </c>
      <c r="D238">
        <v>9168</v>
      </c>
      <c r="E238">
        <v>4636</v>
      </c>
      <c r="F238">
        <v>2419</v>
      </c>
      <c r="G238">
        <v>0</v>
      </c>
      <c r="H238">
        <v>-10</v>
      </c>
      <c r="I238">
        <v>572</v>
      </c>
      <c r="J238">
        <v>7287</v>
      </c>
      <c r="K238">
        <v>12935</v>
      </c>
      <c r="L238">
        <v>897</v>
      </c>
      <c r="M238">
        <v>472</v>
      </c>
      <c r="N238">
        <v>2631</v>
      </c>
      <c r="O238">
        <v>429</v>
      </c>
      <c r="P238" s="128">
        <v>11027</v>
      </c>
      <c r="Q238" s="128">
        <v>9665</v>
      </c>
      <c r="R238" s="128">
        <v>1362</v>
      </c>
      <c r="S238" s="128">
        <f t="shared" si="15"/>
        <v>22956816.999999996</v>
      </c>
      <c r="T238">
        <f t="shared" si="16"/>
        <v>9152816.9999999963</v>
      </c>
      <c r="U238">
        <f t="shared" si="17"/>
        <v>9152816.9999999963</v>
      </c>
      <c r="V238">
        <v>262015</v>
      </c>
      <c r="W238" s="188">
        <f t="shared" si="18"/>
        <v>3.4932416083048666E-2</v>
      </c>
      <c r="Y238" s="188"/>
      <c r="AB238" s="188"/>
    </row>
    <row r="239" spans="1:28" x14ac:dyDescent="0.25">
      <c r="A239" t="s">
        <v>519</v>
      </c>
      <c r="B239" t="s">
        <v>199</v>
      </c>
      <c r="C239">
        <f t="shared" si="19"/>
        <v>4032</v>
      </c>
      <c r="D239">
        <v>2679</v>
      </c>
      <c r="E239">
        <v>1353</v>
      </c>
      <c r="F239">
        <v>0</v>
      </c>
      <c r="G239">
        <v>1320</v>
      </c>
      <c r="H239">
        <v>1095</v>
      </c>
      <c r="I239">
        <v>82</v>
      </c>
      <c r="J239">
        <v>2571</v>
      </c>
      <c r="K239">
        <v>1429</v>
      </c>
      <c r="L239">
        <v>261</v>
      </c>
      <c r="M239">
        <v>438</v>
      </c>
      <c r="N239">
        <v>1081</v>
      </c>
      <c r="O239">
        <v>205</v>
      </c>
      <c r="P239" s="128">
        <v>3874</v>
      </c>
      <c r="Q239" s="128">
        <v>3395</v>
      </c>
      <c r="R239" s="128">
        <v>480</v>
      </c>
      <c r="S239" s="128">
        <f t="shared" si="15"/>
        <v>8069814.9999999981</v>
      </c>
      <c r="T239">
        <f t="shared" si="16"/>
        <v>4037814.9999999981</v>
      </c>
      <c r="U239">
        <f t="shared" si="17"/>
        <v>4037814.9999999981</v>
      </c>
      <c r="V239">
        <v>66583</v>
      </c>
      <c r="W239" s="188">
        <f t="shared" si="18"/>
        <v>6.0643332382139557E-2</v>
      </c>
      <c r="Y239" s="188"/>
      <c r="AB239" s="188"/>
    </row>
    <row r="240" spans="1:28" x14ac:dyDescent="0.25">
      <c r="A240" t="s">
        <v>522</v>
      </c>
      <c r="B240" t="s">
        <v>156</v>
      </c>
      <c r="C240">
        <f t="shared" si="19"/>
        <v>8461</v>
      </c>
      <c r="D240">
        <v>5256</v>
      </c>
      <c r="E240">
        <v>3205</v>
      </c>
      <c r="F240">
        <v>0</v>
      </c>
      <c r="G240">
        <v>7</v>
      </c>
      <c r="H240">
        <v>363</v>
      </c>
      <c r="I240">
        <v>137</v>
      </c>
      <c r="J240">
        <v>3579</v>
      </c>
      <c r="K240">
        <v>2849</v>
      </c>
      <c r="L240">
        <v>339</v>
      </c>
      <c r="M240">
        <v>212</v>
      </c>
      <c r="N240">
        <v>1152</v>
      </c>
      <c r="O240">
        <v>189</v>
      </c>
      <c r="P240" s="128">
        <v>5003</v>
      </c>
      <c r="Q240" s="128">
        <v>4128</v>
      </c>
      <c r="R240" s="128">
        <v>874</v>
      </c>
      <c r="S240" s="128">
        <f t="shared" si="15"/>
        <v>10888228</v>
      </c>
      <c r="T240">
        <f t="shared" si="16"/>
        <v>2427228</v>
      </c>
      <c r="U240">
        <f t="shared" si="17"/>
        <v>2427228</v>
      </c>
      <c r="V240">
        <v>95907</v>
      </c>
      <c r="W240" s="188">
        <f t="shared" si="18"/>
        <v>2.5308142262817104E-2</v>
      </c>
      <c r="Y240" s="188"/>
      <c r="AB240" s="188"/>
    </row>
    <row r="241" spans="1:28" x14ac:dyDescent="0.25">
      <c r="A241" t="s">
        <v>528</v>
      </c>
      <c r="B241" t="s">
        <v>336</v>
      </c>
      <c r="C241">
        <f t="shared" si="19"/>
        <v>3692</v>
      </c>
      <c r="D241">
        <v>1974</v>
      </c>
      <c r="E241">
        <v>1718</v>
      </c>
      <c r="F241">
        <v>0</v>
      </c>
      <c r="G241">
        <v>556</v>
      </c>
      <c r="H241">
        <v>38</v>
      </c>
      <c r="I241">
        <v>-3</v>
      </c>
      <c r="J241">
        <v>2523</v>
      </c>
      <c r="K241">
        <v>2681</v>
      </c>
      <c r="L241">
        <v>221</v>
      </c>
      <c r="M241">
        <v>246</v>
      </c>
      <c r="N241">
        <v>670</v>
      </c>
      <c r="O241">
        <v>1055</v>
      </c>
      <c r="P241" s="128">
        <v>2465</v>
      </c>
      <c r="Q241" s="128">
        <v>1912</v>
      </c>
      <c r="R241" s="128">
        <v>553</v>
      </c>
      <c r="S241" s="128">
        <f t="shared" si="15"/>
        <v>5592353.9999999991</v>
      </c>
      <c r="T241">
        <f t="shared" si="16"/>
        <v>1900353.9999999991</v>
      </c>
      <c r="U241">
        <f t="shared" si="17"/>
        <v>1900353.9999999991</v>
      </c>
      <c r="V241">
        <v>64896</v>
      </c>
      <c r="W241" s="188">
        <f t="shared" si="18"/>
        <v>2.9283068293885588E-2</v>
      </c>
      <c r="Y241" s="188"/>
      <c r="AB241" s="188"/>
    </row>
    <row r="242" spans="1:28" x14ac:dyDescent="0.25">
      <c r="A242" t="s">
        <v>519</v>
      </c>
      <c r="B242" t="s">
        <v>200</v>
      </c>
      <c r="C242">
        <f t="shared" si="19"/>
        <v>7407</v>
      </c>
      <c r="D242">
        <v>4976</v>
      </c>
      <c r="E242">
        <v>2431</v>
      </c>
      <c r="F242">
        <v>0</v>
      </c>
      <c r="G242">
        <v>0</v>
      </c>
      <c r="H242">
        <v>359</v>
      </c>
      <c r="I242">
        <v>246</v>
      </c>
      <c r="J242">
        <v>4089</v>
      </c>
      <c r="K242">
        <v>3898</v>
      </c>
      <c r="L242">
        <v>100</v>
      </c>
      <c r="M242">
        <v>0</v>
      </c>
      <c r="N242">
        <v>314</v>
      </c>
      <c r="O242">
        <v>2</v>
      </c>
      <c r="P242" s="128">
        <v>4805</v>
      </c>
      <c r="Q242" s="128">
        <v>4328</v>
      </c>
      <c r="R242" s="128">
        <v>477</v>
      </c>
      <c r="S242" s="128">
        <f t="shared" si="15"/>
        <v>9787545.9999999981</v>
      </c>
      <c r="T242">
        <f t="shared" si="16"/>
        <v>2380545.9999999981</v>
      </c>
      <c r="U242">
        <f t="shared" si="17"/>
        <v>2380545.9999999981</v>
      </c>
      <c r="V242">
        <v>89328</v>
      </c>
      <c r="W242" s="188">
        <f t="shared" si="18"/>
        <v>2.6649493999641748E-2</v>
      </c>
      <c r="Y242" s="188"/>
      <c r="AB242" s="188"/>
    </row>
    <row r="243" spans="1:28" x14ac:dyDescent="0.25">
      <c r="A243" t="s">
        <v>524</v>
      </c>
      <c r="B243" t="s">
        <v>227</v>
      </c>
      <c r="C243" s="207">
        <v>928</v>
      </c>
      <c r="D243" s="207">
        <v>492</v>
      </c>
      <c r="E243" s="207">
        <v>436</v>
      </c>
      <c r="F243" s="207">
        <v>0</v>
      </c>
      <c r="G243" s="207">
        <v>354</v>
      </c>
      <c r="H243" s="207">
        <v>43</v>
      </c>
      <c r="I243" s="207">
        <v>0</v>
      </c>
      <c r="J243" s="207">
        <v>581</v>
      </c>
      <c r="K243" s="207">
        <v>449</v>
      </c>
      <c r="L243" s="207">
        <v>106</v>
      </c>
      <c r="M243" s="207">
        <v>43</v>
      </c>
      <c r="N243" s="207">
        <v>197</v>
      </c>
      <c r="O243" s="207">
        <v>1</v>
      </c>
      <c r="P243" s="128">
        <v>857</v>
      </c>
      <c r="Q243" s="128">
        <v>678</v>
      </c>
      <c r="R243" s="128">
        <v>179</v>
      </c>
      <c r="S243" s="128">
        <f t="shared" si="15"/>
        <v>1919707.9999999998</v>
      </c>
      <c r="T243">
        <f t="shared" si="16"/>
        <v>991707.99999999977</v>
      </c>
      <c r="U243">
        <f t="shared" si="17"/>
        <v>991707.99999999977</v>
      </c>
      <c r="V243">
        <v>14810</v>
      </c>
      <c r="W243" s="188">
        <f t="shared" si="18"/>
        <v>6.69620526671168E-2</v>
      </c>
      <c r="Y243" s="188"/>
      <c r="AB243" s="188"/>
    </row>
    <row r="244" spans="1:28" x14ac:dyDescent="0.25">
      <c r="A244" t="s">
        <v>517</v>
      </c>
      <c r="B244" t="s">
        <v>384</v>
      </c>
      <c r="C244">
        <f t="shared" si="19"/>
        <v>2837</v>
      </c>
      <c r="D244">
        <v>1824</v>
      </c>
      <c r="E244">
        <v>1013</v>
      </c>
      <c r="F244">
        <v>0</v>
      </c>
      <c r="G244">
        <v>0</v>
      </c>
      <c r="H244">
        <v>139</v>
      </c>
      <c r="I244">
        <v>0</v>
      </c>
      <c r="J244">
        <v>1258</v>
      </c>
      <c r="K244">
        <v>710</v>
      </c>
      <c r="L244">
        <v>130</v>
      </c>
      <c r="M244">
        <v>0</v>
      </c>
      <c r="N244">
        <v>452</v>
      </c>
      <c r="O244">
        <v>341</v>
      </c>
      <c r="P244" s="128">
        <v>1871</v>
      </c>
      <c r="Q244" s="128">
        <v>1571</v>
      </c>
      <c r="R244" s="128">
        <v>300</v>
      </c>
      <c r="S244" s="128">
        <f t="shared" si="15"/>
        <v>4022862.9999999991</v>
      </c>
      <c r="T244">
        <f t="shared" si="16"/>
        <v>1185862.9999999991</v>
      </c>
      <c r="U244">
        <f t="shared" si="17"/>
        <v>1185862.9999999991</v>
      </c>
      <c r="V244">
        <v>35666</v>
      </c>
      <c r="W244" s="188">
        <f t="shared" si="18"/>
        <v>3.3249116805921582E-2</v>
      </c>
      <c r="Y244" s="188"/>
      <c r="AB244" s="188"/>
    </row>
    <row r="245" spans="1:28" x14ac:dyDescent="0.25">
      <c r="A245" t="s">
        <v>519</v>
      </c>
      <c r="B245" t="s">
        <v>201</v>
      </c>
      <c r="C245">
        <f t="shared" si="19"/>
        <v>8545</v>
      </c>
      <c r="D245">
        <v>6271</v>
      </c>
      <c r="E245">
        <v>2274</v>
      </c>
      <c r="F245">
        <v>5</v>
      </c>
      <c r="G245">
        <v>0</v>
      </c>
      <c r="H245">
        <v>189</v>
      </c>
      <c r="I245">
        <v>320</v>
      </c>
      <c r="J245">
        <v>4688</v>
      </c>
      <c r="K245">
        <v>4524</v>
      </c>
      <c r="L245">
        <v>499</v>
      </c>
      <c r="M245">
        <v>887</v>
      </c>
      <c r="N245">
        <v>439</v>
      </c>
      <c r="O245">
        <v>151</v>
      </c>
      <c r="P245" s="128">
        <v>5416</v>
      </c>
      <c r="Q245" s="128">
        <v>4837</v>
      </c>
      <c r="R245" s="128">
        <v>579</v>
      </c>
      <c r="S245" s="128">
        <f t="shared" si="15"/>
        <v>11108735</v>
      </c>
      <c r="T245">
        <f t="shared" si="16"/>
        <v>2563735</v>
      </c>
      <c r="U245">
        <f t="shared" si="17"/>
        <v>2563735</v>
      </c>
      <c r="V245">
        <v>127878</v>
      </c>
      <c r="W245" s="188">
        <f t="shared" si="18"/>
        <v>2.0048288212202257E-2</v>
      </c>
      <c r="Y245" s="188"/>
      <c r="AB245" s="188"/>
    </row>
    <row r="246" spans="1:28" x14ac:dyDescent="0.25">
      <c r="A246" t="s">
        <v>524</v>
      </c>
      <c r="B246" t="s">
        <v>228</v>
      </c>
      <c r="C246">
        <f t="shared" si="19"/>
        <v>4502</v>
      </c>
      <c r="D246">
        <v>3975</v>
      </c>
      <c r="E246">
        <v>527</v>
      </c>
      <c r="F246">
        <v>0</v>
      </c>
      <c r="G246">
        <v>1014</v>
      </c>
      <c r="H246">
        <v>91</v>
      </c>
      <c r="I246">
        <v>211</v>
      </c>
      <c r="J246">
        <v>1127</v>
      </c>
      <c r="K246">
        <v>2111</v>
      </c>
      <c r="L246">
        <v>178</v>
      </c>
      <c r="M246">
        <v>479</v>
      </c>
      <c r="N246">
        <v>462</v>
      </c>
      <c r="O246">
        <v>139</v>
      </c>
      <c r="P246" s="128">
        <v>2817</v>
      </c>
      <c r="Q246" s="128">
        <v>2481</v>
      </c>
      <c r="R246" s="128">
        <v>336</v>
      </c>
      <c r="S246" s="128">
        <f t="shared" si="15"/>
        <v>5842509</v>
      </c>
      <c r="T246">
        <f t="shared" si="16"/>
        <v>1340509</v>
      </c>
      <c r="U246">
        <f t="shared" si="17"/>
        <v>1340509</v>
      </c>
      <c r="V246">
        <v>48459</v>
      </c>
      <c r="W246" s="188">
        <f t="shared" si="18"/>
        <v>2.7662745826368684E-2</v>
      </c>
      <c r="Y246" s="188"/>
      <c r="AB246" s="188"/>
    </row>
    <row r="247" spans="1:28" x14ac:dyDescent="0.25">
      <c r="A247" t="s">
        <v>521</v>
      </c>
      <c r="B247" t="s">
        <v>314</v>
      </c>
      <c r="C247">
        <f t="shared" si="19"/>
        <v>10830</v>
      </c>
      <c r="D247">
        <v>5960</v>
      </c>
      <c r="E247">
        <v>4870</v>
      </c>
      <c r="F247">
        <v>145</v>
      </c>
      <c r="G247">
        <v>-2</v>
      </c>
      <c r="H247">
        <v>0</v>
      </c>
      <c r="I247">
        <v>0</v>
      </c>
      <c r="J247">
        <v>3775</v>
      </c>
      <c r="K247">
        <v>5724</v>
      </c>
      <c r="L247">
        <v>496</v>
      </c>
      <c r="M247">
        <v>227</v>
      </c>
      <c r="N247">
        <v>2118</v>
      </c>
      <c r="O247">
        <v>117</v>
      </c>
      <c r="P247" s="128">
        <v>6146</v>
      </c>
      <c r="Q247" s="128">
        <v>4950</v>
      </c>
      <c r="R247" s="128">
        <v>1196</v>
      </c>
      <c r="S247" s="128">
        <f t="shared" si="15"/>
        <v>13604726</v>
      </c>
      <c r="T247">
        <f t="shared" si="16"/>
        <v>2774726</v>
      </c>
      <c r="U247">
        <f t="shared" si="17"/>
        <v>2774726</v>
      </c>
      <c r="V247">
        <v>178144</v>
      </c>
      <c r="W247" s="188">
        <f t="shared" si="18"/>
        <v>1.5575747709717981E-2</v>
      </c>
      <c r="Y247" s="188"/>
      <c r="AB247" s="188"/>
    </row>
    <row r="248" spans="1:28" x14ac:dyDescent="0.25">
      <c r="A248" t="s">
        <v>522</v>
      </c>
      <c r="B248" t="s">
        <v>157</v>
      </c>
      <c r="C248">
        <f t="shared" si="19"/>
        <v>6765</v>
      </c>
      <c r="D248">
        <v>3760</v>
      </c>
      <c r="E248">
        <v>3005</v>
      </c>
      <c r="F248">
        <v>0</v>
      </c>
      <c r="G248">
        <v>9</v>
      </c>
      <c r="H248">
        <v>563</v>
      </c>
      <c r="I248">
        <v>163</v>
      </c>
      <c r="J248">
        <v>3295</v>
      </c>
      <c r="K248">
        <v>2603</v>
      </c>
      <c r="L248">
        <v>397</v>
      </c>
      <c r="M248">
        <v>563</v>
      </c>
      <c r="N248">
        <v>1341</v>
      </c>
      <c r="O248">
        <v>220</v>
      </c>
      <c r="P248" s="128">
        <v>4660</v>
      </c>
      <c r="Q248" s="128">
        <v>3827</v>
      </c>
      <c r="R248" s="128">
        <v>833</v>
      </c>
      <c r="S248" s="128">
        <f t="shared" si="15"/>
        <v>10178529</v>
      </c>
      <c r="T248">
        <f t="shared" si="16"/>
        <v>3413529</v>
      </c>
      <c r="U248">
        <f t="shared" si="17"/>
        <v>3413529</v>
      </c>
      <c r="V248">
        <v>108859</v>
      </c>
      <c r="W248" s="188">
        <f t="shared" si="18"/>
        <v>3.1357342984962198E-2</v>
      </c>
      <c r="Y248" s="188"/>
      <c r="AB248" s="188"/>
    </row>
    <row r="249" spans="1:28" x14ac:dyDescent="0.25">
      <c r="A249" t="s">
        <v>521</v>
      </c>
      <c r="B249" t="s">
        <v>315</v>
      </c>
      <c r="C249">
        <f t="shared" si="19"/>
        <v>12349</v>
      </c>
      <c r="D249">
        <v>6438</v>
      </c>
      <c r="E249">
        <v>5911</v>
      </c>
      <c r="F249">
        <v>2595</v>
      </c>
      <c r="G249">
        <v>297</v>
      </c>
      <c r="H249">
        <v>252</v>
      </c>
      <c r="I249">
        <v>84</v>
      </c>
      <c r="J249">
        <v>5242</v>
      </c>
      <c r="K249">
        <v>8567</v>
      </c>
      <c r="L249">
        <v>636</v>
      </c>
      <c r="M249">
        <v>0</v>
      </c>
      <c r="N249">
        <v>2178</v>
      </c>
      <c r="O249">
        <v>138</v>
      </c>
      <c r="P249" s="128">
        <v>8010</v>
      </c>
      <c r="Q249" s="128">
        <v>6853</v>
      </c>
      <c r="R249" s="128">
        <v>1157</v>
      </c>
      <c r="S249" s="128">
        <f t="shared" si="15"/>
        <v>16986451</v>
      </c>
      <c r="T249">
        <f t="shared" si="16"/>
        <v>4637451</v>
      </c>
      <c r="U249">
        <f t="shared" si="17"/>
        <v>4637451</v>
      </c>
      <c r="V249">
        <v>282222</v>
      </c>
      <c r="W249" s="188">
        <f t="shared" si="18"/>
        <v>1.6431925930650338E-2</v>
      </c>
      <c r="Y249" s="188"/>
      <c r="AB249" s="188"/>
    </row>
    <row r="250" spans="1:28" x14ac:dyDescent="0.25">
      <c r="A250" t="s">
        <v>526</v>
      </c>
      <c r="B250" t="s">
        <v>418</v>
      </c>
      <c r="C250">
        <f t="shared" si="19"/>
        <v>3235</v>
      </c>
      <c r="D250">
        <v>2579</v>
      </c>
      <c r="E250">
        <v>656</v>
      </c>
      <c r="F250">
        <v>0</v>
      </c>
      <c r="G250">
        <v>0</v>
      </c>
      <c r="H250">
        <v>230</v>
      </c>
      <c r="I250">
        <v>131</v>
      </c>
      <c r="J250">
        <v>2258</v>
      </c>
      <c r="K250">
        <v>2263</v>
      </c>
      <c r="L250">
        <v>223</v>
      </c>
      <c r="M250">
        <v>35</v>
      </c>
      <c r="N250">
        <v>347</v>
      </c>
      <c r="O250">
        <v>60</v>
      </c>
      <c r="P250" s="128">
        <v>2469</v>
      </c>
      <c r="Q250" s="128">
        <v>2212</v>
      </c>
      <c r="R250" s="128">
        <v>257</v>
      </c>
      <c r="S250" s="128">
        <f t="shared" si="15"/>
        <v>5051278</v>
      </c>
      <c r="T250">
        <f t="shared" si="16"/>
        <v>1816278</v>
      </c>
      <c r="U250">
        <f t="shared" si="17"/>
        <v>1816278</v>
      </c>
      <c r="V250">
        <v>58300</v>
      </c>
      <c r="W250" s="188">
        <f t="shared" si="18"/>
        <v>3.1153996569468267E-2</v>
      </c>
      <c r="Y250" s="188"/>
      <c r="AB250" s="188"/>
    </row>
    <row r="251" spans="1:28" x14ac:dyDescent="0.25">
      <c r="A251" t="s">
        <v>526</v>
      </c>
      <c r="B251" t="s">
        <v>419</v>
      </c>
      <c r="C251">
        <f t="shared" si="19"/>
        <v>14732</v>
      </c>
      <c r="D251">
        <v>7954</v>
      </c>
      <c r="E251">
        <v>6778</v>
      </c>
      <c r="F251">
        <v>1479</v>
      </c>
      <c r="G251">
        <v>419</v>
      </c>
      <c r="H251">
        <v>704</v>
      </c>
      <c r="I251">
        <v>1110</v>
      </c>
      <c r="J251">
        <v>5482</v>
      </c>
      <c r="K251">
        <v>6457</v>
      </c>
      <c r="L251">
        <v>672</v>
      </c>
      <c r="M251">
        <v>258</v>
      </c>
      <c r="N251">
        <v>1365</v>
      </c>
      <c r="O251">
        <v>1388</v>
      </c>
      <c r="P251" s="128">
        <v>8023</v>
      </c>
      <c r="Q251" s="128">
        <v>6054</v>
      </c>
      <c r="R251" s="128">
        <v>1969</v>
      </c>
      <c r="S251" s="128">
        <f t="shared" si="15"/>
        <v>18515175.999999996</v>
      </c>
      <c r="T251">
        <f t="shared" si="16"/>
        <v>3783175.9999999963</v>
      </c>
      <c r="U251">
        <f t="shared" si="17"/>
        <v>3783175.9999999963</v>
      </c>
      <c r="V251">
        <v>206205</v>
      </c>
      <c r="W251" s="188">
        <f t="shared" si="18"/>
        <v>1.8346674425935336E-2</v>
      </c>
      <c r="Y251" s="188"/>
      <c r="AB251" s="188"/>
    </row>
    <row r="252" spans="1:28" x14ac:dyDescent="0.25">
      <c r="A252" t="s">
        <v>517</v>
      </c>
      <c r="B252" t="s">
        <v>385</v>
      </c>
      <c r="C252">
        <f t="shared" si="19"/>
        <v>13296</v>
      </c>
      <c r="D252">
        <v>8065</v>
      </c>
      <c r="E252">
        <v>5231</v>
      </c>
      <c r="F252">
        <v>1711</v>
      </c>
      <c r="G252">
        <v>67</v>
      </c>
      <c r="H252">
        <v>130</v>
      </c>
      <c r="I252">
        <v>588</v>
      </c>
      <c r="J252">
        <v>12162</v>
      </c>
      <c r="K252">
        <v>8744</v>
      </c>
      <c r="L252">
        <v>769</v>
      </c>
      <c r="M252">
        <v>0</v>
      </c>
      <c r="N252">
        <v>2522</v>
      </c>
      <c r="O252">
        <v>352</v>
      </c>
      <c r="P252" s="128">
        <v>9828</v>
      </c>
      <c r="Q252" s="128">
        <v>7839</v>
      </c>
      <c r="R252" s="128">
        <v>1989</v>
      </c>
      <c r="S252" s="128">
        <f t="shared" si="15"/>
        <v>21896901</v>
      </c>
      <c r="T252">
        <f t="shared" si="16"/>
        <v>8600901</v>
      </c>
      <c r="U252">
        <f t="shared" si="17"/>
        <v>8600901</v>
      </c>
      <c r="V252">
        <v>273700</v>
      </c>
      <c r="W252" s="188">
        <f t="shared" si="18"/>
        <v>3.1424556083302885E-2</v>
      </c>
      <c r="Y252" s="188"/>
      <c r="AB252" s="188"/>
    </row>
    <row r="253" spans="1:28" x14ac:dyDescent="0.25">
      <c r="A253" t="s">
        <v>521</v>
      </c>
      <c r="B253" t="s">
        <v>316</v>
      </c>
      <c r="C253">
        <f t="shared" si="19"/>
        <v>266720</v>
      </c>
      <c r="D253">
        <v>60696</v>
      </c>
      <c r="E253">
        <v>206024</v>
      </c>
      <c r="F253">
        <v>111844</v>
      </c>
      <c r="G253">
        <v>23751</v>
      </c>
      <c r="H253">
        <v>3822</v>
      </c>
      <c r="I253">
        <v>2277</v>
      </c>
      <c r="J253">
        <v>77583</v>
      </c>
      <c r="K253">
        <v>101199</v>
      </c>
      <c r="L253">
        <v>0</v>
      </c>
      <c r="M253">
        <v>4282</v>
      </c>
      <c r="N253">
        <v>31618</v>
      </c>
      <c r="O253">
        <v>26548</v>
      </c>
      <c r="P253" s="128">
        <v>103417</v>
      </c>
      <c r="Q253" s="128">
        <v>70673</v>
      </c>
      <c r="R253" s="128">
        <v>32744</v>
      </c>
      <c r="S253" s="128">
        <f t="shared" si="15"/>
        <v>252306332.99999997</v>
      </c>
      <c r="T253">
        <f t="shared" si="16"/>
        <v>-14413667.00000003</v>
      </c>
      <c r="U253">
        <f t="shared" si="17"/>
        <v>0</v>
      </c>
      <c r="V253">
        <v>5238540</v>
      </c>
      <c r="W253" s="188">
        <f t="shared" si="18"/>
        <v>-2.7514664391223567E-3</v>
      </c>
      <c r="Y253" s="188"/>
      <c r="AB253" s="188"/>
    </row>
    <row r="254" spans="1:28" x14ac:dyDescent="0.25">
      <c r="A254" t="s">
        <v>519</v>
      </c>
      <c r="B254" t="s">
        <v>202</v>
      </c>
      <c r="C254">
        <f t="shared" si="19"/>
        <v>406</v>
      </c>
      <c r="D254">
        <v>373</v>
      </c>
      <c r="E254">
        <v>33</v>
      </c>
      <c r="F254">
        <v>0</v>
      </c>
      <c r="G254">
        <v>0</v>
      </c>
      <c r="H254">
        <v>0</v>
      </c>
      <c r="I254">
        <v>0</v>
      </c>
      <c r="J254">
        <v>157</v>
      </c>
      <c r="K254">
        <v>164</v>
      </c>
      <c r="L254">
        <v>24</v>
      </c>
      <c r="M254">
        <v>95</v>
      </c>
      <c r="N254">
        <v>65</v>
      </c>
      <c r="O254">
        <v>1</v>
      </c>
      <c r="P254" s="128">
        <v>396</v>
      </c>
      <c r="Q254" s="128">
        <v>368</v>
      </c>
      <c r="R254" s="128">
        <v>28</v>
      </c>
      <c r="S254" s="128">
        <f t="shared" si="15"/>
        <v>785671.99999999988</v>
      </c>
      <c r="T254">
        <f t="shared" si="16"/>
        <v>379671.99999999988</v>
      </c>
      <c r="U254">
        <f t="shared" si="17"/>
        <v>379671.99999999988</v>
      </c>
      <c r="V254">
        <v>5577</v>
      </c>
      <c r="W254" s="188">
        <f t="shared" si="18"/>
        <v>6.8078178232024361E-2</v>
      </c>
      <c r="Y254" s="188"/>
      <c r="AB254" s="188"/>
    </row>
    <row r="255" spans="1:28" x14ac:dyDescent="0.25">
      <c r="A255" t="s">
        <v>526</v>
      </c>
      <c r="B255" t="s">
        <v>386</v>
      </c>
      <c r="C255">
        <f t="shared" si="19"/>
        <v>3690</v>
      </c>
      <c r="D255">
        <v>2703</v>
      </c>
      <c r="E255">
        <v>987</v>
      </c>
      <c r="F255">
        <v>0</v>
      </c>
      <c r="G255">
        <v>0</v>
      </c>
      <c r="H255">
        <v>67</v>
      </c>
      <c r="I255">
        <v>0</v>
      </c>
      <c r="J255">
        <v>2311</v>
      </c>
      <c r="K255">
        <v>2515</v>
      </c>
      <c r="L255">
        <v>262</v>
      </c>
      <c r="M255">
        <v>35</v>
      </c>
      <c r="N255">
        <v>640</v>
      </c>
      <c r="O255">
        <v>172</v>
      </c>
      <c r="P255" s="128">
        <v>3002</v>
      </c>
      <c r="Q255" s="128">
        <v>2552</v>
      </c>
      <c r="R255" s="128">
        <v>450</v>
      </c>
      <c r="S255" s="128">
        <f t="shared" si="15"/>
        <v>6396555.9999999991</v>
      </c>
      <c r="T255">
        <f t="shared" si="16"/>
        <v>2706555.9999999991</v>
      </c>
      <c r="U255">
        <f t="shared" si="17"/>
        <v>2706555.9999999991</v>
      </c>
      <c r="V255">
        <v>64304</v>
      </c>
      <c r="W255" s="188">
        <f t="shared" si="18"/>
        <v>4.2090009952724543E-2</v>
      </c>
      <c r="Y255" s="188"/>
      <c r="AB255" s="188"/>
    </row>
    <row r="256" spans="1:28" x14ac:dyDescent="0.25">
      <c r="A256" t="s">
        <v>518</v>
      </c>
      <c r="B256" t="s">
        <v>271</v>
      </c>
      <c r="C256">
        <f t="shared" si="19"/>
        <v>10349</v>
      </c>
      <c r="D256">
        <v>7061</v>
      </c>
      <c r="E256">
        <v>3288</v>
      </c>
      <c r="F256">
        <v>0</v>
      </c>
      <c r="G256">
        <v>0</v>
      </c>
      <c r="H256">
        <v>2965</v>
      </c>
      <c r="I256">
        <v>0</v>
      </c>
      <c r="J256">
        <v>4147</v>
      </c>
      <c r="K256">
        <v>6276</v>
      </c>
      <c r="L256">
        <v>449</v>
      </c>
      <c r="M256">
        <v>231</v>
      </c>
      <c r="N256">
        <v>1677</v>
      </c>
      <c r="O256">
        <v>2277</v>
      </c>
      <c r="P256" s="128">
        <v>6414</v>
      </c>
      <c r="Q256" s="128">
        <v>5482</v>
      </c>
      <c r="R256" s="128">
        <v>932</v>
      </c>
      <c r="S256" s="128">
        <f t="shared" si="15"/>
        <v>13612137.999999998</v>
      </c>
      <c r="T256">
        <f t="shared" si="16"/>
        <v>3263137.9999999981</v>
      </c>
      <c r="U256">
        <f t="shared" si="17"/>
        <v>3263137.9999999981</v>
      </c>
      <c r="V256">
        <v>127446</v>
      </c>
      <c r="W256" s="188">
        <f t="shared" si="18"/>
        <v>2.5604083298024247E-2</v>
      </c>
      <c r="Y256" s="188"/>
      <c r="AB256" s="188"/>
    </row>
    <row r="257" spans="1:28" x14ac:dyDescent="0.25">
      <c r="A257" t="s">
        <v>519</v>
      </c>
      <c r="B257" t="s">
        <v>203</v>
      </c>
      <c r="C257">
        <f t="shared" si="19"/>
        <v>1872</v>
      </c>
      <c r="D257">
        <v>1276</v>
      </c>
      <c r="E257">
        <v>596</v>
      </c>
      <c r="F257">
        <v>0</v>
      </c>
      <c r="G257">
        <v>0</v>
      </c>
      <c r="H257">
        <v>90</v>
      </c>
      <c r="I257">
        <v>39</v>
      </c>
      <c r="J257">
        <v>1162</v>
      </c>
      <c r="K257">
        <v>784</v>
      </c>
      <c r="L257">
        <v>118</v>
      </c>
      <c r="M257">
        <v>174</v>
      </c>
      <c r="N257">
        <v>262</v>
      </c>
      <c r="O257">
        <v>139</v>
      </c>
      <c r="P257" s="128">
        <v>1352</v>
      </c>
      <c r="Q257" s="128">
        <v>1171</v>
      </c>
      <c r="R257" s="128">
        <v>180</v>
      </c>
      <c r="S257" s="128">
        <f t="shared" si="15"/>
        <v>2836943</v>
      </c>
      <c r="T257">
        <f t="shared" si="16"/>
        <v>964943</v>
      </c>
      <c r="U257">
        <f t="shared" si="17"/>
        <v>964943</v>
      </c>
      <c r="V257">
        <v>30502</v>
      </c>
      <c r="W257" s="188">
        <f t="shared" si="18"/>
        <v>3.1635400957314277E-2</v>
      </c>
      <c r="Y257" s="188"/>
      <c r="AB257" s="188"/>
    </row>
    <row r="258" spans="1:28" x14ac:dyDescent="0.25">
      <c r="A258" t="s">
        <v>521</v>
      </c>
      <c r="B258" t="s">
        <v>317</v>
      </c>
      <c r="C258">
        <f t="shared" si="19"/>
        <v>15493</v>
      </c>
      <c r="D258">
        <v>7435</v>
      </c>
      <c r="E258">
        <v>8058</v>
      </c>
      <c r="F258">
        <v>3368</v>
      </c>
      <c r="G258">
        <v>118</v>
      </c>
      <c r="H258">
        <v>29</v>
      </c>
      <c r="I258">
        <v>274</v>
      </c>
      <c r="J258">
        <v>10197</v>
      </c>
      <c r="K258">
        <v>11929</v>
      </c>
      <c r="L258">
        <v>849</v>
      </c>
      <c r="M258">
        <v>0</v>
      </c>
      <c r="N258">
        <v>1453</v>
      </c>
      <c r="O258">
        <v>2111</v>
      </c>
      <c r="P258" s="128">
        <v>8911</v>
      </c>
      <c r="Q258" s="128">
        <v>7294</v>
      </c>
      <c r="R258" s="128">
        <v>1617</v>
      </c>
      <c r="S258" s="128">
        <f t="shared" ref="S258:S321" si="20">0.1853%*SUM(Q258,R258,R258)*1000000</f>
        <v>19508384</v>
      </c>
      <c r="T258">
        <f t="shared" ref="T258:T321" si="21">SUM(S258,-C258*1000)</f>
        <v>4015384</v>
      </c>
      <c r="U258">
        <f t="shared" ref="U258:U321" si="22">IF(T258&gt;0,T258,0)</f>
        <v>4015384</v>
      </c>
      <c r="V258">
        <v>371851</v>
      </c>
      <c r="W258" s="188">
        <f t="shared" ref="W258:W321" si="23">T258/(V258*1000)</f>
        <v>1.0798368163592406E-2</v>
      </c>
      <c r="Y258" s="188"/>
      <c r="AB258" s="188"/>
    </row>
    <row r="259" spans="1:28" x14ac:dyDescent="0.25">
      <c r="A259" t="s">
        <v>520</v>
      </c>
      <c r="B259" t="s">
        <v>135</v>
      </c>
      <c r="C259">
        <f t="shared" ref="C259:C322" si="24">SUM(D259,E259)</f>
        <v>546</v>
      </c>
      <c r="D259">
        <v>354</v>
      </c>
      <c r="E259">
        <v>192</v>
      </c>
      <c r="F259">
        <v>0</v>
      </c>
      <c r="G259">
        <v>0</v>
      </c>
      <c r="H259">
        <v>1242</v>
      </c>
      <c r="I259">
        <v>0</v>
      </c>
      <c r="J259">
        <v>183</v>
      </c>
      <c r="K259">
        <v>421</v>
      </c>
      <c r="L259">
        <v>15</v>
      </c>
      <c r="M259">
        <v>42</v>
      </c>
      <c r="N259">
        <v>116</v>
      </c>
      <c r="O259">
        <v>60</v>
      </c>
      <c r="P259" s="128">
        <v>399</v>
      </c>
      <c r="Q259" s="128">
        <v>345</v>
      </c>
      <c r="R259" s="128">
        <v>54</v>
      </c>
      <c r="S259" s="128">
        <f t="shared" si="20"/>
        <v>839409</v>
      </c>
      <c r="T259">
        <f t="shared" si="21"/>
        <v>293409</v>
      </c>
      <c r="U259">
        <f t="shared" si="22"/>
        <v>293409</v>
      </c>
      <c r="V259">
        <v>9663</v>
      </c>
      <c r="W259" s="188">
        <f t="shared" si="23"/>
        <v>3.0364172617199627E-2</v>
      </c>
      <c r="Y259" s="188"/>
      <c r="AB259" s="188"/>
    </row>
    <row r="260" spans="1:28" x14ac:dyDescent="0.25">
      <c r="A260" t="s">
        <v>528</v>
      </c>
      <c r="B260" t="s">
        <v>337</v>
      </c>
      <c r="C260">
        <f t="shared" si="24"/>
        <v>9586</v>
      </c>
      <c r="D260">
        <v>6976</v>
      </c>
      <c r="E260">
        <v>2610</v>
      </c>
      <c r="F260">
        <v>1515</v>
      </c>
      <c r="G260">
        <v>1344</v>
      </c>
      <c r="H260">
        <v>9114</v>
      </c>
      <c r="I260">
        <v>259</v>
      </c>
      <c r="J260">
        <v>6855</v>
      </c>
      <c r="K260">
        <v>4504</v>
      </c>
      <c r="L260">
        <v>329</v>
      </c>
      <c r="M260">
        <v>547</v>
      </c>
      <c r="N260">
        <v>644</v>
      </c>
      <c r="O260">
        <v>889</v>
      </c>
      <c r="P260" s="128">
        <v>6057</v>
      </c>
      <c r="Q260" s="128">
        <v>4996</v>
      </c>
      <c r="R260" s="128">
        <v>1061</v>
      </c>
      <c r="S260" s="128">
        <f t="shared" si="20"/>
        <v>13189654</v>
      </c>
      <c r="T260">
        <f t="shared" si="21"/>
        <v>3603654</v>
      </c>
      <c r="U260">
        <f t="shared" si="22"/>
        <v>3603654</v>
      </c>
      <c r="V260">
        <v>122604</v>
      </c>
      <c r="W260" s="188">
        <f t="shared" si="23"/>
        <v>2.9392629930507976E-2</v>
      </c>
      <c r="Y260" s="188"/>
      <c r="AB260" s="188"/>
    </row>
    <row r="261" spans="1:28" x14ac:dyDescent="0.25">
      <c r="A261" t="s">
        <v>521</v>
      </c>
      <c r="B261" t="s">
        <v>443</v>
      </c>
      <c r="C261">
        <f t="shared" si="24"/>
        <v>105100</v>
      </c>
      <c r="D261">
        <v>38599</v>
      </c>
      <c r="E261">
        <v>66501</v>
      </c>
      <c r="F261">
        <v>64920</v>
      </c>
      <c r="G261">
        <v>16927</v>
      </c>
      <c r="H261">
        <v>5488</v>
      </c>
      <c r="I261">
        <v>3291</v>
      </c>
      <c r="J261">
        <v>42153</v>
      </c>
      <c r="K261">
        <v>66069</v>
      </c>
      <c r="L261">
        <v>6920</v>
      </c>
      <c r="M261">
        <v>2006</v>
      </c>
      <c r="N261">
        <v>21242</v>
      </c>
      <c r="O261">
        <v>4367</v>
      </c>
      <c r="P261" s="128">
        <v>84748</v>
      </c>
      <c r="Q261" s="128">
        <v>70170</v>
      </c>
      <c r="R261" s="128">
        <v>14578</v>
      </c>
      <c r="S261" s="128">
        <f t="shared" si="20"/>
        <v>184051078</v>
      </c>
      <c r="T261">
        <f t="shared" si="21"/>
        <v>78951078</v>
      </c>
      <c r="U261">
        <f t="shared" si="22"/>
        <v>78951078</v>
      </c>
      <c r="V261">
        <v>3402499</v>
      </c>
      <c r="W261" s="188">
        <f t="shared" si="23"/>
        <v>2.3203850464026586E-2</v>
      </c>
      <c r="Y261" s="188"/>
      <c r="AB261" s="188"/>
    </row>
    <row r="262" spans="1:28" x14ac:dyDescent="0.25">
      <c r="A262" t="s">
        <v>517</v>
      </c>
      <c r="B262" t="s">
        <v>480</v>
      </c>
      <c r="C262">
        <f t="shared" si="24"/>
        <v>41491</v>
      </c>
      <c r="D262">
        <v>31267</v>
      </c>
      <c r="E262">
        <v>10224</v>
      </c>
      <c r="F262">
        <v>12779</v>
      </c>
      <c r="G262">
        <v>309</v>
      </c>
      <c r="H262">
        <v>857</v>
      </c>
      <c r="I262">
        <v>993</v>
      </c>
      <c r="J262">
        <v>11346</v>
      </c>
      <c r="K262">
        <v>41327</v>
      </c>
      <c r="L262">
        <v>1761</v>
      </c>
      <c r="M262">
        <v>118</v>
      </c>
      <c r="N262">
        <v>6431</v>
      </c>
      <c r="O262">
        <v>62071</v>
      </c>
      <c r="P262" s="128">
        <v>25829</v>
      </c>
      <c r="Q262" s="128">
        <v>21151</v>
      </c>
      <c r="R262" s="128">
        <v>4679</v>
      </c>
      <c r="S262" s="128">
        <f t="shared" si="20"/>
        <v>56533176.999999993</v>
      </c>
      <c r="T262">
        <f t="shared" si="21"/>
        <v>15042176.999999993</v>
      </c>
      <c r="U262">
        <f t="shared" si="22"/>
        <v>15042176.999999993</v>
      </c>
      <c r="V262">
        <v>886168</v>
      </c>
      <c r="W262" s="188">
        <f t="shared" si="23"/>
        <v>1.6974407787236724E-2</v>
      </c>
      <c r="Y262" s="188"/>
      <c r="AB262" s="188"/>
    </row>
    <row r="263" spans="1:28" x14ac:dyDescent="0.25">
      <c r="A263" t="s">
        <v>526</v>
      </c>
      <c r="B263" t="s">
        <v>420</v>
      </c>
      <c r="C263">
        <f t="shared" si="24"/>
        <v>2220</v>
      </c>
      <c r="D263">
        <v>1899</v>
      </c>
      <c r="E263">
        <v>321</v>
      </c>
      <c r="F263">
        <v>0</v>
      </c>
      <c r="G263">
        <v>0</v>
      </c>
      <c r="H263">
        <v>69</v>
      </c>
      <c r="I263">
        <v>81</v>
      </c>
      <c r="J263">
        <v>1289</v>
      </c>
      <c r="K263">
        <v>1194</v>
      </c>
      <c r="L263">
        <v>98</v>
      </c>
      <c r="M263">
        <v>30</v>
      </c>
      <c r="N263">
        <v>103</v>
      </c>
      <c r="O263">
        <v>9</v>
      </c>
      <c r="P263" s="128">
        <v>1078</v>
      </c>
      <c r="Q263" s="128">
        <v>980</v>
      </c>
      <c r="R263" s="128">
        <v>99</v>
      </c>
      <c r="S263" s="128">
        <f t="shared" si="20"/>
        <v>2182833.9999999995</v>
      </c>
      <c r="T263">
        <f t="shared" si="21"/>
        <v>-37166.000000000466</v>
      </c>
      <c r="U263">
        <f t="shared" si="22"/>
        <v>0</v>
      </c>
      <c r="V263">
        <v>28116</v>
      </c>
      <c r="W263" s="188">
        <f t="shared" si="23"/>
        <v>-1.3218807796272752E-3</v>
      </c>
      <c r="Y263" s="188"/>
      <c r="AB263" s="188"/>
    </row>
    <row r="264" spans="1:28" x14ac:dyDescent="0.25">
      <c r="A264" t="s">
        <v>517</v>
      </c>
      <c r="B264" t="s">
        <v>439</v>
      </c>
      <c r="C264">
        <f t="shared" si="24"/>
        <v>2833</v>
      </c>
      <c r="D264">
        <v>1563</v>
      </c>
      <c r="E264">
        <v>1270</v>
      </c>
      <c r="F264">
        <v>0</v>
      </c>
      <c r="G264">
        <v>0</v>
      </c>
      <c r="H264">
        <v>221</v>
      </c>
      <c r="I264">
        <v>0</v>
      </c>
      <c r="J264">
        <v>1070</v>
      </c>
      <c r="K264">
        <v>863</v>
      </c>
      <c r="L264">
        <v>114</v>
      </c>
      <c r="M264">
        <v>67</v>
      </c>
      <c r="N264">
        <v>593</v>
      </c>
      <c r="O264">
        <v>77</v>
      </c>
      <c r="P264" s="128">
        <v>1692</v>
      </c>
      <c r="Q264" s="128">
        <v>1330</v>
      </c>
      <c r="R264" s="128">
        <v>362</v>
      </c>
      <c r="S264" s="128">
        <f t="shared" si="20"/>
        <v>3806062</v>
      </c>
      <c r="T264">
        <f t="shared" si="21"/>
        <v>973062</v>
      </c>
      <c r="U264">
        <f t="shared" si="22"/>
        <v>973062</v>
      </c>
      <c r="V264">
        <v>38817</v>
      </c>
      <c r="W264" s="188">
        <f t="shared" si="23"/>
        <v>2.5067934152562022E-2</v>
      </c>
      <c r="Y264" s="188"/>
      <c r="AB264" s="188"/>
    </row>
    <row r="265" spans="1:28" x14ac:dyDescent="0.25">
      <c r="A265" t="s">
        <v>517</v>
      </c>
      <c r="B265" t="s">
        <v>387</v>
      </c>
      <c r="C265">
        <f t="shared" si="24"/>
        <v>6414</v>
      </c>
      <c r="D265">
        <v>5159</v>
      </c>
      <c r="E265">
        <v>1255</v>
      </c>
      <c r="F265">
        <v>0</v>
      </c>
      <c r="G265">
        <v>0</v>
      </c>
      <c r="H265">
        <v>82</v>
      </c>
      <c r="I265">
        <v>0</v>
      </c>
      <c r="J265">
        <v>2059</v>
      </c>
      <c r="K265">
        <v>2910</v>
      </c>
      <c r="L265">
        <v>279</v>
      </c>
      <c r="M265">
        <v>9</v>
      </c>
      <c r="N265">
        <v>553</v>
      </c>
      <c r="O265">
        <v>188</v>
      </c>
      <c r="P265" s="128">
        <v>4390</v>
      </c>
      <c r="Q265" s="128">
        <v>4001</v>
      </c>
      <c r="R265" s="128">
        <v>389</v>
      </c>
      <c r="S265" s="128">
        <f t="shared" si="20"/>
        <v>8855486.9999999981</v>
      </c>
      <c r="T265">
        <f t="shared" si="21"/>
        <v>2441486.9999999981</v>
      </c>
      <c r="U265">
        <f t="shared" si="22"/>
        <v>2441486.9999999981</v>
      </c>
      <c r="V265">
        <v>74236</v>
      </c>
      <c r="W265" s="188">
        <f t="shared" si="23"/>
        <v>3.2888180936472847E-2</v>
      </c>
      <c r="Y265" s="188"/>
      <c r="AB265" s="188"/>
    </row>
    <row r="266" spans="1:28" x14ac:dyDescent="0.25">
      <c r="A266" t="s">
        <v>526</v>
      </c>
      <c r="B266" t="s">
        <v>421</v>
      </c>
      <c r="C266">
        <f t="shared" si="24"/>
        <v>50645</v>
      </c>
      <c r="D266">
        <v>17302</v>
      </c>
      <c r="E266">
        <v>33343</v>
      </c>
      <c r="F266">
        <v>2150</v>
      </c>
      <c r="G266">
        <v>38</v>
      </c>
      <c r="H266">
        <v>187</v>
      </c>
      <c r="I266">
        <v>1076</v>
      </c>
      <c r="J266">
        <v>9078</v>
      </c>
      <c r="K266">
        <v>12318</v>
      </c>
      <c r="L266">
        <v>1003</v>
      </c>
      <c r="M266">
        <v>426</v>
      </c>
      <c r="N266">
        <v>2537</v>
      </c>
      <c r="O266">
        <v>2711</v>
      </c>
      <c r="P266" s="128">
        <v>12217</v>
      </c>
      <c r="Q266" s="128">
        <v>8878</v>
      </c>
      <c r="R266" s="128">
        <v>3339</v>
      </c>
      <c r="S266" s="128">
        <f t="shared" si="20"/>
        <v>28825267.999999996</v>
      </c>
      <c r="T266">
        <f t="shared" si="21"/>
        <v>-21819732.000000004</v>
      </c>
      <c r="U266">
        <f t="shared" si="22"/>
        <v>0</v>
      </c>
      <c r="V266">
        <v>366423</v>
      </c>
      <c r="W266" s="188">
        <f t="shared" si="23"/>
        <v>-5.9547932307742704E-2</v>
      </c>
      <c r="Y266" s="188"/>
      <c r="AB266" s="188"/>
    </row>
    <row r="267" spans="1:28" x14ac:dyDescent="0.25">
      <c r="A267" t="s">
        <v>521</v>
      </c>
      <c r="B267" t="s">
        <v>318</v>
      </c>
      <c r="C267">
        <f t="shared" si="24"/>
        <v>3942</v>
      </c>
      <c r="D267">
        <v>2099</v>
      </c>
      <c r="E267">
        <v>1843</v>
      </c>
      <c r="F267">
        <v>0</v>
      </c>
      <c r="G267">
        <v>715</v>
      </c>
      <c r="H267">
        <v>0</v>
      </c>
      <c r="I267">
        <v>234</v>
      </c>
      <c r="J267">
        <v>2831</v>
      </c>
      <c r="K267">
        <v>2641</v>
      </c>
      <c r="L267">
        <v>235</v>
      </c>
      <c r="M267">
        <v>189</v>
      </c>
      <c r="N267">
        <v>755</v>
      </c>
      <c r="O267">
        <v>139</v>
      </c>
      <c r="P267" s="128">
        <v>3040</v>
      </c>
      <c r="Q267" s="128">
        <v>2345</v>
      </c>
      <c r="R267" s="128">
        <v>695</v>
      </c>
      <c r="S267" s="128">
        <f t="shared" si="20"/>
        <v>6920954.9999999991</v>
      </c>
      <c r="T267">
        <f t="shared" si="21"/>
        <v>2978954.9999999991</v>
      </c>
      <c r="U267">
        <f t="shared" si="22"/>
        <v>2978954.9999999991</v>
      </c>
      <c r="V267">
        <v>94336</v>
      </c>
      <c r="W267" s="188">
        <f t="shared" si="23"/>
        <v>3.1578135600407044E-2</v>
      </c>
      <c r="Y267" s="188"/>
      <c r="AB267" s="188"/>
    </row>
    <row r="268" spans="1:28" x14ac:dyDescent="0.25">
      <c r="A268" t="s">
        <v>528</v>
      </c>
      <c r="B268" t="s">
        <v>338</v>
      </c>
      <c r="C268">
        <f t="shared" si="24"/>
        <v>6676</v>
      </c>
      <c r="D268">
        <v>4262</v>
      </c>
      <c r="E268">
        <v>2414</v>
      </c>
      <c r="F268">
        <v>1611</v>
      </c>
      <c r="G268">
        <v>180</v>
      </c>
      <c r="H268">
        <v>6843</v>
      </c>
      <c r="I268">
        <v>298</v>
      </c>
      <c r="J268">
        <v>4494</v>
      </c>
      <c r="K268">
        <v>3390</v>
      </c>
      <c r="L268">
        <v>293</v>
      </c>
      <c r="M268">
        <v>185</v>
      </c>
      <c r="N268">
        <v>598</v>
      </c>
      <c r="O268">
        <v>717</v>
      </c>
      <c r="P268" s="128">
        <v>4796</v>
      </c>
      <c r="Q268" s="128">
        <v>4089</v>
      </c>
      <c r="R268" s="128">
        <v>707</v>
      </c>
      <c r="S268" s="128">
        <f t="shared" si="20"/>
        <v>10197059</v>
      </c>
      <c r="T268">
        <f t="shared" si="21"/>
        <v>3521059</v>
      </c>
      <c r="U268">
        <f t="shared" si="22"/>
        <v>3521059</v>
      </c>
      <c r="V268">
        <v>80530</v>
      </c>
      <c r="W268" s="188">
        <f t="shared" si="23"/>
        <v>4.3723568856326833E-2</v>
      </c>
      <c r="Y268" s="188"/>
      <c r="AB268" s="188"/>
    </row>
    <row r="269" spans="1:28" x14ac:dyDescent="0.25">
      <c r="A269" t="s">
        <v>520</v>
      </c>
      <c r="B269" t="s">
        <v>136</v>
      </c>
      <c r="C269">
        <f t="shared" si="24"/>
        <v>14002</v>
      </c>
      <c r="D269">
        <v>6757</v>
      </c>
      <c r="E269">
        <v>7245</v>
      </c>
      <c r="F269">
        <v>96</v>
      </c>
      <c r="G269">
        <v>0</v>
      </c>
      <c r="H269">
        <v>9</v>
      </c>
      <c r="I269">
        <v>369</v>
      </c>
      <c r="J269">
        <v>7584</v>
      </c>
      <c r="K269">
        <v>6274</v>
      </c>
      <c r="L269">
        <v>540</v>
      </c>
      <c r="M269">
        <v>432</v>
      </c>
      <c r="N269">
        <v>968</v>
      </c>
      <c r="O269">
        <v>2099</v>
      </c>
      <c r="P269" s="128">
        <v>6170</v>
      </c>
      <c r="Q269" s="128">
        <v>4924</v>
      </c>
      <c r="R269" s="128">
        <v>1246</v>
      </c>
      <c r="S269" s="128">
        <f t="shared" si="20"/>
        <v>13741848</v>
      </c>
      <c r="T269">
        <f t="shared" si="21"/>
        <v>-260152</v>
      </c>
      <c r="U269">
        <f t="shared" si="22"/>
        <v>0</v>
      </c>
      <c r="V269">
        <v>198460</v>
      </c>
      <c r="W269" s="188">
        <f t="shared" si="23"/>
        <v>-1.310853572508314E-3</v>
      </c>
      <c r="Y269" s="188"/>
      <c r="AB269" s="188"/>
    </row>
    <row r="270" spans="1:28" x14ac:dyDescent="0.25">
      <c r="A270" t="s">
        <v>524</v>
      </c>
      <c r="B270" t="s">
        <v>229</v>
      </c>
      <c r="C270">
        <f t="shared" si="24"/>
        <v>9134</v>
      </c>
      <c r="D270">
        <v>5694</v>
      </c>
      <c r="E270">
        <v>3440</v>
      </c>
      <c r="F270">
        <v>0</v>
      </c>
      <c r="G270">
        <v>0</v>
      </c>
      <c r="H270">
        <v>0</v>
      </c>
      <c r="I270">
        <v>253</v>
      </c>
      <c r="J270">
        <v>4406</v>
      </c>
      <c r="K270">
        <v>0</v>
      </c>
      <c r="L270">
        <v>488</v>
      </c>
      <c r="M270">
        <v>163</v>
      </c>
      <c r="N270">
        <v>1126</v>
      </c>
      <c r="O270">
        <v>100</v>
      </c>
      <c r="P270" s="128">
        <v>7795</v>
      </c>
      <c r="Q270" s="128">
        <v>6841</v>
      </c>
      <c r="R270" s="128">
        <v>954</v>
      </c>
      <c r="S270" s="128">
        <f t="shared" si="20"/>
        <v>16211896.999999996</v>
      </c>
      <c r="T270">
        <f t="shared" si="21"/>
        <v>7077896.9999999963</v>
      </c>
      <c r="U270">
        <f t="shared" si="22"/>
        <v>7077896.9999999963</v>
      </c>
      <c r="V270">
        <v>127996</v>
      </c>
      <c r="W270" s="188">
        <f t="shared" si="23"/>
        <v>5.529779836869899E-2</v>
      </c>
      <c r="Y270" s="188"/>
      <c r="AB270" s="188"/>
    </row>
    <row r="271" spans="1:28" x14ac:dyDescent="0.25">
      <c r="A271" t="s">
        <v>517</v>
      </c>
      <c r="B271" t="s">
        <v>388</v>
      </c>
      <c r="C271">
        <f t="shared" si="24"/>
        <v>4355</v>
      </c>
      <c r="D271">
        <v>2786</v>
      </c>
      <c r="E271">
        <v>1569</v>
      </c>
      <c r="F271">
        <v>0</v>
      </c>
      <c r="G271">
        <v>0</v>
      </c>
      <c r="H271">
        <v>184</v>
      </c>
      <c r="I271">
        <v>102</v>
      </c>
      <c r="J271">
        <v>1415</v>
      </c>
      <c r="K271">
        <v>1796</v>
      </c>
      <c r="L271">
        <v>179</v>
      </c>
      <c r="M271">
        <v>0</v>
      </c>
      <c r="N271">
        <v>986</v>
      </c>
      <c r="O271">
        <v>405</v>
      </c>
      <c r="P271" s="128">
        <v>2927</v>
      </c>
      <c r="Q271" s="128">
        <v>2409</v>
      </c>
      <c r="R271" s="128">
        <v>518</v>
      </c>
      <c r="S271" s="128">
        <f t="shared" si="20"/>
        <v>6383584.9999999991</v>
      </c>
      <c r="T271">
        <f t="shared" si="21"/>
        <v>2028584.9999999991</v>
      </c>
      <c r="U271">
        <f t="shared" si="22"/>
        <v>2028584.9999999991</v>
      </c>
      <c r="V271">
        <v>55841</v>
      </c>
      <c r="W271" s="188">
        <f t="shared" si="23"/>
        <v>3.6327877366092998E-2</v>
      </c>
      <c r="Y271" s="188"/>
      <c r="AB271" s="188"/>
    </row>
    <row r="272" spans="1:28" x14ac:dyDescent="0.25">
      <c r="A272" t="s">
        <v>517</v>
      </c>
      <c r="B272" t="s">
        <v>389</v>
      </c>
      <c r="C272">
        <f t="shared" si="24"/>
        <v>4193</v>
      </c>
      <c r="D272">
        <v>2250</v>
      </c>
      <c r="E272">
        <v>1943</v>
      </c>
      <c r="F272">
        <v>0</v>
      </c>
      <c r="G272">
        <v>0</v>
      </c>
      <c r="H272">
        <v>0</v>
      </c>
      <c r="I272">
        <v>0</v>
      </c>
      <c r="J272">
        <v>1356</v>
      </c>
      <c r="K272">
        <v>1475</v>
      </c>
      <c r="L272">
        <v>179</v>
      </c>
      <c r="M272">
        <v>0</v>
      </c>
      <c r="N272">
        <v>784</v>
      </c>
      <c r="O272">
        <v>51</v>
      </c>
      <c r="P272" s="128">
        <v>3215</v>
      </c>
      <c r="Q272" s="128">
        <v>2541</v>
      </c>
      <c r="R272" s="128">
        <v>674</v>
      </c>
      <c r="S272" s="128">
        <f t="shared" si="20"/>
        <v>7206316.9999999991</v>
      </c>
      <c r="T272">
        <f t="shared" si="21"/>
        <v>3013316.9999999991</v>
      </c>
      <c r="U272">
        <f t="shared" si="22"/>
        <v>3013316.9999999991</v>
      </c>
      <c r="V272">
        <v>49612</v>
      </c>
      <c r="W272" s="188">
        <f t="shared" si="23"/>
        <v>6.0737664274772216E-2</v>
      </c>
      <c r="Y272" s="188"/>
      <c r="AB272" s="188"/>
    </row>
    <row r="273" spans="1:28" x14ac:dyDescent="0.25">
      <c r="A273" t="s">
        <v>525</v>
      </c>
      <c r="B273" t="s">
        <v>125</v>
      </c>
      <c r="C273">
        <f t="shared" si="24"/>
        <v>7630</v>
      </c>
      <c r="D273">
        <v>4803</v>
      </c>
      <c r="E273">
        <v>2827</v>
      </c>
      <c r="F273">
        <v>0</v>
      </c>
      <c r="G273">
        <v>0</v>
      </c>
      <c r="H273">
        <v>72</v>
      </c>
      <c r="I273">
        <v>59</v>
      </c>
      <c r="J273">
        <v>2928</v>
      </c>
      <c r="K273">
        <v>2821</v>
      </c>
      <c r="L273">
        <v>301</v>
      </c>
      <c r="M273">
        <v>46</v>
      </c>
      <c r="N273">
        <v>459</v>
      </c>
      <c r="O273">
        <v>84</v>
      </c>
      <c r="P273" s="128">
        <v>2949</v>
      </c>
      <c r="Q273" s="128">
        <v>2481</v>
      </c>
      <c r="R273" s="128">
        <v>468</v>
      </c>
      <c r="S273" s="128">
        <f t="shared" si="20"/>
        <v>6331701</v>
      </c>
      <c r="T273">
        <f t="shared" si="21"/>
        <v>-1298299</v>
      </c>
      <c r="U273">
        <f t="shared" si="22"/>
        <v>0</v>
      </c>
      <c r="V273">
        <v>121088</v>
      </c>
      <c r="W273" s="188">
        <f t="shared" si="23"/>
        <v>-1.0721946022727273E-2</v>
      </c>
      <c r="Y273" s="188"/>
      <c r="AB273" s="188"/>
    </row>
    <row r="274" spans="1:28" x14ac:dyDescent="0.25">
      <c r="A274" t="s">
        <v>522</v>
      </c>
      <c r="B274" t="s">
        <v>158</v>
      </c>
      <c r="C274">
        <f t="shared" si="24"/>
        <v>3277</v>
      </c>
      <c r="D274">
        <v>1682</v>
      </c>
      <c r="E274">
        <v>1595</v>
      </c>
      <c r="F274">
        <v>0</v>
      </c>
      <c r="G274">
        <v>0</v>
      </c>
      <c r="H274">
        <v>141</v>
      </c>
      <c r="I274">
        <v>59</v>
      </c>
      <c r="J274">
        <v>1665</v>
      </c>
      <c r="K274">
        <v>1024</v>
      </c>
      <c r="L274">
        <v>186</v>
      </c>
      <c r="M274">
        <v>374</v>
      </c>
      <c r="N274">
        <v>538</v>
      </c>
      <c r="O274">
        <v>122</v>
      </c>
      <c r="P274" s="128">
        <v>2057</v>
      </c>
      <c r="Q274" s="128">
        <v>1549</v>
      </c>
      <c r="R274" s="128">
        <v>508</v>
      </c>
      <c r="S274" s="128">
        <f t="shared" si="20"/>
        <v>4752944.9999999991</v>
      </c>
      <c r="T274">
        <f t="shared" si="21"/>
        <v>1475944.9999999991</v>
      </c>
      <c r="U274">
        <f t="shared" si="22"/>
        <v>1475944.9999999991</v>
      </c>
      <c r="V274">
        <v>37767</v>
      </c>
      <c r="W274" s="188">
        <f t="shared" si="23"/>
        <v>3.9080281727433976E-2</v>
      </c>
      <c r="Y274" s="188"/>
      <c r="AB274" s="188"/>
    </row>
    <row r="275" spans="1:28" x14ac:dyDescent="0.25">
      <c r="A275" t="s">
        <v>518</v>
      </c>
      <c r="B275" t="s">
        <v>272</v>
      </c>
      <c r="C275">
        <f t="shared" si="24"/>
        <v>4279</v>
      </c>
      <c r="D275">
        <v>3418</v>
      </c>
      <c r="E275">
        <v>861</v>
      </c>
      <c r="F275">
        <v>0</v>
      </c>
      <c r="G275">
        <v>0</v>
      </c>
      <c r="H275">
        <v>47</v>
      </c>
      <c r="I275">
        <v>98</v>
      </c>
      <c r="J275">
        <v>1712</v>
      </c>
      <c r="K275">
        <v>2989</v>
      </c>
      <c r="L275">
        <v>195</v>
      </c>
      <c r="M275">
        <v>4</v>
      </c>
      <c r="N275">
        <v>247</v>
      </c>
      <c r="O275">
        <v>45</v>
      </c>
      <c r="P275" s="128">
        <v>2462</v>
      </c>
      <c r="Q275" s="128">
        <v>2188</v>
      </c>
      <c r="R275" s="128">
        <v>274</v>
      </c>
      <c r="S275" s="128">
        <f t="shared" si="20"/>
        <v>5069807.9999999991</v>
      </c>
      <c r="T275">
        <f t="shared" si="21"/>
        <v>790807.99999999907</v>
      </c>
      <c r="U275">
        <f t="shared" si="22"/>
        <v>790807.99999999907</v>
      </c>
      <c r="V275">
        <v>62931</v>
      </c>
      <c r="W275" s="188">
        <f t="shared" si="23"/>
        <v>1.2566270995216969E-2</v>
      </c>
      <c r="Y275" s="188"/>
      <c r="AB275" s="188"/>
    </row>
    <row r="276" spans="1:28" x14ac:dyDescent="0.25">
      <c r="A276" t="s">
        <v>517</v>
      </c>
      <c r="B276" t="s">
        <v>390</v>
      </c>
      <c r="C276">
        <f t="shared" si="24"/>
        <v>4801</v>
      </c>
      <c r="D276">
        <v>2898</v>
      </c>
      <c r="E276">
        <v>1903</v>
      </c>
      <c r="F276">
        <v>0</v>
      </c>
      <c r="G276">
        <v>0</v>
      </c>
      <c r="H276">
        <v>86</v>
      </c>
      <c r="I276">
        <v>169</v>
      </c>
      <c r="J276">
        <v>1717</v>
      </c>
      <c r="K276">
        <v>3699</v>
      </c>
      <c r="L276">
        <v>215</v>
      </c>
      <c r="M276">
        <v>14</v>
      </c>
      <c r="N276">
        <v>763</v>
      </c>
      <c r="O276">
        <v>102</v>
      </c>
      <c r="P276" s="128">
        <v>3073</v>
      </c>
      <c r="Q276" s="128">
        <v>2380</v>
      </c>
      <c r="R276" s="128">
        <v>693</v>
      </c>
      <c r="S276" s="128">
        <f t="shared" si="20"/>
        <v>6978397.9999999991</v>
      </c>
      <c r="T276">
        <f t="shared" si="21"/>
        <v>2177397.9999999991</v>
      </c>
      <c r="U276">
        <f t="shared" si="22"/>
        <v>2177397.9999999991</v>
      </c>
      <c r="V276">
        <v>65163</v>
      </c>
      <c r="W276" s="188">
        <f t="shared" si="23"/>
        <v>3.3414637140708671E-2</v>
      </c>
      <c r="Y276" s="188"/>
      <c r="AB276" s="188"/>
    </row>
    <row r="277" spans="1:28" x14ac:dyDescent="0.25">
      <c r="A277" t="s">
        <v>522</v>
      </c>
      <c r="B277" t="s">
        <v>159</v>
      </c>
      <c r="C277">
        <f t="shared" si="24"/>
        <v>7265</v>
      </c>
      <c r="D277">
        <v>4413</v>
      </c>
      <c r="E277">
        <v>2852</v>
      </c>
      <c r="F277">
        <v>12</v>
      </c>
      <c r="G277">
        <v>0</v>
      </c>
      <c r="H277">
        <v>1345</v>
      </c>
      <c r="I277">
        <v>169</v>
      </c>
      <c r="J277">
        <v>5154</v>
      </c>
      <c r="K277">
        <v>3827</v>
      </c>
      <c r="L277">
        <v>405</v>
      </c>
      <c r="M277">
        <v>501</v>
      </c>
      <c r="N277">
        <v>1997</v>
      </c>
      <c r="O277">
        <v>128</v>
      </c>
      <c r="P277" s="128">
        <v>5365</v>
      </c>
      <c r="Q277" s="128">
        <v>4447</v>
      </c>
      <c r="R277" s="128">
        <v>918</v>
      </c>
      <c r="S277" s="128">
        <f t="shared" si="20"/>
        <v>11642399</v>
      </c>
      <c r="T277">
        <f t="shared" si="21"/>
        <v>4377399</v>
      </c>
      <c r="U277">
        <f t="shared" si="22"/>
        <v>4377399</v>
      </c>
      <c r="V277">
        <v>142089</v>
      </c>
      <c r="W277" s="188">
        <f t="shared" si="23"/>
        <v>3.0807444629774295E-2</v>
      </c>
      <c r="Y277" s="188"/>
      <c r="AB277" s="188"/>
    </row>
    <row r="278" spans="1:28" x14ac:dyDescent="0.25">
      <c r="A278" t="s">
        <v>526</v>
      </c>
      <c r="B278" t="s">
        <v>422</v>
      </c>
      <c r="C278">
        <f t="shared" si="24"/>
        <v>5662</v>
      </c>
      <c r="D278">
        <v>3723</v>
      </c>
      <c r="E278">
        <v>1939</v>
      </c>
      <c r="F278">
        <v>0</v>
      </c>
      <c r="G278">
        <v>0</v>
      </c>
      <c r="H278">
        <v>163</v>
      </c>
      <c r="I278">
        <v>218</v>
      </c>
      <c r="J278">
        <v>3224</v>
      </c>
      <c r="K278">
        <v>3068</v>
      </c>
      <c r="L278">
        <v>244</v>
      </c>
      <c r="M278">
        <v>68</v>
      </c>
      <c r="N278">
        <v>247</v>
      </c>
      <c r="O278">
        <v>58</v>
      </c>
      <c r="P278" s="128">
        <v>2942</v>
      </c>
      <c r="Q278" s="128">
        <v>2588</v>
      </c>
      <c r="R278" s="128">
        <v>354</v>
      </c>
      <c r="S278" s="128">
        <f t="shared" si="20"/>
        <v>6107487.9999999991</v>
      </c>
      <c r="T278">
        <f t="shared" si="21"/>
        <v>445487.99999999907</v>
      </c>
      <c r="U278">
        <f t="shared" si="22"/>
        <v>445487.99999999907</v>
      </c>
      <c r="V278">
        <v>65173</v>
      </c>
      <c r="W278" s="188">
        <f t="shared" si="23"/>
        <v>6.8354686756785642E-3</v>
      </c>
      <c r="Y278" s="188"/>
      <c r="AB278" s="188"/>
    </row>
    <row r="279" spans="1:28" x14ac:dyDescent="0.25">
      <c r="A279" t="s">
        <v>524</v>
      </c>
      <c r="B279" t="s">
        <v>230</v>
      </c>
      <c r="C279">
        <f t="shared" si="24"/>
        <v>13265</v>
      </c>
      <c r="D279">
        <v>10108</v>
      </c>
      <c r="E279">
        <v>3157</v>
      </c>
      <c r="F279">
        <v>0</v>
      </c>
      <c r="G279">
        <v>49</v>
      </c>
      <c r="H279">
        <v>436</v>
      </c>
      <c r="I279">
        <v>396</v>
      </c>
      <c r="J279">
        <v>7013</v>
      </c>
      <c r="K279">
        <v>6611</v>
      </c>
      <c r="L279">
        <v>709</v>
      </c>
      <c r="M279">
        <v>433</v>
      </c>
      <c r="N279">
        <v>2608</v>
      </c>
      <c r="O279">
        <v>413</v>
      </c>
      <c r="P279" s="128">
        <v>10835</v>
      </c>
      <c r="Q279" s="128">
        <v>9797</v>
      </c>
      <c r="R279" s="128">
        <v>1038</v>
      </c>
      <c r="S279" s="128">
        <f t="shared" si="20"/>
        <v>22000669</v>
      </c>
      <c r="T279">
        <f t="shared" si="21"/>
        <v>8735669</v>
      </c>
      <c r="U279">
        <f t="shared" si="22"/>
        <v>8735669</v>
      </c>
      <c r="V279">
        <v>146601</v>
      </c>
      <c r="W279" s="188">
        <f t="shared" si="23"/>
        <v>5.9588058744483328E-2</v>
      </c>
      <c r="Y279" s="188"/>
      <c r="AB279" s="188"/>
    </row>
    <row r="280" spans="1:28" x14ac:dyDescent="0.25">
      <c r="A280" t="s">
        <v>520</v>
      </c>
      <c r="B280" t="s">
        <v>440</v>
      </c>
      <c r="C280">
        <f t="shared" si="24"/>
        <v>20222</v>
      </c>
      <c r="D280">
        <v>11854</v>
      </c>
      <c r="E280">
        <v>8368</v>
      </c>
      <c r="F280">
        <v>1382</v>
      </c>
      <c r="G280">
        <v>6673</v>
      </c>
      <c r="H280">
        <v>2624</v>
      </c>
      <c r="I280">
        <v>1041</v>
      </c>
      <c r="J280">
        <v>8142</v>
      </c>
      <c r="K280">
        <v>9632</v>
      </c>
      <c r="L280">
        <v>894</v>
      </c>
      <c r="M280">
        <v>625</v>
      </c>
      <c r="N280">
        <v>1713</v>
      </c>
      <c r="O280">
        <v>1187</v>
      </c>
      <c r="P280" s="128">
        <v>10707</v>
      </c>
      <c r="Q280" s="128">
        <v>8721</v>
      </c>
      <c r="R280" s="128">
        <v>1986</v>
      </c>
      <c r="S280" s="128">
        <f t="shared" si="20"/>
        <v>23520128.999999996</v>
      </c>
      <c r="T280">
        <f t="shared" si="21"/>
        <v>3298128.9999999963</v>
      </c>
      <c r="U280">
        <f t="shared" si="22"/>
        <v>3298128.9999999963</v>
      </c>
      <c r="V280">
        <v>292038</v>
      </c>
      <c r="W280" s="188">
        <f t="shared" si="23"/>
        <v>1.1293492627671729E-2</v>
      </c>
      <c r="Y280" s="188"/>
      <c r="AB280" s="188"/>
    </row>
    <row r="281" spans="1:28" x14ac:dyDescent="0.25">
      <c r="A281" t="s">
        <v>528</v>
      </c>
      <c r="B281" t="s">
        <v>339</v>
      </c>
      <c r="C281">
        <f t="shared" si="24"/>
        <v>17606</v>
      </c>
      <c r="D281">
        <v>7155</v>
      </c>
      <c r="E281">
        <v>10451</v>
      </c>
      <c r="F281">
        <v>819</v>
      </c>
      <c r="G281">
        <v>1617</v>
      </c>
      <c r="H281">
        <v>404</v>
      </c>
      <c r="I281">
        <v>422</v>
      </c>
      <c r="J281">
        <v>5293</v>
      </c>
      <c r="K281">
        <v>7671</v>
      </c>
      <c r="L281">
        <v>593</v>
      </c>
      <c r="M281">
        <v>674</v>
      </c>
      <c r="N281">
        <v>2034</v>
      </c>
      <c r="O281">
        <v>409</v>
      </c>
      <c r="P281" s="128">
        <v>6971</v>
      </c>
      <c r="Q281" s="128">
        <v>4837</v>
      </c>
      <c r="R281" s="128">
        <v>2134</v>
      </c>
      <c r="S281" s="128">
        <f t="shared" si="20"/>
        <v>16871564.999999996</v>
      </c>
      <c r="T281">
        <f t="shared" si="21"/>
        <v>-734435.00000000373</v>
      </c>
      <c r="U281">
        <f t="shared" si="22"/>
        <v>0</v>
      </c>
      <c r="V281">
        <v>176526</v>
      </c>
      <c r="W281" s="188">
        <f t="shared" si="23"/>
        <v>-4.1604919388645509E-3</v>
      </c>
      <c r="Y281" s="188"/>
      <c r="AB281" s="188"/>
    </row>
    <row r="282" spans="1:28" x14ac:dyDescent="0.25">
      <c r="A282" t="s">
        <v>520</v>
      </c>
      <c r="B282" t="s">
        <v>137</v>
      </c>
      <c r="C282">
        <f t="shared" si="24"/>
        <v>2093</v>
      </c>
      <c r="D282">
        <v>1140</v>
      </c>
      <c r="E282">
        <v>953</v>
      </c>
      <c r="F282">
        <v>0</v>
      </c>
      <c r="G282">
        <v>47</v>
      </c>
      <c r="H282">
        <v>3213</v>
      </c>
      <c r="I282">
        <v>0</v>
      </c>
      <c r="J282">
        <v>846</v>
      </c>
      <c r="K282">
        <v>818</v>
      </c>
      <c r="L282">
        <v>112</v>
      </c>
      <c r="M282">
        <v>9</v>
      </c>
      <c r="N282">
        <v>565</v>
      </c>
      <c r="O282">
        <v>200</v>
      </c>
      <c r="P282" s="128">
        <v>1303</v>
      </c>
      <c r="Q282" s="128">
        <v>1063</v>
      </c>
      <c r="R282" s="128">
        <v>240</v>
      </c>
      <c r="S282" s="128">
        <f t="shared" si="20"/>
        <v>2859178.9999999995</v>
      </c>
      <c r="T282">
        <f t="shared" si="21"/>
        <v>766178.99999999953</v>
      </c>
      <c r="U282">
        <f t="shared" si="22"/>
        <v>766178.99999999953</v>
      </c>
      <c r="V282">
        <v>22961</v>
      </c>
      <c r="W282" s="188">
        <f t="shared" si="23"/>
        <v>3.3368712164104329E-2</v>
      </c>
      <c r="Y282" s="188"/>
      <c r="AB282" s="188"/>
    </row>
    <row r="283" spans="1:28" x14ac:dyDescent="0.25">
      <c r="A283" t="s">
        <v>518</v>
      </c>
      <c r="B283" t="s">
        <v>273</v>
      </c>
      <c r="C283">
        <f t="shared" si="24"/>
        <v>1874</v>
      </c>
      <c r="D283">
        <v>1079</v>
      </c>
      <c r="E283">
        <v>795</v>
      </c>
      <c r="F283">
        <v>3561</v>
      </c>
      <c r="G283">
        <v>150</v>
      </c>
      <c r="H283">
        <v>7928</v>
      </c>
      <c r="I283">
        <v>96</v>
      </c>
      <c r="J283">
        <v>3377</v>
      </c>
      <c r="K283">
        <v>1967</v>
      </c>
      <c r="L283">
        <v>130</v>
      </c>
      <c r="M283">
        <v>78</v>
      </c>
      <c r="N283">
        <v>1282</v>
      </c>
      <c r="O283">
        <v>102</v>
      </c>
      <c r="P283" s="128">
        <v>3490</v>
      </c>
      <c r="Q283" s="128">
        <v>2824</v>
      </c>
      <c r="R283" s="128">
        <v>667</v>
      </c>
      <c r="S283" s="128">
        <f t="shared" si="20"/>
        <v>7704774</v>
      </c>
      <c r="T283">
        <f t="shared" si="21"/>
        <v>5830774</v>
      </c>
      <c r="U283">
        <f t="shared" si="22"/>
        <v>5830774</v>
      </c>
      <c r="V283">
        <v>61574</v>
      </c>
      <c r="W283" s="188">
        <f t="shared" si="23"/>
        <v>9.4695390911748459E-2</v>
      </c>
      <c r="Y283" s="188"/>
      <c r="AB283" s="188"/>
    </row>
    <row r="284" spans="1:28" x14ac:dyDescent="0.25">
      <c r="A284" t="s">
        <v>521</v>
      </c>
      <c r="B284" t="s">
        <v>319</v>
      </c>
      <c r="C284">
        <f t="shared" si="24"/>
        <v>5914</v>
      </c>
      <c r="D284">
        <v>3851</v>
      </c>
      <c r="E284">
        <v>2063</v>
      </c>
      <c r="F284">
        <v>10</v>
      </c>
      <c r="G284">
        <v>3074</v>
      </c>
      <c r="H284">
        <v>142</v>
      </c>
      <c r="I284">
        <v>4071</v>
      </c>
      <c r="J284">
        <v>2958</v>
      </c>
      <c r="K284">
        <v>0</v>
      </c>
      <c r="L284">
        <v>383</v>
      </c>
      <c r="M284">
        <v>0</v>
      </c>
      <c r="N284">
        <v>1437</v>
      </c>
      <c r="O284">
        <v>789</v>
      </c>
      <c r="P284" s="128">
        <v>6437</v>
      </c>
      <c r="Q284" s="128">
        <v>5637</v>
      </c>
      <c r="R284" s="128">
        <v>800</v>
      </c>
      <c r="S284" s="128">
        <f t="shared" si="20"/>
        <v>13410160.999999998</v>
      </c>
      <c r="T284">
        <f t="shared" si="21"/>
        <v>7496160.9999999981</v>
      </c>
      <c r="U284">
        <f t="shared" si="22"/>
        <v>7496160.9999999981</v>
      </c>
      <c r="V284">
        <v>85373</v>
      </c>
      <c r="W284" s="188">
        <f t="shared" si="23"/>
        <v>8.7804821196396959E-2</v>
      </c>
      <c r="Y284" s="188"/>
      <c r="AB284" s="188"/>
    </row>
    <row r="285" spans="1:28" x14ac:dyDescent="0.25">
      <c r="A285" t="s">
        <v>528</v>
      </c>
      <c r="B285" t="s">
        <v>340</v>
      </c>
      <c r="C285">
        <f t="shared" si="24"/>
        <v>4768</v>
      </c>
      <c r="D285">
        <v>2765</v>
      </c>
      <c r="E285">
        <v>2003</v>
      </c>
      <c r="F285">
        <v>10</v>
      </c>
      <c r="G285">
        <v>564</v>
      </c>
      <c r="H285">
        <v>390</v>
      </c>
      <c r="I285">
        <v>175</v>
      </c>
      <c r="J285">
        <v>2349</v>
      </c>
      <c r="K285">
        <v>2572</v>
      </c>
      <c r="L285">
        <v>243</v>
      </c>
      <c r="M285">
        <v>603</v>
      </c>
      <c r="N285">
        <v>747</v>
      </c>
      <c r="O285">
        <v>72</v>
      </c>
      <c r="P285" s="128">
        <v>2739</v>
      </c>
      <c r="Q285" s="128">
        <v>2236</v>
      </c>
      <c r="R285" s="128">
        <v>503</v>
      </c>
      <c r="S285" s="128">
        <f t="shared" si="20"/>
        <v>6007426</v>
      </c>
      <c r="T285">
        <f t="shared" si="21"/>
        <v>1239426</v>
      </c>
      <c r="U285">
        <f t="shared" si="22"/>
        <v>1239426</v>
      </c>
      <c r="V285">
        <v>73037</v>
      </c>
      <c r="W285" s="188">
        <f t="shared" si="23"/>
        <v>1.6969837205799799E-2</v>
      </c>
      <c r="Y285" s="188"/>
      <c r="AB285" s="188"/>
    </row>
    <row r="286" spans="1:28" x14ac:dyDescent="0.25">
      <c r="A286" t="s">
        <v>519</v>
      </c>
      <c r="B286" t="s">
        <v>204</v>
      </c>
      <c r="C286">
        <f t="shared" si="24"/>
        <v>9856</v>
      </c>
      <c r="D286">
        <v>4939</v>
      </c>
      <c r="E286">
        <v>4917</v>
      </c>
      <c r="F286">
        <v>1259</v>
      </c>
      <c r="G286">
        <v>3321</v>
      </c>
      <c r="H286">
        <v>107</v>
      </c>
      <c r="I286">
        <v>757</v>
      </c>
      <c r="J286">
        <v>3907</v>
      </c>
      <c r="K286">
        <v>4028</v>
      </c>
      <c r="L286">
        <v>483</v>
      </c>
      <c r="M286">
        <v>285</v>
      </c>
      <c r="N286">
        <v>1460</v>
      </c>
      <c r="O286">
        <v>907</v>
      </c>
      <c r="P286" s="128">
        <v>4846</v>
      </c>
      <c r="Q286" s="128">
        <v>3910</v>
      </c>
      <c r="R286" s="128">
        <v>935</v>
      </c>
      <c r="S286" s="128">
        <f t="shared" si="20"/>
        <v>10710339.999999998</v>
      </c>
      <c r="T286">
        <f t="shared" si="21"/>
        <v>854339.99999999814</v>
      </c>
      <c r="U286">
        <f t="shared" si="22"/>
        <v>854339.99999999814</v>
      </c>
      <c r="V286">
        <v>144403</v>
      </c>
      <c r="W286" s="188">
        <f t="shared" si="23"/>
        <v>5.9163590784124852E-3</v>
      </c>
      <c r="Y286" s="188"/>
      <c r="AB286" s="188"/>
    </row>
    <row r="287" spans="1:28" x14ac:dyDescent="0.25">
      <c r="A287" t="s">
        <v>517</v>
      </c>
      <c r="B287" t="s">
        <v>391</v>
      </c>
      <c r="C287">
        <f t="shared" si="24"/>
        <v>44867</v>
      </c>
      <c r="D287">
        <v>21156</v>
      </c>
      <c r="E287">
        <v>23711</v>
      </c>
      <c r="F287">
        <v>8079</v>
      </c>
      <c r="G287">
        <v>225</v>
      </c>
      <c r="H287">
        <v>337</v>
      </c>
      <c r="I287">
        <v>2800</v>
      </c>
      <c r="J287">
        <v>12027</v>
      </c>
      <c r="K287">
        <v>27587</v>
      </c>
      <c r="L287">
        <v>2239</v>
      </c>
      <c r="M287">
        <v>255</v>
      </c>
      <c r="N287">
        <v>7390</v>
      </c>
      <c r="O287">
        <v>5713</v>
      </c>
      <c r="P287" s="128">
        <v>29055</v>
      </c>
      <c r="Q287" s="128">
        <v>22731</v>
      </c>
      <c r="R287" s="128">
        <v>6325</v>
      </c>
      <c r="S287" s="128">
        <f>0.1853%*SUM(Q287,R287,R287)*1000000</f>
        <v>65560993</v>
      </c>
      <c r="T287">
        <f>SUM(S287,-C287*1000)</f>
        <v>20693993</v>
      </c>
      <c r="U287">
        <f>IF(T287&gt;0,T287,0)</f>
        <v>20693993</v>
      </c>
      <c r="V287">
        <v>872712</v>
      </c>
      <c r="W287" s="188">
        <f>T287/(V287*1000)</f>
        <v>2.3712281944100688E-2</v>
      </c>
      <c r="Y287" s="188"/>
      <c r="AB287" s="188"/>
    </row>
    <row r="288" spans="1:28" x14ac:dyDescent="0.25">
      <c r="A288" t="s">
        <v>522</v>
      </c>
      <c r="B288" t="s">
        <v>160</v>
      </c>
      <c r="C288">
        <f t="shared" si="24"/>
        <v>4175</v>
      </c>
      <c r="D288">
        <v>2417</v>
      </c>
      <c r="E288">
        <v>1758</v>
      </c>
      <c r="F288">
        <v>0</v>
      </c>
      <c r="G288">
        <v>0</v>
      </c>
      <c r="H288">
        <v>245</v>
      </c>
      <c r="I288">
        <v>50</v>
      </c>
      <c r="J288">
        <v>1991</v>
      </c>
      <c r="K288">
        <v>1021</v>
      </c>
      <c r="L288">
        <v>208</v>
      </c>
      <c r="M288">
        <v>0</v>
      </c>
      <c r="N288">
        <v>378</v>
      </c>
      <c r="O288">
        <v>115</v>
      </c>
      <c r="P288" s="128">
        <v>2871</v>
      </c>
      <c r="Q288" s="128">
        <v>2219</v>
      </c>
      <c r="R288" s="128">
        <v>653</v>
      </c>
      <c r="S288" s="128">
        <f t="shared" si="20"/>
        <v>6531825</v>
      </c>
      <c r="T288">
        <f t="shared" si="21"/>
        <v>2356825</v>
      </c>
      <c r="U288">
        <f t="shared" si="22"/>
        <v>2356825</v>
      </c>
      <c r="V288">
        <v>48298</v>
      </c>
      <c r="W288" s="188">
        <f t="shared" si="23"/>
        <v>4.8797569257526194E-2</v>
      </c>
      <c r="Y288" s="188"/>
      <c r="AB288" s="188"/>
    </row>
    <row r="289" spans="1:28" x14ac:dyDescent="0.25">
      <c r="A289" t="s">
        <v>522</v>
      </c>
      <c r="B289" t="s">
        <v>161</v>
      </c>
      <c r="C289">
        <f t="shared" si="24"/>
        <v>7237</v>
      </c>
      <c r="D289">
        <v>4744</v>
      </c>
      <c r="E289">
        <v>2493</v>
      </c>
      <c r="F289">
        <v>0</v>
      </c>
      <c r="G289">
        <v>0</v>
      </c>
      <c r="H289">
        <v>44</v>
      </c>
      <c r="I289">
        <v>0</v>
      </c>
      <c r="J289">
        <v>3523</v>
      </c>
      <c r="K289">
        <v>2097</v>
      </c>
      <c r="L289">
        <v>328</v>
      </c>
      <c r="M289">
        <v>856</v>
      </c>
      <c r="N289">
        <v>814</v>
      </c>
      <c r="O289">
        <v>47</v>
      </c>
      <c r="P289" s="128">
        <v>3654</v>
      </c>
      <c r="Q289" s="128">
        <v>3047</v>
      </c>
      <c r="R289" s="128">
        <v>607</v>
      </c>
      <c r="S289" s="128">
        <f t="shared" si="20"/>
        <v>7895632.9999999991</v>
      </c>
      <c r="T289">
        <f t="shared" si="21"/>
        <v>658632.99999999907</v>
      </c>
      <c r="U289">
        <f t="shared" si="22"/>
        <v>658632.99999999907</v>
      </c>
      <c r="V289">
        <v>102143</v>
      </c>
      <c r="W289" s="188">
        <f t="shared" si="23"/>
        <v>6.4481462263689055E-3</v>
      </c>
      <c r="Y289" s="188"/>
      <c r="AB289" s="188"/>
    </row>
    <row r="290" spans="1:28" x14ac:dyDescent="0.25">
      <c r="A290" t="s">
        <v>516</v>
      </c>
      <c r="B290" t="s">
        <v>115</v>
      </c>
      <c r="C290">
        <f t="shared" si="24"/>
        <v>5785</v>
      </c>
      <c r="D290">
        <v>4415</v>
      </c>
      <c r="E290">
        <v>1370</v>
      </c>
      <c r="F290">
        <v>0</v>
      </c>
      <c r="G290">
        <v>0</v>
      </c>
      <c r="H290">
        <v>469</v>
      </c>
      <c r="I290">
        <v>0</v>
      </c>
      <c r="J290">
        <v>2744</v>
      </c>
      <c r="K290">
        <v>2531</v>
      </c>
      <c r="L290">
        <v>331</v>
      </c>
      <c r="M290">
        <v>470</v>
      </c>
      <c r="N290">
        <v>1033</v>
      </c>
      <c r="O290">
        <v>110</v>
      </c>
      <c r="P290" s="128">
        <v>4700</v>
      </c>
      <c r="Q290" s="128">
        <v>4120</v>
      </c>
      <c r="R290" s="128">
        <v>579</v>
      </c>
      <c r="S290" s="128">
        <f t="shared" si="20"/>
        <v>9780133.9999999981</v>
      </c>
      <c r="T290">
        <f t="shared" si="21"/>
        <v>3995133.9999999981</v>
      </c>
      <c r="U290">
        <f t="shared" si="22"/>
        <v>3995133.9999999981</v>
      </c>
      <c r="V290">
        <v>94856</v>
      </c>
      <c r="W290" s="188">
        <f t="shared" si="23"/>
        <v>4.2117883950409024E-2</v>
      </c>
      <c r="Y290" s="188"/>
      <c r="AB290" s="188"/>
    </row>
    <row r="291" spans="1:28" x14ac:dyDescent="0.25">
      <c r="A291" t="s">
        <v>520</v>
      </c>
      <c r="B291" t="s">
        <v>138</v>
      </c>
      <c r="C291">
        <f t="shared" si="24"/>
        <v>7888</v>
      </c>
      <c r="D291">
        <v>5563</v>
      </c>
      <c r="E291">
        <v>2325</v>
      </c>
      <c r="F291">
        <v>0</v>
      </c>
      <c r="G291">
        <v>2016</v>
      </c>
      <c r="H291">
        <v>321</v>
      </c>
      <c r="I291">
        <v>55</v>
      </c>
      <c r="J291">
        <v>2143</v>
      </c>
      <c r="K291">
        <v>4012</v>
      </c>
      <c r="L291">
        <v>301</v>
      </c>
      <c r="M291">
        <v>15</v>
      </c>
      <c r="N291">
        <v>267</v>
      </c>
      <c r="O291">
        <v>63</v>
      </c>
      <c r="P291" s="128">
        <v>3401</v>
      </c>
      <c r="Q291" s="128">
        <v>2944</v>
      </c>
      <c r="R291" s="128">
        <v>457</v>
      </c>
      <c r="S291" s="128">
        <f t="shared" si="20"/>
        <v>7148873.9999999991</v>
      </c>
      <c r="T291">
        <f t="shared" si="21"/>
        <v>-739126.00000000093</v>
      </c>
      <c r="U291">
        <f t="shared" si="22"/>
        <v>0</v>
      </c>
      <c r="V291">
        <v>90587</v>
      </c>
      <c r="W291" s="188">
        <f t="shared" si="23"/>
        <v>-8.1592943799883091E-3</v>
      </c>
      <c r="Y291" s="188"/>
      <c r="AB291" s="188"/>
    </row>
    <row r="292" spans="1:28" x14ac:dyDescent="0.25">
      <c r="A292" t="s">
        <v>517</v>
      </c>
      <c r="B292" t="s">
        <v>392</v>
      </c>
      <c r="C292">
        <f t="shared" si="24"/>
        <v>10075</v>
      </c>
      <c r="D292">
        <v>4910</v>
      </c>
      <c r="E292">
        <v>5165</v>
      </c>
      <c r="F292">
        <v>1724</v>
      </c>
      <c r="G292">
        <v>0</v>
      </c>
      <c r="H292">
        <v>0</v>
      </c>
      <c r="I292">
        <v>211</v>
      </c>
      <c r="J292">
        <v>4417</v>
      </c>
      <c r="K292">
        <v>4682</v>
      </c>
      <c r="L292">
        <v>448</v>
      </c>
      <c r="M292">
        <v>139</v>
      </c>
      <c r="N292">
        <v>1905</v>
      </c>
      <c r="O292">
        <v>149</v>
      </c>
      <c r="P292" s="128">
        <v>6456</v>
      </c>
      <c r="Q292" s="128">
        <v>5243</v>
      </c>
      <c r="R292" s="128">
        <v>1213</v>
      </c>
      <c r="S292" s="128">
        <f t="shared" si="20"/>
        <v>14210657</v>
      </c>
      <c r="T292">
        <f t="shared" si="21"/>
        <v>4135657</v>
      </c>
      <c r="U292">
        <f t="shared" si="22"/>
        <v>4135657</v>
      </c>
      <c r="V292">
        <v>123155</v>
      </c>
      <c r="W292" s="188">
        <f t="shared" si="23"/>
        <v>3.3580910235069629E-2</v>
      </c>
      <c r="Y292" s="188"/>
      <c r="AB292" s="188"/>
    </row>
    <row r="293" spans="1:28" x14ac:dyDescent="0.25">
      <c r="A293" t="s">
        <v>518</v>
      </c>
      <c r="B293" t="s">
        <v>274</v>
      </c>
      <c r="C293">
        <f t="shared" si="24"/>
        <v>3087</v>
      </c>
      <c r="D293">
        <v>2239</v>
      </c>
      <c r="E293">
        <v>848</v>
      </c>
      <c r="F293">
        <v>0</v>
      </c>
      <c r="G293">
        <v>1643</v>
      </c>
      <c r="H293">
        <v>65</v>
      </c>
      <c r="I293">
        <v>3</v>
      </c>
      <c r="J293">
        <v>972</v>
      </c>
      <c r="K293">
        <v>1589</v>
      </c>
      <c r="L293">
        <v>147</v>
      </c>
      <c r="M293">
        <v>23</v>
      </c>
      <c r="N293">
        <v>141</v>
      </c>
      <c r="O293">
        <v>14</v>
      </c>
      <c r="P293" s="128">
        <v>1969</v>
      </c>
      <c r="Q293" s="128">
        <v>1789</v>
      </c>
      <c r="R293" s="128">
        <v>181</v>
      </c>
      <c r="S293" s="128">
        <f t="shared" si="20"/>
        <v>3985802.9999999995</v>
      </c>
      <c r="T293">
        <f t="shared" si="21"/>
        <v>898802.99999999953</v>
      </c>
      <c r="U293">
        <f t="shared" si="22"/>
        <v>898802.99999999953</v>
      </c>
      <c r="V293">
        <v>29415</v>
      </c>
      <c r="W293" s="188">
        <f t="shared" si="23"/>
        <v>3.0555940846506868E-2</v>
      </c>
      <c r="Y293" s="188"/>
      <c r="AB293" s="188"/>
    </row>
    <row r="294" spans="1:28" x14ac:dyDescent="0.25">
      <c r="A294" t="s">
        <v>518</v>
      </c>
      <c r="B294" t="s">
        <v>275</v>
      </c>
      <c r="C294">
        <f t="shared" si="24"/>
        <v>7288</v>
      </c>
      <c r="D294">
        <v>4145</v>
      </c>
      <c r="E294">
        <v>3143</v>
      </c>
      <c r="F294">
        <v>0</v>
      </c>
      <c r="G294">
        <v>1551</v>
      </c>
      <c r="H294">
        <v>9</v>
      </c>
      <c r="I294">
        <v>122</v>
      </c>
      <c r="J294">
        <v>3463</v>
      </c>
      <c r="K294">
        <v>3293</v>
      </c>
      <c r="L294">
        <v>342</v>
      </c>
      <c r="M294">
        <v>256</v>
      </c>
      <c r="N294">
        <v>1420</v>
      </c>
      <c r="O294">
        <v>105</v>
      </c>
      <c r="P294" s="128">
        <v>4807</v>
      </c>
      <c r="Q294" s="128">
        <v>3983</v>
      </c>
      <c r="R294" s="128">
        <v>824</v>
      </c>
      <c r="S294" s="128">
        <f t="shared" si="20"/>
        <v>10434242.999999998</v>
      </c>
      <c r="T294">
        <f t="shared" si="21"/>
        <v>3146242.9999999981</v>
      </c>
      <c r="U294">
        <f t="shared" si="22"/>
        <v>3146242.9999999981</v>
      </c>
      <c r="V294">
        <v>103694</v>
      </c>
      <c r="W294" s="188">
        <f t="shared" si="23"/>
        <v>3.0341610893590741E-2</v>
      </c>
      <c r="Y294" s="188"/>
      <c r="AB294" s="188"/>
    </row>
    <row r="295" spans="1:28" x14ac:dyDescent="0.25">
      <c r="A295" t="s">
        <v>523</v>
      </c>
      <c r="B295" t="s">
        <v>433</v>
      </c>
      <c r="C295">
        <f t="shared" si="24"/>
        <v>4912</v>
      </c>
      <c r="D295">
        <v>2621</v>
      </c>
      <c r="E295">
        <v>2291</v>
      </c>
      <c r="F295">
        <v>0</v>
      </c>
      <c r="G295">
        <v>19</v>
      </c>
      <c r="H295">
        <v>68</v>
      </c>
      <c r="I295">
        <v>61</v>
      </c>
      <c r="J295">
        <v>2213</v>
      </c>
      <c r="K295">
        <v>1896</v>
      </c>
      <c r="L295">
        <v>150</v>
      </c>
      <c r="M295">
        <v>393</v>
      </c>
      <c r="N295">
        <v>767</v>
      </c>
      <c r="O295">
        <v>677</v>
      </c>
      <c r="P295" s="128">
        <v>2039</v>
      </c>
      <c r="Q295" s="128">
        <v>1579</v>
      </c>
      <c r="R295" s="128">
        <v>460</v>
      </c>
      <c r="S295" s="128">
        <f t="shared" si="20"/>
        <v>4630647</v>
      </c>
      <c r="T295">
        <f t="shared" si="21"/>
        <v>-281353</v>
      </c>
      <c r="U295">
        <f t="shared" si="22"/>
        <v>0</v>
      </c>
      <c r="V295">
        <v>67736</v>
      </c>
      <c r="W295" s="188">
        <f t="shared" si="23"/>
        <v>-4.1536701310972007E-3</v>
      </c>
      <c r="Y295" s="188"/>
      <c r="AB295" s="188"/>
    </row>
    <row r="296" spans="1:28" x14ac:dyDescent="0.25">
      <c r="A296" t="s">
        <v>524</v>
      </c>
      <c r="B296" t="s">
        <v>231</v>
      </c>
      <c r="C296">
        <f t="shared" si="24"/>
        <v>111803</v>
      </c>
      <c r="D296">
        <v>41045</v>
      </c>
      <c r="E296">
        <v>70758</v>
      </c>
      <c r="F296">
        <v>33906</v>
      </c>
      <c r="G296">
        <v>424</v>
      </c>
      <c r="H296">
        <v>2236</v>
      </c>
      <c r="I296">
        <v>925</v>
      </c>
      <c r="J296">
        <v>42708</v>
      </c>
      <c r="K296">
        <v>40647</v>
      </c>
      <c r="L296">
        <v>4020</v>
      </c>
      <c r="M296">
        <v>1167</v>
      </c>
      <c r="N296">
        <v>16705</v>
      </c>
      <c r="O296">
        <v>2662</v>
      </c>
      <c r="P296" s="128">
        <v>63850</v>
      </c>
      <c r="Q296" s="128">
        <v>50477</v>
      </c>
      <c r="R296" s="128">
        <v>13373</v>
      </c>
      <c r="S296" s="128">
        <f t="shared" si="20"/>
        <v>143094218.99999997</v>
      </c>
      <c r="T296">
        <f t="shared" si="21"/>
        <v>31291218.99999997</v>
      </c>
      <c r="U296">
        <f t="shared" si="22"/>
        <v>31291218.99999997</v>
      </c>
      <c r="V296">
        <v>1639697</v>
      </c>
      <c r="W296" s="188">
        <f t="shared" si="23"/>
        <v>1.9083537385260797E-2</v>
      </c>
      <c r="Y296" s="188"/>
      <c r="AB296" s="188"/>
    </row>
    <row r="297" spans="1:28" x14ac:dyDescent="0.25">
      <c r="A297" t="s">
        <v>524</v>
      </c>
      <c r="B297" t="s">
        <v>232</v>
      </c>
      <c r="C297">
        <f t="shared" si="24"/>
        <v>11931</v>
      </c>
      <c r="D297">
        <v>9023</v>
      </c>
      <c r="E297">
        <v>2908</v>
      </c>
      <c r="F297">
        <v>0</v>
      </c>
      <c r="G297">
        <v>731</v>
      </c>
      <c r="H297">
        <v>1220</v>
      </c>
      <c r="I297">
        <v>502</v>
      </c>
      <c r="J297">
        <v>6059</v>
      </c>
      <c r="K297">
        <v>5921</v>
      </c>
      <c r="L297">
        <v>600</v>
      </c>
      <c r="M297">
        <v>1072</v>
      </c>
      <c r="N297">
        <v>1700</v>
      </c>
      <c r="O297">
        <v>223</v>
      </c>
      <c r="P297" s="128">
        <v>8784</v>
      </c>
      <c r="Q297" s="128">
        <v>7904</v>
      </c>
      <c r="R297" s="128">
        <v>880</v>
      </c>
      <c r="S297" s="128">
        <f t="shared" si="20"/>
        <v>17907391.999999996</v>
      </c>
      <c r="T297">
        <f t="shared" si="21"/>
        <v>5976391.9999999963</v>
      </c>
      <c r="U297">
        <f t="shared" si="22"/>
        <v>5976391.9999999963</v>
      </c>
      <c r="V297">
        <v>130269</v>
      </c>
      <c r="W297" s="188">
        <f t="shared" si="23"/>
        <v>4.5877315401208242E-2</v>
      </c>
      <c r="Y297" s="188"/>
      <c r="AB297" s="188"/>
    </row>
    <row r="298" spans="1:28" x14ac:dyDescent="0.25">
      <c r="A298" t="s">
        <v>526</v>
      </c>
      <c r="B298" t="s">
        <v>423</v>
      </c>
      <c r="C298">
        <f t="shared" si="24"/>
        <v>2159</v>
      </c>
      <c r="D298">
        <v>1564</v>
      </c>
      <c r="E298">
        <v>595</v>
      </c>
      <c r="F298">
        <v>572</v>
      </c>
      <c r="G298">
        <v>0</v>
      </c>
      <c r="H298">
        <v>1001</v>
      </c>
      <c r="I298">
        <v>67</v>
      </c>
      <c r="J298">
        <v>1422</v>
      </c>
      <c r="K298">
        <v>1550</v>
      </c>
      <c r="L298">
        <v>115</v>
      </c>
      <c r="M298">
        <v>0</v>
      </c>
      <c r="N298">
        <v>87</v>
      </c>
      <c r="O298">
        <v>34</v>
      </c>
      <c r="P298" s="128">
        <v>1138</v>
      </c>
      <c r="Q298" s="128">
        <v>1014</v>
      </c>
      <c r="R298" s="128">
        <v>123</v>
      </c>
      <c r="S298" s="128">
        <f t="shared" si="20"/>
        <v>2334780</v>
      </c>
      <c r="T298">
        <f t="shared" si="21"/>
        <v>175780</v>
      </c>
      <c r="U298">
        <f t="shared" si="22"/>
        <v>175780</v>
      </c>
      <c r="V298">
        <v>32784</v>
      </c>
      <c r="W298" s="188">
        <f t="shared" si="23"/>
        <v>5.3617618350414835E-3</v>
      </c>
      <c r="Y298" s="188"/>
      <c r="AB298" s="188"/>
    </row>
    <row r="299" spans="1:28" x14ac:dyDescent="0.25">
      <c r="A299" t="s">
        <v>526</v>
      </c>
      <c r="B299" t="s">
        <v>424</v>
      </c>
      <c r="C299">
        <f t="shared" si="24"/>
        <v>5322</v>
      </c>
      <c r="D299">
        <v>3189</v>
      </c>
      <c r="E299">
        <v>2133</v>
      </c>
      <c r="F299">
        <v>2238</v>
      </c>
      <c r="G299">
        <v>0</v>
      </c>
      <c r="H299">
        <v>1901</v>
      </c>
      <c r="I299">
        <v>103</v>
      </c>
      <c r="J299">
        <v>2773</v>
      </c>
      <c r="K299">
        <v>1085</v>
      </c>
      <c r="L299">
        <v>177</v>
      </c>
      <c r="M299">
        <v>150</v>
      </c>
      <c r="N299">
        <v>847</v>
      </c>
      <c r="O299">
        <v>177</v>
      </c>
      <c r="P299" s="128">
        <v>2286</v>
      </c>
      <c r="Q299" s="128">
        <v>1981</v>
      </c>
      <c r="R299" s="128">
        <v>306</v>
      </c>
      <c r="S299" s="128">
        <f t="shared" si="20"/>
        <v>4804829</v>
      </c>
      <c r="T299">
        <f t="shared" si="21"/>
        <v>-517171</v>
      </c>
      <c r="U299">
        <f t="shared" si="22"/>
        <v>0</v>
      </c>
      <c r="V299">
        <v>56601</v>
      </c>
      <c r="W299" s="188">
        <f t="shared" si="23"/>
        <v>-9.137135386300595E-3</v>
      </c>
      <c r="Y299" s="188"/>
      <c r="AB299" s="188"/>
    </row>
    <row r="300" spans="1:28" x14ac:dyDescent="0.25">
      <c r="A300" t="s">
        <v>517</v>
      </c>
      <c r="B300" t="s">
        <v>393</v>
      </c>
      <c r="C300">
        <f t="shared" si="24"/>
        <v>7963</v>
      </c>
      <c r="D300">
        <v>5374</v>
      </c>
      <c r="E300">
        <v>2589</v>
      </c>
      <c r="F300">
        <v>55</v>
      </c>
      <c r="G300">
        <v>-1</v>
      </c>
      <c r="H300">
        <v>0</v>
      </c>
      <c r="I300">
        <v>70</v>
      </c>
      <c r="J300">
        <v>3217</v>
      </c>
      <c r="K300">
        <v>3629</v>
      </c>
      <c r="L300">
        <v>324</v>
      </c>
      <c r="M300">
        <v>172</v>
      </c>
      <c r="N300">
        <v>434</v>
      </c>
      <c r="O300">
        <v>173</v>
      </c>
      <c r="P300" s="128">
        <v>4796</v>
      </c>
      <c r="Q300" s="128">
        <v>4133</v>
      </c>
      <c r="R300" s="128">
        <v>663</v>
      </c>
      <c r="S300" s="128">
        <f t="shared" si="20"/>
        <v>10115526.999999998</v>
      </c>
      <c r="T300">
        <f t="shared" si="21"/>
        <v>2152526.9999999981</v>
      </c>
      <c r="U300">
        <f t="shared" si="22"/>
        <v>2152526.9999999981</v>
      </c>
      <c r="V300">
        <v>86674</v>
      </c>
      <c r="W300" s="188">
        <f t="shared" si="23"/>
        <v>2.4834748598195514E-2</v>
      </c>
      <c r="Y300" s="188"/>
      <c r="AB300" s="188"/>
    </row>
    <row r="301" spans="1:28" x14ac:dyDescent="0.25">
      <c r="A301" t="s">
        <v>525</v>
      </c>
      <c r="B301" t="s">
        <v>126</v>
      </c>
      <c r="C301">
        <f t="shared" si="24"/>
        <v>7260</v>
      </c>
      <c r="D301">
        <v>4306</v>
      </c>
      <c r="E301">
        <v>2954</v>
      </c>
      <c r="F301">
        <v>0</v>
      </c>
      <c r="G301">
        <v>13</v>
      </c>
      <c r="H301">
        <v>0</v>
      </c>
      <c r="I301">
        <v>0</v>
      </c>
      <c r="J301">
        <v>1454</v>
      </c>
      <c r="K301">
        <v>3266</v>
      </c>
      <c r="L301">
        <v>289</v>
      </c>
      <c r="M301">
        <v>189</v>
      </c>
      <c r="N301">
        <v>878</v>
      </c>
      <c r="O301">
        <v>17</v>
      </c>
      <c r="P301" s="128">
        <v>2386</v>
      </c>
      <c r="Q301" s="128">
        <v>1903</v>
      </c>
      <c r="R301" s="128">
        <v>483</v>
      </c>
      <c r="S301" s="128">
        <f t="shared" si="20"/>
        <v>5316256.9999999991</v>
      </c>
      <c r="T301">
        <f t="shared" si="21"/>
        <v>-1943743.0000000009</v>
      </c>
      <c r="U301">
        <f t="shared" si="22"/>
        <v>0</v>
      </c>
      <c r="V301">
        <v>111637</v>
      </c>
      <c r="W301" s="188">
        <f t="shared" si="23"/>
        <v>-1.7411279414531033E-2</v>
      </c>
      <c r="Y301" s="188"/>
      <c r="AB301" s="188"/>
    </row>
    <row r="302" spans="1:28" x14ac:dyDescent="0.25">
      <c r="A302" t="s">
        <v>524</v>
      </c>
      <c r="B302" t="s">
        <v>233</v>
      </c>
      <c r="C302">
        <f t="shared" si="24"/>
        <v>13781</v>
      </c>
      <c r="D302">
        <v>7613</v>
      </c>
      <c r="E302">
        <v>6168</v>
      </c>
      <c r="F302">
        <v>1355</v>
      </c>
      <c r="G302">
        <v>87</v>
      </c>
      <c r="H302">
        <v>65</v>
      </c>
      <c r="I302">
        <v>1167</v>
      </c>
      <c r="J302">
        <v>3288</v>
      </c>
      <c r="K302">
        <v>6797</v>
      </c>
      <c r="L302">
        <v>713</v>
      </c>
      <c r="M302">
        <v>1107</v>
      </c>
      <c r="N302">
        <v>2508</v>
      </c>
      <c r="O302">
        <v>124</v>
      </c>
      <c r="P302" s="128">
        <v>8793</v>
      </c>
      <c r="Q302" s="128">
        <v>7281</v>
      </c>
      <c r="R302" s="128">
        <v>1512</v>
      </c>
      <c r="S302" s="128">
        <f t="shared" si="20"/>
        <v>19095164.999999996</v>
      </c>
      <c r="T302">
        <f t="shared" si="21"/>
        <v>5314164.9999999963</v>
      </c>
      <c r="U302">
        <f t="shared" si="22"/>
        <v>5314164.9999999963</v>
      </c>
      <c r="V302">
        <v>207030</v>
      </c>
      <c r="W302" s="188">
        <f t="shared" si="23"/>
        <v>2.5668574602714565E-2</v>
      </c>
      <c r="Y302" s="188"/>
      <c r="AB302" s="188"/>
    </row>
    <row r="303" spans="1:28" x14ac:dyDescent="0.25">
      <c r="A303" t="s">
        <v>528</v>
      </c>
      <c r="B303" t="s">
        <v>341</v>
      </c>
      <c r="C303">
        <f t="shared" si="24"/>
        <v>5416</v>
      </c>
      <c r="D303">
        <v>3963</v>
      </c>
      <c r="E303">
        <v>1453</v>
      </c>
      <c r="F303">
        <v>3342</v>
      </c>
      <c r="G303">
        <v>836</v>
      </c>
      <c r="H303">
        <v>7303</v>
      </c>
      <c r="I303">
        <v>126</v>
      </c>
      <c r="J303">
        <v>2408</v>
      </c>
      <c r="K303">
        <v>3329</v>
      </c>
      <c r="L303">
        <v>243</v>
      </c>
      <c r="M303">
        <v>488</v>
      </c>
      <c r="N303">
        <v>607</v>
      </c>
      <c r="O303">
        <v>349</v>
      </c>
      <c r="P303" s="128">
        <v>4826</v>
      </c>
      <c r="Q303" s="128">
        <v>4074</v>
      </c>
      <c r="R303" s="128">
        <v>752</v>
      </c>
      <c r="S303" s="128">
        <f t="shared" si="20"/>
        <v>10336034</v>
      </c>
      <c r="T303">
        <f t="shared" si="21"/>
        <v>4920034</v>
      </c>
      <c r="U303">
        <f t="shared" si="22"/>
        <v>4920034</v>
      </c>
      <c r="V303">
        <v>73436</v>
      </c>
      <c r="W303" s="188">
        <f t="shared" si="23"/>
        <v>6.6997576120703742E-2</v>
      </c>
      <c r="Y303" s="188"/>
      <c r="AB303" s="188"/>
    </row>
    <row r="304" spans="1:28" x14ac:dyDescent="0.25">
      <c r="A304" t="s">
        <v>517</v>
      </c>
      <c r="B304" t="s">
        <v>394</v>
      </c>
      <c r="C304">
        <f t="shared" si="24"/>
        <v>11545</v>
      </c>
      <c r="D304">
        <v>6257</v>
      </c>
      <c r="E304">
        <v>5288</v>
      </c>
      <c r="F304">
        <v>0</v>
      </c>
      <c r="G304">
        <v>0</v>
      </c>
      <c r="H304">
        <v>92</v>
      </c>
      <c r="I304">
        <v>543</v>
      </c>
      <c r="J304">
        <v>3237</v>
      </c>
      <c r="K304">
        <v>4259</v>
      </c>
      <c r="L304">
        <v>446</v>
      </c>
      <c r="M304">
        <v>113</v>
      </c>
      <c r="N304">
        <v>1318</v>
      </c>
      <c r="O304">
        <v>88</v>
      </c>
      <c r="P304" s="128">
        <v>7862</v>
      </c>
      <c r="Q304" s="128">
        <v>6446</v>
      </c>
      <c r="R304" s="128">
        <v>1416</v>
      </c>
      <c r="S304" s="128">
        <f t="shared" si="20"/>
        <v>17192134</v>
      </c>
      <c r="T304">
        <f t="shared" si="21"/>
        <v>5647134</v>
      </c>
      <c r="U304">
        <f t="shared" si="22"/>
        <v>5647134</v>
      </c>
      <c r="V304">
        <v>124110</v>
      </c>
      <c r="W304" s="188">
        <f t="shared" si="23"/>
        <v>4.5501039400531788E-2</v>
      </c>
      <c r="Y304" s="188"/>
      <c r="AB304" s="188"/>
    </row>
    <row r="305" spans="1:28" x14ac:dyDescent="0.25">
      <c r="A305" t="s">
        <v>518</v>
      </c>
      <c r="B305" t="s">
        <v>276</v>
      </c>
      <c r="C305">
        <f t="shared" si="24"/>
        <v>16457</v>
      </c>
      <c r="D305">
        <v>8623</v>
      </c>
      <c r="E305">
        <v>7834</v>
      </c>
      <c r="F305">
        <v>294</v>
      </c>
      <c r="G305">
        <v>2494</v>
      </c>
      <c r="H305">
        <v>602</v>
      </c>
      <c r="I305">
        <v>604</v>
      </c>
      <c r="J305">
        <v>5776</v>
      </c>
      <c r="K305">
        <v>10258</v>
      </c>
      <c r="L305">
        <v>578</v>
      </c>
      <c r="M305">
        <v>380</v>
      </c>
      <c r="N305">
        <v>222</v>
      </c>
      <c r="O305">
        <v>125</v>
      </c>
      <c r="P305" s="128">
        <v>10429</v>
      </c>
      <c r="Q305" s="128">
        <v>8839</v>
      </c>
      <c r="R305" s="128">
        <v>1590</v>
      </c>
      <c r="S305" s="128">
        <f t="shared" si="20"/>
        <v>22271206.999999996</v>
      </c>
      <c r="T305">
        <f t="shared" si="21"/>
        <v>5814206.9999999963</v>
      </c>
      <c r="U305">
        <f t="shared" si="22"/>
        <v>5814206.9999999963</v>
      </c>
      <c r="V305">
        <v>209618</v>
      </c>
      <c r="W305" s="188">
        <f t="shared" si="23"/>
        <v>2.7737155206136861E-2</v>
      </c>
      <c r="Y305" s="188"/>
      <c r="AB305" s="188"/>
    </row>
    <row r="306" spans="1:28" x14ac:dyDescent="0.25">
      <c r="A306" t="s">
        <v>526</v>
      </c>
      <c r="B306" t="s">
        <v>425</v>
      </c>
      <c r="C306">
        <f t="shared" si="24"/>
        <v>39599</v>
      </c>
      <c r="D306">
        <v>18767</v>
      </c>
      <c r="E306">
        <v>20832</v>
      </c>
      <c r="F306">
        <v>2054</v>
      </c>
      <c r="G306">
        <v>0</v>
      </c>
      <c r="H306">
        <v>1253</v>
      </c>
      <c r="I306">
        <v>1234</v>
      </c>
      <c r="J306">
        <v>8138</v>
      </c>
      <c r="K306">
        <v>9897</v>
      </c>
      <c r="L306">
        <v>1252</v>
      </c>
      <c r="M306">
        <v>374</v>
      </c>
      <c r="N306">
        <v>3905</v>
      </c>
      <c r="O306">
        <v>1014</v>
      </c>
      <c r="P306" s="128">
        <v>13714</v>
      </c>
      <c r="Q306" s="128">
        <v>10163</v>
      </c>
      <c r="R306" s="128">
        <v>3550</v>
      </c>
      <c r="S306" s="128">
        <f t="shared" si="20"/>
        <v>31988338.999999996</v>
      </c>
      <c r="T306">
        <f t="shared" si="21"/>
        <v>-7610661.0000000037</v>
      </c>
      <c r="U306">
        <f t="shared" si="22"/>
        <v>0</v>
      </c>
      <c r="V306">
        <v>439703</v>
      </c>
      <c r="W306" s="188">
        <f t="shared" si="23"/>
        <v>-1.7308640150283269E-2</v>
      </c>
      <c r="Y306" s="188"/>
      <c r="AB306" s="188"/>
    </row>
    <row r="307" spans="1:28" x14ac:dyDescent="0.25">
      <c r="A307" t="s">
        <v>526</v>
      </c>
      <c r="B307" t="s">
        <v>426</v>
      </c>
      <c r="C307">
        <f t="shared" si="24"/>
        <v>14690</v>
      </c>
      <c r="D307">
        <v>6305</v>
      </c>
      <c r="E307">
        <v>8385</v>
      </c>
      <c r="F307">
        <v>279</v>
      </c>
      <c r="G307">
        <v>0</v>
      </c>
      <c r="H307">
        <v>612</v>
      </c>
      <c r="I307">
        <v>95</v>
      </c>
      <c r="J307">
        <v>4319</v>
      </c>
      <c r="K307">
        <v>3653</v>
      </c>
      <c r="L307">
        <v>449</v>
      </c>
      <c r="M307">
        <v>37</v>
      </c>
      <c r="N307">
        <v>1276</v>
      </c>
      <c r="O307">
        <v>318</v>
      </c>
      <c r="P307" s="128">
        <v>6078</v>
      </c>
      <c r="Q307" s="128">
        <v>4422</v>
      </c>
      <c r="R307" s="128">
        <v>1655</v>
      </c>
      <c r="S307" s="128">
        <f t="shared" si="20"/>
        <v>14327395.999999998</v>
      </c>
      <c r="T307">
        <f t="shared" si="21"/>
        <v>-362604.00000000186</v>
      </c>
      <c r="U307">
        <f t="shared" si="22"/>
        <v>0</v>
      </c>
      <c r="V307">
        <v>132698</v>
      </c>
      <c r="W307" s="188">
        <f t="shared" si="23"/>
        <v>-2.7325506036262933E-3</v>
      </c>
      <c r="Y307" s="188"/>
      <c r="AB307" s="188"/>
    </row>
    <row r="308" spans="1:28" x14ac:dyDescent="0.25">
      <c r="A308" t="s">
        <v>524</v>
      </c>
      <c r="B308" t="s">
        <v>605</v>
      </c>
      <c r="C308">
        <f t="shared" si="24"/>
        <v>11952</v>
      </c>
      <c r="D308">
        <v>7194</v>
      </c>
      <c r="E308">
        <v>4758</v>
      </c>
      <c r="F308">
        <v>378</v>
      </c>
      <c r="G308">
        <v>948</v>
      </c>
      <c r="H308">
        <v>228</v>
      </c>
      <c r="I308">
        <v>667</v>
      </c>
      <c r="J308">
        <v>7158</v>
      </c>
      <c r="K308">
        <v>6359</v>
      </c>
      <c r="L308">
        <v>599</v>
      </c>
      <c r="M308">
        <v>1085</v>
      </c>
      <c r="N308">
        <v>3452</v>
      </c>
      <c r="O308">
        <v>628</v>
      </c>
      <c r="P308" s="128">
        <v>7470</v>
      </c>
      <c r="Q308" s="128">
        <v>6205</v>
      </c>
      <c r="R308" s="128">
        <v>1265</v>
      </c>
      <c r="S308" s="128">
        <f t="shared" si="20"/>
        <v>16185955</v>
      </c>
      <c r="T308">
        <f t="shared" si="21"/>
        <v>4233955</v>
      </c>
      <c r="U308">
        <f t="shared" si="22"/>
        <v>4233955</v>
      </c>
      <c r="V308">
        <v>248943</v>
      </c>
      <c r="W308" s="188">
        <f t="shared" si="23"/>
        <v>1.7007728676845704E-2</v>
      </c>
      <c r="Y308" s="188"/>
      <c r="AB308" s="188"/>
    </row>
    <row r="309" spans="1:28" x14ac:dyDescent="0.25">
      <c r="A309" t="s">
        <v>521</v>
      </c>
      <c r="B309" t="s">
        <v>320</v>
      </c>
      <c r="C309">
        <f t="shared" si="24"/>
        <v>18889</v>
      </c>
      <c r="D309">
        <v>14991</v>
      </c>
      <c r="E309">
        <v>3898</v>
      </c>
      <c r="F309">
        <v>2515</v>
      </c>
      <c r="G309">
        <v>1765</v>
      </c>
      <c r="H309">
        <v>277</v>
      </c>
      <c r="I309">
        <v>311</v>
      </c>
      <c r="J309">
        <v>6115</v>
      </c>
      <c r="K309">
        <v>10824</v>
      </c>
      <c r="L309">
        <v>792</v>
      </c>
      <c r="M309">
        <v>808</v>
      </c>
      <c r="N309">
        <v>1353</v>
      </c>
      <c r="O309">
        <v>60</v>
      </c>
      <c r="P309" s="128">
        <v>8525</v>
      </c>
      <c r="Q309" s="128">
        <v>7120</v>
      </c>
      <c r="R309" s="128">
        <v>1405</v>
      </c>
      <c r="S309" s="128">
        <f t="shared" si="20"/>
        <v>18400290</v>
      </c>
      <c r="T309">
        <f t="shared" si="21"/>
        <v>-488710</v>
      </c>
      <c r="U309">
        <f t="shared" si="22"/>
        <v>0</v>
      </c>
      <c r="V309">
        <v>288894</v>
      </c>
      <c r="W309" s="188">
        <f t="shared" si="23"/>
        <v>-1.6916585321951995E-3</v>
      </c>
      <c r="Y309" s="188"/>
      <c r="AB309" s="188"/>
    </row>
    <row r="310" spans="1:28" x14ac:dyDescent="0.25">
      <c r="A310" t="s">
        <v>520</v>
      </c>
      <c r="B310" t="s">
        <v>139</v>
      </c>
      <c r="C310">
        <f t="shared" si="24"/>
        <v>644</v>
      </c>
      <c r="D310">
        <v>307</v>
      </c>
      <c r="E310">
        <v>337</v>
      </c>
      <c r="F310">
        <v>0</v>
      </c>
      <c r="G310">
        <v>40</v>
      </c>
      <c r="H310">
        <v>1624</v>
      </c>
      <c r="I310">
        <v>15</v>
      </c>
      <c r="J310">
        <v>202</v>
      </c>
      <c r="K310">
        <v>526</v>
      </c>
      <c r="L310">
        <v>104</v>
      </c>
      <c r="M310">
        <v>19</v>
      </c>
      <c r="N310">
        <v>180</v>
      </c>
      <c r="O310">
        <v>0</v>
      </c>
      <c r="P310" s="128">
        <v>468</v>
      </c>
      <c r="Q310" s="128">
        <v>382</v>
      </c>
      <c r="R310" s="128">
        <v>86</v>
      </c>
      <c r="S310" s="128">
        <f t="shared" si="20"/>
        <v>1026562</v>
      </c>
      <c r="T310">
        <f t="shared" si="21"/>
        <v>382562</v>
      </c>
      <c r="U310">
        <f t="shared" si="22"/>
        <v>382562</v>
      </c>
      <c r="V310">
        <v>9324</v>
      </c>
      <c r="W310" s="188">
        <f t="shared" si="23"/>
        <v>4.1029815529815529E-2</v>
      </c>
      <c r="Y310" s="188"/>
      <c r="AB310" s="188"/>
    </row>
    <row r="311" spans="1:28" x14ac:dyDescent="0.25">
      <c r="A311" t="s">
        <v>528</v>
      </c>
      <c r="B311" t="s">
        <v>342</v>
      </c>
      <c r="C311">
        <f t="shared" si="24"/>
        <v>13267</v>
      </c>
      <c r="D311">
        <v>5830</v>
      </c>
      <c r="E311">
        <v>7437</v>
      </c>
      <c r="F311">
        <v>2561</v>
      </c>
      <c r="G311">
        <v>1115</v>
      </c>
      <c r="H311">
        <v>889</v>
      </c>
      <c r="I311">
        <v>379</v>
      </c>
      <c r="J311">
        <v>7345</v>
      </c>
      <c r="K311">
        <v>6795</v>
      </c>
      <c r="L311">
        <v>443</v>
      </c>
      <c r="M311">
        <v>473</v>
      </c>
      <c r="N311">
        <v>1229</v>
      </c>
      <c r="O311">
        <v>293</v>
      </c>
      <c r="P311" s="128">
        <v>5013</v>
      </c>
      <c r="Q311" s="128">
        <v>3831</v>
      </c>
      <c r="R311" s="128">
        <v>1182</v>
      </c>
      <c r="S311" s="128">
        <f t="shared" si="20"/>
        <v>11479334.999999998</v>
      </c>
      <c r="T311">
        <f t="shared" si="21"/>
        <v>-1787665.0000000019</v>
      </c>
      <c r="U311">
        <f t="shared" si="22"/>
        <v>0</v>
      </c>
      <c r="V311">
        <v>270303</v>
      </c>
      <c r="W311" s="188">
        <f t="shared" si="23"/>
        <v>-6.613559597932697E-3</v>
      </c>
      <c r="Y311" s="188"/>
      <c r="AB311" s="188"/>
    </row>
    <row r="312" spans="1:28" x14ac:dyDescent="0.25">
      <c r="A312" t="s">
        <v>526</v>
      </c>
      <c r="B312" t="s">
        <v>427</v>
      </c>
      <c r="C312">
        <f t="shared" si="24"/>
        <v>2795</v>
      </c>
      <c r="D312">
        <v>2267</v>
      </c>
      <c r="E312">
        <v>528</v>
      </c>
      <c r="F312">
        <v>0</v>
      </c>
      <c r="G312">
        <v>0</v>
      </c>
      <c r="H312">
        <v>44</v>
      </c>
      <c r="I312">
        <v>70</v>
      </c>
      <c r="J312">
        <v>1735</v>
      </c>
      <c r="K312">
        <v>1357</v>
      </c>
      <c r="L312">
        <v>124</v>
      </c>
      <c r="M312">
        <v>20</v>
      </c>
      <c r="N312">
        <v>97</v>
      </c>
      <c r="O312">
        <v>54</v>
      </c>
      <c r="P312" s="128">
        <v>1565</v>
      </c>
      <c r="Q312" s="128">
        <v>1439</v>
      </c>
      <c r="R312" s="128">
        <v>126</v>
      </c>
      <c r="S312" s="128">
        <f t="shared" si="20"/>
        <v>3133422.9999999995</v>
      </c>
      <c r="T312">
        <f t="shared" si="21"/>
        <v>338422.99999999953</v>
      </c>
      <c r="U312">
        <f t="shared" si="22"/>
        <v>338422.99999999953</v>
      </c>
      <c r="V312">
        <v>29266</v>
      </c>
      <c r="W312" s="188">
        <f t="shared" si="23"/>
        <v>1.1563691655846359E-2</v>
      </c>
      <c r="Y312" s="188"/>
      <c r="AB312" s="188"/>
    </row>
    <row r="313" spans="1:28" x14ac:dyDescent="0.25">
      <c r="A313" t="s">
        <v>521</v>
      </c>
      <c r="B313" t="s">
        <v>321</v>
      </c>
      <c r="C313">
        <f t="shared" si="24"/>
        <v>6808</v>
      </c>
      <c r="D313">
        <v>5797</v>
      </c>
      <c r="E313">
        <v>1011</v>
      </c>
      <c r="F313">
        <v>0</v>
      </c>
      <c r="G313">
        <v>1150</v>
      </c>
      <c r="H313">
        <v>71</v>
      </c>
      <c r="I313">
        <v>262</v>
      </c>
      <c r="J313">
        <v>2701</v>
      </c>
      <c r="K313">
        <v>3421</v>
      </c>
      <c r="L313">
        <v>302</v>
      </c>
      <c r="M313">
        <v>287</v>
      </c>
      <c r="N313">
        <v>223</v>
      </c>
      <c r="O313">
        <v>77</v>
      </c>
      <c r="P313" s="128">
        <v>4490</v>
      </c>
      <c r="Q313" s="128">
        <v>4186</v>
      </c>
      <c r="R313" s="128">
        <v>304</v>
      </c>
      <c r="S313" s="128">
        <f t="shared" si="20"/>
        <v>8883282</v>
      </c>
      <c r="T313">
        <f t="shared" si="21"/>
        <v>2075282</v>
      </c>
      <c r="U313">
        <f t="shared" si="22"/>
        <v>2075282</v>
      </c>
      <c r="V313">
        <v>57883</v>
      </c>
      <c r="W313" s="188">
        <f t="shared" si="23"/>
        <v>3.5853048390719212E-2</v>
      </c>
      <c r="Y313" s="188"/>
      <c r="AB313" s="188"/>
    </row>
    <row r="314" spans="1:28" x14ac:dyDescent="0.25">
      <c r="A314" t="s">
        <v>519</v>
      </c>
      <c r="B314" t="s">
        <v>205</v>
      </c>
      <c r="C314">
        <f t="shared" si="24"/>
        <v>5753</v>
      </c>
      <c r="D314">
        <v>3644</v>
      </c>
      <c r="E314">
        <v>2109</v>
      </c>
      <c r="F314">
        <v>0</v>
      </c>
      <c r="G314">
        <v>1294</v>
      </c>
      <c r="H314">
        <v>206</v>
      </c>
      <c r="I314">
        <v>117</v>
      </c>
      <c r="J314">
        <v>2344</v>
      </c>
      <c r="K314">
        <v>1805</v>
      </c>
      <c r="L314">
        <v>257</v>
      </c>
      <c r="M314">
        <v>175</v>
      </c>
      <c r="N314">
        <v>1127</v>
      </c>
      <c r="O314">
        <v>173</v>
      </c>
      <c r="P314" s="128">
        <v>3874</v>
      </c>
      <c r="Q314" s="128">
        <v>3194</v>
      </c>
      <c r="R314" s="128">
        <v>680</v>
      </c>
      <c r="S314" s="128">
        <f t="shared" si="20"/>
        <v>8438562</v>
      </c>
      <c r="T314">
        <f t="shared" si="21"/>
        <v>2685562</v>
      </c>
      <c r="U314">
        <f t="shared" si="22"/>
        <v>2685562</v>
      </c>
      <c r="V314">
        <v>72872</v>
      </c>
      <c r="W314" s="188">
        <f t="shared" si="23"/>
        <v>3.6853139751893735E-2</v>
      </c>
      <c r="Y314" s="188"/>
      <c r="AB314" s="188"/>
    </row>
    <row r="315" spans="1:28" x14ac:dyDescent="0.25">
      <c r="A315" t="s">
        <v>517</v>
      </c>
      <c r="B315" t="s">
        <v>395</v>
      </c>
      <c r="C315">
        <f t="shared" si="24"/>
        <v>7793</v>
      </c>
      <c r="D315">
        <v>5013</v>
      </c>
      <c r="E315">
        <v>2780</v>
      </c>
      <c r="F315">
        <v>0</v>
      </c>
      <c r="G315">
        <v>0</v>
      </c>
      <c r="H315">
        <v>210</v>
      </c>
      <c r="I315">
        <v>38</v>
      </c>
      <c r="J315">
        <v>3699</v>
      </c>
      <c r="K315">
        <v>2866</v>
      </c>
      <c r="L315">
        <v>328</v>
      </c>
      <c r="M315">
        <v>20</v>
      </c>
      <c r="N315">
        <v>1007</v>
      </c>
      <c r="O315">
        <v>206</v>
      </c>
      <c r="P315" s="128">
        <v>5180</v>
      </c>
      <c r="Q315" s="128">
        <v>4474</v>
      </c>
      <c r="R315" s="128">
        <v>706</v>
      </c>
      <c r="S315" s="128">
        <f>0.1853%*SUM(Q315,R315,R315)*1000000</f>
        <v>10906757.999999998</v>
      </c>
      <c r="T315">
        <f>SUM(S315,-C315*1000)</f>
        <v>3113757.9999999981</v>
      </c>
      <c r="U315" s="128">
        <f>IF(T315&gt;0,T315,0)</f>
        <v>3113757.9999999981</v>
      </c>
      <c r="V315">
        <v>78005</v>
      </c>
      <c r="W315" s="188">
        <f>T315/(V315*1000)</f>
        <v>3.9917415550285211E-2</v>
      </c>
      <c r="Y315" s="188"/>
      <c r="AB315" s="188"/>
    </row>
    <row r="316" spans="1:28" x14ac:dyDescent="0.25">
      <c r="A316" t="s">
        <v>520</v>
      </c>
      <c r="B316" t="s">
        <v>606</v>
      </c>
      <c r="C316">
        <f t="shared" si="24"/>
        <v>7442</v>
      </c>
      <c r="D316">
        <v>5038</v>
      </c>
      <c r="E316">
        <v>2404</v>
      </c>
      <c r="F316">
        <v>397</v>
      </c>
      <c r="G316">
        <v>0</v>
      </c>
      <c r="H316">
        <v>0</v>
      </c>
      <c r="I316">
        <v>-1</v>
      </c>
      <c r="J316">
        <v>5165</v>
      </c>
      <c r="K316">
        <v>4949</v>
      </c>
      <c r="L316">
        <v>438</v>
      </c>
      <c r="M316">
        <v>148</v>
      </c>
      <c r="N316">
        <v>858</v>
      </c>
      <c r="O316">
        <v>189</v>
      </c>
      <c r="P316" s="128">
        <v>4274</v>
      </c>
      <c r="Q316" s="128">
        <v>3524</v>
      </c>
      <c r="R316" s="128">
        <v>750</v>
      </c>
      <c r="S316" s="128">
        <f t="shared" si="20"/>
        <v>9309472</v>
      </c>
      <c r="T316">
        <f t="shared" si="21"/>
        <v>1867472</v>
      </c>
      <c r="U316">
        <f t="shared" si="22"/>
        <v>1867472</v>
      </c>
      <c r="V316">
        <v>135228</v>
      </c>
      <c r="W316" s="188">
        <f t="shared" si="23"/>
        <v>1.3809802703582098E-2</v>
      </c>
      <c r="Y316" s="188"/>
      <c r="AB316" s="188"/>
    </row>
    <row r="317" spans="1:28" x14ac:dyDescent="0.25">
      <c r="A317" t="s">
        <v>517</v>
      </c>
      <c r="B317" t="s">
        <v>396</v>
      </c>
      <c r="C317">
        <f t="shared" si="24"/>
        <v>3812</v>
      </c>
      <c r="D317">
        <v>3112</v>
      </c>
      <c r="E317">
        <v>700</v>
      </c>
      <c r="F317">
        <v>0</v>
      </c>
      <c r="G317">
        <v>2</v>
      </c>
      <c r="H317">
        <v>96</v>
      </c>
      <c r="I317">
        <v>41</v>
      </c>
      <c r="J317">
        <v>1593</v>
      </c>
      <c r="K317">
        <v>1431</v>
      </c>
      <c r="L317">
        <v>190</v>
      </c>
      <c r="M317">
        <v>53</v>
      </c>
      <c r="N317">
        <v>1056</v>
      </c>
      <c r="O317">
        <v>178</v>
      </c>
      <c r="P317" s="128">
        <v>2953</v>
      </c>
      <c r="Q317" s="128">
        <v>2724</v>
      </c>
      <c r="R317" s="128">
        <v>229</v>
      </c>
      <c r="S317" s="128">
        <f t="shared" si="20"/>
        <v>5896246</v>
      </c>
      <c r="T317">
        <f t="shared" si="21"/>
        <v>2084246</v>
      </c>
      <c r="U317">
        <f t="shared" si="22"/>
        <v>2084246</v>
      </c>
      <c r="V317">
        <v>38250</v>
      </c>
      <c r="W317" s="188">
        <f t="shared" si="23"/>
        <v>5.4490091503267973E-2</v>
      </c>
      <c r="Y317" s="188"/>
      <c r="AB317" s="188"/>
    </row>
    <row r="318" spans="1:28" x14ac:dyDescent="0.25">
      <c r="A318" t="s">
        <v>517</v>
      </c>
      <c r="B318" t="s">
        <v>397</v>
      </c>
      <c r="C318">
        <f t="shared" si="24"/>
        <v>12458</v>
      </c>
      <c r="D318">
        <v>6051</v>
      </c>
      <c r="E318">
        <v>6407</v>
      </c>
      <c r="F318">
        <v>585</v>
      </c>
      <c r="G318">
        <v>96</v>
      </c>
      <c r="H318">
        <v>443</v>
      </c>
      <c r="I318">
        <v>296</v>
      </c>
      <c r="J318">
        <v>3676</v>
      </c>
      <c r="K318">
        <v>3836</v>
      </c>
      <c r="L318">
        <v>509</v>
      </c>
      <c r="M318">
        <v>369</v>
      </c>
      <c r="N318">
        <v>2034</v>
      </c>
      <c r="O318">
        <v>133</v>
      </c>
      <c r="P318" s="128">
        <v>7160</v>
      </c>
      <c r="Q318" s="128">
        <v>5475</v>
      </c>
      <c r="R318" s="128">
        <v>1686</v>
      </c>
      <c r="S318" s="128">
        <f t="shared" si="20"/>
        <v>16393490.999999998</v>
      </c>
      <c r="T318">
        <f t="shared" si="21"/>
        <v>3935490.9999999981</v>
      </c>
      <c r="U318">
        <f t="shared" si="22"/>
        <v>3935490.9999999981</v>
      </c>
      <c r="V318">
        <v>179015</v>
      </c>
      <c r="W318" s="188">
        <f t="shared" si="23"/>
        <v>2.198414099377146E-2</v>
      </c>
      <c r="Y318" s="188"/>
      <c r="AB318" s="188"/>
    </row>
    <row r="319" spans="1:28" x14ac:dyDescent="0.25">
      <c r="A319" t="s">
        <v>521</v>
      </c>
      <c r="B319" t="s">
        <v>322</v>
      </c>
      <c r="C319">
        <f t="shared" si="24"/>
        <v>7988</v>
      </c>
      <c r="D319">
        <v>4010</v>
      </c>
      <c r="E319">
        <v>3978</v>
      </c>
      <c r="F319">
        <v>0</v>
      </c>
      <c r="G319">
        <v>587</v>
      </c>
      <c r="H319">
        <v>25</v>
      </c>
      <c r="I319">
        <v>-1</v>
      </c>
      <c r="J319">
        <v>2424</v>
      </c>
      <c r="K319">
        <v>3877</v>
      </c>
      <c r="L319">
        <v>289</v>
      </c>
      <c r="M319">
        <v>306</v>
      </c>
      <c r="N319">
        <v>1579</v>
      </c>
      <c r="O319">
        <v>243</v>
      </c>
      <c r="P319" s="128">
        <v>4129</v>
      </c>
      <c r="Q319" s="128">
        <v>3288</v>
      </c>
      <c r="R319" s="128">
        <v>841</v>
      </c>
      <c r="S319" s="128">
        <f t="shared" si="20"/>
        <v>9209409.9999999981</v>
      </c>
      <c r="T319">
        <f t="shared" si="21"/>
        <v>1221409.9999999981</v>
      </c>
      <c r="U319">
        <f t="shared" si="22"/>
        <v>1221409.9999999981</v>
      </c>
      <c r="V319">
        <v>91257</v>
      </c>
      <c r="W319" s="188">
        <f t="shared" si="23"/>
        <v>1.3384288328566555E-2</v>
      </c>
      <c r="Y319" s="188"/>
      <c r="AB319" s="188"/>
    </row>
    <row r="320" spans="1:28" x14ac:dyDescent="0.25">
      <c r="A320" t="s">
        <v>519</v>
      </c>
      <c r="B320" t="s">
        <v>206</v>
      </c>
      <c r="C320">
        <f t="shared" si="24"/>
        <v>12135</v>
      </c>
      <c r="D320">
        <v>6459</v>
      </c>
      <c r="E320">
        <v>5676</v>
      </c>
      <c r="F320">
        <v>982</v>
      </c>
      <c r="G320">
        <v>17</v>
      </c>
      <c r="H320">
        <v>209</v>
      </c>
      <c r="I320">
        <v>285</v>
      </c>
      <c r="J320">
        <v>2588</v>
      </c>
      <c r="K320">
        <v>4470</v>
      </c>
      <c r="L320">
        <v>418</v>
      </c>
      <c r="M320">
        <v>485</v>
      </c>
      <c r="N320">
        <v>2282</v>
      </c>
      <c r="O320">
        <v>1596</v>
      </c>
      <c r="P320" s="128">
        <v>5161</v>
      </c>
      <c r="Q320" s="128">
        <v>4271</v>
      </c>
      <c r="R320" s="128">
        <v>890</v>
      </c>
      <c r="S320" s="128">
        <f t="shared" si="20"/>
        <v>11212502.999999998</v>
      </c>
      <c r="T320">
        <f t="shared" si="21"/>
        <v>-922497.00000000186</v>
      </c>
      <c r="U320">
        <f t="shared" si="22"/>
        <v>0</v>
      </c>
      <c r="V320">
        <v>114144</v>
      </c>
      <c r="W320" s="188">
        <f t="shared" si="23"/>
        <v>-8.0818702691337427E-3</v>
      </c>
      <c r="Y320" s="188"/>
      <c r="AB320" s="188"/>
    </row>
    <row r="321" spans="1:28" x14ac:dyDescent="0.25">
      <c r="A321" t="s">
        <v>521</v>
      </c>
      <c r="B321" t="s">
        <v>323</v>
      </c>
      <c r="C321">
        <f t="shared" si="24"/>
        <v>9968</v>
      </c>
      <c r="D321">
        <v>7321</v>
      </c>
      <c r="E321">
        <v>2647</v>
      </c>
      <c r="F321">
        <v>0</v>
      </c>
      <c r="G321">
        <v>1983</v>
      </c>
      <c r="H321">
        <v>613</v>
      </c>
      <c r="I321">
        <v>346</v>
      </c>
      <c r="J321">
        <v>2637</v>
      </c>
      <c r="K321">
        <v>4248</v>
      </c>
      <c r="L321">
        <v>390</v>
      </c>
      <c r="M321">
        <v>37</v>
      </c>
      <c r="N321">
        <v>1393</v>
      </c>
      <c r="O321">
        <v>82</v>
      </c>
      <c r="P321" s="128">
        <v>7907</v>
      </c>
      <c r="Q321" s="128">
        <v>7298</v>
      </c>
      <c r="R321" s="128">
        <v>609</v>
      </c>
      <c r="S321" s="128">
        <f t="shared" si="20"/>
        <v>15780147.999999998</v>
      </c>
      <c r="T321">
        <f t="shared" si="21"/>
        <v>5812147.9999999981</v>
      </c>
      <c r="U321">
        <f t="shared" si="22"/>
        <v>5812147.9999999981</v>
      </c>
      <c r="V321">
        <v>68550</v>
      </c>
      <c r="W321" s="188">
        <f t="shared" si="23"/>
        <v>8.4786987600291727E-2</v>
      </c>
      <c r="Y321" s="188"/>
      <c r="AB321" s="188"/>
    </row>
    <row r="322" spans="1:28" x14ac:dyDescent="0.25">
      <c r="A322" t="s">
        <v>518</v>
      </c>
      <c r="B322" t="s">
        <v>277</v>
      </c>
      <c r="C322">
        <f t="shared" si="24"/>
        <v>3238</v>
      </c>
      <c r="D322">
        <v>2600</v>
      </c>
      <c r="E322">
        <v>638</v>
      </c>
      <c r="F322">
        <v>209</v>
      </c>
      <c r="G322">
        <v>14</v>
      </c>
      <c r="H322">
        <v>573</v>
      </c>
      <c r="I322">
        <v>89</v>
      </c>
      <c r="J322">
        <v>1186</v>
      </c>
      <c r="K322">
        <v>1814</v>
      </c>
      <c r="L322">
        <v>186</v>
      </c>
      <c r="M322">
        <v>246</v>
      </c>
      <c r="N322">
        <v>1218</v>
      </c>
      <c r="O322">
        <v>58</v>
      </c>
      <c r="P322" s="128">
        <v>2975</v>
      </c>
      <c r="Q322" s="128">
        <v>2799</v>
      </c>
      <c r="R322" s="128">
        <v>176</v>
      </c>
      <c r="S322" s="128">
        <f t="shared" ref="S322:S357" si="25">0.1853%*SUM(Q322,R322,R322)*1000000</f>
        <v>5838802.9999999991</v>
      </c>
      <c r="T322">
        <f t="shared" ref="T322:T357" si="26">SUM(S322,-C322*1000)</f>
        <v>2600802.9999999991</v>
      </c>
      <c r="U322">
        <f t="shared" ref="U322:U357" si="27">IF(T322&gt;0,T322,0)</f>
        <v>2600802.9999999991</v>
      </c>
      <c r="V322">
        <v>49295</v>
      </c>
      <c r="W322" s="188">
        <f t="shared" ref="W322:W357" si="28">T322/(V322*1000)</f>
        <v>5.27599756567603E-2</v>
      </c>
      <c r="Y322" s="188"/>
      <c r="AB322" s="188"/>
    </row>
    <row r="323" spans="1:28" x14ac:dyDescent="0.25">
      <c r="A323" t="s">
        <v>526</v>
      </c>
      <c r="B323" t="s">
        <v>428</v>
      </c>
      <c r="C323">
        <f t="shared" ref="C323:C357" si="29">SUM(D323,E323)</f>
        <v>10234</v>
      </c>
      <c r="D323">
        <v>6403</v>
      </c>
      <c r="E323">
        <v>3831</v>
      </c>
      <c r="F323">
        <v>2105</v>
      </c>
      <c r="G323">
        <v>0</v>
      </c>
      <c r="H323">
        <v>1110</v>
      </c>
      <c r="I323">
        <v>411</v>
      </c>
      <c r="J323">
        <v>5122</v>
      </c>
      <c r="K323">
        <v>6115</v>
      </c>
      <c r="L323">
        <v>515</v>
      </c>
      <c r="M323">
        <v>0</v>
      </c>
      <c r="N323">
        <v>1461</v>
      </c>
      <c r="O323">
        <v>125</v>
      </c>
      <c r="P323" s="128">
        <v>7010</v>
      </c>
      <c r="Q323" s="128">
        <v>5741</v>
      </c>
      <c r="R323" s="128">
        <v>1270</v>
      </c>
      <c r="S323" s="128">
        <f t="shared" si="25"/>
        <v>15344693</v>
      </c>
      <c r="T323">
        <f t="shared" si="26"/>
        <v>5110693</v>
      </c>
      <c r="U323">
        <f t="shared" si="27"/>
        <v>5110693</v>
      </c>
      <c r="V323">
        <v>154654</v>
      </c>
      <c r="W323" s="188">
        <f t="shared" si="28"/>
        <v>3.3045980058711705E-2</v>
      </c>
      <c r="Y323" s="188"/>
      <c r="AB323" s="188"/>
    </row>
    <row r="324" spans="1:28" x14ac:dyDescent="0.25">
      <c r="A324" t="s">
        <v>518</v>
      </c>
      <c r="B324" t="s">
        <v>278</v>
      </c>
      <c r="C324">
        <f t="shared" si="29"/>
        <v>4595</v>
      </c>
      <c r="D324">
        <v>2593</v>
      </c>
      <c r="E324">
        <v>2002</v>
      </c>
      <c r="F324">
        <v>372</v>
      </c>
      <c r="G324">
        <v>0</v>
      </c>
      <c r="H324">
        <v>0</v>
      </c>
      <c r="I324">
        <v>779</v>
      </c>
      <c r="J324">
        <v>2103</v>
      </c>
      <c r="K324">
        <v>2440</v>
      </c>
      <c r="L324">
        <v>230</v>
      </c>
      <c r="M324">
        <v>191</v>
      </c>
      <c r="N324">
        <v>4868</v>
      </c>
      <c r="O324">
        <v>88</v>
      </c>
      <c r="P324" s="128">
        <v>3612</v>
      </c>
      <c r="Q324" s="128">
        <v>3153</v>
      </c>
      <c r="R324" s="128">
        <v>459</v>
      </c>
      <c r="S324" s="128">
        <f t="shared" si="25"/>
        <v>7543562.9999999991</v>
      </c>
      <c r="T324">
        <f t="shared" si="26"/>
        <v>2948562.9999999991</v>
      </c>
      <c r="U324">
        <f t="shared" si="27"/>
        <v>2948562.9999999991</v>
      </c>
      <c r="V324">
        <v>57272</v>
      </c>
      <c r="W324" s="188">
        <f t="shared" si="28"/>
        <v>5.1483499790473515E-2</v>
      </c>
      <c r="Y324" s="188"/>
      <c r="AB324" s="188"/>
    </row>
    <row r="325" spans="1:28" x14ac:dyDescent="0.25">
      <c r="A325" t="s">
        <v>519</v>
      </c>
      <c r="B325" t="s">
        <v>607</v>
      </c>
      <c r="C325">
        <f t="shared" si="29"/>
        <v>12878</v>
      </c>
      <c r="D325">
        <v>7458</v>
      </c>
      <c r="E325">
        <v>5420</v>
      </c>
      <c r="F325">
        <v>139</v>
      </c>
      <c r="G325">
        <v>4982</v>
      </c>
      <c r="H325">
        <v>166</v>
      </c>
      <c r="I325">
        <v>31</v>
      </c>
      <c r="J325">
        <v>7471</v>
      </c>
      <c r="K325">
        <v>4918</v>
      </c>
      <c r="L325">
        <v>545</v>
      </c>
      <c r="M325">
        <v>874</v>
      </c>
      <c r="N325">
        <v>2042</v>
      </c>
      <c r="O325">
        <v>1200</v>
      </c>
      <c r="P325" s="128">
        <v>7008</v>
      </c>
      <c r="Q325" s="128">
        <v>5736</v>
      </c>
      <c r="R325" s="128">
        <v>1272</v>
      </c>
      <c r="S325" s="128">
        <f t="shared" si="25"/>
        <v>15342839.999999998</v>
      </c>
      <c r="T325">
        <f t="shared" si="26"/>
        <v>2464839.9999999981</v>
      </c>
      <c r="U325">
        <f t="shared" si="27"/>
        <v>2464839.9999999981</v>
      </c>
      <c r="V325">
        <v>159503</v>
      </c>
      <c r="W325" s="188">
        <f t="shared" si="28"/>
        <v>1.5453251662978115E-2</v>
      </c>
      <c r="Y325" s="188"/>
      <c r="AB325" s="188"/>
    </row>
    <row r="326" spans="1:28" x14ac:dyDescent="0.25">
      <c r="A326" t="s">
        <v>519</v>
      </c>
      <c r="B326" t="s">
        <v>207</v>
      </c>
      <c r="C326">
        <f t="shared" si="29"/>
        <v>3939</v>
      </c>
      <c r="D326">
        <v>2448</v>
      </c>
      <c r="E326">
        <v>1491</v>
      </c>
      <c r="F326">
        <v>0</v>
      </c>
      <c r="G326">
        <v>0</v>
      </c>
      <c r="H326">
        <v>87</v>
      </c>
      <c r="I326">
        <v>73</v>
      </c>
      <c r="J326">
        <v>2456</v>
      </c>
      <c r="K326">
        <v>1853</v>
      </c>
      <c r="L326">
        <v>188</v>
      </c>
      <c r="M326">
        <v>20</v>
      </c>
      <c r="N326">
        <v>612</v>
      </c>
      <c r="O326">
        <v>301</v>
      </c>
      <c r="P326" s="128">
        <v>2506</v>
      </c>
      <c r="Q326" s="128">
        <v>2133</v>
      </c>
      <c r="R326" s="128">
        <v>373</v>
      </c>
      <c r="S326" s="128">
        <f t="shared" si="25"/>
        <v>5334786.9999999991</v>
      </c>
      <c r="T326">
        <f t="shared" si="26"/>
        <v>1395786.9999999991</v>
      </c>
      <c r="U326">
        <f t="shared" si="27"/>
        <v>1395786.9999999991</v>
      </c>
      <c r="V326">
        <v>47794</v>
      </c>
      <c r="W326" s="188">
        <f t="shared" si="28"/>
        <v>2.9204230656567749E-2</v>
      </c>
      <c r="Y326" s="188"/>
      <c r="AB326" s="188"/>
    </row>
    <row r="327" spans="1:28" x14ac:dyDescent="0.25">
      <c r="A327" t="s">
        <v>525</v>
      </c>
      <c r="B327" t="s">
        <v>608</v>
      </c>
      <c r="C327">
        <f t="shared" si="29"/>
        <v>13841</v>
      </c>
      <c r="D327">
        <v>8803</v>
      </c>
      <c r="E327">
        <v>5038</v>
      </c>
      <c r="F327">
        <v>0</v>
      </c>
      <c r="G327">
        <v>0</v>
      </c>
      <c r="H327">
        <v>0</v>
      </c>
      <c r="I327">
        <v>0</v>
      </c>
      <c r="J327">
        <v>6088</v>
      </c>
      <c r="K327">
        <v>8307</v>
      </c>
      <c r="L327">
        <v>610</v>
      </c>
      <c r="M327">
        <v>493</v>
      </c>
      <c r="N327">
        <v>2457</v>
      </c>
      <c r="O327">
        <v>128</v>
      </c>
      <c r="P327" s="128">
        <v>7064</v>
      </c>
      <c r="Q327" s="128">
        <v>5787</v>
      </c>
      <c r="R327" s="128">
        <v>1277</v>
      </c>
      <c r="S327" s="128">
        <f t="shared" si="25"/>
        <v>15455872.999999998</v>
      </c>
      <c r="T327">
        <f t="shared" si="26"/>
        <v>1614872.9999999981</v>
      </c>
      <c r="U327">
        <f t="shared" si="27"/>
        <v>1614872.9999999981</v>
      </c>
      <c r="V327">
        <v>180289</v>
      </c>
      <c r="W327" s="188">
        <f t="shared" si="28"/>
        <v>8.9571354880219993E-3</v>
      </c>
      <c r="Y327" s="188"/>
      <c r="AB327" s="188"/>
    </row>
    <row r="328" spans="1:28" x14ac:dyDescent="0.25">
      <c r="A328" t="s">
        <v>516</v>
      </c>
      <c r="B328" t="s">
        <v>116</v>
      </c>
      <c r="C328">
        <f t="shared" si="29"/>
        <v>3592</v>
      </c>
      <c r="D328">
        <v>2503</v>
      </c>
      <c r="E328">
        <v>1089</v>
      </c>
      <c r="F328">
        <v>0</v>
      </c>
      <c r="G328">
        <v>0</v>
      </c>
      <c r="H328">
        <v>1868</v>
      </c>
      <c r="I328">
        <v>0</v>
      </c>
      <c r="J328">
        <v>2105</v>
      </c>
      <c r="K328">
        <v>1379</v>
      </c>
      <c r="L328">
        <v>200</v>
      </c>
      <c r="M328">
        <v>227</v>
      </c>
      <c r="N328">
        <v>593</v>
      </c>
      <c r="O328">
        <v>34</v>
      </c>
      <c r="P328" s="128">
        <v>2874</v>
      </c>
      <c r="Q328" s="128">
        <v>2458</v>
      </c>
      <c r="R328" s="128">
        <v>417</v>
      </c>
      <c r="S328" s="128">
        <f t="shared" si="25"/>
        <v>6100076</v>
      </c>
      <c r="T328">
        <f t="shared" si="26"/>
        <v>2508076</v>
      </c>
      <c r="U328">
        <f t="shared" si="27"/>
        <v>2508076</v>
      </c>
      <c r="V328">
        <v>57217</v>
      </c>
      <c r="W328" s="188">
        <f t="shared" si="28"/>
        <v>4.383445479490361E-2</v>
      </c>
      <c r="Y328" s="188"/>
      <c r="AB328" s="188"/>
    </row>
    <row r="329" spans="1:28" x14ac:dyDescent="0.25">
      <c r="A329" t="s">
        <v>519</v>
      </c>
      <c r="B329" t="s">
        <v>208</v>
      </c>
      <c r="C329">
        <f t="shared" si="29"/>
        <v>2642</v>
      </c>
      <c r="D329">
        <v>2219</v>
      </c>
      <c r="E329">
        <v>423</v>
      </c>
      <c r="F329">
        <v>0</v>
      </c>
      <c r="G329">
        <v>139</v>
      </c>
      <c r="H329">
        <v>0</v>
      </c>
      <c r="I329">
        <v>174</v>
      </c>
      <c r="J329">
        <v>1578</v>
      </c>
      <c r="K329">
        <v>1533</v>
      </c>
      <c r="L329">
        <v>161</v>
      </c>
      <c r="M329">
        <v>26</v>
      </c>
      <c r="N329">
        <v>142</v>
      </c>
      <c r="O329">
        <v>52</v>
      </c>
      <c r="P329" s="128">
        <v>1586</v>
      </c>
      <c r="Q329" s="128">
        <v>1474</v>
      </c>
      <c r="R329" s="128">
        <v>112</v>
      </c>
      <c r="S329" s="128">
        <f t="shared" si="25"/>
        <v>3146394</v>
      </c>
      <c r="T329">
        <f t="shared" si="26"/>
        <v>504394</v>
      </c>
      <c r="U329">
        <f t="shared" si="27"/>
        <v>504394</v>
      </c>
      <c r="V329">
        <v>41399</v>
      </c>
      <c r="W329" s="188">
        <f t="shared" si="28"/>
        <v>1.2183724244546969E-2</v>
      </c>
      <c r="Y329" s="188"/>
      <c r="AB329" s="188"/>
    </row>
    <row r="330" spans="1:28" x14ac:dyDescent="0.25">
      <c r="A330" t="s">
        <v>525</v>
      </c>
      <c r="B330" t="s">
        <v>609</v>
      </c>
      <c r="C330">
        <f t="shared" si="29"/>
        <v>5678</v>
      </c>
      <c r="D330">
        <v>5038</v>
      </c>
      <c r="E330">
        <v>640</v>
      </c>
      <c r="F330">
        <v>0</v>
      </c>
      <c r="G330">
        <v>0</v>
      </c>
      <c r="H330">
        <v>367</v>
      </c>
      <c r="I330">
        <v>0</v>
      </c>
      <c r="J330">
        <v>3729</v>
      </c>
      <c r="K330">
        <v>2862</v>
      </c>
      <c r="L330">
        <v>235</v>
      </c>
      <c r="M330">
        <v>72</v>
      </c>
      <c r="N330">
        <v>815</v>
      </c>
      <c r="O330">
        <v>26</v>
      </c>
      <c r="P330" s="128">
        <v>2550</v>
      </c>
      <c r="Q330" s="128">
        <v>2032</v>
      </c>
      <c r="R330" s="128">
        <v>519</v>
      </c>
      <c r="S330" s="128">
        <f t="shared" si="25"/>
        <v>5688709.9999999991</v>
      </c>
      <c r="T330">
        <f t="shared" si="26"/>
        <v>10709.999999999069</v>
      </c>
      <c r="U330">
        <f t="shared" si="27"/>
        <v>10709.999999999069</v>
      </c>
      <c r="V330">
        <v>97229</v>
      </c>
      <c r="W330" s="188">
        <f t="shared" si="28"/>
        <v>1.101523208096254E-4</v>
      </c>
      <c r="Y330" s="188"/>
      <c r="AB330" s="188"/>
    </row>
    <row r="331" spans="1:28" x14ac:dyDescent="0.25">
      <c r="A331" t="s">
        <v>521</v>
      </c>
      <c r="B331" t="s">
        <v>324</v>
      </c>
      <c r="C331">
        <f t="shared" si="29"/>
        <v>31491</v>
      </c>
      <c r="D331">
        <v>14236</v>
      </c>
      <c r="E331">
        <v>17255</v>
      </c>
      <c r="F331">
        <v>0</v>
      </c>
      <c r="G331">
        <v>0</v>
      </c>
      <c r="H331">
        <v>343</v>
      </c>
      <c r="I331">
        <v>641</v>
      </c>
      <c r="J331">
        <v>13614</v>
      </c>
      <c r="K331">
        <v>11351</v>
      </c>
      <c r="L331">
        <v>1223</v>
      </c>
      <c r="M331">
        <v>822</v>
      </c>
      <c r="N331">
        <v>5298</v>
      </c>
      <c r="O331">
        <v>607</v>
      </c>
      <c r="P331" s="128">
        <v>19134</v>
      </c>
      <c r="Q331" s="128">
        <v>13923</v>
      </c>
      <c r="R331" s="128">
        <v>5211</v>
      </c>
      <c r="S331" s="128">
        <f t="shared" si="25"/>
        <v>45111284.999999993</v>
      </c>
      <c r="T331">
        <f t="shared" si="26"/>
        <v>13620284.999999993</v>
      </c>
      <c r="U331">
        <f t="shared" si="27"/>
        <v>13620284.999999993</v>
      </c>
      <c r="V331">
        <v>310689</v>
      </c>
      <c r="W331" s="188">
        <f t="shared" si="28"/>
        <v>4.383896758494827E-2</v>
      </c>
      <c r="Y331" s="188"/>
      <c r="AB331" s="188"/>
    </row>
    <row r="332" spans="1:28" x14ac:dyDescent="0.25">
      <c r="A332" t="s">
        <v>520</v>
      </c>
      <c r="B332" t="s">
        <v>140</v>
      </c>
      <c r="C332">
        <f t="shared" si="29"/>
        <v>4906</v>
      </c>
      <c r="D332">
        <v>3096</v>
      </c>
      <c r="E332">
        <v>1810</v>
      </c>
      <c r="F332">
        <v>0</v>
      </c>
      <c r="G332">
        <v>2299</v>
      </c>
      <c r="H332">
        <v>159</v>
      </c>
      <c r="I332">
        <v>104</v>
      </c>
      <c r="J332">
        <v>1959</v>
      </c>
      <c r="K332">
        <v>2833</v>
      </c>
      <c r="L332">
        <v>260</v>
      </c>
      <c r="M332">
        <v>104</v>
      </c>
      <c r="N332">
        <v>701</v>
      </c>
      <c r="O332">
        <v>72</v>
      </c>
      <c r="P332" s="128">
        <v>2867</v>
      </c>
      <c r="Q332" s="128">
        <v>2352</v>
      </c>
      <c r="R332" s="128">
        <v>515</v>
      </c>
      <c r="S332" s="128">
        <f t="shared" si="25"/>
        <v>6266845.9999999991</v>
      </c>
      <c r="T332">
        <f t="shared" si="26"/>
        <v>1360845.9999999991</v>
      </c>
      <c r="U332">
        <f t="shared" si="27"/>
        <v>1360845.9999999991</v>
      </c>
      <c r="V332">
        <v>82382</v>
      </c>
      <c r="W332" s="188">
        <f t="shared" si="28"/>
        <v>1.651872981962078E-2</v>
      </c>
      <c r="Y332" s="188"/>
      <c r="AB332" s="188"/>
    </row>
    <row r="333" spans="1:28" x14ac:dyDescent="0.25">
      <c r="A333" t="s">
        <v>521</v>
      </c>
      <c r="B333" t="s">
        <v>325</v>
      </c>
      <c r="C333">
        <f t="shared" si="29"/>
        <v>2708</v>
      </c>
      <c r="D333">
        <v>2374</v>
      </c>
      <c r="E333">
        <v>334</v>
      </c>
      <c r="F333">
        <v>391</v>
      </c>
      <c r="G333">
        <v>0</v>
      </c>
      <c r="H333">
        <v>892</v>
      </c>
      <c r="I333">
        <v>101</v>
      </c>
      <c r="J333">
        <v>2628</v>
      </c>
      <c r="K333">
        <v>1660</v>
      </c>
      <c r="L333">
        <v>165</v>
      </c>
      <c r="M333">
        <v>256</v>
      </c>
      <c r="N333">
        <v>368</v>
      </c>
      <c r="O333">
        <v>23</v>
      </c>
      <c r="P333" s="128">
        <v>2726</v>
      </c>
      <c r="Q333" s="128">
        <v>2445</v>
      </c>
      <c r="R333" s="128">
        <v>281</v>
      </c>
      <c r="S333" s="128">
        <f t="shared" si="25"/>
        <v>5571971</v>
      </c>
      <c r="T333">
        <f t="shared" si="26"/>
        <v>2863971</v>
      </c>
      <c r="U333">
        <f t="shared" si="27"/>
        <v>2863971</v>
      </c>
      <c r="V333">
        <v>68109</v>
      </c>
      <c r="W333" s="188">
        <f t="shared" si="28"/>
        <v>4.20498172047747E-2</v>
      </c>
      <c r="Y333" s="188"/>
      <c r="AB333" s="188"/>
    </row>
    <row r="334" spans="1:28" x14ac:dyDescent="0.25">
      <c r="A334" t="s">
        <v>522</v>
      </c>
      <c r="B334" t="s">
        <v>162</v>
      </c>
      <c r="C334">
        <f t="shared" si="29"/>
        <v>4252</v>
      </c>
      <c r="D334">
        <v>3282</v>
      </c>
      <c r="E334">
        <v>970</v>
      </c>
      <c r="F334">
        <v>0</v>
      </c>
      <c r="G334">
        <v>0</v>
      </c>
      <c r="H334">
        <v>328</v>
      </c>
      <c r="I334">
        <v>59</v>
      </c>
      <c r="J334">
        <v>2937</v>
      </c>
      <c r="K334">
        <v>1690</v>
      </c>
      <c r="L334">
        <v>230</v>
      </c>
      <c r="M334">
        <v>297</v>
      </c>
      <c r="N334">
        <v>1240</v>
      </c>
      <c r="O334">
        <v>125</v>
      </c>
      <c r="P334" s="128">
        <v>3129</v>
      </c>
      <c r="Q334" s="128">
        <v>2692</v>
      </c>
      <c r="R334" s="128">
        <v>437</v>
      </c>
      <c r="S334" s="128">
        <f t="shared" si="25"/>
        <v>6607797.9999999991</v>
      </c>
      <c r="T334">
        <f t="shared" si="26"/>
        <v>2355797.9999999991</v>
      </c>
      <c r="U334">
        <f t="shared" si="27"/>
        <v>2355797.9999999991</v>
      </c>
      <c r="V334">
        <v>58451</v>
      </c>
      <c r="W334" s="188">
        <f t="shared" si="28"/>
        <v>4.030381002891309E-2</v>
      </c>
      <c r="Y334" s="188"/>
      <c r="AB334" s="188"/>
    </row>
    <row r="335" spans="1:28" x14ac:dyDescent="0.25">
      <c r="A335" t="s">
        <v>519</v>
      </c>
      <c r="B335" t="s">
        <v>209</v>
      </c>
      <c r="C335">
        <f t="shared" si="29"/>
        <v>9299</v>
      </c>
      <c r="D335">
        <v>5826</v>
      </c>
      <c r="E335">
        <v>3473</v>
      </c>
      <c r="F335">
        <v>0</v>
      </c>
      <c r="G335">
        <v>0</v>
      </c>
      <c r="H335">
        <v>40</v>
      </c>
      <c r="I335">
        <v>717</v>
      </c>
      <c r="J335">
        <v>4088</v>
      </c>
      <c r="K335">
        <v>4513</v>
      </c>
      <c r="L335">
        <v>416</v>
      </c>
      <c r="M335">
        <v>0</v>
      </c>
      <c r="N335">
        <v>1546</v>
      </c>
      <c r="O335">
        <v>235</v>
      </c>
      <c r="P335" s="128">
        <v>5487</v>
      </c>
      <c r="Q335" s="128">
        <v>4656</v>
      </c>
      <c r="R335" s="128">
        <v>831</v>
      </c>
      <c r="S335" s="128">
        <f t="shared" si="25"/>
        <v>11707253.999999998</v>
      </c>
      <c r="T335">
        <f t="shared" si="26"/>
        <v>2408253.9999999981</v>
      </c>
      <c r="U335">
        <f t="shared" si="27"/>
        <v>2408253.9999999981</v>
      </c>
      <c r="V335">
        <v>117675</v>
      </c>
      <c r="W335" s="188">
        <f t="shared" si="28"/>
        <v>2.0465298491608226E-2</v>
      </c>
      <c r="Y335" s="188"/>
      <c r="AB335" s="188"/>
    </row>
    <row r="336" spans="1:28" x14ac:dyDescent="0.25">
      <c r="A336" t="s">
        <v>518</v>
      </c>
      <c r="B336" t="s">
        <v>279</v>
      </c>
      <c r="C336">
        <f t="shared" si="29"/>
        <v>6498</v>
      </c>
      <c r="D336">
        <v>5133</v>
      </c>
      <c r="E336">
        <v>1365</v>
      </c>
      <c r="F336">
        <v>0</v>
      </c>
      <c r="G336">
        <v>0</v>
      </c>
      <c r="H336">
        <v>465</v>
      </c>
      <c r="I336">
        <v>172</v>
      </c>
      <c r="J336">
        <v>3205</v>
      </c>
      <c r="K336">
        <v>2705</v>
      </c>
      <c r="L336">
        <v>268</v>
      </c>
      <c r="M336">
        <v>290</v>
      </c>
      <c r="N336">
        <v>696</v>
      </c>
      <c r="O336">
        <v>62</v>
      </c>
      <c r="P336" s="128">
        <v>4950</v>
      </c>
      <c r="Q336" s="128">
        <v>4500</v>
      </c>
      <c r="R336" s="128">
        <v>450</v>
      </c>
      <c r="S336" s="128">
        <f t="shared" si="25"/>
        <v>10006200</v>
      </c>
      <c r="T336">
        <f t="shared" si="26"/>
        <v>3508200</v>
      </c>
      <c r="U336">
        <f t="shared" si="27"/>
        <v>3508200</v>
      </c>
      <c r="V336">
        <v>53238</v>
      </c>
      <c r="W336" s="188">
        <f t="shared" si="28"/>
        <v>6.589654006536684E-2</v>
      </c>
      <c r="Y336" s="188"/>
      <c r="AB336" s="188"/>
    </row>
    <row r="337" spans="1:28" x14ac:dyDescent="0.25">
      <c r="A337" t="s">
        <v>524</v>
      </c>
      <c r="B337" t="s">
        <v>234</v>
      </c>
      <c r="C337">
        <f t="shared" si="29"/>
        <v>5330</v>
      </c>
      <c r="D337">
        <v>4103</v>
      </c>
      <c r="E337">
        <v>1227</v>
      </c>
      <c r="F337">
        <v>0</v>
      </c>
      <c r="G337">
        <v>1009</v>
      </c>
      <c r="H337">
        <v>0</v>
      </c>
      <c r="I337">
        <v>158</v>
      </c>
      <c r="J337">
        <v>2357</v>
      </c>
      <c r="K337">
        <v>2525</v>
      </c>
      <c r="L337">
        <v>276</v>
      </c>
      <c r="M337">
        <v>171</v>
      </c>
      <c r="N337">
        <v>729</v>
      </c>
      <c r="O337">
        <v>223</v>
      </c>
      <c r="P337" s="128">
        <v>3160</v>
      </c>
      <c r="Q337" s="128">
        <v>2868</v>
      </c>
      <c r="R337" s="128">
        <v>291</v>
      </c>
      <c r="S337" s="128">
        <f t="shared" si="25"/>
        <v>6392849.9999999991</v>
      </c>
      <c r="T337">
        <f t="shared" si="26"/>
        <v>1062849.9999999991</v>
      </c>
      <c r="U337">
        <f t="shared" si="27"/>
        <v>1062849.9999999991</v>
      </c>
      <c r="V337">
        <v>59444</v>
      </c>
      <c r="W337" s="188">
        <f t="shared" si="28"/>
        <v>1.7879853307314432E-2</v>
      </c>
      <c r="Y337" s="188"/>
      <c r="AB337" s="188"/>
    </row>
    <row r="338" spans="1:28" x14ac:dyDescent="0.25">
      <c r="A338" t="s">
        <v>519</v>
      </c>
      <c r="B338" t="s">
        <v>210</v>
      </c>
      <c r="C338">
        <f t="shared" si="29"/>
        <v>5906</v>
      </c>
      <c r="D338">
        <v>3108</v>
      </c>
      <c r="E338">
        <v>2798</v>
      </c>
      <c r="F338">
        <v>0</v>
      </c>
      <c r="G338">
        <v>57</v>
      </c>
      <c r="H338">
        <v>626</v>
      </c>
      <c r="I338">
        <v>0</v>
      </c>
      <c r="J338">
        <v>4085</v>
      </c>
      <c r="K338">
        <v>2518</v>
      </c>
      <c r="L338">
        <v>311</v>
      </c>
      <c r="M338">
        <v>201</v>
      </c>
      <c r="N338">
        <v>983</v>
      </c>
      <c r="O338">
        <v>298</v>
      </c>
      <c r="P338" s="128">
        <v>3411</v>
      </c>
      <c r="Q338" s="128">
        <v>2694</v>
      </c>
      <c r="R338" s="128">
        <v>717</v>
      </c>
      <c r="S338" s="128">
        <f t="shared" si="25"/>
        <v>7649183.9999999991</v>
      </c>
      <c r="T338">
        <f t="shared" si="26"/>
        <v>1743183.9999999991</v>
      </c>
      <c r="U338">
        <f t="shared" si="27"/>
        <v>1743183.9999999991</v>
      </c>
      <c r="V338">
        <v>119287</v>
      </c>
      <c r="W338" s="188">
        <f t="shared" si="28"/>
        <v>1.4613361053593427E-2</v>
      </c>
      <c r="Y338" s="188"/>
      <c r="AB338" s="188"/>
    </row>
    <row r="339" spans="1:28" x14ac:dyDescent="0.25">
      <c r="A339" t="s">
        <v>517</v>
      </c>
      <c r="B339" t="s">
        <v>398</v>
      </c>
      <c r="C339">
        <f t="shared" si="29"/>
        <v>4454</v>
      </c>
      <c r="D339">
        <v>2733</v>
      </c>
      <c r="E339">
        <v>1721</v>
      </c>
      <c r="F339">
        <v>0</v>
      </c>
      <c r="G339">
        <v>0</v>
      </c>
      <c r="H339">
        <v>688</v>
      </c>
      <c r="I339">
        <v>-142</v>
      </c>
      <c r="J339">
        <v>1946</v>
      </c>
      <c r="K339">
        <v>2252</v>
      </c>
      <c r="L339">
        <v>208</v>
      </c>
      <c r="M339">
        <v>60</v>
      </c>
      <c r="N339">
        <v>979</v>
      </c>
      <c r="O339">
        <v>65</v>
      </c>
      <c r="P339" s="128">
        <v>3122</v>
      </c>
      <c r="Q339" s="128">
        <v>2501</v>
      </c>
      <c r="R339" s="128">
        <v>621</v>
      </c>
      <c r="S339" s="128">
        <f t="shared" si="25"/>
        <v>6935778.9999999991</v>
      </c>
      <c r="T339">
        <f t="shared" si="26"/>
        <v>2481778.9999999991</v>
      </c>
      <c r="U339">
        <f t="shared" si="27"/>
        <v>2481778.9999999991</v>
      </c>
      <c r="V339">
        <v>53021</v>
      </c>
      <c r="W339" s="188">
        <f t="shared" si="28"/>
        <v>4.6807472510891894E-2</v>
      </c>
      <c r="Y339" s="188"/>
      <c r="AB339" s="188"/>
    </row>
    <row r="340" spans="1:28" x14ac:dyDescent="0.25">
      <c r="A340" t="s">
        <v>524</v>
      </c>
      <c r="B340" t="s">
        <v>235</v>
      </c>
      <c r="C340">
        <f t="shared" si="29"/>
        <v>12298</v>
      </c>
      <c r="D340">
        <v>7776</v>
      </c>
      <c r="E340">
        <v>4522</v>
      </c>
      <c r="F340">
        <v>1494</v>
      </c>
      <c r="G340">
        <v>106</v>
      </c>
      <c r="H340">
        <v>77</v>
      </c>
      <c r="I340">
        <v>297</v>
      </c>
      <c r="J340">
        <v>5065</v>
      </c>
      <c r="K340">
        <v>4703</v>
      </c>
      <c r="L340">
        <v>595</v>
      </c>
      <c r="M340">
        <v>626</v>
      </c>
      <c r="N340">
        <v>1813</v>
      </c>
      <c r="O340">
        <v>237</v>
      </c>
      <c r="P340" s="128">
        <v>7858</v>
      </c>
      <c r="Q340" s="128">
        <v>6735</v>
      </c>
      <c r="R340" s="128">
        <v>1123</v>
      </c>
      <c r="S340" s="128">
        <f t="shared" si="25"/>
        <v>16641793</v>
      </c>
      <c r="T340">
        <f t="shared" si="26"/>
        <v>4343793</v>
      </c>
      <c r="U340">
        <f t="shared" si="27"/>
        <v>4343793</v>
      </c>
      <c r="V340">
        <v>142124</v>
      </c>
      <c r="W340" s="188">
        <f t="shared" si="28"/>
        <v>3.0563402381019393E-2</v>
      </c>
      <c r="Y340" s="188"/>
      <c r="AB340" s="188"/>
    </row>
    <row r="341" spans="1:28" x14ac:dyDescent="0.25">
      <c r="A341" t="s">
        <v>518</v>
      </c>
      <c r="B341" t="s">
        <v>280</v>
      </c>
      <c r="C341">
        <f t="shared" si="29"/>
        <v>3206</v>
      </c>
      <c r="D341">
        <v>2291</v>
      </c>
      <c r="E341">
        <v>915</v>
      </c>
      <c r="F341">
        <v>0</v>
      </c>
      <c r="G341">
        <v>276</v>
      </c>
      <c r="H341">
        <v>40</v>
      </c>
      <c r="I341">
        <v>103</v>
      </c>
      <c r="J341">
        <v>1766</v>
      </c>
      <c r="K341">
        <v>2300</v>
      </c>
      <c r="L341">
        <v>160</v>
      </c>
      <c r="M341">
        <v>97</v>
      </c>
      <c r="N341">
        <v>208</v>
      </c>
      <c r="O341">
        <v>35</v>
      </c>
      <c r="P341" s="128">
        <v>2366</v>
      </c>
      <c r="Q341" s="128">
        <v>2085</v>
      </c>
      <c r="R341" s="128">
        <v>281</v>
      </c>
      <c r="S341" s="128">
        <f t="shared" si="25"/>
        <v>4904890.9999999991</v>
      </c>
      <c r="T341">
        <f t="shared" si="26"/>
        <v>1698890.9999999991</v>
      </c>
      <c r="U341">
        <f t="shared" si="27"/>
        <v>1698890.9999999991</v>
      </c>
      <c r="V341">
        <v>40025</v>
      </c>
      <c r="W341" s="188">
        <f t="shared" si="28"/>
        <v>4.2445746408494668E-2</v>
      </c>
      <c r="Y341" s="188"/>
      <c r="AB341" s="188"/>
    </row>
    <row r="342" spans="1:28" x14ac:dyDescent="0.25">
      <c r="A342" t="s">
        <v>524</v>
      </c>
      <c r="B342" t="s">
        <v>236</v>
      </c>
      <c r="C342">
        <f t="shared" si="29"/>
        <v>2494</v>
      </c>
      <c r="D342">
        <v>2231</v>
      </c>
      <c r="E342">
        <v>263</v>
      </c>
      <c r="F342">
        <v>0</v>
      </c>
      <c r="G342">
        <v>0</v>
      </c>
      <c r="H342">
        <v>261</v>
      </c>
      <c r="I342">
        <v>90</v>
      </c>
      <c r="J342">
        <v>1254</v>
      </c>
      <c r="K342">
        <v>1615</v>
      </c>
      <c r="L342">
        <v>128</v>
      </c>
      <c r="M342">
        <v>67</v>
      </c>
      <c r="N342">
        <v>605</v>
      </c>
      <c r="O342">
        <v>69</v>
      </c>
      <c r="P342" s="128">
        <v>1894</v>
      </c>
      <c r="Q342" s="128">
        <v>1650</v>
      </c>
      <c r="R342" s="128">
        <v>244</v>
      </c>
      <c r="S342" s="128">
        <f t="shared" si="25"/>
        <v>3961713.9999999995</v>
      </c>
      <c r="T342">
        <f t="shared" si="26"/>
        <v>1467713.9999999995</v>
      </c>
      <c r="U342">
        <f t="shared" si="27"/>
        <v>1467713.9999999995</v>
      </c>
      <c r="V342">
        <v>37468</v>
      </c>
      <c r="W342" s="188">
        <f t="shared" si="28"/>
        <v>3.9172467171986747E-2</v>
      </c>
      <c r="Y342" s="188"/>
      <c r="AB342" s="188"/>
    </row>
    <row r="343" spans="1:28" x14ac:dyDescent="0.25">
      <c r="A343" t="s">
        <v>518</v>
      </c>
      <c r="B343" t="s">
        <v>281</v>
      </c>
      <c r="C343">
        <f t="shared" si="29"/>
        <v>35894</v>
      </c>
      <c r="D343">
        <v>18992</v>
      </c>
      <c r="E343">
        <v>16902</v>
      </c>
      <c r="F343">
        <v>2709</v>
      </c>
      <c r="G343">
        <v>185</v>
      </c>
      <c r="H343">
        <v>1372</v>
      </c>
      <c r="I343">
        <v>1085</v>
      </c>
      <c r="J343">
        <v>21819</v>
      </c>
      <c r="K343">
        <v>20250</v>
      </c>
      <c r="L343">
        <v>1459</v>
      </c>
      <c r="M343">
        <v>1236</v>
      </c>
      <c r="N343">
        <v>5941</v>
      </c>
      <c r="O343">
        <v>802</v>
      </c>
      <c r="P343" s="128">
        <v>20732</v>
      </c>
      <c r="Q343" s="128">
        <v>17550</v>
      </c>
      <c r="R343" s="128">
        <v>3182</v>
      </c>
      <c r="S343" s="128">
        <f t="shared" si="25"/>
        <v>44312642</v>
      </c>
      <c r="T343">
        <f t="shared" si="26"/>
        <v>8418642</v>
      </c>
      <c r="U343">
        <f t="shared" si="27"/>
        <v>8418642</v>
      </c>
      <c r="V343">
        <v>569749</v>
      </c>
      <c r="W343" s="188">
        <f t="shared" si="28"/>
        <v>1.4776054016768788E-2</v>
      </c>
      <c r="Y343" s="188"/>
      <c r="AB343" s="188"/>
    </row>
    <row r="344" spans="1:28" x14ac:dyDescent="0.25">
      <c r="A344" t="s">
        <v>519</v>
      </c>
      <c r="B344" t="s">
        <v>211</v>
      </c>
      <c r="C344">
        <f t="shared" si="29"/>
        <v>6928</v>
      </c>
      <c r="D344">
        <v>3432</v>
      </c>
      <c r="E344">
        <v>3496</v>
      </c>
      <c r="F344">
        <v>571</v>
      </c>
      <c r="G344">
        <v>2287</v>
      </c>
      <c r="H344">
        <v>207</v>
      </c>
      <c r="I344">
        <v>310</v>
      </c>
      <c r="J344">
        <v>3569</v>
      </c>
      <c r="K344">
        <v>2729</v>
      </c>
      <c r="L344">
        <v>295</v>
      </c>
      <c r="M344">
        <v>571</v>
      </c>
      <c r="N344">
        <v>1285</v>
      </c>
      <c r="O344">
        <v>533</v>
      </c>
      <c r="P344" s="128">
        <v>3937</v>
      </c>
      <c r="Q344" s="128">
        <v>3083</v>
      </c>
      <c r="R344" s="128">
        <v>853</v>
      </c>
      <c r="S344" s="128">
        <f t="shared" si="25"/>
        <v>8874016.9999999981</v>
      </c>
      <c r="T344">
        <f t="shared" si="26"/>
        <v>1946016.9999999981</v>
      </c>
      <c r="U344">
        <f t="shared" si="27"/>
        <v>1946016.9999999981</v>
      </c>
      <c r="V344">
        <v>99827</v>
      </c>
      <c r="W344" s="188">
        <f t="shared" si="28"/>
        <v>1.9493894437376643E-2</v>
      </c>
      <c r="Y344" s="188"/>
      <c r="AB344" s="188"/>
    </row>
    <row r="345" spans="1:28" x14ac:dyDescent="0.25">
      <c r="A345" t="s">
        <v>518</v>
      </c>
      <c r="B345" t="s">
        <v>282</v>
      </c>
      <c r="C345">
        <f t="shared" si="29"/>
        <v>3901</v>
      </c>
      <c r="D345">
        <v>2828</v>
      </c>
      <c r="E345">
        <v>1073</v>
      </c>
      <c r="F345">
        <v>170</v>
      </c>
      <c r="G345">
        <v>513</v>
      </c>
      <c r="H345">
        <v>3097</v>
      </c>
      <c r="I345">
        <v>-1</v>
      </c>
      <c r="J345">
        <v>2101</v>
      </c>
      <c r="K345">
        <v>2016</v>
      </c>
      <c r="L345">
        <v>214</v>
      </c>
      <c r="M345">
        <v>136</v>
      </c>
      <c r="N345">
        <v>615</v>
      </c>
      <c r="O345">
        <v>4633</v>
      </c>
      <c r="P345" s="128">
        <v>3630</v>
      </c>
      <c r="Q345" s="128">
        <v>3313</v>
      </c>
      <c r="R345" s="128">
        <v>317</v>
      </c>
      <c r="S345" s="128">
        <f t="shared" si="25"/>
        <v>7313790.9999999991</v>
      </c>
      <c r="T345">
        <f t="shared" si="26"/>
        <v>3412790.9999999991</v>
      </c>
      <c r="U345">
        <f t="shared" si="27"/>
        <v>3412790.9999999991</v>
      </c>
      <c r="V345">
        <v>78763</v>
      </c>
      <c r="W345" s="188">
        <f t="shared" si="28"/>
        <v>4.3329875703058532E-2</v>
      </c>
      <c r="Y345" s="188"/>
      <c r="AB345" s="188"/>
    </row>
    <row r="346" spans="1:28" x14ac:dyDescent="0.25">
      <c r="A346" t="s">
        <v>523</v>
      </c>
      <c r="B346" t="s">
        <v>434</v>
      </c>
      <c r="C346">
        <f t="shared" si="29"/>
        <v>6066</v>
      </c>
      <c r="D346">
        <v>3244</v>
      </c>
      <c r="E346">
        <v>2822</v>
      </c>
      <c r="F346">
        <v>0</v>
      </c>
      <c r="G346">
        <v>963</v>
      </c>
      <c r="H346">
        <v>2104</v>
      </c>
      <c r="I346">
        <v>59</v>
      </c>
      <c r="J346">
        <v>1173</v>
      </c>
      <c r="K346">
        <v>2473</v>
      </c>
      <c r="L346">
        <v>210</v>
      </c>
      <c r="M346">
        <v>125</v>
      </c>
      <c r="N346">
        <v>5347</v>
      </c>
      <c r="O346">
        <v>133</v>
      </c>
      <c r="P346" s="128">
        <v>3374</v>
      </c>
      <c r="Q346" s="128">
        <v>2479</v>
      </c>
      <c r="R346" s="128">
        <v>894</v>
      </c>
      <c r="S346" s="128">
        <f t="shared" si="25"/>
        <v>7906750.9999999991</v>
      </c>
      <c r="T346">
        <f t="shared" si="26"/>
        <v>1840750.9999999991</v>
      </c>
      <c r="U346">
        <f t="shared" si="27"/>
        <v>1840750.9999999991</v>
      </c>
      <c r="V346">
        <v>70745</v>
      </c>
      <c r="W346" s="188">
        <f t="shared" si="28"/>
        <v>2.6019520814191802E-2</v>
      </c>
      <c r="Y346" s="188"/>
      <c r="AB346" s="188"/>
    </row>
    <row r="347" spans="1:28" x14ac:dyDescent="0.25">
      <c r="A347" t="s">
        <v>524</v>
      </c>
      <c r="B347" t="s">
        <v>237</v>
      </c>
      <c r="C347">
        <f t="shared" si="29"/>
        <v>12527</v>
      </c>
      <c r="D347">
        <v>7510</v>
      </c>
      <c r="E347">
        <v>5017</v>
      </c>
      <c r="F347">
        <v>308</v>
      </c>
      <c r="G347">
        <v>79</v>
      </c>
      <c r="H347">
        <v>283</v>
      </c>
      <c r="I347">
        <v>180</v>
      </c>
      <c r="J347">
        <v>5333</v>
      </c>
      <c r="K347">
        <v>8016</v>
      </c>
      <c r="L347">
        <v>784</v>
      </c>
      <c r="M347">
        <v>0</v>
      </c>
      <c r="N347">
        <v>2072</v>
      </c>
      <c r="O347">
        <v>200</v>
      </c>
      <c r="P347" s="128">
        <v>12099</v>
      </c>
      <c r="Q347" s="128">
        <v>10475</v>
      </c>
      <c r="R347" s="128">
        <v>1624</v>
      </c>
      <c r="S347" s="128">
        <f t="shared" si="25"/>
        <v>25428718.999999996</v>
      </c>
      <c r="T347">
        <f t="shared" si="26"/>
        <v>12901718.999999996</v>
      </c>
      <c r="U347">
        <f t="shared" si="27"/>
        <v>12901718.999999996</v>
      </c>
      <c r="V347">
        <v>179961</v>
      </c>
      <c r="W347" s="188">
        <f t="shared" si="28"/>
        <v>7.1691749879140454E-2</v>
      </c>
      <c r="Y347" s="188"/>
      <c r="AB347" s="188"/>
    </row>
    <row r="348" spans="1:28" x14ac:dyDescent="0.25">
      <c r="A348" t="s">
        <v>519</v>
      </c>
      <c r="B348" t="s">
        <v>212</v>
      </c>
      <c r="C348">
        <f t="shared" si="29"/>
        <v>11195</v>
      </c>
      <c r="D348">
        <v>6995</v>
      </c>
      <c r="E348">
        <v>4200</v>
      </c>
      <c r="F348">
        <v>1048</v>
      </c>
      <c r="G348">
        <v>2303</v>
      </c>
      <c r="H348">
        <v>176</v>
      </c>
      <c r="I348">
        <v>527</v>
      </c>
      <c r="J348">
        <v>4596</v>
      </c>
      <c r="K348">
        <v>3654</v>
      </c>
      <c r="L348">
        <v>417</v>
      </c>
      <c r="M348">
        <v>124</v>
      </c>
      <c r="N348">
        <v>1612</v>
      </c>
      <c r="O348">
        <v>174</v>
      </c>
      <c r="P348" s="128">
        <v>5221</v>
      </c>
      <c r="Q348" s="128">
        <v>4291</v>
      </c>
      <c r="R348" s="128">
        <v>930</v>
      </c>
      <c r="S348" s="128">
        <f t="shared" si="25"/>
        <v>11397803</v>
      </c>
      <c r="T348">
        <f t="shared" si="26"/>
        <v>202803</v>
      </c>
      <c r="U348">
        <f t="shared" si="27"/>
        <v>202803</v>
      </c>
      <c r="V348">
        <v>151454</v>
      </c>
      <c r="W348" s="188">
        <f t="shared" si="28"/>
        <v>1.3390402366395078E-3</v>
      </c>
      <c r="Y348" s="188"/>
      <c r="AB348" s="188"/>
    </row>
    <row r="349" spans="1:28" x14ac:dyDescent="0.25">
      <c r="A349" t="s">
        <v>521</v>
      </c>
      <c r="B349" t="s">
        <v>326</v>
      </c>
      <c r="C349">
        <f t="shared" si="29"/>
        <v>34859</v>
      </c>
      <c r="D349">
        <v>20896</v>
      </c>
      <c r="E349">
        <v>13963</v>
      </c>
      <c r="F349">
        <v>357</v>
      </c>
      <c r="G349">
        <v>255</v>
      </c>
      <c r="H349">
        <v>203</v>
      </c>
      <c r="I349">
        <v>596</v>
      </c>
      <c r="J349">
        <v>6522</v>
      </c>
      <c r="K349">
        <v>14488</v>
      </c>
      <c r="L349">
        <v>1270</v>
      </c>
      <c r="M349">
        <v>647</v>
      </c>
      <c r="N349">
        <v>5628</v>
      </c>
      <c r="O349">
        <v>478</v>
      </c>
      <c r="P349" s="128">
        <v>15460</v>
      </c>
      <c r="Q349" s="128">
        <v>13493</v>
      </c>
      <c r="R349" s="128">
        <v>1967</v>
      </c>
      <c r="S349" s="128">
        <f t="shared" si="25"/>
        <v>32292230.999999993</v>
      </c>
      <c r="T349">
        <f t="shared" si="26"/>
        <v>-2566769.0000000075</v>
      </c>
      <c r="U349">
        <f t="shared" si="27"/>
        <v>0</v>
      </c>
      <c r="V349">
        <v>503325</v>
      </c>
      <c r="W349" s="188">
        <f t="shared" si="28"/>
        <v>-5.099625490488268E-3</v>
      </c>
      <c r="Y349" s="188"/>
      <c r="AB349" s="188"/>
    </row>
    <row r="350" spans="1:28" x14ac:dyDescent="0.25">
      <c r="A350" t="s">
        <v>521</v>
      </c>
      <c r="B350" t="s">
        <v>327</v>
      </c>
      <c r="C350">
        <f t="shared" si="29"/>
        <v>3996</v>
      </c>
      <c r="D350">
        <v>1395</v>
      </c>
      <c r="E350">
        <v>2601</v>
      </c>
      <c r="F350">
        <v>0</v>
      </c>
      <c r="G350">
        <v>928</v>
      </c>
      <c r="H350">
        <v>0</v>
      </c>
      <c r="I350">
        <v>92</v>
      </c>
      <c r="J350">
        <v>1018</v>
      </c>
      <c r="K350">
        <v>723</v>
      </c>
      <c r="L350">
        <v>93</v>
      </c>
      <c r="M350">
        <v>1</v>
      </c>
      <c r="N350">
        <v>1791</v>
      </c>
      <c r="O350">
        <v>63</v>
      </c>
      <c r="P350" s="128">
        <v>1707</v>
      </c>
      <c r="Q350" s="128">
        <v>1276</v>
      </c>
      <c r="R350" s="128">
        <v>431</v>
      </c>
      <c r="S350" s="128">
        <f t="shared" si="25"/>
        <v>3961713.9999999995</v>
      </c>
      <c r="T350">
        <f t="shared" si="26"/>
        <v>-34286.000000000466</v>
      </c>
      <c r="U350">
        <f t="shared" si="27"/>
        <v>0</v>
      </c>
      <c r="V350">
        <v>26496</v>
      </c>
      <c r="W350" s="188">
        <f t="shared" si="28"/>
        <v>-1.2940066425120948E-3</v>
      </c>
      <c r="Y350" s="188"/>
      <c r="AB350" s="188"/>
    </row>
    <row r="351" spans="1:28" x14ac:dyDescent="0.25">
      <c r="A351" t="s">
        <v>521</v>
      </c>
      <c r="B351" t="s">
        <v>328</v>
      </c>
      <c r="C351">
        <f t="shared" si="29"/>
        <v>8514</v>
      </c>
      <c r="D351">
        <v>5717</v>
      </c>
      <c r="E351">
        <v>2797</v>
      </c>
      <c r="F351">
        <v>0</v>
      </c>
      <c r="G351">
        <v>1996</v>
      </c>
      <c r="H351">
        <v>296</v>
      </c>
      <c r="I351">
        <v>51</v>
      </c>
      <c r="J351">
        <v>4504</v>
      </c>
      <c r="K351">
        <v>4552</v>
      </c>
      <c r="L351">
        <v>374</v>
      </c>
      <c r="M351">
        <v>285</v>
      </c>
      <c r="N351">
        <v>1382</v>
      </c>
      <c r="O351">
        <v>30</v>
      </c>
      <c r="P351" s="128">
        <v>6324</v>
      </c>
      <c r="Q351" s="128">
        <v>5267</v>
      </c>
      <c r="R351" s="128">
        <v>1057</v>
      </c>
      <c r="S351" s="128">
        <f t="shared" si="25"/>
        <v>13676993</v>
      </c>
      <c r="T351">
        <f t="shared" si="26"/>
        <v>5162993</v>
      </c>
      <c r="U351">
        <f t="shared" si="27"/>
        <v>5162993</v>
      </c>
      <c r="V351">
        <v>122168</v>
      </c>
      <c r="W351" s="188">
        <f t="shared" si="28"/>
        <v>4.2261418702115118E-2</v>
      </c>
      <c r="Y351" s="188"/>
      <c r="AB351" s="188"/>
    </row>
    <row r="352" spans="1:28" x14ac:dyDescent="0.25">
      <c r="A352" t="s">
        <v>517</v>
      </c>
      <c r="B352" t="s">
        <v>399</v>
      </c>
      <c r="C352">
        <f t="shared" si="29"/>
        <v>5166</v>
      </c>
      <c r="D352">
        <v>3776</v>
      </c>
      <c r="E352">
        <v>1390</v>
      </c>
      <c r="F352">
        <v>0</v>
      </c>
      <c r="G352">
        <v>0</v>
      </c>
      <c r="H352">
        <v>37</v>
      </c>
      <c r="I352">
        <v>69</v>
      </c>
      <c r="J352">
        <v>2204</v>
      </c>
      <c r="K352">
        <v>2075</v>
      </c>
      <c r="L352">
        <v>167</v>
      </c>
      <c r="M352">
        <v>0</v>
      </c>
      <c r="N352">
        <v>942</v>
      </c>
      <c r="O352">
        <v>153</v>
      </c>
      <c r="P352" s="128">
        <v>3297</v>
      </c>
      <c r="Q352" s="128">
        <v>2792</v>
      </c>
      <c r="R352" s="128">
        <v>505</v>
      </c>
      <c r="S352" s="128">
        <f t="shared" si="25"/>
        <v>7045106</v>
      </c>
      <c r="T352">
        <f t="shared" si="26"/>
        <v>1879106</v>
      </c>
      <c r="U352">
        <f t="shared" si="27"/>
        <v>1879106</v>
      </c>
      <c r="V352">
        <v>59657</v>
      </c>
      <c r="W352" s="188">
        <f t="shared" si="28"/>
        <v>3.1498499756943861E-2</v>
      </c>
      <c r="Y352" s="188"/>
      <c r="AB352" s="188"/>
    </row>
    <row r="353" spans="1:28" x14ac:dyDescent="0.25">
      <c r="A353" t="s">
        <v>519</v>
      </c>
      <c r="B353" t="s">
        <v>213</v>
      </c>
      <c r="C353">
        <f t="shared" si="29"/>
        <v>11232</v>
      </c>
      <c r="D353">
        <v>9193</v>
      </c>
      <c r="E353">
        <v>2039</v>
      </c>
      <c r="F353">
        <v>2029</v>
      </c>
      <c r="G353">
        <v>1553</v>
      </c>
      <c r="H353">
        <v>166</v>
      </c>
      <c r="I353">
        <v>311</v>
      </c>
      <c r="J353">
        <v>4495</v>
      </c>
      <c r="K353">
        <v>5072</v>
      </c>
      <c r="L353">
        <v>508</v>
      </c>
      <c r="M353">
        <v>162</v>
      </c>
      <c r="N353">
        <v>1871</v>
      </c>
      <c r="O353">
        <v>247</v>
      </c>
      <c r="P353" s="128">
        <v>5834</v>
      </c>
      <c r="Q353" s="128">
        <v>4816</v>
      </c>
      <c r="R353" s="128">
        <v>1019</v>
      </c>
      <c r="S353" s="128">
        <f t="shared" si="25"/>
        <v>12700461.999999998</v>
      </c>
      <c r="T353">
        <f t="shared" si="26"/>
        <v>1468461.9999999981</v>
      </c>
      <c r="U353">
        <f t="shared" si="27"/>
        <v>1468461.9999999981</v>
      </c>
      <c r="V353">
        <v>184951</v>
      </c>
      <c r="W353" s="188">
        <f t="shared" si="28"/>
        <v>7.939735389373391E-3</v>
      </c>
      <c r="Y353" s="188"/>
      <c r="AB353" s="188"/>
    </row>
    <row r="354" spans="1:28" x14ac:dyDescent="0.25">
      <c r="A354" t="s">
        <v>522</v>
      </c>
      <c r="B354" t="s">
        <v>163</v>
      </c>
      <c r="C354">
        <f t="shared" si="29"/>
        <v>4745</v>
      </c>
      <c r="D354">
        <v>2054</v>
      </c>
      <c r="E354">
        <v>2691</v>
      </c>
      <c r="F354">
        <v>0</v>
      </c>
      <c r="G354">
        <v>8</v>
      </c>
      <c r="H354">
        <v>59</v>
      </c>
      <c r="I354">
        <v>80</v>
      </c>
      <c r="J354">
        <v>3620</v>
      </c>
      <c r="K354">
        <v>1432</v>
      </c>
      <c r="L354">
        <v>218</v>
      </c>
      <c r="M354">
        <v>518</v>
      </c>
      <c r="N354">
        <v>1485</v>
      </c>
      <c r="O354">
        <v>308</v>
      </c>
      <c r="P354" s="128">
        <v>2635</v>
      </c>
      <c r="Q354" s="128">
        <v>1923</v>
      </c>
      <c r="R354" s="128">
        <v>712</v>
      </c>
      <c r="S354" s="128">
        <f t="shared" si="25"/>
        <v>6201991</v>
      </c>
      <c r="T354">
        <f t="shared" si="26"/>
        <v>1456991</v>
      </c>
      <c r="U354">
        <f t="shared" si="27"/>
        <v>1456991</v>
      </c>
      <c r="V354">
        <v>60852</v>
      </c>
      <c r="W354" s="188">
        <f t="shared" si="28"/>
        <v>2.3943190034838625E-2</v>
      </c>
      <c r="Y354" s="188"/>
      <c r="AB354" s="188"/>
    </row>
    <row r="355" spans="1:28" x14ac:dyDescent="0.25">
      <c r="A355" t="s">
        <v>521</v>
      </c>
      <c r="B355" t="s">
        <v>329</v>
      </c>
      <c r="C355">
        <f t="shared" si="29"/>
        <v>9897</v>
      </c>
      <c r="D355">
        <v>5023</v>
      </c>
      <c r="E355">
        <v>4874</v>
      </c>
      <c r="F355">
        <v>0</v>
      </c>
      <c r="G355">
        <v>1187</v>
      </c>
      <c r="H355">
        <v>0</v>
      </c>
      <c r="I355">
        <v>291</v>
      </c>
      <c r="J355">
        <v>6550</v>
      </c>
      <c r="K355">
        <v>6943</v>
      </c>
      <c r="L355">
        <v>477</v>
      </c>
      <c r="M355">
        <v>682</v>
      </c>
      <c r="N355">
        <v>599</v>
      </c>
      <c r="O355">
        <v>244</v>
      </c>
      <c r="P355" s="128">
        <v>5359</v>
      </c>
      <c r="Q355" s="128">
        <v>4427</v>
      </c>
      <c r="R355" s="128">
        <v>932</v>
      </c>
      <c r="S355" s="128">
        <f t="shared" si="25"/>
        <v>11657222.999999998</v>
      </c>
      <c r="T355">
        <f t="shared" si="26"/>
        <v>1760222.9999999981</v>
      </c>
      <c r="U355">
        <f t="shared" si="27"/>
        <v>1760222.9999999981</v>
      </c>
      <c r="V355">
        <v>188249</v>
      </c>
      <c r="W355" s="188">
        <f t="shared" si="28"/>
        <v>9.3505038539381247E-3</v>
      </c>
      <c r="Y355" s="188"/>
      <c r="AB355" s="188"/>
    </row>
    <row r="356" spans="1:28" x14ac:dyDescent="0.25">
      <c r="A356" t="s">
        <v>522</v>
      </c>
      <c r="B356" t="s">
        <v>164</v>
      </c>
      <c r="C356">
        <f t="shared" si="29"/>
        <v>44022</v>
      </c>
      <c r="D356">
        <v>17231</v>
      </c>
      <c r="E356">
        <v>26791</v>
      </c>
      <c r="F356">
        <v>4146</v>
      </c>
      <c r="G356">
        <v>91</v>
      </c>
      <c r="H356">
        <v>207</v>
      </c>
      <c r="I356">
        <v>0</v>
      </c>
      <c r="J356">
        <v>7138</v>
      </c>
      <c r="K356">
        <v>15065</v>
      </c>
      <c r="L356">
        <v>1443</v>
      </c>
      <c r="M356">
        <v>1489</v>
      </c>
      <c r="N356">
        <v>4137</v>
      </c>
      <c r="O356">
        <v>5348</v>
      </c>
      <c r="P356" s="128">
        <v>18667</v>
      </c>
      <c r="Q356" s="128">
        <v>14763</v>
      </c>
      <c r="R356" s="128">
        <v>3903</v>
      </c>
      <c r="S356" s="128">
        <f t="shared" si="25"/>
        <v>41820356.999999993</v>
      </c>
      <c r="T356">
        <f t="shared" si="26"/>
        <v>-2201643.0000000075</v>
      </c>
      <c r="U356">
        <f t="shared" si="27"/>
        <v>0</v>
      </c>
      <c r="V356">
        <v>648435</v>
      </c>
      <c r="W356" s="188">
        <f t="shared" si="28"/>
        <v>-3.3953179578523791E-3</v>
      </c>
      <c r="Y356" s="188"/>
      <c r="AB356" s="188"/>
    </row>
    <row r="357" spans="1:28" x14ac:dyDescent="0.25">
      <c r="B357" t="s">
        <v>442</v>
      </c>
      <c r="C357">
        <f t="shared" si="29"/>
        <v>4394146</v>
      </c>
      <c r="D357">
        <f t="shared" ref="D357:I357" si="30">SUM(D2:D356)</f>
        <v>2331716</v>
      </c>
      <c r="E357">
        <f t="shared" si="30"/>
        <v>2062430</v>
      </c>
      <c r="F357">
        <f t="shared" si="30"/>
        <v>677792</v>
      </c>
      <c r="G357">
        <f t="shared" si="30"/>
        <v>270467</v>
      </c>
      <c r="H357">
        <f t="shared" si="30"/>
        <v>248190</v>
      </c>
      <c r="I357">
        <f t="shared" si="30"/>
        <v>100092</v>
      </c>
      <c r="J357">
        <f t="shared" ref="J357:O357" si="31">SUM(J2:J356)</f>
        <v>1702416</v>
      </c>
      <c r="K357">
        <f t="shared" si="31"/>
        <v>2011647</v>
      </c>
      <c r="L357">
        <f t="shared" si="31"/>
        <v>181616</v>
      </c>
      <c r="M357">
        <f t="shared" si="31"/>
        <v>113848</v>
      </c>
      <c r="N357">
        <f t="shared" si="31"/>
        <v>670971</v>
      </c>
      <c r="O357">
        <f t="shared" si="31"/>
        <v>303750</v>
      </c>
      <c r="P357" s="128">
        <f>SUM(P2:P356)</f>
        <v>2581157</v>
      </c>
      <c r="Q357" s="128">
        <f>SUM(Q2:Q356)</f>
        <v>2122054</v>
      </c>
      <c r="R357" s="128">
        <f>SUM(R2:R356)</f>
        <v>459101</v>
      </c>
      <c r="S357" s="128">
        <f t="shared" si="25"/>
        <v>5633594367.999999</v>
      </c>
      <c r="T357">
        <f t="shared" si="26"/>
        <v>1239448367.999999</v>
      </c>
      <c r="U357">
        <f t="shared" si="27"/>
        <v>1239448367.999999</v>
      </c>
      <c r="V357">
        <f>SUM(V2:V356)</f>
        <v>69433265</v>
      </c>
      <c r="W357" s="188">
        <f t="shared" si="28"/>
        <v>1.7850930213349454E-2</v>
      </c>
      <c r="Y357" s="188"/>
      <c r="AB357" s="188"/>
    </row>
    <row r="359" spans="1:28" x14ac:dyDescent="0.25">
      <c r="W359" s="188"/>
    </row>
    <row r="360" spans="1:28" x14ac:dyDescent="0.25">
      <c r="W360" s="188"/>
      <c r="Y360" s="188"/>
      <c r="AB360" s="188"/>
    </row>
    <row r="361" spans="1:28" x14ac:dyDescent="0.25">
      <c r="W361" s="188"/>
      <c r="Y361" s="188"/>
      <c r="AB361" s="188"/>
    </row>
    <row r="362" spans="1:28" x14ac:dyDescent="0.25">
      <c r="W362" s="188"/>
      <c r="Y362" s="188"/>
      <c r="AB362" s="188"/>
    </row>
    <row r="363" spans="1:28" x14ac:dyDescent="0.25">
      <c r="P363"/>
      <c r="Q363"/>
      <c r="R363"/>
      <c r="W363" s="188"/>
      <c r="Y363" s="188"/>
      <c r="AB363" s="188"/>
    </row>
    <row r="365" spans="1:28" x14ac:dyDescent="0.25">
      <c r="W365" s="188"/>
      <c r="Y365" s="188"/>
      <c r="AB365" s="188"/>
    </row>
    <row r="367" spans="1:28" x14ac:dyDescent="0.25">
      <c r="W367" s="188"/>
      <c r="Y367" s="188"/>
      <c r="AB367" s="188"/>
    </row>
    <row r="368" spans="1:28" x14ac:dyDescent="0.25">
      <c r="C368" s="129"/>
      <c r="D368" s="129"/>
      <c r="E368" s="129"/>
      <c r="F368" s="129"/>
      <c r="G368" s="129"/>
      <c r="H368" s="129"/>
      <c r="I368" s="129"/>
      <c r="J368" s="129"/>
      <c r="K368" s="129"/>
      <c r="L368" s="129"/>
      <c r="M368" s="129"/>
      <c r="N368" s="129"/>
      <c r="O368" s="129"/>
      <c r="P368" s="129"/>
      <c r="Q368" s="129"/>
      <c r="R368" s="129"/>
      <c r="T368" s="128"/>
      <c r="U368" s="128"/>
      <c r="V368" s="129"/>
      <c r="W368" s="188"/>
      <c r="X368" s="129"/>
      <c r="Y368" s="188"/>
      <c r="Z368" s="129"/>
      <c r="AA368" s="129"/>
      <c r="AB368" s="188"/>
    </row>
    <row r="370" spans="3:28" x14ac:dyDescent="0.25">
      <c r="W370" s="188"/>
      <c r="Y370" s="188"/>
      <c r="AB370" s="188"/>
    </row>
    <row r="371" spans="3:28" x14ac:dyDescent="0.25">
      <c r="C371" s="129"/>
      <c r="D371" s="129"/>
      <c r="E371" s="129"/>
      <c r="F371" s="129"/>
      <c r="G371" s="129"/>
      <c r="H371" s="129"/>
      <c r="I371" s="129"/>
      <c r="J371" s="129"/>
      <c r="K371" s="129"/>
      <c r="L371" s="129"/>
      <c r="M371" s="129"/>
      <c r="N371" s="129"/>
      <c r="O371" s="129"/>
      <c r="P371" s="129"/>
      <c r="Q371" s="129"/>
      <c r="R371" s="129"/>
      <c r="T371" s="128"/>
      <c r="U371" s="128"/>
      <c r="V371" s="129"/>
      <c r="W371" s="188"/>
      <c r="X371" s="129"/>
      <c r="Y371" s="188"/>
      <c r="Z371" s="129"/>
      <c r="AA371" s="129"/>
      <c r="AB371" s="188"/>
    </row>
    <row r="373" spans="3:28" x14ac:dyDescent="0.25">
      <c r="W373" s="188"/>
      <c r="Y373" s="188"/>
      <c r="AB373" s="188"/>
    </row>
    <row r="374" spans="3:28" x14ac:dyDescent="0.25">
      <c r="C374" s="129"/>
      <c r="D374" s="129"/>
      <c r="E374" s="129"/>
      <c r="F374" s="129"/>
      <c r="G374" s="129"/>
      <c r="H374" s="129"/>
      <c r="I374" s="129"/>
      <c r="J374" s="129"/>
      <c r="K374" s="129"/>
      <c r="L374" s="129"/>
      <c r="M374" s="129"/>
      <c r="N374" s="129"/>
      <c r="O374" s="129"/>
      <c r="P374" s="129"/>
      <c r="Q374" s="129"/>
      <c r="R374" s="129"/>
      <c r="T374" s="128"/>
      <c r="U374" s="128"/>
      <c r="V374" s="129"/>
      <c r="W374" s="188"/>
      <c r="X374" s="129"/>
      <c r="Y374" s="188"/>
      <c r="Z374" s="129"/>
      <c r="AA374" s="129"/>
      <c r="AB374" s="188"/>
    </row>
    <row r="376" spans="3:28" x14ac:dyDescent="0.25">
      <c r="U376" s="128"/>
      <c r="W376" s="188"/>
      <c r="Y376" s="188"/>
      <c r="AB376" s="188"/>
    </row>
    <row r="377" spans="3:28" x14ac:dyDescent="0.25">
      <c r="C377" s="129"/>
      <c r="D377" s="129"/>
      <c r="E377" s="129"/>
      <c r="F377" s="129"/>
      <c r="G377" s="129"/>
      <c r="H377" s="129"/>
      <c r="I377" s="129"/>
      <c r="J377" s="129"/>
      <c r="K377" s="129"/>
      <c r="L377" s="129"/>
      <c r="M377" s="129"/>
      <c r="N377" s="129"/>
      <c r="O377" s="129"/>
      <c r="P377" s="129"/>
      <c r="Q377" s="129"/>
      <c r="R377" s="129"/>
      <c r="T377" s="128"/>
      <c r="U377" s="128"/>
      <c r="V377" s="129"/>
      <c r="W377" s="188"/>
      <c r="X377" s="129"/>
      <c r="Y377" s="188"/>
      <c r="Z377" s="129"/>
      <c r="AA377" s="129"/>
      <c r="AB377" s="188"/>
    </row>
  </sheetData>
  <sheetProtection algorithmName="SHA-512" hashValue="P+vyTEQGjRyMCQ7OMVzLV/6XyJJPikBBg7A1FqcYSRkpKG1wj/oY7YkqHGMDBElwfXHezy4LKeEYih+K7QrxVA==" saltValue="44XpzOe3jb904oaF+Gr9/Q==" spinCount="100000" sheet="1" objects="1" scenarios="1"/>
  <sortState xmlns:xlrd2="http://schemas.microsoft.com/office/spreadsheetml/2017/richdata2" ref="AE2:AH356">
    <sortCondition ref="AE2:AE356"/>
  </sortState>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D2968-D93B-4872-B45A-197C54941E70}">
  <dimension ref="A1:BC373"/>
  <sheetViews>
    <sheetView workbookViewId="0">
      <pane xSplit="1" ySplit="1" topLeftCell="AM86" activePane="bottomRight" state="frozen"/>
      <selection pane="topRight" activeCell="B1" sqref="B1"/>
      <selection pane="bottomLeft" activeCell="A2" sqref="A2"/>
      <selection pane="bottomRight" activeCell="AV179" sqref="AV179"/>
    </sheetView>
  </sheetViews>
  <sheetFormatPr defaultRowHeight="12.5" x14ac:dyDescent="0.25"/>
  <cols>
    <col min="1" max="1" width="27.7265625" bestFit="1" customWidth="1"/>
    <col min="2" max="2" width="17.6328125" bestFit="1" customWidth="1"/>
    <col min="3" max="3" width="19.26953125" bestFit="1" customWidth="1"/>
    <col min="4" max="4" width="20.54296875" bestFit="1" customWidth="1"/>
    <col min="5" max="5" width="21.1796875" bestFit="1" customWidth="1"/>
    <col min="6" max="6" width="29" bestFit="1" customWidth="1"/>
    <col min="7" max="7" width="19.7265625" bestFit="1" customWidth="1"/>
    <col min="8" max="8" width="22.81640625" bestFit="1" customWidth="1"/>
    <col min="9" max="9" width="18.26953125" bestFit="1" customWidth="1"/>
    <col min="10" max="10" width="18.90625" bestFit="1" customWidth="1"/>
    <col min="11" max="11" width="24.453125" bestFit="1" customWidth="1"/>
    <col min="12" max="12" width="38.54296875" bestFit="1" customWidth="1"/>
    <col min="13" max="13" width="19.453125" bestFit="1" customWidth="1"/>
    <col min="14" max="14" width="11.453125" bestFit="1" customWidth="1"/>
    <col min="15" max="15" width="15.08984375" bestFit="1" customWidth="1"/>
    <col min="16" max="16" width="21.36328125" bestFit="1" customWidth="1"/>
    <col min="17" max="17" width="28.08984375" bestFit="1" customWidth="1"/>
    <col min="18" max="18" width="38.453125" bestFit="1" customWidth="1"/>
    <col min="19" max="19" width="13.26953125" bestFit="1" customWidth="1"/>
    <col min="20" max="20" width="20.81640625" bestFit="1" customWidth="1"/>
    <col min="21" max="21" width="16" bestFit="1" customWidth="1"/>
    <col min="22" max="22" width="25.26953125" bestFit="1" customWidth="1"/>
    <col min="23" max="23" width="13.6328125" bestFit="1" customWidth="1"/>
    <col min="24" max="24" width="14.36328125" bestFit="1" customWidth="1"/>
    <col min="25" max="25" width="19.1796875" bestFit="1" customWidth="1"/>
    <col min="26" max="26" width="28.6328125" bestFit="1" customWidth="1"/>
    <col min="27" max="27" width="27.81640625" bestFit="1" customWidth="1"/>
    <col min="28" max="28" width="17.7265625" bestFit="1" customWidth="1"/>
    <col min="29" max="29" width="13.54296875" style="128" bestFit="1" customWidth="1"/>
    <col min="30" max="30" width="19.7265625" bestFit="1" customWidth="1"/>
    <col min="31" max="31" width="27.7265625" bestFit="1" customWidth="1"/>
    <col min="32" max="32" width="13.26953125" bestFit="1" customWidth="1"/>
    <col min="33" max="33" width="17.36328125" bestFit="1" customWidth="1"/>
    <col min="34" max="34" width="12.7265625" bestFit="1" customWidth="1"/>
    <col min="35" max="35" width="14.90625" bestFit="1" customWidth="1"/>
    <col min="36" max="36" width="25.7265625" bestFit="1" customWidth="1"/>
    <col min="37" max="37" width="16.36328125" bestFit="1" customWidth="1"/>
    <col min="38" max="38" width="22.81640625" bestFit="1" customWidth="1"/>
    <col min="39" max="39" width="20.6328125" style="188" bestFit="1" customWidth="1"/>
    <col min="40" max="40" width="20.6328125" bestFit="1" customWidth="1"/>
    <col min="41" max="41" width="15.90625" bestFit="1" customWidth="1"/>
    <col min="42" max="42" width="22.81640625" bestFit="1" customWidth="1"/>
    <col min="43" max="43" width="27.81640625" bestFit="1" customWidth="1"/>
    <col min="44" max="44" width="20.26953125" bestFit="1" customWidth="1"/>
    <col min="45" max="45" width="13.54296875" bestFit="1" customWidth="1"/>
    <col min="46" max="46" width="20.6328125" style="188" bestFit="1" customWidth="1"/>
    <col min="47" max="47" width="20.453125" bestFit="1" customWidth="1"/>
    <col min="48" max="48" width="6.81640625" bestFit="1" customWidth="1"/>
    <col min="49" max="49" width="17.36328125" style="238" bestFit="1" customWidth="1"/>
    <col min="51" max="51" width="27.7265625" bestFit="1" customWidth="1"/>
    <col min="52" max="52" width="11.81640625" style="129" bestFit="1" customWidth="1"/>
    <col min="53" max="53" width="6.6328125" bestFit="1" customWidth="1"/>
    <col min="54" max="54" width="6.81640625" bestFit="1" customWidth="1"/>
  </cols>
  <sheetData>
    <row r="1" spans="1:55" x14ac:dyDescent="0.25">
      <c r="A1" t="s">
        <v>588</v>
      </c>
      <c r="B1" t="s">
        <v>691</v>
      </c>
      <c r="C1" t="s">
        <v>692</v>
      </c>
      <c r="D1" t="s">
        <v>693</v>
      </c>
      <c r="E1" t="s">
        <v>694</v>
      </c>
      <c r="F1" t="s">
        <v>695</v>
      </c>
      <c r="G1" t="s">
        <v>696</v>
      </c>
      <c r="H1" t="s">
        <v>697</v>
      </c>
      <c r="I1" t="s">
        <v>698</v>
      </c>
      <c r="J1" t="s">
        <v>699</v>
      </c>
      <c r="K1" t="s">
        <v>700</v>
      </c>
      <c r="L1" t="s">
        <v>701</v>
      </c>
      <c r="M1" t="s">
        <v>702</v>
      </c>
      <c r="N1" t="s">
        <v>703</v>
      </c>
      <c r="O1" t="s">
        <v>704</v>
      </c>
      <c r="P1" t="s">
        <v>705</v>
      </c>
      <c r="Q1" t="s">
        <v>706</v>
      </c>
      <c r="R1" t="s">
        <v>707</v>
      </c>
      <c r="S1" t="s">
        <v>708</v>
      </c>
      <c r="T1" t="s">
        <v>709</v>
      </c>
      <c r="U1" t="s">
        <v>710</v>
      </c>
      <c r="V1" t="s">
        <v>853</v>
      </c>
      <c r="W1" t="s">
        <v>712</v>
      </c>
      <c r="X1" t="s">
        <v>713</v>
      </c>
      <c r="Y1" t="s">
        <v>854</v>
      </c>
      <c r="Z1" t="s">
        <v>855</v>
      </c>
      <c r="AA1" t="s">
        <v>856</v>
      </c>
      <c r="AB1" t="s">
        <v>857</v>
      </c>
      <c r="AC1" s="128" t="s">
        <v>858</v>
      </c>
      <c r="AD1" t="s">
        <v>859</v>
      </c>
      <c r="AE1" t="s">
        <v>588</v>
      </c>
      <c r="AF1" t="s">
        <v>847</v>
      </c>
      <c r="AG1" t="s">
        <v>718</v>
      </c>
      <c r="AH1" t="s">
        <v>721</v>
      </c>
      <c r="AI1" t="s">
        <v>620</v>
      </c>
      <c r="AJ1" t="s">
        <v>621</v>
      </c>
      <c r="AK1" t="s">
        <v>722</v>
      </c>
      <c r="AL1" t="s">
        <v>844</v>
      </c>
      <c r="AM1" s="188" t="s">
        <v>845</v>
      </c>
      <c r="AN1" t="s">
        <v>846</v>
      </c>
      <c r="AO1" t="s">
        <v>724</v>
      </c>
      <c r="AP1" t="s">
        <v>725</v>
      </c>
      <c r="AQ1" t="s">
        <v>726</v>
      </c>
      <c r="AR1" t="s">
        <v>727</v>
      </c>
      <c r="AS1" t="s">
        <v>728</v>
      </c>
      <c r="AT1" s="188" t="s">
        <v>862</v>
      </c>
      <c r="AU1" t="s">
        <v>729</v>
      </c>
      <c r="AV1" t="s">
        <v>730</v>
      </c>
      <c r="AY1" t="s">
        <v>588</v>
      </c>
      <c r="AZ1" s="129" t="s">
        <v>832</v>
      </c>
      <c r="BA1" t="s">
        <v>804</v>
      </c>
    </row>
    <row r="2" spans="1:55" x14ac:dyDescent="0.25">
      <c r="A2" t="s">
        <v>106</v>
      </c>
      <c r="B2">
        <v>0</v>
      </c>
      <c r="C2">
        <v>2704</v>
      </c>
      <c r="D2">
        <v>33581</v>
      </c>
      <c r="E2">
        <v>137</v>
      </c>
      <c r="F2">
        <v>716</v>
      </c>
      <c r="G2">
        <v>1560</v>
      </c>
      <c r="H2">
        <v>0</v>
      </c>
      <c r="I2">
        <v>6730</v>
      </c>
      <c r="J2">
        <v>0</v>
      </c>
      <c r="K2">
        <v>1074</v>
      </c>
      <c r="L2">
        <v>1341</v>
      </c>
      <c r="M2">
        <v>10490</v>
      </c>
      <c r="N2">
        <v>28000</v>
      </c>
      <c r="O2">
        <v>7176</v>
      </c>
      <c r="P2">
        <v>7382</v>
      </c>
      <c r="Q2">
        <v>0</v>
      </c>
      <c r="R2">
        <v>6742</v>
      </c>
      <c r="S2">
        <v>2241</v>
      </c>
      <c r="T2">
        <v>6793</v>
      </c>
      <c r="U2">
        <f>SUM(V2,-Y2)</f>
        <v>-4</v>
      </c>
      <c r="V2">
        <v>-3052</v>
      </c>
      <c r="W2">
        <v>64607</v>
      </c>
      <c r="X2">
        <v>67655</v>
      </c>
      <c r="Y2">
        <f>SUM(W2,-X2)</f>
        <v>-3048</v>
      </c>
      <c r="Z2">
        <v>2066</v>
      </c>
      <c r="AA2">
        <v>2217124.9999999991</v>
      </c>
      <c r="AB2">
        <v>47110</v>
      </c>
      <c r="AC2" s="128">
        <v>45860.535509533627</v>
      </c>
      <c r="AD2">
        <v>25399</v>
      </c>
      <c r="AE2" t="s">
        <v>106</v>
      </c>
      <c r="AF2" s="188">
        <f>SUM(R2,-L2)/W2</f>
        <v>8.3597752565511482E-2</v>
      </c>
      <c r="AG2" s="188">
        <f>SUM(P2,Q2,R2,S2,T2,-F2,-G2,-H2,-K2,-L2,-M2)/W2</f>
        <v>0.12346959307814942</v>
      </c>
      <c r="AH2" s="188">
        <f>SUM(F2,G2)/W2</f>
        <v>3.5228380825607135E-2</v>
      </c>
      <c r="AI2" s="188">
        <f>SUM(I2,J2)/W2</f>
        <v>0.10416827897905799</v>
      </c>
      <c r="AJ2" s="188">
        <f>SUM(AG2,0.12*AH2,-0.7*AI2)</f>
        <v>5.4779203491881673E-2</v>
      </c>
      <c r="AK2" s="188">
        <f>N2/SUM(N2,O2,P2,Q2,R2,S2,T2)</f>
        <v>0.47999451434840745</v>
      </c>
      <c r="AL2" s="188">
        <f>Y2/W2</f>
        <v>-4.7177550420233104E-2</v>
      </c>
      <c r="AM2" s="188">
        <v>-4.9813423715556714E-2</v>
      </c>
      <c r="AN2" s="188">
        <v>-2.9820006922810661E-2</v>
      </c>
      <c r="AO2">
        <f>COUNTIF(AL2:AN2,"&lt;0")</f>
        <v>3</v>
      </c>
      <c r="AP2" s="188">
        <f>Z2/(4*W2)</f>
        <v>7.9944897611713903E-3</v>
      </c>
      <c r="AQ2" s="188">
        <f>AA2/(W2*1000)</f>
        <v>3.431710186202732E-2</v>
      </c>
      <c r="AR2" s="188">
        <f>AB2/W2</f>
        <v>0.72917795285340603</v>
      </c>
      <c r="AS2" s="128">
        <f>AC2*1000/AD2</f>
        <v>1805.6039808470266</v>
      </c>
      <c r="AT2" s="188">
        <v>0.3165</v>
      </c>
      <c r="AU2" s="238">
        <v>6.3299999999999995E-2</v>
      </c>
      <c r="AV2">
        <v>6</v>
      </c>
      <c r="AY2" t="s">
        <v>239</v>
      </c>
      <c r="AZ2" s="129">
        <v>2180.2686075355386</v>
      </c>
      <c r="BA2" t="s">
        <v>441</v>
      </c>
    </row>
    <row r="3" spans="1:55" x14ac:dyDescent="0.25">
      <c r="A3" t="s">
        <v>238</v>
      </c>
      <c r="B3">
        <v>181</v>
      </c>
      <c r="C3">
        <v>2461</v>
      </c>
      <c r="D3">
        <v>76015</v>
      </c>
      <c r="E3">
        <v>1475</v>
      </c>
      <c r="F3">
        <v>0</v>
      </c>
      <c r="G3">
        <v>3101</v>
      </c>
      <c r="H3">
        <v>0</v>
      </c>
      <c r="I3">
        <v>20679</v>
      </c>
      <c r="J3">
        <v>0</v>
      </c>
      <c r="K3">
        <v>30888</v>
      </c>
      <c r="L3">
        <v>204</v>
      </c>
      <c r="M3">
        <v>12475</v>
      </c>
      <c r="N3">
        <v>74918</v>
      </c>
      <c r="O3">
        <v>12616</v>
      </c>
      <c r="P3">
        <v>40500</v>
      </c>
      <c r="Q3">
        <v>36</v>
      </c>
      <c r="R3">
        <v>0</v>
      </c>
      <c r="S3">
        <v>7667</v>
      </c>
      <c r="T3">
        <v>11744</v>
      </c>
      <c r="U3">
        <f t="shared" ref="U3:U62" si="0">SUM(V3,-Y3)</f>
        <v>6</v>
      </c>
      <c r="V3">
        <v>23714</v>
      </c>
      <c r="W3">
        <v>104779</v>
      </c>
      <c r="X3">
        <v>81071</v>
      </c>
      <c r="Y3">
        <f t="shared" ref="Y3:Y62" si="1">SUM(W3,-X3)</f>
        <v>23708</v>
      </c>
      <c r="Z3">
        <v>25892</v>
      </c>
      <c r="AA3">
        <v>4707606.9999999981</v>
      </c>
      <c r="AB3">
        <v>46001</v>
      </c>
      <c r="AC3" s="128">
        <v>59769.858670011163</v>
      </c>
      <c r="AD3">
        <v>31991</v>
      </c>
      <c r="AE3" t="s">
        <v>238</v>
      </c>
      <c r="AF3" s="188">
        <f t="shared" ref="AF3:AF62" si="2">SUM(R3,-L3)/W3</f>
        <v>-1.9469550196127086E-3</v>
      </c>
      <c r="AG3" s="188">
        <f t="shared" ref="AG3:AG62" si="3">SUM(P3,Q3,R3,S3,T3,-F3,-G3,-H3,-K3,-L3,-M3)/W3</f>
        <v>0.12673341032077037</v>
      </c>
      <c r="AH3" s="188">
        <f t="shared" ref="AH3:AH62" si="4">SUM(F3,G3)/W3</f>
        <v>2.9595625077544166E-2</v>
      </c>
      <c r="AI3" s="188">
        <f t="shared" ref="AI3:AI62" si="5">SUM(I3,J3)/W3</f>
        <v>0.19735824926750589</v>
      </c>
      <c r="AJ3" s="188">
        <f t="shared" ref="AJ3:AJ62" si="6">SUM(AG3,0.12*AH3,-0.7*AI3)</f>
        <v>-7.865889157178424E-3</v>
      </c>
      <c r="AK3" s="188">
        <f t="shared" ref="AK3:AK62" si="7">N3/SUM(N3,O3,P3,Q3,R3,S3,T3)</f>
        <v>0.50798407930513079</v>
      </c>
      <c r="AL3" s="188">
        <f t="shared" ref="AL3:AL62" si="8">Y3/W3</f>
        <v>0.22626671374989263</v>
      </c>
      <c r="AM3" s="188">
        <v>3.7390457643622201E-3</v>
      </c>
      <c r="AN3" s="188">
        <v>-3.3125745329269907E-3</v>
      </c>
      <c r="AO3">
        <f t="shared" ref="AO3:AO62" si="9">COUNTIF(AL3:AN3,"&lt;0")</f>
        <v>1</v>
      </c>
      <c r="AP3" s="188">
        <f t="shared" ref="AP3:AP62" si="10">Z3/(4*W3)</f>
        <v>6.1777646284083644E-2</v>
      </c>
      <c r="AQ3" s="188">
        <f t="shared" ref="AQ3:AQ62" si="11">AA3/(W3*1000)</f>
        <v>4.4928917053989811E-2</v>
      </c>
      <c r="AR3" s="188">
        <f t="shared" ref="AR3:AR62" si="12">AB3/W3</f>
        <v>0.43902881302551083</v>
      </c>
      <c r="AS3" s="128">
        <f t="shared" ref="AS3:AS62" si="13">AC3*1000/AD3</f>
        <v>1868.333552249419</v>
      </c>
      <c r="AT3" s="188">
        <v>0.27349999999999997</v>
      </c>
      <c r="AU3" s="238">
        <v>5.4699999999999999E-2</v>
      </c>
      <c r="AV3">
        <v>7</v>
      </c>
      <c r="AY3" t="s">
        <v>141</v>
      </c>
      <c r="AZ3" s="129">
        <v>2555.5054447261268</v>
      </c>
      <c r="BA3" t="s">
        <v>441</v>
      </c>
      <c r="BC3">
        <v>1</v>
      </c>
    </row>
    <row r="4" spans="1:55" x14ac:dyDescent="0.25">
      <c r="A4" t="s">
        <v>165</v>
      </c>
      <c r="B4">
        <v>0</v>
      </c>
      <c r="C4">
        <v>9507</v>
      </c>
      <c r="D4">
        <v>34120</v>
      </c>
      <c r="E4">
        <v>1178</v>
      </c>
      <c r="F4">
        <v>0</v>
      </c>
      <c r="G4">
        <v>9807</v>
      </c>
      <c r="H4">
        <v>206</v>
      </c>
      <c r="I4">
        <v>1639</v>
      </c>
      <c r="J4">
        <v>-262</v>
      </c>
      <c r="K4">
        <v>2475</v>
      </c>
      <c r="L4">
        <v>40</v>
      </c>
      <c r="M4">
        <v>8184</v>
      </c>
      <c r="N4">
        <v>20781</v>
      </c>
      <c r="O4">
        <v>6498</v>
      </c>
      <c r="P4">
        <v>26244</v>
      </c>
      <c r="Q4">
        <v>2</v>
      </c>
      <c r="R4">
        <v>3287</v>
      </c>
      <c r="S4">
        <v>3036</v>
      </c>
      <c r="T4">
        <v>7047</v>
      </c>
      <c r="U4">
        <f t="shared" si="0"/>
        <v>-1</v>
      </c>
      <c r="V4">
        <v>89</v>
      </c>
      <c r="W4">
        <v>68920</v>
      </c>
      <c r="X4">
        <v>68830</v>
      </c>
      <c r="Y4">
        <f t="shared" si="1"/>
        <v>90</v>
      </c>
      <c r="Z4">
        <v>6494</v>
      </c>
      <c r="AA4">
        <v>1951741.9999999991</v>
      </c>
      <c r="AB4">
        <v>53335</v>
      </c>
      <c r="AC4" s="128">
        <v>43999.397831982431</v>
      </c>
      <c r="AD4">
        <v>27120</v>
      </c>
      <c r="AE4" t="s">
        <v>165</v>
      </c>
      <c r="AF4" s="188">
        <f t="shared" si="2"/>
        <v>4.7112594312246084E-2</v>
      </c>
      <c r="AG4" s="188">
        <f t="shared" si="3"/>
        <v>0.27428903076030181</v>
      </c>
      <c r="AH4" s="188">
        <f t="shared" si="4"/>
        <v>0.14229541497388276</v>
      </c>
      <c r="AI4" s="188">
        <f t="shared" si="5"/>
        <v>1.9979686593151479E-2</v>
      </c>
      <c r="AJ4" s="188">
        <f t="shared" si="6"/>
        <v>0.27737869994196168</v>
      </c>
      <c r="AK4" s="188">
        <f t="shared" si="7"/>
        <v>0.31065102025562447</v>
      </c>
      <c r="AL4" s="188">
        <f t="shared" si="8"/>
        <v>1.3058618688334301E-3</v>
      </c>
      <c r="AM4" s="188">
        <v>-3.960426507470035E-2</v>
      </c>
      <c r="AN4" s="188">
        <v>9.5376682536418705E-3</v>
      </c>
      <c r="AO4">
        <f t="shared" si="9"/>
        <v>1</v>
      </c>
      <c r="AP4" s="188">
        <f t="shared" si="10"/>
        <v>2.3556297156123042E-2</v>
      </c>
      <c r="AQ4" s="188">
        <f t="shared" si="11"/>
        <v>2.8318949506674393E-2</v>
      </c>
      <c r="AR4" s="188">
        <f t="shared" si="12"/>
        <v>0.77386825304701101</v>
      </c>
      <c r="AS4" s="128">
        <f t="shared" si="13"/>
        <v>1622.3966752205913</v>
      </c>
      <c r="AT4" s="188">
        <v>0.307</v>
      </c>
      <c r="AU4" s="238">
        <v>6.1400000000000003E-2</v>
      </c>
      <c r="AV4">
        <v>8.5</v>
      </c>
      <c r="AY4" t="s">
        <v>429</v>
      </c>
      <c r="AZ4" s="129">
        <v>1830.5955387470574</v>
      </c>
      <c r="BA4" t="s">
        <v>441</v>
      </c>
    </row>
    <row r="5" spans="1:55" x14ac:dyDescent="0.25">
      <c r="A5" t="s">
        <v>127</v>
      </c>
      <c r="B5">
        <v>2818</v>
      </c>
      <c r="C5">
        <v>6776</v>
      </c>
      <c r="D5">
        <v>57485</v>
      </c>
      <c r="E5">
        <v>0</v>
      </c>
      <c r="F5">
        <v>0</v>
      </c>
      <c r="G5">
        <v>0</v>
      </c>
      <c r="H5">
        <v>0</v>
      </c>
      <c r="I5">
        <v>2417</v>
      </c>
      <c r="J5">
        <v>-523</v>
      </c>
      <c r="K5">
        <v>7754</v>
      </c>
      <c r="L5">
        <v>2267</v>
      </c>
      <c r="M5">
        <v>7902</v>
      </c>
      <c r="N5">
        <v>23709</v>
      </c>
      <c r="O5">
        <v>5185</v>
      </c>
      <c r="P5">
        <v>43847</v>
      </c>
      <c r="Q5">
        <v>0</v>
      </c>
      <c r="R5">
        <v>0</v>
      </c>
      <c r="S5">
        <v>6476</v>
      </c>
      <c r="T5">
        <v>7679</v>
      </c>
      <c r="U5">
        <f t="shared" si="0"/>
        <v>-8</v>
      </c>
      <c r="V5">
        <v>5930</v>
      </c>
      <c r="W5">
        <v>93224</v>
      </c>
      <c r="X5">
        <v>87286</v>
      </c>
      <c r="Y5">
        <f t="shared" si="1"/>
        <v>5938</v>
      </c>
      <c r="Z5">
        <v>2645</v>
      </c>
      <c r="AA5">
        <v>326268.99999999907</v>
      </c>
      <c r="AB5">
        <v>65390</v>
      </c>
      <c r="AC5" s="128">
        <v>51729.911496840912</v>
      </c>
      <c r="AD5">
        <v>27900</v>
      </c>
      <c r="AE5" t="s">
        <v>127</v>
      </c>
      <c r="AF5" s="188">
        <f t="shared" si="2"/>
        <v>-2.4317772247489915E-2</v>
      </c>
      <c r="AG5" s="188">
        <f t="shared" si="3"/>
        <v>0.42992147944735259</v>
      </c>
      <c r="AH5" s="188">
        <f t="shared" si="4"/>
        <v>0</v>
      </c>
      <c r="AI5" s="188">
        <f t="shared" si="5"/>
        <v>2.0316656654938644E-2</v>
      </c>
      <c r="AJ5" s="188">
        <f t="shared" si="6"/>
        <v>0.41569981978889553</v>
      </c>
      <c r="AK5" s="188">
        <f t="shared" si="7"/>
        <v>0.27284339900570798</v>
      </c>
      <c r="AL5" s="188">
        <f t="shared" si="8"/>
        <v>6.3696043937183561E-2</v>
      </c>
      <c r="AM5" s="188">
        <v>-3.3975499287183172E-2</v>
      </c>
      <c r="AN5" s="188">
        <v>-6.2535739053204047E-3</v>
      </c>
      <c r="AO5">
        <f t="shared" si="9"/>
        <v>2</v>
      </c>
      <c r="AP5" s="188">
        <f t="shared" si="10"/>
        <v>7.0931305243284995E-3</v>
      </c>
      <c r="AQ5" s="188">
        <f t="shared" si="11"/>
        <v>3.4998390972281715E-3</v>
      </c>
      <c r="AR5" s="188">
        <f t="shared" si="12"/>
        <v>0.70142881661374756</v>
      </c>
      <c r="AS5" s="128">
        <f t="shared" si="13"/>
        <v>1854.1186916430433</v>
      </c>
      <c r="AT5" s="188">
        <v>0.26900000000000002</v>
      </c>
      <c r="AU5" s="238">
        <v>5.3800000000000001E-2</v>
      </c>
      <c r="AV5">
        <v>8</v>
      </c>
      <c r="AY5" t="s">
        <v>214</v>
      </c>
      <c r="AZ5" s="129">
        <v>2017.1715232699414</v>
      </c>
      <c r="BA5" t="s">
        <v>441</v>
      </c>
    </row>
    <row r="6" spans="1:55" x14ac:dyDescent="0.25">
      <c r="A6" t="s">
        <v>283</v>
      </c>
      <c r="B6">
        <v>484</v>
      </c>
      <c r="C6">
        <v>1140</v>
      </c>
      <c r="D6">
        <v>64113</v>
      </c>
      <c r="E6">
        <v>604</v>
      </c>
      <c r="F6">
        <v>2362</v>
      </c>
      <c r="G6">
        <v>372</v>
      </c>
      <c r="H6">
        <v>58</v>
      </c>
      <c r="I6">
        <v>1989</v>
      </c>
      <c r="J6">
        <v>0</v>
      </c>
      <c r="K6">
        <v>12139</v>
      </c>
      <c r="L6" s="207">
        <f>-1651+1651</f>
        <v>0</v>
      </c>
      <c r="M6">
        <v>3473</v>
      </c>
      <c r="N6">
        <v>33354</v>
      </c>
      <c r="O6">
        <v>1331</v>
      </c>
      <c r="P6">
        <v>40820</v>
      </c>
      <c r="Q6">
        <v>3</v>
      </c>
      <c r="R6">
        <f>1651</f>
        <v>1651</v>
      </c>
      <c r="S6">
        <v>2946</v>
      </c>
      <c r="T6">
        <v>6627</v>
      </c>
      <c r="U6">
        <f t="shared" si="0"/>
        <v>-5</v>
      </c>
      <c r="V6">
        <v>18583</v>
      </c>
      <c r="W6">
        <v>79289</v>
      </c>
      <c r="X6">
        <v>60701</v>
      </c>
      <c r="Y6">
        <f t="shared" si="1"/>
        <v>18588</v>
      </c>
      <c r="Z6">
        <v>18746</v>
      </c>
      <c r="AA6">
        <v>579293.99999999907</v>
      </c>
      <c r="AB6">
        <v>37850</v>
      </c>
      <c r="AC6" s="128">
        <v>36670.43327078149</v>
      </c>
      <c r="AD6">
        <v>20136</v>
      </c>
      <c r="AE6" t="s">
        <v>283</v>
      </c>
      <c r="AF6" s="188">
        <f t="shared" si="2"/>
        <v>2.0822560506501532E-2</v>
      </c>
      <c r="AG6" s="188">
        <f t="shared" si="3"/>
        <v>0.42430854216852276</v>
      </c>
      <c r="AH6" s="188">
        <f t="shared" si="4"/>
        <v>3.4481453921729369E-2</v>
      </c>
      <c r="AI6" s="188">
        <f t="shared" si="5"/>
        <v>2.5085446909407359E-2</v>
      </c>
      <c r="AJ6" s="188">
        <f t="shared" si="6"/>
        <v>0.41088650380254516</v>
      </c>
      <c r="AK6" s="188">
        <f t="shared" si="7"/>
        <v>0.38456394410367567</v>
      </c>
      <c r="AL6" s="188">
        <f t="shared" si="8"/>
        <v>0.23443352797992156</v>
      </c>
      <c r="AM6" s="188">
        <v>-5.9521512637468646E-2</v>
      </c>
      <c r="AN6" s="188">
        <v>-2.8617899569702084E-3</v>
      </c>
      <c r="AO6">
        <f t="shared" si="9"/>
        <v>2</v>
      </c>
      <c r="AP6" s="188">
        <f t="shared" si="10"/>
        <v>5.9106559547982697E-2</v>
      </c>
      <c r="AQ6" s="188">
        <f t="shared" si="11"/>
        <v>7.3061080351624948E-3</v>
      </c>
      <c r="AR6" s="188">
        <f t="shared" si="12"/>
        <v>0.47736760458575589</v>
      </c>
      <c r="AS6" s="128">
        <f t="shared" si="13"/>
        <v>1821.1379256446905</v>
      </c>
      <c r="AT6" s="188">
        <v>0.28199999999999997</v>
      </c>
      <c r="AU6" s="238">
        <v>5.6399999999999999E-2</v>
      </c>
      <c r="AV6">
        <v>6.5</v>
      </c>
      <c r="AY6" t="s">
        <v>241</v>
      </c>
      <c r="AZ6" s="129">
        <v>3370.2888322183471</v>
      </c>
      <c r="BA6" t="s">
        <v>441</v>
      </c>
      <c r="BC6">
        <v>1</v>
      </c>
    </row>
    <row r="7" spans="1:55" x14ac:dyDescent="0.25">
      <c r="A7" t="s">
        <v>284</v>
      </c>
      <c r="B7">
        <v>284</v>
      </c>
      <c r="C7">
        <v>9677</v>
      </c>
      <c r="D7">
        <v>59273</v>
      </c>
      <c r="E7">
        <v>1761</v>
      </c>
      <c r="F7">
        <v>0</v>
      </c>
      <c r="G7">
        <v>1622</v>
      </c>
      <c r="H7">
        <v>0</v>
      </c>
      <c r="I7">
        <v>8661</v>
      </c>
      <c r="J7">
        <v>0</v>
      </c>
      <c r="K7">
        <v>1580</v>
      </c>
      <c r="L7">
        <v>13432</v>
      </c>
      <c r="M7">
        <v>9483</v>
      </c>
      <c r="N7">
        <v>33908</v>
      </c>
      <c r="O7">
        <v>12877</v>
      </c>
      <c r="P7">
        <v>51983</v>
      </c>
      <c r="Q7">
        <v>9</v>
      </c>
      <c r="R7">
        <v>0</v>
      </c>
      <c r="S7">
        <v>2638</v>
      </c>
      <c r="T7">
        <v>4360</v>
      </c>
      <c r="U7">
        <f t="shared" si="0"/>
        <v>2</v>
      </c>
      <c r="V7">
        <v>17332</v>
      </c>
      <c r="W7">
        <v>84140</v>
      </c>
      <c r="X7">
        <v>66810</v>
      </c>
      <c r="Y7">
        <f t="shared" si="1"/>
        <v>17330</v>
      </c>
      <c r="Z7">
        <v>17336</v>
      </c>
      <c r="AA7">
        <v>846041</v>
      </c>
      <c r="AB7">
        <v>38215</v>
      </c>
      <c r="AC7" s="128">
        <v>37525.69655550678</v>
      </c>
      <c r="AD7">
        <v>25814</v>
      </c>
      <c r="AE7" t="s">
        <v>284</v>
      </c>
      <c r="AF7" s="188">
        <f t="shared" si="2"/>
        <v>-0.1596386974090801</v>
      </c>
      <c r="AG7" s="188">
        <f t="shared" si="3"/>
        <v>0.39069408129308297</v>
      </c>
      <c r="AH7" s="188">
        <f t="shared" si="4"/>
        <v>1.9277394818160209E-2</v>
      </c>
      <c r="AI7" s="188">
        <f t="shared" si="5"/>
        <v>0.10293558355122415</v>
      </c>
      <c r="AJ7" s="188">
        <f t="shared" si="6"/>
        <v>0.3209524601854053</v>
      </c>
      <c r="AK7" s="188">
        <f t="shared" si="7"/>
        <v>0.32056724178681162</v>
      </c>
      <c r="AL7" s="188">
        <f t="shared" si="8"/>
        <v>0.20596624673163774</v>
      </c>
      <c r="AM7" s="188">
        <v>-2.881995388807378E-2</v>
      </c>
      <c r="AN7" s="188">
        <v>-4.0854808296668758E-3</v>
      </c>
      <c r="AO7">
        <f t="shared" si="9"/>
        <v>2</v>
      </c>
      <c r="AP7" s="188">
        <f t="shared" si="10"/>
        <v>5.1509389113382459E-2</v>
      </c>
      <c r="AQ7" s="188">
        <f t="shared" si="11"/>
        <v>1.0055158069883528E-2</v>
      </c>
      <c r="AR7" s="188">
        <f t="shared" si="12"/>
        <v>0.45418350368433563</v>
      </c>
      <c r="AS7" s="128">
        <f t="shared" si="13"/>
        <v>1453.6955355817302</v>
      </c>
      <c r="AT7" s="188">
        <v>0.23249999999999998</v>
      </c>
      <c r="AU7" s="238">
        <v>4.65E-2</v>
      </c>
      <c r="AV7">
        <v>8</v>
      </c>
      <c r="AY7" t="s">
        <v>166</v>
      </c>
      <c r="AZ7" s="129">
        <v>1747.1572082244215</v>
      </c>
      <c r="BA7" t="s">
        <v>441</v>
      </c>
    </row>
    <row r="8" spans="1:55" x14ac:dyDescent="0.25">
      <c r="A8" t="s">
        <v>239</v>
      </c>
      <c r="B8">
        <v>104</v>
      </c>
      <c r="C8">
        <v>75498</v>
      </c>
      <c r="D8">
        <v>354185</v>
      </c>
      <c r="E8">
        <v>1050</v>
      </c>
      <c r="F8">
        <v>0</v>
      </c>
      <c r="G8">
        <v>12032</v>
      </c>
      <c r="H8">
        <v>0</v>
      </c>
      <c r="I8">
        <v>15819</v>
      </c>
      <c r="J8">
        <v>3330</v>
      </c>
      <c r="K8">
        <v>98152</v>
      </c>
      <c r="L8">
        <v>9481</v>
      </c>
      <c r="M8">
        <v>4939</v>
      </c>
      <c r="N8">
        <v>135971</v>
      </c>
      <c r="O8">
        <v>7976</v>
      </c>
      <c r="P8">
        <v>371291</v>
      </c>
      <c r="Q8">
        <v>489</v>
      </c>
      <c r="R8">
        <v>15000</v>
      </c>
      <c r="S8">
        <v>14557</v>
      </c>
      <c r="T8">
        <v>29307</v>
      </c>
      <c r="U8">
        <f t="shared" si="0"/>
        <v>1303</v>
      </c>
      <c r="V8">
        <v>18830</v>
      </c>
      <c r="W8">
        <v>459626</v>
      </c>
      <c r="X8">
        <v>442099</v>
      </c>
      <c r="Y8">
        <f t="shared" si="1"/>
        <v>17527</v>
      </c>
      <c r="Z8">
        <v>-40224</v>
      </c>
      <c r="AA8">
        <v>11614801</v>
      </c>
      <c r="AB8">
        <v>297102</v>
      </c>
      <c r="AC8" s="128">
        <v>239602.79889372556</v>
      </c>
      <c r="AD8">
        <v>109896</v>
      </c>
      <c r="AE8" t="s">
        <v>239</v>
      </c>
      <c r="AF8" s="188">
        <f t="shared" si="2"/>
        <v>1.2007588778702684E-2</v>
      </c>
      <c r="AG8" s="188">
        <f t="shared" si="3"/>
        <v>0.66584570933759191</v>
      </c>
      <c r="AH8" s="188">
        <f t="shared" si="4"/>
        <v>2.6177805433113009E-2</v>
      </c>
      <c r="AI8" s="188">
        <f t="shared" si="5"/>
        <v>4.1662133995901018E-2</v>
      </c>
      <c r="AJ8" s="188">
        <f t="shared" si="6"/>
        <v>0.63982355219243481</v>
      </c>
      <c r="AK8" s="188">
        <f t="shared" si="7"/>
        <v>0.23663962714348119</v>
      </c>
      <c r="AL8" s="188">
        <f t="shared" si="8"/>
        <v>3.8133177844595391E-2</v>
      </c>
      <c r="AM8" s="188">
        <v>-2.4860258045848512E-2</v>
      </c>
      <c r="AN8" s="188">
        <v>-1.6292504161246557E-2</v>
      </c>
      <c r="AO8">
        <f t="shared" si="9"/>
        <v>2</v>
      </c>
      <c r="AP8" s="188">
        <f t="shared" si="10"/>
        <v>-2.187865786530788E-2</v>
      </c>
      <c r="AQ8" s="188">
        <f t="shared" si="11"/>
        <v>2.5270113091948671E-2</v>
      </c>
      <c r="AR8" s="188">
        <f t="shared" si="12"/>
        <v>0.64639946391196323</v>
      </c>
      <c r="AS8" s="128">
        <f t="shared" si="13"/>
        <v>2180.2686075355386</v>
      </c>
      <c r="AT8" s="188">
        <v>0.1855</v>
      </c>
      <c r="AU8" s="238">
        <v>3.7100000000000001E-2</v>
      </c>
      <c r="AV8">
        <v>8.5</v>
      </c>
      <c r="AY8" t="s">
        <v>119</v>
      </c>
      <c r="AZ8" s="129">
        <v>2322.5471674810028</v>
      </c>
      <c r="BA8" t="s">
        <v>441</v>
      </c>
      <c r="BC8">
        <v>1</v>
      </c>
    </row>
    <row r="9" spans="1:55" x14ac:dyDescent="0.25">
      <c r="A9" t="s">
        <v>141</v>
      </c>
      <c r="B9">
        <v>2567</v>
      </c>
      <c r="C9">
        <v>32736</v>
      </c>
      <c r="D9">
        <v>166383</v>
      </c>
      <c r="E9">
        <v>673</v>
      </c>
      <c r="F9">
        <v>7178</v>
      </c>
      <c r="G9">
        <v>16218</v>
      </c>
      <c r="H9">
        <v>371</v>
      </c>
      <c r="I9">
        <v>40032</v>
      </c>
      <c r="J9">
        <v>560</v>
      </c>
      <c r="K9">
        <v>28351</v>
      </c>
      <c r="L9">
        <v>18272</v>
      </c>
      <c r="M9">
        <v>12025</v>
      </c>
      <c r="N9">
        <v>30605</v>
      </c>
      <c r="O9">
        <v>11659</v>
      </c>
      <c r="P9">
        <v>240126</v>
      </c>
      <c r="Q9">
        <v>427</v>
      </c>
      <c r="R9">
        <v>10000</v>
      </c>
      <c r="S9">
        <v>7739</v>
      </c>
      <c r="T9">
        <v>24811</v>
      </c>
      <c r="U9">
        <f t="shared" si="0"/>
        <v>-1</v>
      </c>
      <c r="V9">
        <v>4899</v>
      </c>
      <c r="W9">
        <v>325094</v>
      </c>
      <c r="X9">
        <v>320194</v>
      </c>
      <c r="Y9">
        <f t="shared" si="1"/>
        <v>4900</v>
      </c>
      <c r="Z9">
        <v>-18497</v>
      </c>
      <c r="AA9">
        <v>-5008099.0000000037</v>
      </c>
      <c r="AB9">
        <v>231789</v>
      </c>
      <c r="AC9" s="128">
        <v>186889.22418371111</v>
      </c>
      <c r="AD9">
        <v>73132</v>
      </c>
      <c r="AE9" t="s">
        <v>141</v>
      </c>
      <c r="AF9" s="188">
        <f t="shared" si="2"/>
        <v>-2.5444948230357988E-2</v>
      </c>
      <c r="AG9" s="188">
        <f t="shared" si="3"/>
        <v>0.61732298965837573</v>
      </c>
      <c r="AH9" s="188">
        <f t="shared" si="4"/>
        <v>7.1966877272419669E-2</v>
      </c>
      <c r="AI9" s="188">
        <f t="shared" si="5"/>
        <v>0.12486234750564452</v>
      </c>
      <c r="AJ9" s="188">
        <f t="shared" si="6"/>
        <v>0.53855537167711498</v>
      </c>
      <c r="AK9" s="188">
        <f t="shared" si="7"/>
        <v>9.4063011921922013E-2</v>
      </c>
      <c r="AL9" s="188">
        <f t="shared" si="8"/>
        <v>1.5072563627750743E-2</v>
      </c>
      <c r="AM9" s="188">
        <v>3.0010063622562984E-2</v>
      </c>
      <c r="AN9" s="188">
        <v>2.4662889862725107E-2</v>
      </c>
      <c r="AO9">
        <f t="shared" si="9"/>
        <v>0</v>
      </c>
      <c r="AP9" s="188">
        <f t="shared" si="10"/>
        <v>-1.4224347419515585E-2</v>
      </c>
      <c r="AQ9" s="188">
        <f t="shared" si="11"/>
        <v>-1.5405079761545903E-2</v>
      </c>
      <c r="AR9" s="188">
        <f t="shared" si="12"/>
        <v>0.7129907042270851</v>
      </c>
      <c r="AS9" s="128">
        <f t="shared" si="13"/>
        <v>2555.5054447261268</v>
      </c>
      <c r="AT9" s="188">
        <v>0.28849999999999998</v>
      </c>
      <c r="AU9" s="238">
        <v>5.7700000000000001E-2</v>
      </c>
      <c r="AV9">
        <v>5.5</v>
      </c>
      <c r="AY9" t="s">
        <v>167</v>
      </c>
      <c r="AZ9" s="129">
        <v>2194.4306383941976</v>
      </c>
      <c r="BA9" t="s">
        <v>441</v>
      </c>
    </row>
    <row r="10" spans="1:55" x14ac:dyDescent="0.25">
      <c r="A10" t="s">
        <v>429</v>
      </c>
      <c r="B10">
        <v>6447</v>
      </c>
      <c r="C10">
        <v>255343</v>
      </c>
      <c r="D10">
        <v>542510</v>
      </c>
      <c r="E10">
        <v>19262</v>
      </c>
      <c r="F10">
        <v>22240</v>
      </c>
      <c r="G10">
        <v>18778</v>
      </c>
      <c r="H10">
        <v>0</v>
      </c>
      <c r="I10">
        <v>291942</v>
      </c>
      <c r="J10">
        <v>9</v>
      </c>
      <c r="K10">
        <v>110685</v>
      </c>
      <c r="L10">
        <v>386</v>
      </c>
      <c r="M10">
        <v>24916</v>
      </c>
      <c r="N10">
        <v>448437</v>
      </c>
      <c r="O10">
        <v>293016</v>
      </c>
      <c r="P10">
        <v>390000</v>
      </c>
      <c r="Q10">
        <v>194</v>
      </c>
      <c r="R10">
        <v>54000</v>
      </c>
      <c r="S10">
        <v>49902</v>
      </c>
      <c r="T10">
        <v>56967</v>
      </c>
      <c r="U10">
        <f t="shared" si="0"/>
        <v>-7</v>
      </c>
      <c r="V10">
        <v>46949</v>
      </c>
      <c r="W10">
        <v>925327</v>
      </c>
      <c r="X10">
        <v>878371</v>
      </c>
      <c r="Y10">
        <f t="shared" si="1"/>
        <v>46956</v>
      </c>
      <c r="Z10">
        <v>31354</v>
      </c>
      <c r="AA10">
        <v>7588378.9999999925</v>
      </c>
      <c r="AB10">
        <v>596616</v>
      </c>
      <c r="AC10" s="128">
        <v>393056.32110207446</v>
      </c>
      <c r="AD10">
        <v>214715</v>
      </c>
      <c r="AE10" t="s">
        <v>429</v>
      </c>
      <c r="AF10" s="188">
        <f t="shared" si="2"/>
        <v>5.7940598296602176E-2</v>
      </c>
      <c r="AG10" s="188">
        <f t="shared" si="3"/>
        <v>0.40424412126740061</v>
      </c>
      <c r="AH10" s="188">
        <f t="shared" si="4"/>
        <v>4.4328113196740182E-2</v>
      </c>
      <c r="AI10" s="188">
        <f t="shared" si="5"/>
        <v>0.31551116524212519</v>
      </c>
      <c r="AJ10" s="188">
        <f t="shared" si="6"/>
        <v>0.18870567918152184</v>
      </c>
      <c r="AK10" s="188">
        <f t="shared" si="7"/>
        <v>0.34694889657071942</v>
      </c>
      <c r="AL10" s="188">
        <f t="shared" si="8"/>
        <v>5.0745304092499194E-2</v>
      </c>
      <c r="AM10" s="188">
        <v>3.9112662263694087E-2</v>
      </c>
      <c r="AN10" s="188">
        <v>3.5673961553123655E-2</v>
      </c>
      <c r="AO10">
        <f t="shared" si="9"/>
        <v>0</v>
      </c>
      <c r="AP10" s="188">
        <f t="shared" si="10"/>
        <v>8.4710594200752814E-3</v>
      </c>
      <c r="AQ10" s="188">
        <f t="shared" si="11"/>
        <v>8.2007538956498545E-3</v>
      </c>
      <c r="AR10" s="188">
        <f t="shared" si="12"/>
        <v>0.64476233807075767</v>
      </c>
      <c r="AS10" s="128">
        <f t="shared" si="13"/>
        <v>1830.5955387470574</v>
      </c>
      <c r="AT10" s="188">
        <v>0.26450000000000001</v>
      </c>
      <c r="AU10" s="238">
        <v>5.2900000000000003E-2</v>
      </c>
      <c r="AV10">
        <v>8.5</v>
      </c>
      <c r="AY10" t="s">
        <v>107</v>
      </c>
      <c r="AZ10" s="129">
        <v>2123.4392990940041</v>
      </c>
      <c r="BA10" t="s">
        <v>441</v>
      </c>
    </row>
    <row r="11" spans="1:55" x14ac:dyDescent="0.25">
      <c r="A11" t="s">
        <v>285</v>
      </c>
      <c r="B11">
        <v>3724</v>
      </c>
      <c r="C11">
        <v>37183</v>
      </c>
      <c r="D11">
        <v>276108</v>
      </c>
      <c r="E11">
        <v>7506</v>
      </c>
      <c r="F11">
        <v>1729</v>
      </c>
      <c r="G11">
        <v>20675</v>
      </c>
      <c r="H11">
        <v>7927</v>
      </c>
      <c r="I11">
        <v>168807</v>
      </c>
      <c r="J11">
        <v>7226</v>
      </c>
      <c r="K11">
        <v>35096</v>
      </c>
      <c r="L11">
        <v>407</v>
      </c>
      <c r="M11">
        <v>22352</v>
      </c>
      <c r="N11">
        <v>234902</v>
      </c>
      <c r="O11">
        <v>168744</v>
      </c>
      <c r="P11">
        <v>116370</v>
      </c>
      <c r="Q11">
        <v>5</v>
      </c>
      <c r="R11">
        <v>24291</v>
      </c>
      <c r="S11">
        <v>16910</v>
      </c>
      <c r="T11">
        <v>27516</v>
      </c>
      <c r="U11">
        <f t="shared" si="0"/>
        <v>33</v>
      </c>
      <c r="V11">
        <v>12680</v>
      </c>
      <c r="W11">
        <v>326568</v>
      </c>
      <c r="X11">
        <v>313921</v>
      </c>
      <c r="Y11">
        <f t="shared" si="1"/>
        <v>12647</v>
      </c>
      <c r="Z11">
        <v>43874</v>
      </c>
      <c r="AA11">
        <v>11313146</v>
      </c>
      <c r="AB11">
        <v>215255</v>
      </c>
      <c r="AC11" s="128">
        <v>172182.77809341581</v>
      </c>
      <c r="AD11">
        <v>112587</v>
      </c>
      <c r="AE11" t="s">
        <v>285</v>
      </c>
      <c r="AF11" s="188">
        <f t="shared" si="2"/>
        <v>7.3136375884961177E-2</v>
      </c>
      <c r="AG11" s="188">
        <f t="shared" si="3"/>
        <v>0.29674064819578161</v>
      </c>
      <c r="AH11" s="188">
        <f t="shared" si="4"/>
        <v>6.8604394796795767E-2</v>
      </c>
      <c r="AI11" s="188">
        <f t="shared" si="5"/>
        <v>0.53903934249528429</v>
      </c>
      <c r="AJ11" s="188">
        <f t="shared" si="6"/>
        <v>-7.2354364175301888E-2</v>
      </c>
      <c r="AK11" s="188">
        <f t="shared" si="7"/>
        <v>0.39899242107694766</v>
      </c>
      <c r="AL11" s="188">
        <f t="shared" si="8"/>
        <v>3.8727003258126946E-2</v>
      </c>
      <c r="AM11" s="188">
        <v>3.2533649721149721E-2</v>
      </c>
      <c r="AN11" s="188">
        <v>1.2037963761863675E-2</v>
      </c>
      <c r="AO11">
        <f t="shared" si="9"/>
        <v>0</v>
      </c>
      <c r="AP11" s="188">
        <f t="shared" si="10"/>
        <v>3.3587185517258276E-2</v>
      </c>
      <c r="AQ11" s="188">
        <f t="shared" si="11"/>
        <v>3.4642543053820335E-2</v>
      </c>
      <c r="AR11" s="188">
        <f t="shared" si="12"/>
        <v>0.65914296563043528</v>
      </c>
      <c r="AS11" s="128">
        <f t="shared" si="13"/>
        <v>1529.3309004895395</v>
      </c>
      <c r="AT11" s="188">
        <v>0.19850000000000001</v>
      </c>
      <c r="AU11" s="238">
        <v>3.9699999999999999E-2</v>
      </c>
      <c r="AV11">
        <v>10</v>
      </c>
      <c r="AY11" t="s">
        <v>347</v>
      </c>
      <c r="AZ11" s="129">
        <v>3069.3673771549293</v>
      </c>
      <c r="BA11" t="s">
        <v>441</v>
      </c>
      <c r="BC11">
        <v>1</v>
      </c>
    </row>
    <row r="12" spans="1:55" x14ac:dyDescent="0.25">
      <c r="A12" t="s">
        <v>343</v>
      </c>
      <c r="B12">
        <v>455</v>
      </c>
      <c r="C12">
        <v>1126</v>
      </c>
      <c r="D12">
        <v>20639</v>
      </c>
      <c r="E12">
        <v>43</v>
      </c>
      <c r="F12">
        <v>951</v>
      </c>
      <c r="G12">
        <v>292</v>
      </c>
      <c r="H12">
        <v>170</v>
      </c>
      <c r="I12">
        <v>463</v>
      </c>
      <c r="J12">
        <v>0</v>
      </c>
      <c r="K12">
        <v>4482</v>
      </c>
      <c r="L12">
        <v>2486</v>
      </c>
      <c r="M12">
        <v>542</v>
      </c>
      <c r="N12">
        <v>8701</v>
      </c>
      <c r="O12">
        <v>1580</v>
      </c>
      <c r="P12">
        <v>13511</v>
      </c>
      <c r="Q12">
        <v>42</v>
      </c>
      <c r="R12">
        <v>2000</v>
      </c>
      <c r="S12">
        <v>1900</v>
      </c>
      <c r="T12">
        <v>3916</v>
      </c>
      <c r="U12">
        <f t="shared" si="0"/>
        <v>-6</v>
      </c>
      <c r="V12">
        <v>359</v>
      </c>
      <c r="W12">
        <v>25150</v>
      </c>
      <c r="X12">
        <v>24785</v>
      </c>
      <c r="Y12">
        <f t="shared" si="1"/>
        <v>365</v>
      </c>
      <c r="Z12">
        <v>3827</v>
      </c>
      <c r="AA12">
        <v>1232145</v>
      </c>
      <c r="AB12">
        <v>16133</v>
      </c>
      <c r="AC12" s="128">
        <v>15294.702921907759</v>
      </c>
      <c r="AD12">
        <v>10373</v>
      </c>
      <c r="AE12" t="s">
        <v>343</v>
      </c>
      <c r="AF12" s="188">
        <f t="shared" si="2"/>
        <v>-1.9324055666003977E-2</v>
      </c>
      <c r="AG12" s="188">
        <f t="shared" si="3"/>
        <v>0.49487077534791252</v>
      </c>
      <c r="AH12" s="188">
        <f t="shared" si="4"/>
        <v>4.9423459244532807E-2</v>
      </c>
      <c r="AI12" s="188">
        <f t="shared" si="5"/>
        <v>1.8409542743538766E-2</v>
      </c>
      <c r="AJ12" s="188">
        <f t="shared" si="6"/>
        <v>0.48791491053677932</v>
      </c>
      <c r="AK12" s="188">
        <f t="shared" si="7"/>
        <v>0.27491311216429698</v>
      </c>
      <c r="AL12" s="188">
        <f t="shared" si="8"/>
        <v>1.4512922465208748E-2</v>
      </c>
      <c r="AM12" s="188">
        <v>1.7961403039622053E-2</v>
      </c>
      <c r="AN12" s="188">
        <v>-6.3460965117764813E-3</v>
      </c>
      <c r="AO12">
        <f t="shared" si="9"/>
        <v>1</v>
      </c>
      <c r="AP12" s="188">
        <f t="shared" si="10"/>
        <v>3.8041749502982107E-2</v>
      </c>
      <c r="AQ12" s="188">
        <f t="shared" si="11"/>
        <v>4.8991848906560637E-2</v>
      </c>
      <c r="AR12" s="188">
        <f t="shared" si="12"/>
        <v>0.64147117296222667</v>
      </c>
      <c r="AS12" s="128">
        <f t="shared" si="13"/>
        <v>1474.4724690935852</v>
      </c>
      <c r="AT12" s="188">
        <v>0.28549999999999998</v>
      </c>
      <c r="AU12" s="238">
        <v>5.7099999999999998E-2</v>
      </c>
      <c r="AV12">
        <v>9</v>
      </c>
      <c r="AY12" t="s">
        <v>354</v>
      </c>
      <c r="AZ12" s="129">
        <v>1846.9995101019956</v>
      </c>
      <c r="BA12" t="s">
        <v>441</v>
      </c>
    </row>
    <row r="13" spans="1:55" x14ac:dyDescent="0.25">
      <c r="A13" t="s">
        <v>598</v>
      </c>
      <c r="B13">
        <v>674</v>
      </c>
      <c r="C13">
        <v>15937</v>
      </c>
      <c r="D13">
        <v>131352</v>
      </c>
      <c r="E13">
        <v>4053</v>
      </c>
      <c r="F13">
        <v>4884</v>
      </c>
      <c r="G13">
        <v>1830</v>
      </c>
      <c r="H13">
        <v>110</v>
      </c>
      <c r="I13">
        <v>17166</v>
      </c>
      <c r="J13">
        <v>2539</v>
      </c>
      <c r="K13">
        <v>4178</v>
      </c>
      <c r="L13">
        <v>12513</v>
      </c>
      <c r="M13">
        <v>12345</v>
      </c>
      <c r="N13">
        <v>66126</v>
      </c>
      <c r="O13">
        <v>20378</v>
      </c>
      <c r="P13">
        <v>91633</v>
      </c>
      <c r="Q13">
        <v>8</v>
      </c>
      <c r="R13">
        <v>0</v>
      </c>
      <c r="S13">
        <v>5836</v>
      </c>
      <c r="T13">
        <v>23601</v>
      </c>
      <c r="U13">
        <f t="shared" si="0"/>
        <v>-6</v>
      </c>
      <c r="V13">
        <v>-924</v>
      </c>
      <c r="W13">
        <v>136053</v>
      </c>
      <c r="X13">
        <v>136971</v>
      </c>
      <c r="Y13">
        <f t="shared" si="1"/>
        <v>-918</v>
      </c>
      <c r="Z13">
        <v>33801</v>
      </c>
      <c r="AA13">
        <v>5741156.9999999981</v>
      </c>
      <c r="AB13">
        <v>89112</v>
      </c>
      <c r="AC13" s="128">
        <v>80897.132596989977</v>
      </c>
      <c r="AD13">
        <v>56352</v>
      </c>
      <c r="AE13" t="s">
        <v>598</v>
      </c>
      <c r="AF13" s="188">
        <f t="shared" si="2"/>
        <v>-9.1971511102291015E-2</v>
      </c>
      <c r="AG13" s="188">
        <f t="shared" si="3"/>
        <v>0.62635884544993492</v>
      </c>
      <c r="AH13" s="188">
        <f t="shared" si="4"/>
        <v>4.9348415690943968E-2</v>
      </c>
      <c r="AI13" s="188">
        <f t="shared" si="5"/>
        <v>0.14483326350760364</v>
      </c>
      <c r="AJ13" s="188">
        <f t="shared" si="6"/>
        <v>0.53089737087752564</v>
      </c>
      <c r="AK13" s="188">
        <f t="shared" si="7"/>
        <v>0.31855363181778767</v>
      </c>
      <c r="AL13" s="188">
        <f t="shared" si="8"/>
        <v>-6.7473705100218294E-3</v>
      </c>
      <c r="AM13" s="188">
        <v>7.4584319330224996E-2</v>
      </c>
      <c r="AN13" s="188">
        <v>1.1106745647969053E-3</v>
      </c>
      <c r="AO13">
        <f t="shared" si="9"/>
        <v>1</v>
      </c>
      <c r="AP13" s="188">
        <f t="shared" si="10"/>
        <v>6.2109986549359439E-2</v>
      </c>
      <c r="AQ13" s="188">
        <f t="shared" si="11"/>
        <v>4.2197944918524383E-2</v>
      </c>
      <c r="AR13" s="188">
        <f t="shared" si="12"/>
        <v>0.65498004454146541</v>
      </c>
      <c r="AS13" s="128">
        <f t="shared" si="13"/>
        <v>1435.5680827120595</v>
      </c>
      <c r="AT13" s="188">
        <v>0.27750000000000002</v>
      </c>
      <c r="AU13" s="238">
        <v>5.5500000000000001E-2</v>
      </c>
      <c r="AV13">
        <v>7</v>
      </c>
      <c r="AY13" t="s">
        <v>120</v>
      </c>
      <c r="AZ13" s="129">
        <v>2429.4857214803496</v>
      </c>
      <c r="BA13" t="s">
        <v>441</v>
      </c>
      <c r="BC13">
        <v>1</v>
      </c>
    </row>
    <row r="14" spans="1:55" x14ac:dyDescent="0.25">
      <c r="A14" t="s">
        <v>128</v>
      </c>
      <c r="B14">
        <v>321</v>
      </c>
      <c r="C14">
        <v>2493</v>
      </c>
      <c r="D14">
        <v>33524</v>
      </c>
      <c r="E14">
        <v>379</v>
      </c>
      <c r="F14">
        <v>0</v>
      </c>
      <c r="G14">
        <v>782</v>
      </c>
      <c r="H14">
        <v>0</v>
      </c>
      <c r="I14">
        <v>2841</v>
      </c>
      <c r="J14">
        <v>31</v>
      </c>
      <c r="K14">
        <v>2101</v>
      </c>
      <c r="L14">
        <v>895</v>
      </c>
      <c r="M14">
        <v>4131</v>
      </c>
      <c r="N14">
        <v>19359</v>
      </c>
      <c r="O14">
        <v>1768</v>
      </c>
      <c r="P14">
        <v>17200</v>
      </c>
      <c r="Q14">
        <v>0</v>
      </c>
      <c r="R14">
        <v>6000</v>
      </c>
      <c r="S14">
        <v>1894</v>
      </c>
      <c r="T14">
        <v>1280</v>
      </c>
      <c r="U14">
        <f t="shared" si="0"/>
        <v>28</v>
      </c>
      <c r="V14">
        <v>5388</v>
      </c>
      <c r="W14">
        <v>29429</v>
      </c>
      <c r="X14">
        <v>24069</v>
      </c>
      <c r="Y14">
        <f t="shared" si="1"/>
        <v>5360</v>
      </c>
      <c r="Z14">
        <v>9571</v>
      </c>
      <c r="AA14">
        <v>870548</v>
      </c>
      <c r="AB14">
        <v>12766</v>
      </c>
      <c r="AC14" s="128">
        <v>8341.3563253647117</v>
      </c>
      <c r="AD14">
        <v>3746</v>
      </c>
      <c r="AE14" t="s">
        <v>128</v>
      </c>
      <c r="AF14" s="188">
        <f t="shared" si="2"/>
        <v>0.17346834754833668</v>
      </c>
      <c r="AG14" s="188">
        <f t="shared" si="3"/>
        <v>0.62744231880118251</v>
      </c>
      <c r="AH14" s="188">
        <f t="shared" si="4"/>
        <v>2.6572428556865677E-2</v>
      </c>
      <c r="AI14" s="188">
        <f t="shared" si="5"/>
        <v>9.7590811784294407E-2</v>
      </c>
      <c r="AJ14" s="188">
        <f t="shared" si="6"/>
        <v>0.56231744197900024</v>
      </c>
      <c r="AK14" s="188">
        <f t="shared" si="7"/>
        <v>0.40754931475126838</v>
      </c>
      <c r="AL14" s="188">
        <f t="shared" si="8"/>
        <v>0.18213326990383635</v>
      </c>
      <c r="AM14" s="188">
        <v>4.843560623064147E-2</v>
      </c>
      <c r="AN14" s="188">
        <v>4.516099482434846E-2</v>
      </c>
      <c r="AO14">
        <f t="shared" si="9"/>
        <v>0</v>
      </c>
      <c r="AP14" s="188">
        <f t="shared" si="10"/>
        <v>8.1305854769105304E-2</v>
      </c>
      <c r="AQ14" s="188">
        <f t="shared" si="11"/>
        <v>2.958129735974719E-2</v>
      </c>
      <c r="AR14" s="188">
        <f t="shared" si="12"/>
        <v>0.4337897991776819</v>
      </c>
      <c r="AS14" s="128">
        <f t="shared" si="13"/>
        <v>2226.7368727615353</v>
      </c>
      <c r="AT14" s="188">
        <v>-0.29449999999999998</v>
      </c>
      <c r="AU14" s="238">
        <v>-5.8900000000000001E-2</v>
      </c>
      <c r="AV14">
        <v>8.5</v>
      </c>
      <c r="AY14" t="s">
        <v>247</v>
      </c>
      <c r="AZ14" s="129">
        <v>2048.8331782002779</v>
      </c>
      <c r="BA14" t="s">
        <v>441</v>
      </c>
    </row>
    <row r="15" spans="1:55" x14ac:dyDescent="0.25">
      <c r="A15" t="s">
        <v>214</v>
      </c>
      <c r="B15">
        <v>605</v>
      </c>
      <c r="C15">
        <v>43126</v>
      </c>
      <c r="D15">
        <v>451877</v>
      </c>
      <c r="E15">
        <v>7668</v>
      </c>
      <c r="F15">
        <v>5100</v>
      </c>
      <c r="G15">
        <v>45417</v>
      </c>
      <c r="H15">
        <v>5173</v>
      </c>
      <c r="I15">
        <v>0</v>
      </c>
      <c r="J15">
        <v>11106</v>
      </c>
      <c r="K15">
        <v>47911</v>
      </c>
      <c r="L15">
        <v>23</v>
      </c>
      <c r="M15">
        <v>24326</v>
      </c>
      <c r="N15">
        <v>164550</v>
      </c>
      <c r="O15">
        <v>84411</v>
      </c>
      <c r="P15">
        <v>282411</v>
      </c>
      <c r="Q15">
        <v>979</v>
      </c>
      <c r="R15">
        <v>36478</v>
      </c>
      <c r="S15">
        <v>20711</v>
      </c>
      <c r="T15">
        <v>52793</v>
      </c>
      <c r="U15">
        <f t="shared" si="0"/>
        <v>2</v>
      </c>
      <c r="V15">
        <v>-20592</v>
      </c>
      <c r="W15">
        <v>612530</v>
      </c>
      <c r="X15">
        <v>633124</v>
      </c>
      <c r="Y15">
        <f t="shared" si="1"/>
        <v>-20594</v>
      </c>
      <c r="Z15">
        <v>-2092</v>
      </c>
      <c r="AA15">
        <v>5680727.9999999925</v>
      </c>
      <c r="AB15">
        <v>396164</v>
      </c>
      <c r="AC15" s="128">
        <v>317627.86239713151</v>
      </c>
      <c r="AD15">
        <v>157462</v>
      </c>
      <c r="AE15" t="s">
        <v>214</v>
      </c>
      <c r="AF15" s="188">
        <f t="shared" si="2"/>
        <v>5.951545230437693E-2</v>
      </c>
      <c r="AG15" s="188">
        <f t="shared" si="3"/>
        <v>0.43332081693957847</v>
      </c>
      <c r="AH15" s="188">
        <f t="shared" si="4"/>
        <v>8.2472695214928254E-2</v>
      </c>
      <c r="AI15" s="188">
        <f t="shared" si="5"/>
        <v>1.8131356831502129E-2</v>
      </c>
      <c r="AJ15" s="188">
        <f t="shared" si="6"/>
        <v>0.43052559058331835</v>
      </c>
      <c r="AK15" s="188">
        <f t="shared" si="7"/>
        <v>0.2561755351196342</v>
      </c>
      <c r="AL15" s="188">
        <f t="shared" si="8"/>
        <v>-3.3621210389695198E-2</v>
      </c>
      <c r="AM15" s="188">
        <v>-4.7640192620007148E-2</v>
      </c>
      <c r="AN15" s="188">
        <v>4.4655175945079888E-2</v>
      </c>
      <c r="AO15">
        <f t="shared" si="9"/>
        <v>2</v>
      </c>
      <c r="AP15" s="188">
        <f t="shared" si="10"/>
        <v>-8.5383573049483286E-4</v>
      </c>
      <c r="AQ15" s="188">
        <f t="shared" si="11"/>
        <v>9.2742037124712139E-3</v>
      </c>
      <c r="AR15" s="188">
        <f t="shared" si="12"/>
        <v>0.64676668897849898</v>
      </c>
      <c r="AS15" s="128">
        <f t="shared" si="13"/>
        <v>2017.1715232699414</v>
      </c>
      <c r="AT15" s="188">
        <v>0.34399999999999997</v>
      </c>
      <c r="AU15" s="238">
        <v>6.88E-2</v>
      </c>
      <c r="AV15">
        <v>6.5</v>
      </c>
      <c r="AY15" t="s">
        <v>144</v>
      </c>
      <c r="AZ15" s="129">
        <v>1992.5786477839831</v>
      </c>
      <c r="BA15" t="s">
        <v>441</v>
      </c>
    </row>
    <row r="16" spans="1:55" x14ac:dyDescent="0.25">
      <c r="A16" t="s">
        <v>240</v>
      </c>
      <c r="B16">
        <v>1827</v>
      </c>
      <c r="C16">
        <v>5899</v>
      </c>
      <c r="D16">
        <v>232166</v>
      </c>
      <c r="E16">
        <v>7693</v>
      </c>
      <c r="F16">
        <v>0</v>
      </c>
      <c r="G16">
        <v>5574</v>
      </c>
      <c r="H16">
        <v>0</v>
      </c>
      <c r="I16">
        <v>-3733</v>
      </c>
      <c r="J16">
        <v>308</v>
      </c>
      <c r="K16">
        <v>114816</v>
      </c>
      <c r="L16">
        <v>697</v>
      </c>
      <c r="M16">
        <v>34804</v>
      </c>
      <c r="N16">
        <v>266788</v>
      </c>
      <c r="O16">
        <v>27416</v>
      </c>
      <c r="P16">
        <v>71125</v>
      </c>
      <c r="Q16">
        <v>209</v>
      </c>
      <c r="R16">
        <v>0</v>
      </c>
      <c r="S16">
        <v>6128</v>
      </c>
      <c r="T16">
        <v>28385</v>
      </c>
      <c r="U16">
        <f t="shared" si="0"/>
        <v>-3</v>
      </c>
      <c r="V16">
        <v>57135</v>
      </c>
      <c r="W16">
        <v>331945</v>
      </c>
      <c r="X16">
        <v>274807</v>
      </c>
      <c r="Y16">
        <f t="shared" si="1"/>
        <v>57138</v>
      </c>
      <c r="Z16">
        <v>38852</v>
      </c>
      <c r="AA16">
        <v>19669990</v>
      </c>
      <c r="AB16">
        <v>158123</v>
      </c>
      <c r="AC16" s="128">
        <v>145542.48331029224</v>
      </c>
      <c r="AD16">
        <v>90829</v>
      </c>
      <c r="AE16" t="s">
        <v>240</v>
      </c>
      <c r="AF16" s="188">
        <f t="shared" si="2"/>
        <v>-2.0997454397565863E-3</v>
      </c>
      <c r="AG16" s="188">
        <f t="shared" si="3"/>
        <v>-0.15075991504616729</v>
      </c>
      <c r="AH16" s="188">
        <f t="shared" si="4"/>
        <v>1.679193842353402E-2</v>
      </c>
      <c r="AI16" s="188">
        <f t="shared" si="5"/>
        <v>-1.0317974363222822E-2</v>
      </c>
      <c r="AJ16" s="188">
        <f t="shared" si="6"/>
        <v>-0.14152230038108723</v>
      </c>
      <c r="AK16" s="188">
        <f t="shared" si="7"/>
        <v>0.66688497216604881</v>
      </c>
      <c r="AL16" s="188">
        <f t="shared" si="8"/>
        <v>0.17213092530389071</v>
      </c>
      <c r="AM16" s="188">
        <v>-2.4246322385210697E-2</v>
      </c>
      <c r="AN16" s="188">
        <v>6.6994501958177868E-2</v>
      </c>
      <c r="AO16">
        <f t="shared" si="9"/>
        <v>1</v>
      </c>
      <c r="AP16" s="188">
        <f t="shared" si="10"/>
        <v>2.9260871529922124E-2</v>
      </c>
      <c r="AQ16" s="188">
        <f t="shared" si="11"/>
        <v>5.9256774465649427E-2</v>
      </c>
      <c r="AR16" s="188">
        <f t="shared" si="12"/>
        <v>0.47635301028784888</v>
      </c>
      <c r="AS16" s="128">
        <f t="shared" si="13"/>
        <v>1602.3790123230713</v>
      </c>
      <c r="AT16" s="188">
        <v>0.246</v>
      </c>
      <c r="AU16" s="238">
        <v>4.9200000000000001E-2</v>
      </c>
      <c r="AV16">
        <v>9.5</v>
      </c>
      <c r="AY16" t="s">
        <v>175</v>
      </c>
      <c r="AZ16" s="129">
        <v>1740.9259189003105</v>
      </c>
      <c r="BA16" t="s">
        <v>441</v>
      </c>
    </row>
    <row r="17" spans="1:55" x14ac:dyDescent="0.25">
      <c r="A17" t="s">
        <v>241</v>
      </c>
      <c r="B17">
        <v>37377</v>
      </c>
      <c r="C17">
        <v>8503030</v>
      </c>
      <c r="D17">
        <v>4586996</v>
      </c>
      <c r="E17">
        <v>660855</v>
      </c>
      <c r="F17">
        <v>199350</v>
      </c>
      <c r="G17">
        <v>79926</v>
      </c>
      <c r="H17">
        <v>40724</v>
      </c>
      <c r="I17">
        <v>-394888</v>
      </c>
      <c r="J17">
        <v>8992</v>
      </c>
      <c r="K17">
        <v>806871</v>
      </c>
      <c r="L17">
        <v>7578</v>
      </c>
      <c r="M17">
        <v>522436</v>
      </c>
      <c r="N17">
        <v>7740494</v>
      </c>
      <c r="O17">
        <v>379947</v>
      </c>
      <c r="P17">
        <v>5583557</v>
      </c>
      <c r="Q17">
        <v>15657</v>
      </c>
      <c r="R17">
        <v>517000</v>
      </c>
      <c r="S17">
        <v>267688</v>
      </c>
      <c r="T17">
        <v>554903</v>
      </c>
      <c r="U17">
        <f t="shared" si="0"/>
        <v>-3</v>
      </c>
      <c r="V17">
        <v>-211661</v>
      </c>
      <c r="W17">
        <v>5853924</v>
      </c>
      <c r="X17">
        <v>6065582</v>
      </c>
      <c r="Y17">
        <f t="shared" si="1"/>
        <v>-211658</v>
      </c>
      <c r="Z17">
        <v>1710679</v>
      </c>
      <c r="AA17">
        <v>309215014</v>
      </c>
      <c r="AB17">
        <v>3533596</v>
      </c>
      <c r="AC17" s="128">
        <v>2943401.3081519068</v>
      </c>
      <c r="AD17">
        <v>873338</v>
      </c>
      <c r="AE17" t="s">
        <v>241</v>
      </c>
      <c r="AF17" s="188">
        <f t="shared" si="2"/>
        <v>8.7022311871489955E-2</v>
      </c>
      <c r="AG17" s="188">
        <f t="shared" si="3"/>
        <v>0.90228708128086388</v>
      </c>
      <c r="AH17" s="188">
        <f t="shared" si="4"/>
        <v>4.7707486465488787E-2</v>
      </c>
      <c r="AI17" s="188">
        <f t="shared" si="5"/>
        <v>-6.5920910486709422E-2</v>
      </c>
      <c r="AJ17" s="188">
        <f t="shared" si="6"/>
        <v>0.95415661699741916</v>
      </c>
      <c r="AK17" s="188">
        <f t="shared" si="7"/>
        <v>0.51400275950070806</v>
      </c>
      <c r="AL17" s="188">
        <f t="shared" si="8"/>
        <v>-3.6156601964767561E-2</v>
      </c>
      <c r="AM17" s="188">
        <v>-4.9836021566205341E-2</v>
      </c>
      <c r="AN17" s="188">
        <v>6.5466168659676673E-3</v>
      </c>
      <c r="AO17">
        <f t="shared" si="9"/>
        <v>2</v>
      </c>
      <c r="AP17" s="188">
        <f t="shared" si="10"/>
        <v>7.3056935826293606E-2</v>
      </c>
      <c r="AQ17" s="188">
        <f t="shared" si="11"/>
        <v>5.2821836088066738E-2</v>
      </c>
      <c r="AR17" s="188">
        <f t="shared" si="12"/>
        <v>0.60362860877592539</v>
      </c>
      <c r="AS17" s="128">
        <f t="shared" si="13"/>
        <v>3370.2888322183471</v>
      </c>
      <c r="AT17" s="188">
        <v>0.22749999999999998</v>
      </c>
      <c r="AU17" s="238">
        <v>4.5499999999999999E-2</v>
      </c>
      <c r="AV17">
        <v>6</v>
      </c>
      <c r="AY17" t="s">
        <v>176</v>
      </c>
      <c r="AZ17" s="129">
        <v>2481.185592203582</v>
      </c>
      <c r="BA17" t="s">
        <v>441</v>
      </c>
      <c r="BC17">
        <v>1</v>
      </c>
    </row>
    <row r="18" spans="1:55" x14ac:dyDescent="0.25">
      <c r="A18" t="s">
        <v>166</v>
      </c>
      <c r="B18">
        <v>1816</v>
      </c>
      <c r="C18">
        <v>68960</v>
      </c>
      <c r="D18">
        <v>516783</v>
      </c>
      <c r="E18">
        <v>1664</v>
      </c>
      <c r="F18">
        <v>10600</v>
      </c>
      <c r="G18">
        <v>31479</v>
      </c>
      <c r="H18">
        <v>0</v>
      </c>
      <c r="I18">
        <v>13108</v>
      </c>
      <c r="J18">
        <v>5315</v>
      </c>
      <c r="K18">
        <v>41112</v>
      </c>
      <c r="L18">
        <f>1907+285</f>
        <v>2192</v>
      </c>
      <c r="M18">
        <v>34725</v>
      </c>
      <c r="N18">
        <v>153958</v>
      </c>
      <c r="O18">
        <v>15337</v>
      </c>
      <c r="P18">
        <v>448354</v>
      </c>
      <c r="Q18">
        <v>59</v>
      </c>
      <c r="R18">
        <v>37000</v>
      </c>
      <c r="S18">
        <v>4488</v>
      </c>
      <c r="T18">
        <v>68274</v>
      </c>
      <c r="U18">
        <f t="shared" si="0"/>
        <v>-1641</v>
      </c>
      <c r="V18">
        <v>25554</v>
      </c>
      <c r="W18">
        <v>624726</v>
      </c>
      <c r="X18">
        <v>597531</v>
      </c>
      <c r="Y18">
        <f t="shared" si="1"/>
        <v>27195</v>
      </c>
      <c r="Z18">
        <v>32027</v>
      </c>
      <c r="AA18">
        <v>-2154328</v>
      </c>
      <c r="AB18">
        <v>448392</v>
      </c>
      <c r="AC18" s="128">
        <v>287898.31192842842</v>
      </c>
      <c r="AD18">
        <v>164781</v>
      </c>
      <c r="AE18" t="s">
        <v>166</v>
      </c>
      <c r="AF18" s="188">
        <f t="shared" si="2"/>
        <v>5.5717226432067821E-2</v>
      </c>
      <c r="AG18" s="188">
        <f t="shared" si="3"/>
        <v>0.70121461248611394</v>
      </c>
      <c r="AH18" s="188">
        <f t="shared" si="4"/>
        <v>6.7355928839203105E-2</v>
      </c>
      <c r="AI18" s="188">
        <f t="shared" si="5"/>
        <v>2.9489728296885353E-2</v>
      </c>
      <c r="AJ18" s="188">
        <f t="shared" si="6"/>
        <v>0.68865451413899859</v>
      </c>
      <c r="AK18" s="188">
        <f t="shared" si="7"/>
        <v>0.21163484404855182</v>
      </c>
      <c r="AL18" s="188">
        <f t="shared" si="8"/>
        <v>4.3531084027237543E-2</v>
      </c>
      <c r="AM18" s="188">
        <v>1.7522970234314563E-2</v>
      </c>
      <c r="AN18" s="188">
        <v>5.811842224175752E-2</v>
      </c>
      <c r="AO18">
        <f t="shared" si="9"/>
        <v>0</v>
      </c>
      <c r="AP18" s="188">
        <f t="shared" si="10"/>
        <v>1.2816418717965957E-2</v>
      </c>
      <c r="AQ18" s="188">
        <f t="shared" si="11"/>
        <v>-3.4484365946030738E-3</v>
      </c>
      <c r="AR18" s="188">
        <f t="shared" si="12"/>
        <v>0.71774185803056056</v>
      </c>
      <c r="AS18" s="128">
        <f t="shared" si="13"/>
        <v>1747.1572082244215</v>
      </c>
      <c r="AT18" s="188">
        <v>0.21000000000000002</v>
      </c>
      <c r="AU18" s="238">
        <v>4.2000000000000003E-2</v>
      </c>
      <c r="AV18">
        <v>8.5</v>
      </c>
      <c r="AY18" t="s">
        <v>291</v>
      </c>
      <c r="AZ18" s="129">
        <v>3012.7487655539858</v>
      </c>
      <c r="BA18" t="s">
        <v>441</v>
      </c>
      <c r="BC18">
        <v>1</v>
      </c>
    </row>
    <row r="19" spans="1:55" x14ac:dyDescent="0.25">
      <c r="A19" t="s">
        <v>167</v>
      </c>
      <c r="B19">
        <v>10637</v>
      </c>
      <c r="C19">
        <v>81498</v>
      </c>
      <c r="D19">
        <v>628332</v>
      </c>
      <c r="E19">
        <v>4741</v>
      </c>
      <c r="F19">
        <v>10</v>
      </c>
      <c r="G19">
        <v>56891</v>
      </c>
      <c r="H19">
        <v>9177</v>
      </c>
      <c r="I19">
        <v>34795</v>
      </c>
      <c r="J19">
        <v>326</v>
      </c>
      <c r="K19">
        <v>27502</v>
      </c>
      <c r="L19">
        <v>18021</v>
      </c>
      <c r="M19">
        <v>88355</v>
      </c>
      <c r="N19">
        <v>180428</v>
      </c>
      <c r="O19">
        <v>8966</v>
      </c>
      <c r="P19">
        <v>671040</v>
      </c>
      <c r="Q19">
        <v>126</v>
      </c>
      <c r="R19">
        <v>2257</v>
      </c>
      <c r="S19">
        <v>17308</v>
      </c>
      <c r="T19">
        <v>80169</v>
      </c>
      <c r="U19">
        <f t="shared" si="0"/>
        <v>-671</v>
      </c>
      <c r="V19">
        <v>19826</v>
      </c>
      <c r="W19">
        <v>805883</v>
      </c>
      <c r="X19">
        <v>785386</v>
      </c>
      <c r="Y19">
        <f t="shared" si="1"/>
        <v>20497</v>
      </c>
      <c r="Z19">
        <v>25159</v>
      </c>
      <c r="AA19">
        <v>-11773481.000000007</v>
      </c>
      <c r="AB19">
        <v>594625</v>
      </c>
      <c r="AC19" s="128">
        <v>356428.20201053913</v>
      </c>
      <c r="AD19">
        <v>162424</v>
      </c>
      <c r="AE19" t="s">
        <v>167</v>
      </c>
      <c r="AF19" s="188">
        <f t="shared" si="2"/>
        <v>-1.9561152177177084E-2</v>
      </c>
      <c r="AG19" s="188">
        <f t="shared" si="3"/>
        <v>0.70847008808971035</v>
      </c>
      <c r="AH19" s="188">
        <f t="shared" si="4"/>
        <v>7.0607023600200033E-2</v>
      </c>
      <c r="AI19" s="188">
        <f t="shared" si="5"/>
        <v>4.3580767927850567E-2</v>
      </c>
      <c r="AJ19" s="188">
        <f t="shared" si="6"/>
        <v>0.68643639337223894</v>
      </c>
      <c r="AK19" s="188">
        <f t="shared" si="7"/>
        <v>0.18788829254374181</v>
      </c>
      <c r="AL19" s="188">
        <f t="shared" si="8"/>
        <v>2.5434213155011334E-2</v>
      </c>
      <c r="AM19" s="188">
        <v>1.3268553743859341E-2</v>
      </c>
      <c r="AN19" s="188">
        <v>-5.311064227847324E-4</v>
      </c>
      <c r="AO19">
        <f t="shared" si="9"/>
        <v>1</v>
      </c>
      <c r="AP19" s="188">
        <f t="shared" si="10"/>
        <v>7.8047930034508732E-3</v>
      </c>
      <c r="AQ19" s="188">
        <f t="shared" si="11"/>
        <v>-1.4609417247913169E-2</v>
      </c>
      <c r="AR19" s="188">
        <f t="shared" si="12"/>
        <v>0.7378552469775389</v>
      </c>
      <c r="AS19" s="128">
        <f t="shared" si="13"/>
        <v>2194.4306383941976</v>
      </c>
      <c r="AT19" s="188">
        <v>0.22950000000000001</v>
      </c>
      <c r="AU19" s="238">
        <v>4.5900000000000003E-2</v>
      </c>
      <c r="AV19">
        <v>7</v>
      </c>
      <c r="AY19" t="s">
        <v>179</v>
      </c>
      <c r="AZ19" s="129">
        <v>1592.0377089609992</v>
      </c>
      <c r="BA19" t="s">
        <v>441</v>
      </c>
      <c r="BB19">
        <v>1</v>
      </c>
    </row>
    <row r="20" spans="1:55" x14ac:dyDescent="0.25">
      <c r="A20" t="s">
        <v>107</v>
      </c>
      <c r="B20">
        <v>127</v>
      </c>
      <c r="C20">
        <v>25761</v>
      </c>
      <c r="D20">
        <v>389718</v>
      </c>
      <c r="E20">
        <v>330</v>
      </c>
      <c r="F20">
        <v>1900</v>
      </c>
      <c r="G20">
        <v>3921</v>
      </c>
      <c r="H20">
        <v>0</v>
      </c>
      <c r="I20">
        <v>21348</v>
      </c>
      <c r="J20">
        <v>0</v>
      </c>
      <c r="K20">
        <v>19106</v>
      </c>
      <c r="L20" s="207">
        <f>-8095+8095</f>
        <v>0</v>
      </c>
      <c r="M20">
        <v>7420</v>
      </c>
      <c r="N20">
        <v>145174</v>
      </c>
      <c r="O20">
        <v>29400</v>
      </c>
      <c r="P20">
        <v>242138</v>
      </c>
      <c r="Q20">
        <v>138</v>
      </c>
      <c r="R20">
        <f>8095</f>
        <v>8095</v>
      </c>
      <c r="S20">
        <v>8088</v>
      </c>
      <c r="T20">
        <v>36596</v>
      </c>
      <c r="U20">
        <f t="shared" si="0"/>
        <v>6</v>
      </c>
      <c r="V20">
        <v>-4734</v>
      </c>
      <c r="W20">
        <v>323785</v>
      </c>
      <c r="X20">
        <v>328525</v>
      </c>
      <c r="Y20">
        <f t="shared" si="1"/>
        <v>-4740</v>
      </c>
      <c r="Z20">
        <v>18209</v>
      </c>
      <c r="AA20">
        <v>-3670788.0000000019</v>
      </c>
      <c r="AB20">
        <v>244234</v>
      </c>
      <c r="AC20" s="128">
        <v>146169.06759243485</v>
      </c>
      <c r="AD20">
        <v>68836</v>
      </c>
      <c r="AE20" t="s">
        <v>107</v>
      </c>
      <c r="AF20" s="188">
        <f t="shared" si="2"/>
        <v>2.500115817595009E-2</v>
      </c>
      <c r="AG20" s="188">
        <f t="shared" si="3"/>
        <v>0.81136556665688653</v>
      </c>
      <c r="AH20" s="188">
        <f t="shared" si="4"/>
        <v>1.7977979214602282E-2</v>
      </c>
      <c r="AI20" s="188">
        <f t="shared" si="5"/>
        <v>6.5932640486742744E-2</v>
      </c>
      <c r="AJ20" s="188">
        <f t="shared" si="6"/>
        <v>0.76737007582191885</v>
      </c>
      <c r="AK20" s="188">
        <f t="shared" si="7"/>
        <v>0.30912486239137704</v>
      </c>
      <c r="AL20" s="188">
        <f t="shared" si="8"/>
        <v>-1.4639344009141868E-2</v>
      </c>
      <c r="AM20" s="188">
        <v>-6.3175854361809211E-2</v>
      </c>
      <c r="AN20" s="188">
        <v>-4.93726161386739E-2</v>
      </c>
      <c r="AO20">
        <f t="shared" si="9"/>
        <v>3</v>
      </c>
      <c r="AP20" s="188">
        <f t="shared" si="10"/>
        <v>1.405948391679664E-2</v>
      </c>
      <c r="AQ20" s="188">
        <f t="shared" si="11"/>
        <v>-1.1337115678613901E-2</v>
      </c>
      <c r="AR20" s="188">
        <f t="shared" si="12"/>
        <v>0.75430918665163615</v>
      </c>
      <c r="AS20" s="128">
        <f t="shared" si="13"/>
        <v>2123.4392990940041</v>
      </c>
      <c r="AT20" s="188">
        <v>0.35399999999999998</v>
      </c>
      <c r="AU20" s="238">
        <v>7.0800000000000002E-2</v>
      </c>
      <c r="AV20">
        <v>5.5</v>
      </c>
      <c r="AY20" t="s">
        <v>361</v>
      </c>
      <c r="AZ20" s="129">
        <v>2145.62341529889</v>
      </c>
      <c r="BA20" t="s">
        <v>441</v>
      </c>
    </row>
    <row r="21" spans="1:55" x14ac:dyDescent="0.25">
      <c r="A21" t="s">
        <v>344</v>
      </c>
      <c r="B21">
        <v>885</v>
      </c>
      <c r="C21">
        <v>3520</v>
      </c>
      <c r="D21">
        <v>24569</v>
      </c>
      <c r="E21">
        <v>34</v>
      </c>
      <c r="F21">
        <v>0</v>
      </c>
      <c r="G21">
        <v>2429</v>
      </c>
      <c r="H21">
        <v>0</v>
      </c>
      <c r="I21">
        <v>1571</v>
      </c>
      <c r="J21">
        <v>5</v>
      </c>
      <c r="K21">
        <v>2933</v>
      </c>
      <c r="L21">
        <v>18434</v>
      </c>
      <c r="M21">
        <v>2212</v>
      </c>
      <c r="N21">
        <v>29941</v>
      </c>
      <c r="O21">
        <v>13038</v>
      </c>
      <c r="P21">
        <v>5000</v>
      </c>
      <c r="Q21">
        <v>0</v>
      </c>
      <c r="R21">
        <v>1953</v>
      </c>
      <c r="S21">
        <v>1635</v>
      </c>
      <c r="T21">
        <v>5025</v>
      </c>
      <c r="U21">
        <f t="shared" si="0"/>
        <v>24</v>
      </c>
      <c r="V21">
        <v>-756</v>
      </c>
      <c r="W21">
        <v>48160</v>
      </c>
      <c r="X21">
        <v>48940</v>
      </c>
      <c r="Y21">
        <f t="shared" si="1"/>
        <v>-780</v>
      </c>
      <c r="Z21">
        <v>159</v>
      </c>
      <c r="AA21">
        <v>1677912.9999999991</v>
      </c>
      <c r="AB21">
        <v>31392</v>
      </c>
      <c r="AC21" s="128">
        <v>30738.858977866592</v>
      </c>
      <c r="AD21">
        <v>16817</v>
      </c>
      <c r="AE21" t="s">
        <v>344</v>
      </c>
      <c r="AF21" s="188">
        <f t="shared" si="2"/>
        <v>-0.34221345514950169</v>
      </c>
      <c r="AG21" s="188">
        <f t="shared" si="3"/>
        <v>-0.25737126245847175</v>
      </c>
      <c r="AH21" s="188">
        <f t="shared" si="4"/>
        <v>5.0436046511627905E-2</v>
      </c>
      <c r="AI21" s="188">
        <f t="shared" si="5"/>
        <v>3.2724252491694354E-2</v>
      </c>
      <c r="AJ21" s="188">
        <f t="shared" si="6"/>
        <v>-0.27422591362126247</v>
      </c>
      <c r="AK21" s="188">
        <f t="shared" si="7"/>
        <v>0.52906771275091891</v>
      </c>
      <c r="AL21" s="188">
        <f t="shared" si="8"/>
        <v>-1.6196013289036543E-2</v>
      </c>
      <c r="AM21" s="188">
        <v>-6.8869263902591626E-2</v>
      </c>
      <c r="AN21" s="188">
        <v>2.5941390242016547E-2</v>
      </c>
      <c r="AO21">
        <f t="shared" si="9"/>
        <v>2</v>
      </c>
      <c r="AP21" s="188">
        <f t="shared" si="10"/>
        <v>8.2537375415282397E-4</v>
      </c>
      <c r="AQ21" s="188">
        <f t="shared" si="11"/>
        <v>3.4840386212624565E-2</v>
      </c>
      <c r="AR21" s="188">
        <f t="shared" si="12"/>
        <v>0.65182724252491697</v>
      </c>
      <c r="AS21" s="128">
        <f t="shared" si="13"/>
        <v>1827.8443823432592</v>
      </c>
      <c r="AT21" s="188">
        <v>0.30499999999999999</v>
      </c>
      <c r="AU21" s="238">
        <v>6.0999999999999999E-2</v>
      </c>
      <c r="AV21">
        <v>6</v>
      </c>
      <c r="AY21" t="s">
        <v>110</v>
      </c>
      <c r="AZ21" s="129">
        <v>1835.1088548052069</v>
      </c>
      <c r="BA21" t="s">
        <v>441</v>
      </c>
    </row>
    <row r="22" spans="1:55" x14ac:dyDescent="0.25">
      <c r="A22" t="s">
        <v>345</v>
      </c>
      <c r="B22">
        <v>182</v>
      </c>
      <c r="C22">
        <v>344</v>
      </c>
      <c r="D22">
        <v>15442</v>
      </c>
      <c r="E22">
        <v>12</v>
      </c>
      <c r="F22">
        <v>0</v>
      </c>
      <c r="G22">
        <v>114</v>
      </c>
      <c r="H22">
        <v>506</v>
      </c>
      <c r="I22">
        <v>448</v>
      </c>
      <c r="J22">
        <v>0</v>
      </c>
      <c r="K22">
        <v>4042</v>
      </c>
      <c r="L22">
        <v>1315</v>
      </c>
      <c r="M22">
        <v>243</v>
      </c>
      <c r="N22">
        <v>15538</v>
      </c>
      <c r="O22">
        <v>1726</v>
      </c>
      <c r="P22">
        <v>0</v>
      </c>
      <c r="Q22">
        <v>0</v>
      </c>
      <c r="R22">
        <v>2000</v>
      </c>
      <c r="S22">
        <v>1095</v>
      </c>
      <c r="T22">
        <v>2286</v>
      </c>
      <c r="U22">
        <f t="shared" si="0"/>
        <v>3</v>
      </c>
      <c r="V22">
        <v>-747</v>
      </c>
      <c r="W22">
        <v>19571</v>
      </c>
      <c r="X22">
        <v>20321</v>
      </c>
      <c r="Y22">
        <f t="shared" si="1"/>
        <v>-750</v>
      </c>
      <c r="Z22">
        <v>721</v>
      </c>
      <c r="AA22">
        <v>1020435.9999999995</v>
      </c>
      <c r="AB22">
        <v>13268</v>
      </c>
      <c r="AC22" s="128">
        <v>13264.58906512728</v>
      </c>
      <c r="AD22">
        <v>6899</v>
      </c>
      <c r="AE22" t="s">
        <v>345</v>
      </c>
      <c r="AF22" s="188">
        <f t="shared" si="2"/>
        <v>3.5000766440141023E-2</v>
      </c>
      <c r="AG22" s="188">
        <f t="shared" si="3"/>
        <v>-4.2869551887997549E-2</v>
      </c>
      <c r="AH22" s="188">
        <f t="shared" si="4"/>
        <v>5.8249450717898933E-3</v>
      </c>
      <c r="AI22" s="188">
        <f t="shared" si="5"/>
        <v>2.2891012211946248E-2</v>
      </c>
      <c r="AJ22" s="188">
        <f t="shared" si="6"/>
        <v>-5.8194267027745133E-2</v>
      </c>
      <c r="AK22" s="188">
        <f t="shared" si="7"/>
        <v>0.68615588430117025</v>
      </c>
      <c r="AL22" s="188">
        <f t="shared" si="8"/>
        <v>-3.8322007051249295E-2</v>
      </c>
      <c r="AM22" s="188">
        <v>-4.4021834830075719E-3</v>
      </c>
      <c r="AN22" s="188">
        <v>6.1456321708508461E-2</v>
      </c>
      <c r="AO22">
        <f t="shared" si="9"/>
        <v>2</v>
      </c>
      <c r="AP22" s="188">
        <f t="shared" si="10"/>
        <v>9.210055694650247E-3</v>
      </c>
      <c r="AQ22" s="188">
        <f t="shared" si="11"/>
        <v>5.2140207449798144E-2</v>
      </c>
      <c r="AR22" s="188">
        <f t="shared" si="12"/>
        <v>0.67794185274130092</v>
      </c>
      <c r="AS22" s="128">
        <f t="shared" si="13"/>
        <v>1922.6828620274357</v>
      </c>
      <c r="AT22" s="188">
        <v>0.29399999999999998</v>
      </c>
      <c r="AU22" s="301">
        <v>5.8799999999999998E-2</v>
      </c>
      <c r="AV22">
        <v>6</v>
      </c>
      <c r="AY22" t="s">
        <v>146</v>
      </c>
      <c r="AZ22" s="129">
        <v>1967.5759229890637</v>
      </c>
      <c r="BA22" t="s">
        <v>441</v>
      </c>
    </row>
    <row r="23" spans="1:55" x14ac:dyDescent="0.25">
      <c r="A23" t="s">
        <v>215</v>
      </c>
      <c r="B23">
        <v>12118</v>
      </c>
      <c r="C23">
        <v>1573</v>
      </c>
      <c r="D23">
        <v>47272</v>
      </c>
      <c r="E23">
        <v>1242</v>
      </c>
      <c r="F23">
        <v>0</v>
      </c>
      <c r="G23">
        <v>1003</v>
      </c>
      <c r="H23">
        <v>-623</v>
      </c>
      <c r="I23">
        <v>0</v>
      </c>
      <c r="J23">
        <v>139</v>
      </c>
      <c r="K23">
        <v>4270</v>
      </c>
      <c r="L23">
        <v>5852</v>
      </c>
      <c r="M23">
        <v>795</v>
      </c>
      <c r="N23">
        <v>18335</v>
      </c>
      <c r="O23">
        <v>9049</v>
      </c>
      <c r="P23">
        <v>37354</v>
      </c>
      <c r="Q23">
        <v>12</v>
      </c>
      <c r="R23">
        <v>0</v>
      </c>
      <c r="S23">
        <v>3109</v>
      </c>
      <c r="T23">
        <v>5782</v>
      </c>
      <c r="U23">
        <f t="shared" si="0"/>
        <v>-3</v>
      </c>
      <c r="V23">
        <v>-1291</v>
      </c>
      <c r="W23">
        <v>64699</v>
      </c>
      <c r="X23">
        <v>65987</v>
      </c>
      <c r="Y23">
        <f t="shared" si="1"/>
        <v>-1288</v>
      </c>
      <c r="Z23">
        <v>-5368</v>
      </c>
      <c r="AA23">
        <v>3200320.9999999981</v>
      </c>
      <c r="AB23">
        <v>48054</v>
      </c>
      <c r="AC23" s="128">
        <v>41096.910564176236</v>
      </c>
      <c r="AD23">
        <v>24792</v>
      </c>
      <c r="AE23" t="s">
        <v>215</v>
      </c>
      <c r="AF23" s="188">
        <f t="shared" si="2"/>
        <v>-9.0449620550549462E-2</v>
      </c>
      <c r="AG23" s="188">
        <f t="shared" si="3"/>
        <v>0.54034838250977602</v>
      </c>
      <c r="AH23" s="188">
        <f t="shared" si="4"/>
        <v>1.550255799935084E-2</v>
      </c>
      <c r="AI23" s="188">
        <f t="shared" si="5"/>
        <v>2.1484103309170159E-3</v>
      </c>
      <c r="AJ23" s="188">
        <f t="shared" si="6"/>
        <v>0.54070480223805617</v>
      </c>
      <c r="AK23" s="188">
        <f t="shared" si="7"/>
        <v>0.24897815075840904</v>
      </c>
      <c r="AL23" s="188">
        <f t="shared" si="8"/>
        <v>-1.9907571987202274E-2</v>
      </c>
      <c r="AM23" s="188">
        <v>-7.6175484224214635E-2</v>
      </c>
      <c r="AN23" s="188">
        <v>-5.3186444387699268E-2</v>
      </c>
      <c r="AO23">
        <f t="shared" si="9"/>
        <v>3</v>
      </c>
      <c r="AP23" s="188">
        <f t="shared" si="10"/>
        <v>-2.0742206216479389E-2</v>
      </c>
      <c r="AQ23" s="188">
        <f t="shared" si="11"/>
        <v>4.9464767616191875E-2</v>
      </c>
      <c r="AR23" s="188">
        <f t="shared" si="12"/>
        <v>0.74273172692004508</v>
      </c>
      <c r="AS23" s="128">
        <f t="shared" si="13"/>
        <v>1657.6682221755502</v>
      </c>
      <c r="AT23" s="188">
        <v>0.23849999999999999</v>
      </c>
      <c r="AU23" s="238">
        <v>4.7699999999999999E-2</v>
      </c>
      <c r="AV23">
        <v>6</v>
      </c>
      <c r="AY23" t="s">
        <v>331</v>
      </c>
      <c r="AZ23" s="129">
        <v>2080.6537494156555</v>
      </c>
      <c r="BA23" t="s">
        <v>441</v>
      </c>
    </row>
    <row r="24" spans="1:55" x14ac:dyDescent="0.25">
      <c r="A24" t="s">
        <v>286</v>
      </c>
      <c r="B24">
        <v>14859</v>
      </c>
      <c r="C24">
        <v>38867</v>
      </c>
      <c r="D24">
        <v>130330</v>
      </c>
      <c r="E24">
        <v>1027</v>
      </c>
      <c r="F24">
        <v>-4</v>
      </c>
      <c r="G24">
        <v>678</v>
      </c>
      <c r="H24">
        <v>0</v>
      </c>
      <c r="I24">
        <v>19353</v>
      </c>
      <c r="J24">
        <v>0</v>
      </c>
      <c r="K24">
        <v>4493</v>
      </c>
      <c r="L24">
        <v>1655</v>
      </c>
      <c r="M24">
        <v>18283</v>
      </c>
      <c r="N24">
        <v>59669</v>
      </c>
      <c r="O24">
        <v>28502</v>
      </c>
      <c r="P24">
        <v>117558</v>
      </c>
      <c r="Q24">
        <v>0</v>
      </c>
      <c r="R24">
        <v>9000</v>
      </c>
      <c r="S24">
        <v>5197</v>
      </c>
      <c r="T24">
        <v>9613</v>
      </c>
      <c r="U24">
        <f t="shared" si="0"/>
        <v>4</v>
      </c>
      <c r="V24">
        <v>18926</v>
      </c>
      <c r="W24">
        <v>147730</v>
      </c>
      <c r="X24">
        <v>128808</v>
      </c>
      <c r="Y24">
        <f t="shared" si="1"/>
        <v>18922</v>
      </c>
      <c r="Z24">
        <v>27651</v>
      </c>
      <c r="AA24">
        <v>5879758.9999999981</v>
      </c>
      <c r="AB24">
        <v>81077</v>
      </c>
      <c r="AC24" s="128">
        <v>74505.697669997287</v>
      </c>
      <c r="AD24">
        <v>48643</v>
      </c>
      <c r="AE24" t="s">
        <v>286</v>
      </c>
      <c r="AF24" s="188">
        <f t="shared" si="2"/>
        <v>4.9719082109253368E-2</v>
      </c>
      <c r="AG24" s="188">
        <f t="shared" si="3"/>
        <v>0.78699654775604144</v>
      </c>
      <c r="AH24" s="188">
        <f t="shared" si="4"/>
        <v>4.5623773099573543E-3</v>
      </c>
      <c r="AI24" s="188">
        <f t="shared" si="5"/>
        <v>0.13100250456914642</v>
      </c>
      <c r="AJ24" s="188">
        <f t="shared" si="6"/>
        <v>0.69584227983483382</v>
      </c>
      <c r="AK24" s="188">
        <f t="shared" si="7"/>
        <v>0.25995146794226687</v>
      </c>
      <c r="AL24" s="188">
        <f t="shared" si="8"/>
        <v>0.12808501996886212</v>
      </c>
      <c r="AM24" s="188">
        <v>-7.2537224759570751E-2</v>
      </c>
      <c r="AN24" s="188">
        <v>-4.0565076834506886E-2</v>
      </c>
      <c r="AO24">
        <f t="shared" si="9"/>
        <v>2</v>
      </c>
      <c r="AP24" s="188">
        <f t="shared" si="10"/>
        <v>4.6793136126717663E-2</v>
      </c>
      <c r="AQ24" s="188">
        <f t="shared" si="11"/>
        <v>3.9800710756109102E-2</v>
      </c>
      <c r="AR24" s="188">
        <f t="shared" si="12"/>
        <v>0.54881879103770392</v>
      </c>
      <c r="AS24" s="128">
        <f t="shared" si="13"/>
        <v>1531.6838531751184</v>
      </c>
      <c r="AT24" s="188">
        <v>0.22950000000000001</v>
      </c>
      <c r="AU24" s="238">
        <v>4.5900000000000003E-2</v>
      </c>
      <c r="AV24">
        <v>8.5</v>
      </c>
      <c r="AY24" t="s">
        <v>293</v>
      </c>
      <c r="AZ24" s="129">
        <v>2291.4107616636043</v>
      </c>
      <c r="BA24" t="s">
        <v>441</v>
      </c>
    </row>
    <row r="25" spans="1:55" x14ac:dyDescent="0.25">
      <c r="A25" t="s">
        <v>168</v>
      </c>
      <c r="B25">
        <v>391</v>
      </c>
      <c r="C25">
        <v>52548</v>
      </c>
      <c r="D25">
        <v>211435</v>
      </c>
      <c r="E25">
        <v>87</v>
      </c>
      <c r="F25">
        <v>449</v>
      </c>
      <c r="G25">
        <v>12342</v>
      </c>
      <c r="H25">
        <v>0</v>
      </c>
      <c r="I25">
        <v>62384</v>
      </c>
      <c r="J25">
        <v>0</v>
      </c>
      <c r="K25">
        <v>9522</v>
      </c>
      <c r="L25">
        <v>0</v>
      </c>
      <c r="M25">
        <v>10961</v>
      </c>
      <c r="N25">
        <v>91122</v>
      </c>
      <c r="O25">
        <v>17302</v>
      </c>
      <c r="P25">
        <v>205336</v>
      </c>
      <c r="Q25">
        <v>710</v>
      </c>
      <c r="R25">
        <v>12920</v>
      </c>
      <c r="S25">
        <v>10023</v>
      </c>
      <c r="T25">
        <v>22708</v>
      </c>
      <c r="U25">
        <f t="shared" si="0"/>
        <v>9</v>
      </c>
      <c r="V25">
        <v>-6131</v>
      </c>
      <c r="W25">
        <v>169965</v>
      </c>
      <c r="X25">
        <v>176105</v>
      </c>
      <c r="Y25">
        <f t="shared" si="1"/>
        <v>-6140</v>
      </c>
      <c r="Z25">
        <v>68550</v>
      </c>
      <c r="AA25">
        <v>7603225</v>
      </c>
      <c r="AB25">
        <v>98993</v>
      </c>
      <c r="AC25" s="128">
        <v>87609.025904628696</v>
      </c>
      <c r="AD25">
        <v>59992</v>
      </c>
      <c r="AE25" t="s">
        <v>168</v>
      </c>
      <c r="AF25" s="188">
        <f t="shared" si="2"/>
        <v>7.6015650280940192E-2</v>
      </c>
      <c r="AG25" s="188">
        <f t="shared" si="3"/>
        <v>1.2851057570676316</v>
      </c>
      <c r="AH25" s="188">
        <f t="shared" si="4"/>
        <v>7.5256670490983432E-2</v>
      </c>
      <c r="AI25" s="188">
        <f t="shared" si="5"/>
        <v>0.36704027299738179</v>
      </c>
      <c r="AJ25" s="188">
        <f t="shared" si="6"/>
        <v>1.0372083664283824</v>
      </c>
      <c r="AK25" s="188">
        <f t="shared" si="7"/>
        <v>0.25303161992774653</v>
      </c>
      <c r="AL25" s="188">
        <f t="shared" si="8"/>
        <v>-3.6125084576236283E-2</v>
      </c>
      <c r="AM25" s="188">
        <v>-8.5986907799844665E-4</v>
      </c>
      <c r="AN25" s="188">
        <v>0.10215488079490261</v>
      </c>
      <c r="AO25">
        <f t="shared" si="9"/>
        <v>2</v>
      </c>
      <c r="AP25" s="188">
        <f t="shared" si="10"/>
        <v>0.10082958256111553</v>
      </c>
      <c r="AQ25" s="188">
        <f t="shared" si="11"/>
        <v>4.4734062895301976E-2</v>
      </c>
      <c r="AR25" s="188">
        <f t="shared" si="12"/>
        <v>0.58243167710999322</v>
      </c>
      <c r="AS25" s="128">
        <f t="shared" si="13"/>
        <v>1460.3451444297355</v>
      </c>
      <c r="AT25" s="188">
        <v>0.193</v>
      </c>
      <c r="AU25" s="238">
        <v>3.8600000000000002E-2</v>
      </c>
      <c r="AV25">
        <v>6.5</v>
      </c>
      <c r="AY25" t="s">
        <v>294</v>
      </c>
      <c r="AZ25" s="129">
        <v>1759.552964334822</v>
      </c>
      <c r="BA25" t="s">
        <v>441</v>
      </c>
    </row>
    <row r="26" spans="1:55" x14ac:dyDescent="0.25">
      <c r="A26" t="s">
        <v>400</v>
      </c>
      <c r="B26">
        <v>51</v>
      </c>
      <c r="C26">
        <v>4814</v>
      </c>
      <c r="D26">
        <v>27986</v>
      </c>
      <c r="E26">
        <v>129</v>
      </c>
      <c r="F26">
        <v>5000</v>
      </c>
      <c r="G26">
        <v>1284</v>
      </c>
      <c r="H26">
        <v>0</v>
      </c>
      <c r="I26">
        <v>0</v>
      </c>
      <c r="J26">
        <v>0</v>
      </c>
      <c r="K26">
        <v>14766</v>
      </c>
      <c r="L26">
        <v>118</v>
      </c>
      <c r="M26">
        <v>1519</v>
      </c>
      <c r="N26">
        <v>28151</v>
      </c>
      <c r="O26">
        <v>8038</v>
      </c>
      <c r="P26">
        <v>5000</v>
      </c>
      <c r="Q26">
        <v>0</v>
      </c>
      <c r="R26">
        <v>0</v>
      </c>
      <c r="S26">
        <v>10517</v>
      </c>
      <c r="T26">
        <v>3959</v>
      </c>
      <c r="U26">
        <f t="shared" si="0"/>
        <v>7</v>
      </c>
      <c r="V26">
        <v>-112</v>
      </c>
      <c r="W26">
        <v>45702</v>
      </c>
      <c r="X26">
        <v>45821</v>
      </c>
      <c r="Y26">
        <f t="shared" si="1"/>
        <v>-119</v>
      </c>
      <c r="Z26">
        <v>6811</v>
      </c>
      <c r="AA26">
        <v>-234914</v>
      </c>
      <c r="AB26">
        <v>27214</v>
      </c>
      <c r="AC26" s="128">
        <v>32908.367044313243</v>
      </c>
      <c r="AD26">
        <v>15875</v>
      </c>
      <c r="AE26" t="s">
        <v>400</v>
      </c>
      <c r="AF26" s="188">
        <f t="shared" si="2"/>
        <v>-2.5819438974224321E-3</v>
      </c>
      <c r="AG26" s="188">
        <f t="shared" si="3"/>
        <v>-7.0259507242571448E-2</v>
      </c>
      <c r="AH26" s="188">
        <f t="shared" si="4"/>
        <v>0.13749945297798782</v>
      </c>
      <c r="AI26" s="188">
        <f t="shared" si="5"/>
        <v>0</v>
      </c>
      <c r="AJ26" s="188">
        <f t="shared" si="6"/>
        <v>-5.3759572885212908E-2</v>
      </c>
      <c r="AK26" s="188">
        <f t="shared" si="7"/>
        <v>0.50572172819545491</v>
      </c>
      <c r="AL26" s="188">
        <f t="shared" si="8"/>
        <v>-2.6038247779090629E-3</v>
      </c>
      <c r="AM26" s="188">
        <v>5.1475921489328967E-2</v>
      </c>
      <c r="AN26" s="188">
        <v>-8.3135581922410343E-2</v>
      </c>
      <c r="AO26">
        <f t="shared" si="9"/>
        <v>2</v>
      </c>
      <c r="AP26" s="188">
        <f t="shared" si="10"/>
        <v>3.7257669248610563E-2</v>
      </c>
      <c r="AQ26" s="188">
        <f t="shared" si="11"/>
        <v>-5.1401251586363833E-3</v>
      </c>
      <c r="AR26" s="188">
        <f t="shared" si="12"/>
        <v>0.59546628156317005</v>
      </c>
      <c r="AS26" s="128">
        <f t="shared" si="13"/>
        <v>2072.9680027913855</v>
      </c>
      <c r="AT26" s="188">
        <v>0.27650000000000002</v>
      </c>
      <c r="AU26" s="238">
        <v>5.5300000000000002E-2</v>
      </c>
      <c r="AV26">
        <v>5.5</v>
      </c>
      <c r="AY26" t="s">
        <v>121</v>
      </c>
      <c r="AZ26" s="129">
        <v>2202.4257945529898</v>
      </c>
      <c r="BA26" t="s">
        <v>441</v>
      </c>
    </row>
    <row r="27" spans="1:55" x14ac:dyDescent="0.25">
      <c r="A27" t="s">
        <v>599</v>
      </c>
      <c r="B27">
        <v>912</v>
      </c>
      <c r="C27">
        <v>6174</v>
      </c>
      <c r="D27">
        <v>92811</v>
      </c>
      <c r="E27">
        <v>807</v>
      </c>
      <c r="F27">
        <v>3789</v>
      </c>
      <c r="G27">
        <v>2931</v>
      </c>
      <c r="H27">
        <v>4427</v>
      </c>
      <c r="I27">
        <v>2673</v>
      </c>
      <c r="J27">
        <v>92</v>
      </c>
      <c r="K27">
        <v>21136</v>
      </c>
      <c r="L27">
        <v>826</v>
      </c>
      <c r="M27">
        <v>3974</v>
      </c>
      <c r="N27">
        <v>90980</v>
      </c>
      <c r="O27">
        <v>13398</v>
      </c>
      <c r="P27">
        <v>22742</v>
      </c>
      <c r="Q27">
        <v>0</v>
      </c>
      <c r="R27">
        <v>499</v>
      </c>
      <c r="S27">
        <v>7905</v>
      </c>
      <c r="T27">
        <v>5028</v>
      </c>
      <c r="U27">
        <f t="shared" si="0"/>
        <v>14</v>
      </c>
      <c r="V27">
        <v>-3296</v>
      </c>
      <c r="W27">
        <v>95486</v>
      </c>
      <c r="X27">
        <v>98796</v>
      </c>
      <c r="Y27">
        <f t="shared" si="1"/>
        <v>-3310</v>
      </c>
      <c r="Z27">
        <v>25797</v>
      </c>
      <c r="AA27">
        <v>1119622</v>
      </c>
      <c r="AB27">
        <v>68279</v>
      </c>
      <c r="AC27" s="128">
        <v>58385.393627421523</v>
      </c>
      <c r="AD27">
        <v>36065</v>
      </c>
      <c r="AE27" t="s">
        <v>599</v>
      </c>
      <c r="AF27" s="188">
        <f t="shared" si="2"/>
        <v>-3.4245858031543893E-3</v>
      </c>
      <c r="AG27" s="188">
        <f t="shared" si="3"/>
        <v>-9.5197201684016509E-3</v>
      </c>
      <c r="AH27" s="188">
        <f t="shared" si="4"/>
        <v>7.0376809165741572E-2</v>
      </c>
      <c r="AI27" s="188">
        <f t="shared" si="5"/>
        <v>2.8957124604654084E-2</v>
      </c>
      <c r="AJ27" s="188">
        <f t="shared" si="6"/>
        <v>-2.1344490291770518E-2</v>
      </c>
      <c r="AK27" s="188">
        <f t="shared" si="7"/>
        <v>0.64730491206101659</v>
      </c>
      <c r="AL27" s="188">
        <f t="shared" si="8"/>
        <v>-3.4664767609911398E-2</v>
      </c>
      <c r="AM27" s="188">
        <v>5.4241059013293284E-2</v>
      </c>
      <c r="AN27" s="188">
        <v>-2.4710912232510745E-2</v>
      </c>
      <c r="AO27">
        <f t="shared" si="9"/>
        <v>2</v>
      </c>
      <c r="AP27" s="188">
        <f t="shared" si="10"/>
        <v>6.754131495716649E-2</v>
      </c>
      <c r="AQ27" s="188">
        <f t="shared" si="11"/>
        <v>1.172550949877469E-2</v>
      </c>
      <c r="AR27" s="188">
        <f t="shared" si="12"/>
        <v>0.7150681775338793</v>
      </c>
      <c r="AS27" s="128">
        <f t="shared" si="13"/>
        <v>1618.8934875203527</v>
      </c>
      <c r="AT27" s="188">
        <v>0.27949999999999997</v>
      </c>
      <c r="AU27" s="238">
        <v>5.5899999999999998E-2</v>
      </c>
      <c r="AV27">
        <v>6.5</v>
      </c>
      <c r="AY27" t="s">
        <v>252</v>
      </c>
      <c r="AZ27" s="129">
        <v>1712.7362710479276</v>
      </c>
      <c r="BA27" t="s">
        <v>441</v>
      </c>
      <c r="BB27">
        <v>1</v>
      </c>
    </row>
    <row r="28" spans="1:55" x14ac:dyDescent="0.25">
      <c r="A28" t="s">
        <v>401</v>
      </c>
      <c r="B28">
        <v>6381</v>
      </c>
      <c r="C28">
        <v>1712</v>
      </c>
      <c r="D28">
        <v>15728</v>
      </c>
      <c r="E28">
        <v>302</v>
      </c>
      <c r="F28">
        <v>667</v>
      </c>
      <c r="G28">
        <v>20</v>
      </c>
      <c r="H28">
        <v>2144</v>
      </c>
      <c r="I28">
        <v>1196</v>
      </c>
      <c r="J28">
        <v>0</v>
      </c>
      <c r="K28">
        <v>4355</v>
      </c>
      <c r="L28">
        <v>2760</v>
      </c>
      <c r="M28">
        <v>849</v>
      </c>
      <c r="N28">
        <v>18118</v>
      </c>
      <c r="O28">
        <v>8037</v>
      </c>
      <c r="P28">
        <v>4346</v>
      </c>
      <c r="Q28">
        <v>0</v>
      </c>
      <c r="R28">
        <v>1500</v>
      </c>
      <c r="S28">
        <v>3560</v>
      </c>
      <c r="T28">
        <v>545</v>
      </c>
      <c r="U28">
        <f t="shared" si="0"/>
        <v>3</v>
      </c>
      <c r="V28">
        <v>-3221</v>
      </c>
      <c r="W28">
        <v>35290</v>
      </c>
      <c r="X28">
        <v>38514</v>
      </c>
      <c r="Y28">
        <f t="shared" si="1"/>
        <v>-3224</v>
      </c>
      <c r="Z28">
        <v>6319</v>
      </c>
      <c r="AA28">
        <v>-166018.00000000047</v>
      </c>
      <c r="AB28">
        <v>26623</v>
      </c>
      <c r="AC28" s="128">
        <v>24940.654662390512</v>
      </c>
      <c r="AD28">
        <v>13450</v>
      </c>
      <c r="AE28" t="s">
        <v>401</v>
      </c>
      <c r="AF28" s="188">
        <f t="shared" si="2"/>
        <v>-3.5704165485973362E-2</v>
      </c>
      <c r="AG28" s="188">
        <f t="shared" si="3"/>
        <v>-2.3916123547747237E-2</v>
      </c>
      <c r="AH28" s="188">
        <f t="shared" si="4"/>
        <v>1.9467271181637859E-2</v>
      </c>
      <c r="AI28" s="188">
        <f t="shared" si="5"/>
        <v>3.3890620572400117E-2</v>
      </c>
      <c r="AJ28" s="188">
        <f t="shared" si="6"/>
        <v>-4.5303485406630775E-2</v>
      </c>
      <c r="AK28" s="188">
        <f t="shared" si="7"/>
        <v>0.50180025480529555</v>
      </c>
      <c r="AL28" s="188">
        <f t="shared" si="8"/>
        <v>-9.1357325021252475E-2</v>
      </c>
      <c r="AM28" s="188">
        <v>-7.4747590637907299E-2</v>
      </c>
      <c r="AN28" s="188">
        <v>-2.3967648605996844E-2</v>
      </c>
      <c r="AO28">
        <f t="shared" si="9"/>
        <v>3</v>
      </c>
      <c r="AP28" s="188">
        <f t="shared" si="10"/>
        <v>4.4764805894020966E-2</v>
      </c>
      <c r="AQ28" s="188">
        <f t="shared" si="11"/>
        <v>-4.7043921790875737E-3</v>
      </c>
      <c r="AR28" s="188">
        <f t="shared" si="12"/>
        <v>0.75440634740719748</v>
      </c>
      <c r="AS28" s="128">
        <f t="shared" si="13"/>
        <v>1854.3237667204842</v>
      </c>
      <c r="AT28" s="188">
        <v>0.3775</v>
      </c>
      <c r="AU28" s="238">
        <v>7.5499999999999998E-2</v>
      </c>
      <c r="AV28">
        <v>5</v>
      </c>
      <c r="AY28" t="s">
        <v>183</v>
      </c>
      <c r="AZ28" s="129">
        <v>2497.8879564299382</v>
      </c>
      <c r="BA28" t="s">
        <v>441</v>
      </c>
      <c r="BC28">
        <v>1</v>
      </c>
    </row>
    <row r="29" spans="1:55" x14ac:dyDescent="0.25">
      <c r="A29" t="s">
        <v>527</v>
      </c>
      <c r="B29">
        <v>3052</v>
      </c>
      <c r="C29">
        <v>3043</v>
      </c>
      <c r="D29">
        <v>74116</v>
      </c>
      <c r="E29">
        <v>1085</v>
      </c>
      <c r="F29">
        <v>823</v>
      </c>
      <c r="G29">
        <v>9428</v>
      </c>
      <c r="H29">
        <v>0</v>
      </c>
      <c r="I29">
        <v>1921</v>
      </c>
      <c r="J29">
        <v>0</v>
      </c>
      <c r="K29">
        <v>8783</v>
      </c>
      <c r="L29">
        <v>2647</v>
      </c>
      <c r="M29">
        <v>237</v>
      </c>
      <c r="N29">
        <v>46736</v>
      </c>
      <c r="O29">
        <v>7533</v>
      </c>
      <c r="P29">
        <v>35648</v>
      </c>
      <c r="Q29">
        <v>0</v>
      </c>
      <c r="R29">
        <v>4000</v>
      </c>
      <c r="S29">
        <v>6770</v>
      </c>
      <c r="T29">
        <v>4448</v>
      </c>
      <c r="U29">
        <f t="shared" si="0"/>
        <v>-14</v>
      </c>
      <c r="V29">
        <v>-1947</v>
      </c>
      <c r="W29">
        <v>96353</v>
      </c>
      <c r="X29">
        <v>98286</v>
      </c>
      <c r="Y29">
        <f t="shared" si="1"/>
        <v>-1933</v>
      </c>
      <c r="Z29">
        <v>5988</v>
      </c>
      <c r="AA29">
        <v>4036448.9999999981</v>
      </c>
      <c r="AB29">
        <v>72250</v>
      </c>
      <c r="AC29" s="128">
        <v>60240.696678607172</v>
      </c>
      <c r="AD29">
        <v>35010</v>
      </c>
      <c r="AE29" t="s">
        <v>527</v>
      </c>
      <c r="AF29" s="188">
        <f t="shared" si="2"/>
        <v>1.4042115969404171E-2</v>
      </c>
      <c r="AG29" s="188">
        <f t="shared" si="3"/>
        <v>0.3004369350201862</v>
      </c>
      <c r="AH29" s="188">
        <f t="shared" si="4"/>
        <v>0.1063900449389225</v>
      </c>
      <c r="AI29" s="188">
        <f t="shared" si="5"/>
        <v>1.993710626550289E-2</v>
      </c>
      <c r="AJ29" s="188">
        <f t="shared" si="6"/>
        <v>0.29924776602700492</v>
      </c>
      <c r="AK29" s="188">
        <f t="shared" si="7"/>
        <v>0.44453321919436917</v>
      </c>
      <c r="AL29" s="188">
        <f t="shared" si="8"/>
        <v>-2.0061648314012019E-2</v>
      </c>
      <c r="AM29" s="188">
        <v>-6.4528023598820053E-2</v>
      </c>
      <c r="AN29" s="188">
        <v>-7.644056745880078E-3</v>
      </c>
      <c r="AO29">
        <f t="shared" si="9"/>
        <v>3</v>
      </c>
      <c r="AP29" s="188">
        <f t="shared" si="10"/>
        <v>1.5536620551513705E-2</v>
      </c>
      <c r="AQ29" s="188">
        <f t="shared" si="11"/>
        <v>4.1892302263551714E-2</v>
      </c>
      <c r="AR29" s="188">
        <f t="shared" si="12"/>
        <v>0.74984691706537421</v>
      </c>
      <c r="AS29" s="128">
        <f t="shared" si="13"/>
        <v>1720.6711419196565</v>
      </c>
      <c r="AT29" s="188">
        <v>0.28400000000000003</v>
      </c>
      <c r="AU29" s="238">
        <v>5.6800000000000003E-2</v>
      </c>
      <c r="AV29">
        <v>6.5</v>
      </c>
      <c r="AY29" t="s">
        <v>131</v>
      </c>
      <c r="AZ29" s="129">
        <v>1955.6586559613088</v>
      </c>
      <c r="BA29" t="s">
        <v>441</v>
      </c>
    </row>
    <row r="30" spans="1:55" x14ac:dyDescent="0.25">
      <c r="A30" t="s">
        <v>346</v>
      </c>
      <c r="B30">
        <v>139</v>
      </c>
      <c r="C30">
        <v>1130</v>
      </c>
      <c r="D30">
        <v>34233</v>
      </c>
      <c r="E30">
        <v>185</v>
      </c>
      <c r="F30">
        <v>0</v>
      </c>
      <c r="G30">
        <v>262</v>
      </c>
      <c r="H30">
        <v>0</v>
      </c>
      <c r="I30">
        <v>14662</v>
      </c>
      <c r="J30">
        <v>0</v>
      </c>
      <c r="K30">
        <v>14547</v>
      </c>
      <c r="L30">
        <v>374</v>
      </c>
      <c r="M30" s="207">
        <f>-266+266</f>
        <v>0</v>
      </c>
      <c r="N30">
        <v>22855</v>
      </c>
      <c r="O30">
        <v>9912</v>
      </c>
      <c r="P30">
        <v>23029</v>
      </c>
      <c r="Q30">
        <v>3</v>
      </c>
      <c r="R30">
        <v>0</v>
      </c>
      <c r="S30">
        <v>4885</v>
      </c>
      <c r="T30">
        <f>4580+266</f>
        <v>4846</v>
      </c>
      <c r="U30">
        <f t="shared" si="0"/>
        <v>-39</v>
      </c>
      <c r="V30">
        <v>-1070</v>
      </c>
      <c r="W30">
        <v>49502</v>
      </c>
      <c r="X30">
        <v>50533</v>
      </c>
      <c r="Y30">
        <f t="shared" si="1"/>
        <v>-1031</v>
      </c>
      <c r="Z30">
        <v>108</v>
      </c>
      <c r="AA30">
        <v>2645614</v>
      </c>
      <c r="AB30">
        <v>30616</v>
      </c>
      <c r="AC30" s="128">
        <v>28453.012408090464</v>
      </c>
      <c r="AD30">
        <v>18754</v>
      </c>
      <c r="AE30" t="s">
        <v>346</v>
      </c>
      <c r="AF30" s="188">
        <f t="shared" si="2"/>
        <v>-7.555250292917458E-3</v>
      </c>
      <c r="AG30" s="188">
        <f t="shared" si="3"/>
        <v>0.35513716617510405</v>
      </c>
      <c r="AH30" s="188">
        <f t="shared" si="4"/>
        <v>5.2927154458405718E-3</v>
      </c>
      <c r="AI30" s="188">
        <f t="shared" si="5"/>
        <v>0.29619005292715445</v>
      </c>
      <c r="AJ30" s="188">
        <f t="shared" si="6"/>
        <v>0.14843925497959684</v>
      </c>
      <c r="AK30" s="188">
        <f t="shared" si="7"/>
        <v>0.34877155501297114</v>
      </c>
      <c r="AL30" s="188">
        <f t="shared" si="8"/>
        <v>-2.0827441315502404E-2</v>
      </c>
      <c r="AM30" s="188">
        <v>2.9255709582031331E-2</v>
      </c>
      <c r="AN30" s="188">
        <v>7.6821024701497251E-2</v>
      </c>
      <c r="AO30">
        <f t="shared" si="9"/>
        <v>1</v>
      </c>
      <c r="AP30" s="188">
        <f t="shared" si="10"/>
        <v>5.4543250777746351E-4</v>
      </c>
      <c r="AQ30" s="188">
        <f t="shared" si="11"/>
        <v>5.3444588097450611E-2</v>
      </c>
      <c r="AR30" s="188">
        <f t="shared" si="12"/>
        <v>0.61848006141166012</v>
      </c>
      <c r="AS30" s="128">
        <f t="shared" si="13"/>
        <v>1517.170332093978</v>
      </c>
      <c r="AT30" s="188">
        <v>0.315</v>
      </c>
      <c r="AU30" s="238">
        <v>6.3E-2</v>
      </c>
      <c r="AV30">
        <v>7.5</v>
      </c>
      <c r="AY30" t="s">
        <v>407</v>
      </c>
      <c r="AZ30" s="129">
        <v>2311.2509449350282</v>
      </c>
      <c r="BA30" t="s">
        <v>441</v>
      </c>
      <c r="BC30">
        <v>1</v>
      </c>
    </row>
    <row r="31" spans="1:55" x14ac:dyDescent="0.25">
      <c r="A31" t="s">
        <v>436</v>
      </c>
      <c r="B31">
        <v>241</v>
      </c>
      <c r="C31">
        <v>28065</v>
      </c>
      <c r="D31">
        <v>24402</v>
      </c>
      <c r="E31">
        <v>618</v>
      </c>
      <c r="F31">
        <v>631</v>
      </c>
      <c r="G31">
        <v>83</v>
      </c>
      <c r="H31">
        <v>0</v>
      </c>
      <c r="I31">
        <v>3537</v>
      </c>
      <c r="J31">
        <v>0</v>
      </c>
      <c r="K31">
        <v>2090</v>
      </c>
      <c r="L31" s="207">
        <f>-71+71</f>
        <v>0</v>
      </c>
      <c r="M31">
        <v>4290</v>
      </c>
      <c r="N31">
        <v>13509</v>
      </c>
      <c r="O31">
        <v>3716</v>
      </c>
      <c r="P31">
        <v>39082</v>
      </c>
      <c r="Q31">
        <v>0</v>
      </c>
      <c r="R31">
        <f>3500+71</f>
        <v>3571</v>
      </c>
      <c r="S31">
        <v>1085</v>
      </c>
      <c r="T31">
        <v>2995</v>
      </c>
      <c r="U31">
        <f t="shared" si="0"/>
        <v>18</v>
      </c>
      <c r="V31">
        <v>524</v>
      </c>
      <c r="W31">
        <v>41503</v>
      </c>
      <c r="X31">
        <v>40997</v>
      </c>
      <c r="Y31">
        <f t="shared" si="1"/>
        <v>506</v>
      </c>
      <c r="Z31">
        <v>35828</v>
      </c>
      <c r="AA31">
        <v>1006780.9999999995</v>
      </c>
      <c r="AB31">
        <v>26903</v>
      </c>
      <c r="AC31" s="128">
        <v>27653.495001256368</v>
      </c>
      <c r="AD31">
        <v>13108</v>
      </c>
      <c r="AE31" t="s">
        <v>436</v>
      </c>
      <c r="AF31" s="188">
        <f t="shared" si="2"/>
        <v>8.6041972869431119E-2</v>
      </c>
      <c r="AG31" s="188">
        <f t="shared" si="3"/>
        <v>0.9550875840300701</v>
      </c>
      <c r="AH31" s="188">
        <f t="shared" si="4"/>
        <v>1.7203575645134087E-2</v>
      </c>
      <c r="AI31" s="188">
        <f t="shared" si="5"/>
        <v>8.5222754981567603E-2</v>
      </c>
      <c r="AJ31" s="188">
        <f t="shared" si="6"/>
        <v>0.89749608462038888</v>
      </c>
      <c r="AK31" s="188">
        <f t="shared" si="7"/>
        <v>0.21121673598298885</v>
      </c>
      <c r="AL31" s="188">
        <f t="shared" si="8"/>
        <v>1.2191889742910151E-2</v>
      </c>
      <c r="AM31" s="188">
        <v>-3.6640794350045448E-2</v>
      </c>
      <c r="AN31" s="188">
        <v>3.8800011246380071E-2</v>
      </c>
      <c r="AO31">
        <f t="shared" si="9"/>
        <v>1</v>
      </c>
      <c r="AP31" s="188">
        <f t="shared" si="10"/>
        <v>0.21581572416451822</v>
      </c>
      <c r="AQ31" s="188">
        <f t="shared" si="11"/>
        <v>2.4258029540033241E-2</v>
      </c>
      <c r="AR31" s="188">
        <f t="shared" si="12"/>
        <v>0.64821820109389683</v>
      </c>
      <c r="AS31" s="128">
        <f t="shared" si="13"/>
        <v>2109.6654715636532</v>
      </c>
      <c r="AT31" s="188">
        <v>0.21600000000000003</v>
      </c>
      <c r="AU31" s="238">
        <v>4.3200000000000002E-2</v>
      </c>
      <c r="AV31">
        <v>7</v>
      </c>
      <c r="AY31" t="s">
        <v>372</v>
      </c>
      <c r="AZ31" s="129">
        <v>1818.9493692102806</v>
      </c>
      <c r="BA31" t="s">
        <v>441</v>
      </c>
    </row>
    <row r="32" spans="1:55" x14ac:dyDescent="0.25">
      <c r="A32" t="s">
        <v>437</v>
      </c>
      <c r="B32">
        <v>0</v>
      </c>
      <c r="C32">
        <v>1836</v>
      </c>
      <c r="D32">
        <v>87569</v>
      </c>
      <c r="E32">
        <v>504</v>
      </c>
      <c r="F32">
        <v>2529</v>
      </c>
      <c r="G32">
        <v>2998</v>
      </c>
      <c r="H32">
        <v>520</v>
      </c>
      <c r="I32">
        <v>43</v>
      </c>
      <c r="J32">
        <v>1045</v>
      </c>
      <c r="K32">
        <v>13500</v>
      </c>
      <c r="L32">
        <v>9033</v>
      </c>
      <c r="M32">
        <v>10226</v>
      </c>
      <c r="N32">
        <v>41232</v>
      </c>
      <c r="O32">
        <v>9309</v>
      </c>
      <c r="P32">
        <v>66868</v>
      </c>
      <c r="Q32">
        <v>39</v>
      </c>
      <c r="R32">
        <v>0</v>
      </c>
      <c r="S32">
        <v>3429</v>
      </c>
      <c r="T32">
        <v>8926</v>
      </c>
      <c r="U32">
        <f t="shared" si="0"/>
        <v>48</v>
      </c>
      <c r="V32">
        <v>3094</v>
      </c>
      <c r="W32">
        <v>90690</v>
      </c>
      <c r="X32">
        <v>87644</v>
      </c>
      <c r="Y32">
        <f t="shared" si="1"/>
        <v>3046</v>
      </c>
      <c r="Z32">
        <v>-6694</v>
      </c>
      <c r="AA32">
        <v>6780135.9999999981</v>
      </c>
      <c r="AB32">
        <v>50458</v>
      </c>
      <c r="AC32" s="128">
        <v>41314.77381337979</v>
      </c>
      <c r="AD32">
        <v>29715</v>
      </c>
      <c r="AE32" t="s">
        <v>437</v>
      </c>
      <c r="AF32" s="188">
        <f t="shared" si="2"/>
        <v>-9.9603043334435995E-2</v>
      </c>
      <c r="AG32" s="188">
        <f t="shared" si="3"/>
        <v>0.44609107950159888</v>
      </c>
      <c r="AH32" s="188">
        <f t="shared" si="4"/>
        <v>6.0943874738118867E-2</v>
      </c>
      <c r="AI32" s="188">
        <f t="shared" si="5"/>
        <v>1.1996912559267835E-2</v>
      </c>
      <c r="AJ32" s="188">
        <f t="shared" si="6"/>
        <v>0.44500650567868566</v>
      </c>
      <c r="AK32" s="188">
        <f t="shared" si="7"/>
        <v>0.31765059359182762</v>
      </c>
      <c r="AL32" s="188">
        <f t="shared" si="8"/>
        <v>3.3586944536332562E-2</v>
      </c>
      <c r="AM32" s="188">
        <v>4.9878722196418437E-2</v>
      </c>
      <c r="AN32" s="188">
        <v>6.5323195916971402E-2</v>
      </c>
      <c r="AO32">
        <f t="shared" si="9"/>
        <v>0</v>
      </c>
      <c r="AP32" s="188">
        <f t="shared" si="10"/>
        <v>-1.8452971661704707E-2</v>
      </c>
      <c r="AQ32" s="188">
        <f t="shared" si="11"/>
        <v>7.4761671628624959E-2</v>
      </c>
      <c r="AR32" s="188">
        <f t="shared" si="12"/>
        <v>0.55637887308413281</v>
      </c>
      <c r="AS32" s="128">
        <f t="shared" si="13"/>
        <v>1390.3676194978896</v>
      </c>
      <c r="AT32" s="188">
        <v>9.4500000000000001E-2</v>
      </c>
      <c r="AU32" s="238">
        <v>1.89E-2</v>
      </c>
      <c r="AV32">
        <v>9</v>
      </c>
      <c r="AY32" t="s">
        <v>444</v>
      </c>
      <c r="AZ32" s="129">
        <v>1868.6507853661874</v>
      </c>
      <c r="BA32" t="s">
        <v>441</v>
      </c>
    </row>
    <row r="33" spans="1:54" x14ac:dyDescent="0.25">
      <c r="A33" t="s">
        <v>347</v>
      </c>
      <c r="B33">
        <v>418</v>
      </c>
      <c r="C33">
        <v>30102</v>
      </c>
      <c r="D33">
        <v>252958</v>
      </c>
      <c r="E33">
        <v>1918</v>
      </c>
      <c r="F33">
        <v>0</v>
      </c>
      <c r="G33">
        <v>2238</v>
      </c>
      <c r="H33">
        <v>0</v>
      </c>
      <c r="I33">
        <v>17516</v>
      </c>
      <c r="J33">
        <v>55</v>
      </c>
      <c r="K33">
        <v>17157</v>
      </c>
      <c r="L33">
        <v>186</v>
      </c>
      <c r="M33">
        <v>9999</v>
      </c>
      <c r="N33">
        <v>29657</v>
      </c>
      <c r="O33">
        <v>19510</v>
      </c>
      <c r="P33">
        <v>171799</v>
      </c>
      <c r="Q33">
        <v>52189</v>
      </c>
      <c r="R33">
        <v>25074</v>
      </c>
      <c r="S33">
        <v>15738</v>
      </c>
      <c r="T33">
        <v>18578</v>
      </c>
      <c r="U33">
        <f t="shared" si="0"/>
        <v>1172</v>
      </c>
      <c r="V33">
        <v>3597</v>
      </c>
      <c r="W33">
        <v>360323</v>
      </c>
      <c r="X33">
        <v>357898</v>
      </c>
      <c r="Y33">
        <f t="shared" si="1"/>
        <v>2425</v>
      </c>
      <c r="Z33">
        <v>8157</v>
      </c>
      <c r="AA33">
        <v>4402065</v>
      </c>
      <c r="AB33">
        <v>188008</v>
      </c>
      <c r="AC33" s="128">
        <v>207225.26910123788</v>
      </c>
      <c r="AD33">
        <v>67514</v>
      </c>
      <c r="AE33" t="s">
        <v>347</v>
      </c>
      <c r="AF33" s="188">
        <f t="shared" si="2"/>
        <v>6.9071360973348914E-2</v>
      </c>
      <c r="AG33" s="188">
        <f t="shared" si="3"/>
        <v>0.70436247477957281</v>
      </c>
      <c r="AH33" s="188">
        <f t="shared" si="4"/>
        <v>6.2110939351637277E-3</v>
      </c>
      <c r="AI33" s="188">
        <f t="shared" si="5"/>
        <v>4.8764580667900743E-2</v>
      </c>
      <c r="AJ33" s="188">
        <f t="shared" si="6"/>
        <v>0.67097259958426192</v>
      </c>
      <c r="AK33" s="188">
        <f t="shared" si="7"/>
        <v>8.9181915229517808E-2</v>
      </c>
      <c r="AL33" s="188">
        <f t="shared" si="8"/>
        <v>6.7300727402913501E-3</v>
      </c>
      <c r="AM33" s="188">
        <v>-9.862497953838598E-3</v>
      </c>
      <c r="AN33" s="188">
        <v>-1.8090031194000131E-2</v>
      </c>
      <c r="AO33">
        <f t="shared" si="9"/>
        <v>2</v>
      </c>
      <c r="AP33" s="188">
        <f t="shared" si="10"/>
        <v>5.6595054992326331E-3</v>
      </c>
      <c r="AQ33" s="188">
        <f t="shared" si="11"/>
        <v>1.2216996972161089E-2</v>
      </c>
      <c r="AR33" s="188">
        <f t="shared" si="12"/>
        <v>0.52177629515740043</v>
      </c>
      <c r="AS33" s="128">
        <f t="shared" si="13"/>
        <v>3069.3673771549293</v>
      </c>
      <c r="AT33" s="188">
        <v>0.19949999999999998</v>
      </c>
      <c r="AU33" s="238">
        <v>3.9899999999999998E-2</v>
      </c>
      <c r="AV33">
        <v>7.5</v>
      </c>
      <c r="AY33" t="s">
        <v>258</v>
      </c>
      <c r="AZ33" s="129">
        <v>1755.9189175047763</v>
      </c>
      <c r="BA33" t="s">
        <v>441</v>
      </c>
    </row>
    <row r="34" spans="1:54" x14ac:dyDescent="0.25">
      <c r="A34" t="s">
        <v>169</v>
      </c>
      <c r="B34">
        <v>173</v>
      </c>
      <c r="C34">
        <v>6692</v>
      </c>
      <c r="D34">
        <v>95898</v>
      </c>
      <c r="E34">
        <v>10962</v>
      </c>
      <c r="F34">
        <v>27872</v>
      </c>
      <c r="G34">
        <v>11493</v>
      </c>
      <c r="H34">
        <v>0</v>
      </c>
      <c r="I34">
        <v>3632</v>
      </c>
      <c r="J34">
        <v>87</v>
      </c>
      <c r="K34">
        <v>10213</v>
      </c>
      <c r="L34">
        <v>14280</v>
      </c>
      <c r="M34">
        <v>4536</v>
      </c>
      <c r="N34">
        <v>93333</v>
      </c>
      <c r="O34">
        <v>12295</v>
      </c>
      <c r="P34">
        <v>51207</v>
      </c>
      <c r="Q34">
        <v>0</v>
      </c>
      <c r="R34">
        <v>14020</v>
      </c>
      <c r="S34">
        <v>6002</v>
      </c>
      <c r="T34">
        <v>8981</v>
      </c>
      <c r="U34">
        <f t="shared" si="0"/>
        <v>16</v>
      </c>
      <c r="V34">
        <v>-1314</v>
      </c>
      <c r="W34">
        <v>124255</v>
      </c>
      <c r="X34">
        <v>125585</v>
      </c>
      <c r="Y34">
        <f t="shared" si="1"/>
        <v>-1330</v>
      </c>
      <c r="Z34">
        <v>7057</v>
      </c>
      <c r="AA34">
        <v>3814780.9999999981</v>
      </c>
      <c r="AB34">
        <v>87368</v>
      </c>
      <c r="AC34" s="128">
        <v>75010.554770674862</v>
      </c>
      <c r="AD34">
        <v>43846</v>
      </c>
      <c r="AE34" t="s">
        <v>169</v>
      </c>
      <c r="AF34" s="188">
        <f t="shared" si="2"/>
        <v>-2.0924711279224177E-3</v>
      </c>
      <c r="AG34" s="188">
        <f t="shared" si="3"/>
        <v>9.5094764798197257E-2</v>
      </c>
      <c r="AH34" s="188">
        <f t="shared" si="4"/>
        <v>0.31680817673333067</v>
      </c>
      <c r="AI34" s="188">
        <f t="shared" si="5"/>
        <v>2.9930385095167197E-2</v>
      </c>
      <c r="AJ34" s="188">
        <f t="shared" si="6"/>
        <v>0.1121604764395799</v>
      </c>
      <c r="AK34" s="188">
        <f t="shared" si="7"/>
        <v>0.50222774674716686</v>
      </c>
      <c r="AL34" s="188">
        <f t="shared" si="8"/>
        <v>-1.0703794615910828E-2</v>
      </c>
      <c r="AM34" s="188">
        <v>2.2926011508314077E-3</v>
      </c>
      <c r="AN34" s="188">
        <v>-7.6902419860159332E-2</v>
      </c>
      <c r="AO34">
        <f t="shared" si="9"/>
        <v>2</v>
      </c>
      <c r="AP34" s="188">
        <f t="shared" si="10"/>
        <v>1.4198623797835097E-2</v>
      </c>
      <c r="AQ34" s="188">
        <f t="shared" si="11"/>
        <v>3.0701227314796169E-2</v>
      </c>
      <c r="AR34" s="188">
        <f t="shared" si="12"/>
        <v>0.7031346827089453</v>
      </c>
      <c r="AS34" s="128">
        <f t="shared" si="13"/>
        <v>1710.7730413418526</v>
      </c>
      <c r="AT34" s="188">
        <v>0.28150000000000003</v>
      </c>
      <c r="AU34" s="238">
        <v>5.6300000000000003E-2</v>
      </c>
      <c r="AV34">
        <v>7.5</v>
      </c>
      <c r="AY34" t="s">
        <v>111</v>
      </c>
      <c r="AZ34" s="129">
        <v>1907.4675071495583</v>
      </c>
      <c r="BA34" t="s">
        <v>441</v>
      </c>
    </row>
    <row r="35" spans="1:54" x14ac:dyDescent="0.25">
      <c r="A35" t="s">
        <v>348</v>
      </c>
      <c r="B35">
        <v>0</v>
      </c>
      <c r="C35">
        <v>34698</v>
      </c>
      <c r="D35">
        <v>44138</v>
      </c>
      <c r="E35">
        <v>55</v>
      </c>
      <c r="F35">
        <v>1581</v>
      </c>
      <c r="G35">
        <v>702</v>
      </c>
      <c r="H35">
        <v>130</v>
      </c>
      <c r="I35">
        <v>10303</v>
      </c>
      <c r="J35">
        <v>8</v>
      </c>
      <c r="K35">
        <v>10590</v>
      </c>
      <c r="L35">
        <v>11957</v>
      </c>
      <c r="M35">
        <v>6804</v>
      </c>
      <c r="N35">
        <v>43268</v>
      </c>
      <c r="O35">
        <v>19318</v>
      </c>
      <c r="P35">
        <v>46416</v>
      </c>
      <c r="Q35">
        <v>31</v>
      </c>
      <c r="R35">
        <v>0</v>
      </c>
      <c r="S35">
        <v>3708</v>
      </c>
      <c r="T35">
        <v>8226</v>
      </c>
      <c r="U35">
        <f t="shared" si="0"/>
        <v>-3</v>
      </c>
      <c r="V35">
        <v>-20</v>
      </c>
      <c r="W35">
        <v>82075</v>
      </c>
      <c r="X35">
        <v>82092</v>
      </c>
      <c r="Y35">
        <f t="shared" si="1"/>
        <v>-17</v>
      </c>
      <c r="Z35">
        <v>5316</v>
      </c>
      <c r="AA35">
        <v>2153477.9999999981</v>
      </c>
      <c r="AB35">
        <v>50121</v>
      </c>
      <c r="AC35" s="128">
        <v>44212.782458199064</v>
      </c>
      <c r="AD35">
        <v>31455</v>
      </c>
      <c r="AE35" t="s">
        <v>348</v>
      </c>
      <c r="AF35" s="188">
        <f t="shared" si="2"/>
        <v>-0.14568382576911362</v>
      </c>
      <c r="AG35" s="188">
        <f t="shared" si="3"/>
        <v>0.32430094425830036</v>
      </c>
      <c r="AH35" s="188">
        <f t="shared" si="4"/>
        <v>2.7816021931160523E-2</v>
      </c>
      <c r="AI35" s="188">
        <f t="shared" si="5"/>
        <v>0.12562899786780385</v>
      </c>
      <c r="AJ35" s="188">
        <f t="shared" si="6"/>
        <v>0.23969856838257694</v>
      </c>
      <c r="AK35" s="188">
        <f t="shared" si="7"/>
        <v>0.35768432713053971</v>
      </c>
      <c r="AL35" s="188">
        <f t="shared" si="8"/>
        <v>-2.071276271702711E-4</v>
      </c>
      <c r="AM35" s="188">
        <v>-4.6634944113419757E-2</v>
      </c>
      <c r="AN35" s="188">
        <v>5.3842086711314768E-2</v>
      </c>
      <c r="AO35">
        <f t="shared" si="9"/>
        <v>2</v>
      </c>
      <c r="AP35" s="188">
        <f t="shared" si="10"/>
        <v>1.6192506853487665E-2</v>
      </c>
      <c r="AQ35" s="188">
        <f t="shared" si="11"/>
        <v>2.6237928723728276E-2</v>
      </c>
      <c r="AR35" s="188">
        <f t="shared" si="12"/>
        <v>0.61067316478830336</v>
      </c>
      <c r="AS35" s="128">
        <f t="shared" si="13"/>
        <v>1405.5883788968069</v>
      </c>
      <c r="AT35" s="188">
        <v>0.32899999999999996</v>
      </c>
      <c r="AU35" s="238">
        <v>6.5799999999999997E-2</v>
      </c>
      <c r="AV35">
        <v>7.5</v>
      </c>
      <c r="AY35" t="s">
        <v>260</v>
      </c>
      <c r="AZ35" s="129">
        <v>1910.6288613122192</v>
      </c>
      <c r="BA35" t="s">
        <v>441</v>
      </c>
    </row>
    <row r="36" spans="1:54" x14ac:dyDescent="0.25">
      <c r="A36" t="s">
        <v>349</v>
      </c>
      <c r="B36">
        <v>600</v>
      </c>
      <c r="C36">
        <v>6004</v>
      </c>
      <c r="D36">
        <v>46124</v>
      </c>
      <c r="E36">
        <v>77</v>
      </c>
      <c r="F36">
        <v>2780</v>
      </c>
      <c r="G36">
        <v>2624</v>
      </c>
      <c r="H36">
        <v>0</v>
      </c>
      <c r="I36">
        <v>32795</v>
      </c>
      <c r="J36">
        <v>11</v>
      </c>
      <c r="K36">
        <v>24638</v>
      </c>
      <c r="L36">
        <v>424</v>
      </c>
      <c r="M36">
        <v>1563</v>
      </c>
      <c r="N36">
        <v>85422</v>
      </c>
      <c r="O36">
        <v>13640</v>
      </c>
      <c r="P36">
        <v>0</v>
      </c>
      <c r="Q36">
        <v>150</v>
      </c>
      <c r="R36">
        <v>6000</v>
      </c>
      <c r="S36">
        <v>7026</v>
      </c>
      <c r="T36">
        <v>5402</v>
      </c>
      <c r="U36">
        <f t="shared" si="0"/>
        <v>5</v>
      </c>
      <c r="V36">
        <v>-1681</v>
      </c>
      <c r="W36">
        <v>81895</v>
      </c>
      <c r="X36">
        <v>83581</v>
      </c>
      <c r="Y36">
        <f t="shared" si="1"/>
        <v>-1686</v>
      </c>
      <c r="Z36">
        <v>-19714</v>
      </c>
      <c r="AA36">
        <v>3925780</v>
      </c>
      <c r="AB36">
        <v>51474</v>
      </c>
      <c r="AC36" s="128">
        <v>46935.707675600468</v>
      </c>
      <c r="AD36">
        <v>30216</v>
      </c>
      <c r="AE36" t="s">
        <v>349</v>
      </c>
      <c r="AF36" s="188">
        <f t="shared" si="2"/>
        <v>6.8087184809817444E-2</v>
      </c>
      <c r="AG36" s="188">
        <f t="shared" si="3"/>
        <v>-0.16424690152023932</v>
      </c>
      <c r="AH36" s="188">
        <f t="shared" si="4"/>
        <v>6.5986934489285054E-2</v>
      </c>
      <c r="AI36" s="188">
        <f t="shared" si="5"/>
        <v>0.40058611636852065</v>
      </c>
      <c r="AJ36" s="188">
        <f t="shared" si="6"/>
        <v>-0.43673875083948954</v>
      </c>
      <c r="AK36" s="188">
        <f t="shared" si="7"/>
        <v>0.72613056783407004</v>
      </c>
      <c r="AL36" s="188">
        <f t="shared" si="8"/>
        <v>-2.0587337444288419E-2</v>
      </c>
      <c r="AM36" s="188">
        <v>-7.0174226618953534E-2</v>
      </c>
      <c r="AN36" s="188">
        <v>-6.2076749435665914E-2</v>
      </c>
      <c r="AO36">
        <f t="shared" si="9"/>
        <v>3</v>
      </c>
      <c r="AP36" s="188">
        <f t="shared" si="10"/>
        <v>-6.0180719213627207E-2</v>
      </c>
      <c r="AQ36" s="188">
        <f t="shared" si="11"/>
        <v>4.7936748275230479E-2</v>
      </c>
      <c r="AR36" s="188">
        <f t="shared" si="12"/>
        <v>0.62853654069234999</v>
      </c>
      <c r="AS36" s="128">
        <f t="shared" si="13"/>
        <v>1553.3395444665234</v>
      </c>
      <c r="AT36" s="188">
        <v>0.309</v>
      </c>
      <c r="AU36" s="238">
        <v>6.1800000000000001E-2</v>
      </c>
      <c r="AV36">
        <v>6</v>
      </c>
      <c r="AY36" t="s">
        <v>151</v>
      </c>
      <c r="AZ36" s="129">
        <v>1772.7287737790059</v>
      </c>
      <c r="BA36" t="s">
        <v>441</v>
      </c>
    </row>
    <row r="37" spans="1:54" x14ac:dyDescent="0.25">
      <c r="A37" t="s">
        <v>170</v>
      </c>
      <c r="B37">
        <v>3608</v>
      </c>
      <c r="C37">
        <v>4937</v>
      </c>
      <c r="D37">
        <v>36515</v>
      </c>
      <c r="E37">
        <v>0</v>
      </c>
      <c r="F37">
        <v>0</v>
      </c>
      <c r="G37">
        <v>4869</v>
      </c>
      <c r="H37">
        <v>336</v>
      </c>
      <c r="I37">
        <v>44691</v>
      </c>
      <c r="J37">
        <v>0</v>
      </c>
      <c r="K37">
        <v>3876</v>
      </c>
      <c r="L37">
        <v>15642</v>
      </c>
      <c r="M37">
        <v>6333</v>
      </c>
      <c r="N37">
        <v>8609</v>
      </c>
      <c r="O37">
        <v>38485</v>
      </c>
      <c r="P37">
        <v>65392</v>
      </c>
      <c r="Q37">
        <v>0</v>
      </c>
      <c r="R37">
        <v>0</v>
      </c>
      <c r="S37">
        <v>1885</v>
      </c>
      <c r="T37">
        <v>6436</v>
      </c>
      <c r="U37">
        <f t="shared" si="0"/>
        <v>-1</v>
      </c>
      <c r="V37">
        <v>2505</v>
      </c>
      <c r="W37">
        <v>69468</v>
      </c>
      <c r="X37">
        <v>66962</v>
      </c>
      <c r="Y37">
        <f t="shared" si="1"/>
        <v>2506</v>
      </c>
      <c r="Z37">
        <v>-8283</v>
      </c>
      <c r="AA37">
        <v>-670662.00000000093</v>
      </c>
      <c r="AB37">
        <v>44501</v>
      </c>
      <c r="AC37" s="128">
        <v>40304.375084546453</v>
      </c>
      <c r="AD37">
        <v>26157</v>
      </c>
      <c r="AE37" t="s">
        <v>170</v>
      </c>
      <c r="AF37" s="188">
        <f t="shared" si="2"/>
        <v>-0.22516842287096217</v>
      </c>
      <c r="AG37" s="188">
        <f t="shared" si="3"/>
        <v>0.61405251338745892</v>
      </c>
      <c r="AH37" s="188">
        <f t="shared" si="4"/>
        <v>7.0089825531179831E-2</v>
      </c>
      <c r="AI37" s="188">
        <f t="shared" si="5"/>
        <v>0.64333218172395923</v>
      </c>
      <c r="AJ37" s="188">
        <f t="shared" si="6"/>
        <v>0.17213076524442905</v>
      </c>
      <c r="AK37" s="188">
        <f t="shared" si="7"/>
        <v>7.1262426846126464E-2</v>
      </c>
      <c r="AL37" s="188">
        <f t="shared" si="8"/>
        <v>3.6074163643692057E-2</v>
      </c>
      <c r="AM37" s="188">
        <v>4.5225524211796653E-2</v>
      </c>
      <c r="AN37" s="188">
        <v>5.3872652876388864E-2</v>
      </c>
      <c r="AO37">
        <f t="shared" si="9"/>
        <v>0</v>
      </c>
      <c r="AP37" s="188">
        <f t="shared" si="10"/>
        <v>-2.9808688892727586E-2</v>
      </c>
      <c r="AQ37" s="188">
        <f t="shared" si="11"/>
        <v>-9.6542580756607491E-3</v>
      </c>
      <c r="AR37" s="188">
        <f t="shared" si="12"/>
        <v>0.64059710946047099</v>
      </c>
      <c r="AS37" s="128">
        <f t="shared" si="13"/>
        <v>1540.8638255360497</v>
      </c>
      <c r="AT37" s="188">
        <v>0.19449999999999998</v>
      </c>
      <c r="AU37" s="238">
        <v>3.8899999999999997E-2</v>
      </c>
      <c r="AV37">
        <v>7.5</v>
      </c>
      <c r="AY37" t="s">
        <v>409</v>
      </c>
      <c r="AZ37" s="129">
        <v>1890.8978836629942</v>
      </c>
      <c r="BA37" t="s">
        <v>441</v>
      </c>
    </row>
    <row r="38" spans="1:54" x14ac:dyDescent="0.25">
      <c r="A38" t="s">
        <v>243</v>
      </c>
      <c r="B38">
        <v>1817</v>
      </c>
      <c r="C38">
        <v>2996</v>
      </c>
      <c r="D38">
        <v>85864</v>
      </c>
      <c r="E38">
        <v>219</v>
      </c>
      <c r="F38">
        <v>15028</v>
      </c>
      <c r="G38">
        <v>2538</v>
      </c>
      <c r="H38">
        <v>15</v>
      </c>
      <c r="I38">
        <v>7670</v>
      </c>
      <c r="J38">
        <v>0</v>
      </c>
      <c r="K38">
        <v>26825</v>
      </c>
      <c r="L38">
        <v>714</v>
      </c>
      <c r="M38">
        <v>788</v>
      </c>
      <c r="N38">
        <v>39812</v>
      </c>
      <c r="O38">
        <v>8815</v>
      </c>
      <c r="P38">
        <v>84232</v>
      </c>
      <c r="Q38">
        <v>34</v>
      </c>
      <c r="R38">
        <v>0</v>
      </c>
      <c r="S38">
        <v>4347</v>
      </c>
      <c r="T38">
        <v>7234</v>
      </c>
      <c r="U38">
        <f t="shared" si="0"/>
        <v>7</v>
      </c>
      <c r="V38">
        <v>3524</v>
      </c>
      <c r="W38">
        <v>134939</v>
      </c>
      <c r="X38">
        <v>131422</v>
      </c>
      <c r="Y38">
        <f t="shared" si="1"/>
        <v>3517</v>
      </c>
      <c r="Z38">
        <v>-6966</v>
      </c>
      <c r="AA38">
        <v>3165630</v>
      </c>
      <c r="AB38">
        <v>94936</v>
      </c>
      <c r="AC38" s="128">
        <v>69130.14690376239</v>
      </c>
      <c r="AD38">
        <v>41863</v>
      </c>
      <c r="AE38" t="s">
        <v>243</v>
      </c>
      <c r="AF38" s="188">
        <f t="shared" si="2"/>
        <v>-5.2912797634486692E-3</v>
      </c>
      <c r="AG38" s="188">
        <f t="shared" si="3"/>
        <v>0.37008574244658698</v>
      </c>
      <c r="AH38" s="188">
        <f t="shared" si="4"/>
        <v>0.13017733939039122</v>
      </c>
      <c r="AI38" s="188">
        <f t="shared" si="5"/>
        <v>5.6840498299231504E-2</v>
      </c>
      <c r="AJ38" s="188">
        <f t="shared" si="6"/>
        <v>0.34591867436397189</v>
      </c>
      <c r="AK38" s="188">
        <f t="shared" si="7"/>
        <v>0.27556515359164974</v>
      </c>
      <c r="AL38" s="188">
        <f t="shared" si="8"/>
        <v>2.6063628750768866E-2</v>
      </c>
      <c r="AM38" s="188">
        <v>1.0442890442890443E-2</v>
      </c>
      <c r="AN38" s="188">
        <v>2.5796701149125778E-3</v>
      </c>
      <c r="AO38">
        <f t="shared" si="9"/>
        <v>0</v>
      </c>
      <c r="AP38" s="188">
        <f t="shared" si="10"/>
        <v>-1.2905831523873751E-2</v>
      </c>
      <c r="AQ38" s="188">
        <f t="shared" si="11"/>
        <v>2.3459711425162479E-2</v>
      </c>
      <c r="AR38" s="188">
        <f t="shared" si="12"/>
        <v>0.70354752888342142</v>
      </c>
      <c r="AS38" s="128">
        <f t="shared" si="13"/>
        <v>1651.3424003000832</v>
      </c>
      <c r="AT38" s="188">
        <v>0.20699999999999999</v>
      </c>
      <c r="AU38" s="238">
        <v>4.1399999999999999E-2</v>
      </c>
      <c r="AV38">
        <v>8.5</v>
      </c>
      <c r="AY38" t="s">
        <v>410</v>
      </c>
      <c r="AZ38" s="129">
        <v>2173.5680938626051</v>
      </c>
      <c r="BA38" t="s">
        <v>441</v>
      </c>
    </row>
    <row r="39" spans="1:54" x14ac:dyDescent="0.25">
      <c r="A39" t="s">
        <v>350</v>
      </c>
      <c r="B39">
        <v>7903</v>
      </c>
      <c r="C39">
        <v>5427</v>
      </c>
      <c r="D39">
        <v>56113</v>
      </c>
      <c r="E39">
        <v>159</v>
      </c>
      <c r="F39">
        <v>0</v>
      </c>
      <c r="G39">
        <v>1503</v>
      </c>
      <c r="H39">
        <v>0</v>
      </c>
      <c r="I39">
        <v>2017</v>
      </c>
      <c r="J39">
        <v>0</v>
      </c>
      <c r="K39">
        <v>27575</v>
      </c>
      <c r="L39">
        <v>773</v>
      </c>
      <c r="M39">
        <v>1763</v>
      </c>
      <c r="N39">
        <v>25709</v>
      </c>
      <c r="O39">
        <v>6229</v>
      </c>
      <c r="P39">
        <v>62838</v>
      </c>
      <c r="Q39">
        <v>74</v>
      </c>
      <c r="R39">
        <v>0</v>
      </c>
      <c r="S39">
        <v>2753</v>
      </c>
      <c r="T39">
        <v>5631</v>
      </c>
      <c r="U39">
        <f t="shared" si="0"/>
        <v>-4</v>
      </c>
      <c r="V39">
        <v>1010</v>
      </c>
      <c r="W39">
        <v>59864</v>
      </c>
      <c r="X39">
        <v>58850</v>
      </c>
      <c r="Y39">
        <f t="shared" si="1"/>
        <v>1014</v>
      </c>
      <c r="Z39">
        <v>21056</v>
      </c>
      <c r="AA39">
        <v>3144764</v>
      </c>
      <c r="AB39">
        <v>40348</v>
      </c>
      <c r="AC39" s="128">
        <v>29886.969645036275</v>
      </c>
      <c r="AD39">
        <v>20529</v>
      </c>
      <c r="AE39" t="s">
        <v>350</v>
      </c>
      <c r="AF39" s="188">
        <f t="shared" si="2"/>
        <v>-1.2912601897634638E-2</v>
      </c>
      <c r="AG39" s="188">
        <f t="shared" si="3"/>
        <v>0.6628691701189362</v>
      </c>
      <c r="AH39" s="188">
        <f t="shared" si="4"/>
        <v>2.5106908993719097E-2</v>
      </c>
      <c r="AI39" s="188">
        <f t="shared" si="5"/>
        <v>3.3693037551784044E-2</v>
      </c>
      <c r="AJ39" s="188">
        <f t="shared" si="6"/>
        <v>0.6422968729119336</v>
      </c>
      <c r="AK39" s="188">
        <f t="shared" si="7"/>
        <v>0.24903617025398608</v>
      </c>
      <c r="AL39" s="188">
        <f t="shared" si="8"/>
        <v>1.693839369236937E-2</v>
      </c>
      <c r="AM39" s="188">
        <v>3.9962360101707811E-2</v>
      </c>
      <c r="AN39" s="188">
        <v>9.9667078456416591E-3</v>
      </c>
      <c r="AO39">
        <f t="shared" si="9"/>
        <v>0</v>
      </c>
      <c r="AP39" s="188">
        <f t="shared" si="10"/>
        <v>8.7932647333956976E-2</v>
      </c>
      <c r="AQ39" s="188">
        <f t="shared" si="11"/>
        <v>5.2531805425631434E-2</v>
      </c>
      <c r="AR39" s="188">
        <f t="shared" si="12"/>
        <v>0.67399438727782979</v>
      </c>
      <c r="AS39" s="128">
        <f t="shared" si="13"/>
        <v>1455.8414752319293</v>
      </c>
      <c r="AT39" s="188">
        <v>0.222</v>
      </c>
      <c r="AU39" s="301">
        <v>4.4400000000000002E-2</v>
      </c>
      <c r="AV39">
        <v>8.5</v>
      </c>
      <c r="AY39" t="s">
        <v>132</v>
      </c>
      <c r="AZ39" s="129">
        <v>2102.4304983471147</v>
      </c>
      <c r="BA39" t="s">
        <v>441</v>
      </c>
    </row>
    <row r="40" spans="1:54" x14ac:dyDescent="0.25">
      <c r="A40" t="s">
        <v>244</v>
      </c>
      <c r="B40">
        <v>0</v>
      </c>
      <c r="C40">
        <v>188</v>
      </c>
      <c r="D40">
        <v>21682</v>
      </c>
      <c r="E40">
        <v>0</v>
      </c>
      <c r="F40">
        <v>14</v>
      </c>
      <c r="G40">
        <v>1298</v>
      </c>
      <c r="H40">
        <v>0</v>
      </c>
      <c r="I40">
        <v>-5595</v>
      </c>
      <c r="J40">
        <v>0</v>
      </c>
      <c r="K40">
        <v>54500</v>
      </c>
      <c r="L40">
        <v>265</v>
      </c>
      <c r="M40">
        <v>2093</v>
      </c>
      <c r="N40">
        <v>51265</v>
      </c>
      <c r="O40">
        <v>1710</v>
      </c>
      <c r="P40">
        <v>15000</v>
      </c>
      <c r="Q40">
        <v>3</v>
      </c>
      <c r="R40">
        <v>0</v>
      </c>
      <c r="S40">
        <v>1616</v>
      </c>
      <c r="T40">
        <v>4848</v>
      </c>
      <c r="U40">
        <f t="shared" si="0"/>
        <v>-9</v>
      </c>
      <c r="V40">
        <v>4719</v>
      </c>
      <c r="W40">
        <v>41688</v>
      </c>
      <c r="X40">
        <v>36960</v>
      </c>
      <c r="Y40">
        <f t="shared" si="1"/>
        <v>4728</v>
      </c>
      <c r="Z40">
        <v>822</v>
      </c>
      <c r="AA40">
        <v>2290383.9999999991</v>
      </c>
      <c r="AB40">
        <v>15208</v>
      </c>
      <c r="AC40" s="128">
        <v>16399.217532880612</v>
      </c>
      <c r="AD40">
        <v>11954</v>
      </c>
      <c r="AE40" t="s">
        <v>244</v>
      </c>
      <c r="AF40" s="188">
        <f t="shared" si="2"/>
        <v>-6.3567453463826522E-3</v>
      </c>
      <c r="AG40" s="188">
        <f t="shared" si="3"/>
        <v>-0.88042122433314141</v>
      </c>
      <c r="AH40" s="188">
        <f t="shared" si="4"/>
        <v>3.147188639416619E-2</v>
      </c>
      <c r="AI40" s="188">
        <f t="shared" si="5"/>
        <v>-0.1342112838226828</v>
      </c>
      <c r="AJ40" s="188">
        <f t="shared" si="6"/>
        <v>-0.78269669928996355</v>
      </c>
      <c r="AK40" s="188">
        <f t="shared" si="7"/>
        <v>0.68865694097418129</v>
      </c>
      <c r="AL40" s="188">
        <f t="shared" si="8"/>
        <v>0.11341393206678181</v>
      </c>
      <c r="AM40" s="188">
        <v>0.14560989720083664</v>
      </c>
      <c r="AN40" s="188">
        <v>0.13095393449040846</v>
      </c>
      <c r="AO40">
        <f t="shared" si="9"/>
        <v>0</v>
      </c>
      <c r="AP40" s="188">
        <f t="shared" si="10"/>
        <v>4.9294761082325847E-3</v>
      </c>
      <c r="AQ40" s="188">
        <f t="shared" si="11"/>
        <v>5.4941086163884066E-2</v>
      </c>
      <c r="AR40" s="188">
        <f t="shared" si="12"/>
        <v>0.36480521972749952</v>
      </c>
      <c r="AS40" s="128">
        <f t="shared" si="13"/>
        <v>1371.8602587318564</v>
      </c>
      <c r="AT40" s="188">
        <v>0.312</v>
      </c>
      <c r="AU40" s="238">
        <v>6.2399999999999997E-2</v>
      </c>
      <c r="AV40">
        <v>7.5</v>
      </c>
      <c r="AY40" t="s">
        <v>303</v>
      </c>
      <c r="AZ40" s="129">
        <v>2286.8755391498994</v>
      </c>
      <c r="BA40" t="s">
        <v>441</v>
      </c>
    </row>
    <row r="41" spans="1:54" x14ac:dyDescent="0.25">
      <c r="A41" t="s">
        <v>245</v>
      </c>
      <c r="B41">
        <v>0</v>
      </c>
      <c r="C41">
        <v>682</v>
      </c>
      <c r="D41">
        <v>55431</v>
      </c>
      <c r="E41">
        <v>379</v>
      </c>
      <c r="F41">
        <v>0</v>
      </c>
      <c r="G41">
        <v>784</v>
      </c>
      <c r="H41">
        <v>0</v>
      </c>
      <c r="I41">
        <v>71</v>
      </c>
      <c r="J41">
        <v>0</v>
      </c>
      <c r="K41">
        <v>7636</v>
      </c>
      <c r="L41">
        <v>4515</v>
      </c>
      <c r="M41">
        <v>1648</v>
      </c>
      <c r="N41">
        <v>38428</v>
      </c>
      <c r="O41">
        <v>3453</v>
      </c>
      <c r="P41">
        <v>21500</v>
      </c>
      <c r="Q41">
        <v>2</v>
      </c>
      <c r="R41">
        <v>0</v>
      </c>
      <c r="S41">
        <v>622</v>
      </c>
      <c r="T41">
        <v>7139</v>
      </c>
      <c r="U41">
        <f t="shared" si="0"/>
        <v>-1</v>
      </c>
      <c r="V41">
        <v>12824</v>
      </c>
      <c r="W41">
        <v>69909</v>
      </c>
      <c r="X41">
        <v>57084</v>
      </c>
      <c r="Y41">
        <f t="shared" si="1"/>
        <v>12825</v>
      </c>
      <c r="Z41">
        <v>-5313</v>
      </c>
      <c r="AA41">
        <v>5151477.9999999981</v>
      </c>
      <c r="AB41">
        <v>29320</v>
      </c>
      <c r="AC41" s="128">
        <v>34540.623971682799</v>
      </c>
      <c r="AD41">
        <v>23478</v>
      </c>
      <c r="AE41" t="s">
        <v>245</v>
      </c>
      <c r="AF41" s="188">
        <f t="shared" si="2"/>
        <v>-6.4583959146890954E-2</v>
      </c>
      <c r="AG41" s="188">
        <f t="shared" si="3"/>
        <v>0.20998726916419919</v>
      </c>
      <c r="AH41" s="188">
        <f t="shared" si="4"/>
        <v>1.1214578952638429E-2</v>
      </c>
      <c r="AI41" s="188">
        <f t="shared" si="5"/>
        <v>1.0156060020884293E-3</v>
      </c>
      <c r="AJ41" s="188">
        <f t="shared" si="6"/>
        <v>0.2106220944370539</v>
      </c>
      <c r="AK41" s="188">
        <f t="shared" si="7"/>
        <v>0.54014393343078826</v>
      </c>
      <c r="AL41" s="188">
        <f t="shared" si="8"/>
        <v>0.1834527743209029</v>
      </c>
      <c r="AM41" s="188">
        <v>-8.0064627902902419E-2</v>
      </c>
      <c r="AN41" s="188">
        <v>-1.0995960667509894E-2</v>
      </c>
      <c r="AO41">
        <f t="shared" si="9"/>
        <v>2</v>
      </c>
      <c r="AP41" s="188">
        <f t="shared" si="10"/>
        <v>-1.899969960949234E-2</v>
      </c>
      <c r="AQ41" s="188">
        <f t="shared" si="11"/>
        <v>7.3688337696147826E-2</v>
      </c>
      <c r="AR41" s="188">
        <f t="shared" si="12"/>
        <v>0.41940236593285557</v>
      </c>
      <c r="AS41" s="128">
        <f t="shared" si="13"/>
        <v>1471.1910712872818</v>
      </c>
      <c r="AT41" s="188">
        <v>0.2145</v>
      </c>
      <c r="AU41" s="238">
        <v>4.2900000000000001E-2</v>
      </c>
      <c r="AV41">
        <v>8</v>
      </c>
      <c r="AY41" t="s">
        <v>431</v>
      </c>
      <c r="AZ41" s="129">
        <v>2175.7832755443715</v>
      </c>
      <c r="BA41" t="s">
        <v>441</v>
      </c>
    </row>
    <row r="42" spans="1:54" x14ac:dyDescent="0.25">
      <c r="A42" t="s">
        <v>287</v>
      </c>
      <c r="B42">
        <v>261</v>
      </c>
      <c r="C42">
        <v>5443</v>
      </c>
      <c r="D42">
        <v>156523</v>
      </c>
      <c r="E42">
        <v>571</v>
      </c>
      <c r="F42">
        <v>0</v>
      </c>
      <c r="G42">
        <v>1757</v>
      </c>
      <c r="H42">
        <v>0</v>
      </c>
      <c r="I42">
        <v>6557</v>
      </c>
      <c r="J42">
        <v>1686</v>
      </c>
      <c r="K42">
        <v>11908</v>
      </c>
      <c r="L42">
        <v>3441</v>
      </c>
      <c r="M42">
        <v>11067</v>
      </c>
      <c r="N42">
        <v>18125</v>
      </c>
      <c r="O42">
        <v>6524</v>
      </c>
      <c r="P42">
        <v>142502</v>
      </c>
      <c r="Q42">
        <v>6</v>
      </c>
      <c r="R42">
        <v>7500</v>
      </c>
      <c r="S42">
        <v>9069</v>
      </c>
      <c r="T42">
        <v>15487</v>
      </c>
      <c r="U42">
        <f t="shared" si="0"/>
        <v>-2</v>
      </c>
      <c r="V42">
        <v>1152</v>
      </c>
      <c r="W42">
        <v>89877</v>
      </c>
      <c r="X42">
        <v>88723</v>
      </c>
      <c r="Y42">
        <f t="shared" si="1"/>
        <v>1154</v>
      </c>
      <c r="Z42">
        <v>34405</v>
      </c>
      <c r="AA42">
        <v>2334431.9999999981</v>
      </c>
      <c r="AB42">
        <v>53341</v>
      </c>
      <c r="AC42" s="128">
        <v>44055.944830681918</v>
      </c>
      <c r="AD42">
        <v>35278</v>
      </c>
      <c r="AE42" t="s">
        <v>287</v>
      </c>
      <c r="AF42" s="188">
        <f t="shared" si="2"/>
        <v>4.5161721018725592E-2</v>
      </c>
      <c r="AG42" s="188">
        <f t="shared" si="3"/>
        <v>1.6287926833338897</v>
      </c>
      <c r="AH42" s="188">
        <f t="shared" si="4"/>
        <v>1.9548939105666633E-2</v>
      </c>
      <c r="AI42" s="188">
        <f t="shared" si="5"/>
        <v>9.1714231672174198E-2</v>
      </c>
      <c r="AJ42" s="188">
        <f t="shared" si="6"/>
        <v>1.5669385938560478</v>
      </c>
      <c r="AK42" s="188">
        <f t="shared" si="7"/>
        <v>9.0983018176524627E-2</v>
      </c>
      <c r="AL42" s="188">
        <f t="shared" si="8"/>
        <v>1.2839769907762831E-2</v>
      </c>
      <c r="AM42" s="188">
        <v>1.1839529199152002E-2</v>
      </c>
      <c r="AN42" s="188">
        <v>2.4442243087259884E-3</v>
      </c>
      <c r="AO42">
        <f t="shared" si="9"/>
        <v>0</v>
      </c>
      <c r="AP42" s="188">
        <f t="shared" si="10"/>
        <v>9.570023476529034E-2</v>
      </c>
      <c r="AQ42" s="188">
        <f t="shared" si="11"/>
        <v>2.5973630628525632E-2</v>
      </c>
      <c r="AR42" s="188">
        <f t="shared" si="12"/>
        <v>0.59348887924608074</v>
      </c>
      <c r="AS42" s="128">
        <f t="shared" si="13"/>
        <v>1248.8220656126175</v>
      </c>
      <c r="AT42" s="188">
        <v>0.20699999999999999</v>
      </c>
      <c r="AU42" s="238">
        <v>4.1399999999999999E-2</v>
      </c>
      <c r="AV42">
        <v>5</v>
      </c>
      <c r="AY42" t="s">
        <v>413</v>
      </c>
      <c r="AZ42" s="129">
        <v>1232.6385200454863</v>
      </c>
      <c r="BA42" t="s">
        <v>441</v>
      </c>
      <c r="BB42">
        <v>1</v>
      </c>
    </row>
    <row r="43" spans="1:54" x14ac:dyDescent="0.25">
      <c r="A43" t="s">
        <v>351</v>
      </c>
      <c r="B43">
        <v>133</v>
      </c>
      <c r="C43">
        <v>3793</v>
      </c>
      <c r="D43">
        <v>19093</v>
      </c>
      <c r="E43">
        <v>1</v>
      </c>
      <c r="F43">
        <v>0</v>
      </c>
      <c r="G43">
        <v>76</v>
      </c>
      <c r="H43">
        <v>215</v>
      </c>
      <c r="I43">
        <v>14097</v>
      </c>
      <c r="J43">
        <v>0</v>
      </c>
      <c r="K43">
        <v>2452</v>
      </c>
      <c r="L43">
        <v>8</v>
      </c>
      <c r="M43">
        <v>553</v>
      </c>
      <c r="N43">
        <v>10376</v>
      </c>
      <c r="O43">
        <v>7988</v>
      </c>
      <c r="P43">
        <v>16370</v>
      </c>
      <c r="Q43">
        <v>96</v>
      </c>
      <c r="R43">
        <v>108</v>
      </c>
      <c r="S43">
        <v>2335</v>
      </c>
      <c r="T43">
        <v>3150</v>
      </c>
      <c r="U43">
        <f t="shared" si="0"/>
        <v>-6</v>
      </c>
      <c r="V43">
        <v>1519</v>
      </c>
      <c r="W43">
        <v>33969</v>
      </c>
      <c r="X43">
        <v>32444</v>
      </c>
      <c r="Y43">
        <f t="shared" si="1"/>
        <v>1525</v>
      </c>
      <c r="Z43">
        <v>2759</v>
      </c>
      <c r="AA43">
        <v>474836.99999999953</v>
      </c>
      <c r="AB43">
        <v>16995</v>
      </c>
      <c r="AC43" s="128">
        <v>16041.871587815425</v>
      </c>
      <c r="AD43">
        <v>10959</v>
      </c>
      <c r="AE43" t="s">
        <v>351</v>
      </c>
      <c r="AF43" s="188">
        <f t="shared" si="2"/>
        <v>2.9438605787629898E-3</v>
      </c>
      <c r="AG43" s="188">
        <f t="shared" si="3"/>
        <v>0.55212105154699875</v>
      </c>
      <c r="AH43" s="188">
        <f t="shared" si="4"/>
        <v>2.237334039859872E-3</v>
      </c>
      <c r="AI43" s="188">
        <f t="shared" si="5"/>
        <v>0.41499602578821865</v>
      </c>
      <c r="AJ43" s="188">
        <f t="shared" si="6"/>
        <v>0.2618923135800289</v>
      </c>
      <c r="AK43" s="188">
        <f t="shared" si="7"/>
        <v>0.25668555030551915</v>
      </c>
      <c r="AL43" s="188">
        <f t="shared" si="8"/>
        <v>4.4893873826135591E-2</v>
      </c>
      <c r="AM43" s="188">
        <v>2.8010019844497219E-2</v>
      </c>
      <c r="AN43" s="188">
        <v>-0.140699224223369</v>
      </c>
      <c r="AO43">
        <f t="shared" si="9"/>
        <v>1</v>
      </c>
      <c r="AP43" s="188">
        <f t="shared" si="10"/>
        <v>2.0305278342017723E-2</v>
      </c>
      <c r="AQ43" s="188">
        <f t="shared" si="11"/>
        <v>1.3978539256380804E-2</v>
      </c>
      <c r="AR43" s="188">
        <f t="shared" si="12"/>
        <v>0.50030910536077011</v>
      </c>
      <c r="AS43" s="128">
        <f t="shared" si="13"/>
        <v>1463.8079740683843</v>
      </c>
      <c r="AT43" s="188">
        <v>0.155</v>
      </c>
      <c r="AU43" s="238">
        <v>3.1E-2</v>
      </c>
      <c r="AV43">
        <v>10</v>
      </c>
      <c r="AY43" t="s">
        <v>112</v>
      </c>
      <c r="AZ43" s="129">
        <v>1786.9084814957816</v>
      </c>
      <c r="BA43" t="s">
        <v>441</v>
      </c>
    </row>
    <row r="44" spans="1:54" x14ac:dyDescent="0.25">
      <c r="A44" t="s">
        <v>108</v>
      </c>
      <c r="B44">
        <v>9</v>
      </c>
      <c r="C44">
        <v>4486</v>
      </c>
      <c r="D44">
        <v>52806</v>
      </c>
      <c r="E44">
        <v>204</v>
      </c>
      <c r="F44">
        <v>3098</v>
      </c>
      <c r="G44">
        <v>394</v>
      </c>
      <c r="H44">
        <v>0</v>
      </c>
      <c r="I44">
        <v>2471</v>
      </c>
      <c r="J44">
        <v>0</v>
      </c>
      <c r="K44">
        <v>7430</v>
      </c>
      <c r="L44">
        <v>26</v>
      </c>
      <c r="M44">
        <v>5362</v>
      </c>
      <c r="N44">
        <v>25004</v>
      </c>
      <c r="O44">
        <v>3993</v>
      </c>
      <c r="P44">
        <v>34585</v>
      </c>
      <c r="Q44">
        <v>7</v>
      </c>
      <c r="R44">
        <v>4129</v>
      </c>
      <c r="S44">
        <v>2598</v>
      </c>
      <c r="T44">
        <v>5971</v>
      </c>
      <c r="U44">
        <f t="shared" si="0"/>
        <v>-41</v>
      </c>
      <c r="V44">
        <v>2770</v>
      </c>
      <c r="W44">
        <v>77974</v>
      </c>
      <c r="X44">
        <v>75163</v>
      </c>
      <c r="Y44">
        <f t="shared" si="1"/>
        <v>2811</v>
      </c>
      <c r="Z44">
        <v>5203</v>
      </c>
      <c r="AA44">
        <v>-439460.00000000093</v>
      </c>
      <c r="AB44">
        <v>57603</v>
      </c>
      <c r="AC44" s="128">
        <v>40940.742535146346</v>
      </c>
      <c r="AD44">
        <v>25598</v>
      </c>
      <c r="AE44" t="s">
        <v>108</v>
      </c>
      <c r="AF44" s="188">
        <f t="shared" si="2"/>
        <v>5.2620104137276531E-2</v>
      </c>
      <c r="AG44" s="188">
        <f t="shared" si="3"/>
        <v>0.39731192448764974</v>
      </c>
      <c r="AH44" s="188">
        <f t="shared" si="4"/>
        <v>4.4784158822171495E-2</v>
      </c>
      <c r="AI44" s="188">
        <f t="shared" si="5"/>
        <v>3.1690050529663734E-2</v>
      </c>
      <c r="AJ44" s="188">
        <f t="shared" si="6"/>
        <v>0.38050298817554573</v>
      </c>
      <c r="AK44" s="188">
        <f t="shared" si="7"/>
        <v>0.32776226617903442</v>
      </c>
      <c r="AL44" s="188">
        <f t="shared" si="8"/>
        <v>3.6050478364583069E-2</v>
      </c>
      <c r="AM44" s="188">
        <v>1.4346994377137556E-3</v>
      </c>
      <c r="AN44" s="188">
        <v>-3.4294205052005942E-2</v>
      </c>
      <c r="AO44">
        <f t="shared" si="9"/>
        <v>1</v>
      </c>
      <c r="AP44" s="188">
        <f t="shared" si="10"/>
        <v>1.6681842665503887E-2</v>
      </c>
      <c r="AQ44" s="188">
        <f t="shared" si="11"/>
        <v>-5.6359812245107459E-3</v>
      </c>
      <c r="AR44" s="188">
        <f t="shared" si="12"/>
        <v>0.73874624874958317</v>
      </c>
      <c r="AS44" s="128">
        <f t="shared" si="13"/>
        <v>1599.3727062718317</v>
      </c>
      <c r="AT44" s="188">
        <v>0.245</v>
      </c>
      <c r="AU44" s="238">
        <v>4.9000000000000002E-2</v>
      </c>
      <c r="AV44">
        <v>8</v>
      </c>
      <c r="AY44" t="s">
        <v>334</v>
      </c>
      <c r="AZ44" s="129">
        <v>1998.242328374635</v>
      </c>
      <c r="BA44" t="s">
        <v>441</v>
      </c>
    </row>
    <row r="45" spans="1:54" x14ac:dyDescent="0.25">
      <c r="A45" t="s">
        <v>142</v>
      </c>
      <c r="B45">
        <v>0</v>
      </c>
      <c r="C45">
        <v>2353</v>
      </c>
      <c r="D45">
        <v>50041</v>
      </c>
      <c r="E45">
        <v>738</v>
      </c>
      <c r="F45">
        <v>219</v>
      </c>
      <c r="G45">
        <v>2969</v>
      </c>
      <c r="H45">
        <v>0</v>
      </c>
      <c r="I45">
        <v>62189</v>
      </c>
      <c r="J45">
        <v>0</v>
      </c>
      <c r="K45">
        <v>3410</v>
      </c>
      <c r="L45">
        <v>26</v>
      </c>
      <c r="M45">
        <v>9611</v>
      </c>
      <c r="N45">
        <v>25200</v>
      </c>
      <c r="O45">
        <v>9352</v>
      </c>
      <c r="P45">
        <v>71019</v>
      </c>
      <c r="Q45">
        <v>97</v>
      </c>
      <c r="R45">
        <v>17029</v>
      </c>
      <c r="S45">
        <v>2095</v>
      </c>
      <c r="T45">
        <v>6764</v>
      </c>
      <c r="U45">
        <f t="shared" si="0"/>
        <v>6</v>
      </c>
      <c r="V45">
        <v>-4855</v>
      </c>
      <c r="W45">
        <v>60324</v>
      </c>
      <c r="X45">
        <v>65185</v>
      </c>
      <c r="Y45">
        <f t="shared" si="1"/>
        <v>-4861</v>
      </c>
      <c r="Z45">
        <v>-2341</v>
      </c>
      <c r="AA45">
        <v>-489367.00000000093</v>
      </c>
      <c r="AB45">
        <v>42468</v>
      </c>
      <c r="AC45" s="128">
        <v>40962.665489207357</v>
      </c>
      <c r="AD45">
        <v>23668</v>
      </c>
      <c r="AE45" t="s">
        <v>142</v>
      </c>
      <c r="AF45" s="188">
        <f t="shared" si="2"/>
        <v>0.28186128240832836</v>
      </c>
      <c r="AG45" s="188">
        <f t="shared" si="3"/>
        <v>1.3389198329023275</v>
      </c>
      <c r="AH45" s="188">
        <f t="shared" si="4"/>
        <v>5.2847954379683044E-2</v>
      </c>
      <c r="AI45" s="188">
        <f t="shared" si="5"/>
        <v>1.0309163848551157</v>
      </c>
      <c r="AJ45" s="188">
        <f t="shared" si="6"/>
        <v>0.6236201180293085</v>
      </c>
      <c r="AK45" s="188">
        <f t="shared" si="7"/>
        <v>0.19155340691416584</v>
      </c>
      <c r="AL45" s="188">
        <f t="shared" si="8"/>
        <v>-8.0581526423977187E-2</v>
      </c>
      <c r="AM45" s="188">
        <v>-9.666244505699173E-2</v>
      </c>
      <c r="AN45" s="188">
        <v>-4.1899097260105232E-2</v>
      </c>
      <c r="AO45">
        <f t="shared" si="9"/>
        <v>3</v>
      </c>
      <c r="AP45" s="188">
        <f t="shared" si="10"/>
        <v>-9.7017770704860423E-3</v>
      </c>
      <c r="AQ45" s="188">
        <f t="shared" si="11"/>
        <v>-8.1123101916318694E-3</v>
      </c>
      <c r="AR45" s="188">
        <f t="shared" si="12"/>
        <v>0.70399840859359464</v>
      </c>
      <c r="AS45" s="128">
        <f t="shared" si="13"/>
        <v>1730.7193463413621</v>
      </c>
      <c r="AT45" s="188">
        <v>0.29600000000000004</v>
      </c>
      <c r="AU45" s="238">
        <v>5.9200000000000003E-2</v>
      </c>
      <c r="AV45">
        <v>3</v>
      </c>
      <c r="AY45" t="s">
        <v>602</v>
      </c>
      <c r="AZ45" s="129">
        <v>2073.3832257770382</v>
      </c>
      <c r="BA45" t="s">
        <v>441</v>
      </c>
    </row>
    <row r="46" spans="1:54" x14ac:dyDescent="0.25">
      <c r="A46" t="s">
        <v>330</v>
      </c>
      <c r="B46">
        <v>192</v>
      </c>
      <c r="C46">
        <v>7775</v>
      </c>
      <c r="D46">
        <v>24876</v>
      </c>
      <c r="E46">
        <v>284</v>
      </c>
      <c r="F46">
        <v>0</v>
      </c>
      <c r="G46">
        <v>4342</v>
      </c>
      <c r="H46">
        <v>389</v>
      </c>
      <c r="I46">
        <v>-1331</v>
      </c>
      <c r="J46">
        <v>322</v>
      </c>
      <c r="K46">
        <v>7724</v>
      </c>
      <c r="L46">
        <v>1064</v>
      </c>
      <c r="M46">
        <v>129</v>
      </c>
      <c r="N46">
        <v>24451</v>
      </c>
      <c r="O46">
        <v>4000</v>
      </c>
      <c r="P46">
        <v>9188</v>
      </c>
      <c r="Q46">
        <v>0</v>
      </c>
      <c r="R46">
        <v>0</v>
      </c>
      <c r="S46">
        <v>8010</v>
      </c>
      <c r="T46">
        <v>117</v>
      </c>
      <c r="U46">
        <f t="shared" si="0"/>
        <v>21</v>
      </c>
      <c r="V46">
        <v>2477</v>
      </c>
      <c r="W46">
        <v>61166</v>
      </c>
      <c r="X46">
        <v>58710</v>
      </c>
      <c r="Y46">
        <f t="shared" si="1"/>
        <v>2456</v>
      </c>
      <c r="Z46">
        <v>949</v>
      </c>
      <c r="AA46">
        <v>301445.99999999814</v>
      </c>
      <c r="AB46">
        <v>37480</v>
      </c>
      <c r="AC46" s="128">
        <v>39083.753974934531</v>
      </c>
      <c r="AD46">
        <v>22818</v>
      </c>
      <c r="AE46" t="s">
        <v>330</v>
      </c>
      <c r="AF46" s="188">
        <f t="shared" si="2"/>
        <v>-1.7395284962233921E-2</v>
      </c>
      <c r="AG46" s="188">
        <f t="shared" si="3"/>
        <v>5.9951607101984765E-2</v>
      </c>
      <c r="AH46" s="188">
        <f t="shared" si="4"/>
        <v>7.0987149723702708E-2</v>
      </c>
      <c r="AI46" s="188">
        <f t="shared" si="5"/>
        <v>-1.6496092600464311E-2</v>
      </c>
      <c r="AJ46" s="188">
        <f t="shared" si="6"/>
        <v>8.001732988915411E-2</v>
      </c>
      <c r="AK46" s="188">
        <f t="shared" si="7"/>
        <v>0.53426124197002145</v>
      </c>
      <c r="AL46" s="188">
        <f t="shared" si="8"/>
        <v>4.0153026191021159E-2</v>
      </c>
      <c r="AM46" s="188">
        <v>-4.9596033786265148E-2</v>
      </c>
      <c r="AN46" s="188">
        <v>-2.978669236784201E-2</v>
      </c>
      <c r="AO46">
        <f t="shared" si="9"/>
        <v>2</v>
      </c>
      <c r="AP46" s="188">
        <f t="shared" si="10"/>
        <v>3.8787888696334566E-3</v>
      </c>
      <c r="AQ46" s="188">
        <f t="shared" si="11"/>
        <v>4.9283261942909152E-3</v>
      </c>
      <c r="AR46" s="188">
        <f t="shared" si="12"/>
        <v>0.61275872216590921</v>
      </c>
      <c r="AS46" s="128">
        <f t="shared" si="13"/>
        <v>1712.8474877261167</v>
      </c>
      <c r="AT46" s="188">
        <v>0.2475</v>
      </c>
      <c r="AU46" s="238">
        <v>4.9500000000000002E-2</v>
      </c>
      <c r="AV46">
        <v>8.5</v>
      </c>
      <c r="AY46" t="s">
        <v>193</v>
      </c>
      <c r="AZ46" s="129">
        <v>2061.6132583624535</v>
      </c>
      <c r="BA46" t="s">
        <v>441</v>
      </c>
    </row>
    <row r="47" spans="1:54" x14ac:dyDescent="0.25">
      <c r="A47" t="s">
        <v>353</v>
      </c>
      <c r="B47">
        <v>92</v>
      </c>
      <c r="C47">
        <v>1867</v>
      </c>
      <c r="D47">
        <v>62752</v>
      </c>
      <c r="E47">
        <v>138</v>
      </c>
      <c r="F47">
        <v>4520</v>
      </c>
      <c r="G47">
        <v>2796</v>
      </c>
      <c r="H47">
        <v>0</v>
      </c>
      <c r="I47">
        <v>16296</v>
      </c>
      <c r="J47">
        <v>0</v>
      </c>
      <c r="K47">
        <v>19358</v>
      </c>
      <c r="L47">
        <v>706</v>
      </c>
      <c r="M47">
        <v>1394</v>
      </c>
      <c r="N47">
        <v>18287</v>
      </c>
      <c r="O47">
        <v>27781</v>
      </c>
      <c r="P47">
        <v>45522</v>
      </c>
      <c r="Q47">
        <v>0</v>
      </c>
      <c r="R47">
        <v>5000</v>
      </c>
      <c r="S47">
        <v>11481</v>
      </c>
      <c r="T47">
        <v>1849</v>
      </c>
      <c r="U47">
        <f t="shared" si="0"/>
        <v>-4</v>
      </c>
      <c r="V47">
        <v>2605</v>
      </c>
      <c r="W47">
        <v>110239</v>
      </c>
      <c r="X47">
        <v>107630</v>
      </c>
      <c r="Y47">
        <f t="shared" si="1"/>
        <v>2609</v>
      </c>
      <c r="Z47">
        <v>-2790</v>
      </c>
      <c r="AA47">
        <v>1975117.9999999981</v>
      </c>
      <c r="AB47">
        <v>69302</v>
      </c>
      <c r="AC47" s="128">
        <v>57850.731596045443</v>
      </c>
      <c r="AD47">
        <v>30824</v>
      </c>
      <c r="AE47" t="s">
        <v>353</v>
      </c>
      <c r="AF47" s="188">
        <f t="shared" si="2"/>
        <v>3.8951732145610901E-2</v>
      </c>
      <c r="AG47" s="188">
        <f t="shared" si="3"/>
        <v>0.31819954825424757</v>
      </c>
      <c r="AH47" s="188">
        <f t="shared" si="4"/>
        <v>6.6364898085069707E-2</v>
      </c>
      <c r="AI47" s="188">
        <f t="shared" si="5"/>
        <v>0.14782427271655221</v>
      </c>
      <c r="AJ47" s="188">
        <f t="shared" si="6"/>
        <v>0.22268634512286936</v>
      </c>
      <c r="AK47" s="188">
        <f t="shared" si="7"/>
        <v>0.16636644832605532</v>
      </c>
      <c r="AL47" s="188">
        <f t="shared" si="8"/>
        <v>2.3666760402398426E-2</v>
      </c>
      <c r="AM47" s="188">
        <v>-7.9424264747549156E-2</v>
      </c>
      <c r="AN47" s="188">
        <v>-3.0311944741889554E-2</v>
      </c>
      <c r="AO47">
        <f t="shared" si="9"/>
        <v>2</v>
      </c>
      <c r="AP47" s="188">
        <f t="shared" si="10"/>
        <v>-6.3271618937036801E-3</v>
      </c>
      <c r="AQ47" s="188">
        <f t="shared" si="11"/>
        <v>1.791669010059959E-2</v>
      </c>
      <c r="AR47" s="188">
        <f t="shared" si="12"/>
        <v>0.62865229183864146</v>
      </c>
      <c r="AS47" s="128">
        <f t="shared" si="13"/>
        <v>1876.8080585272983</v>
      </c>
      <c r="AT47" s="188">
        <v>0.16549999999999998</v>
      </c>
      <c r="AU47" s="238">
        <v>3.3099999999999997E-2</v>
      </c>
      <c r="AV47">
        <v>8</v>
      </c>
      <c r="AY47" t="s">
        <v>123</v>
      </c>
      <c r="AZ47" s="129">
        <v>1912.6871770692117</v>
      </c>
      <c r="BA47" t="s">
        <v>441</v>
      </c>
    </row>
    <row r="48" spans="1:54" x14ac:dyDescent="0.25">
      <c r="A48" t="s">
        <v>354</v>
      </c>
      <c r="B48">
        <v>4488</v>
      </c>
      <c r="C48">
        <v>61040</v>
      </c>
      <c r="D48">
        <v>386890</v>
      </c>
      <c r="E48">
        <v>2267</v>
      </c>
      <c r="F48">
        <v>76009</v>
      </c>
      <c r="G48">
        <v>79524</v>
      </c>
      <c r="H48">
        <v>14048</v>
      </c>
      <c r="I48">
        <v>31579</v>
      </c>
      <c r="J48">
        <v>5443</v>
      </c>
      <c r="K48">
        <v>26970</v>
      </c>
      <c r="L48">
        <v>1779</v>
      </c>
      <c r="M48">
        <v>54755</v>
      </c>
      <c r="N48">
        <v>137120</v>
      </c>
      <c r="O48">
        <v>60484</v>
      </c>
      <c r="P48">
        <v>416505</v>
      </c>
      <c r="Q48">
        <v>413</v>
      </c>
      <c r="R48">
        <v>50000</v>
      </c>
      <c r="S48">
        <v>17651</v>
      </c>
      <c r="T48">
        <v>62617</v>
      </c>
      <c r="U48">
        <f t="shared" si="0"/>
        <v>-92</v>
      </c>
      <c r="V48">
        <v>3408</v>
      </c>
      <c r="W48">
        <v>730897</v>
      </c>
      <c r="X48">
        <v>727397</v>
      </c>
      <c r="Y48">
        <f t="shared" si="1"/>
        <v>3500</v>
      </c>
      <c r="Z48">
        <v>27748</v>
      </c>
      <c r="AA48">
        <v>26993361.999999993</v>
      </c>
      <c r="AB48">
        <v>478430</v>
      </c>
      <c r="AC48" s="128">
        <v>340080.63179704006</v>
      </c>
      <c r="AD48">
        <v>184126</v>
      </c>
      <c r="AE48" t="s">
        <v>354</v>
      </c>
      <c r="AF48" s="188">
        <f t="shared" si="2"/>
        <v>6.5975096354205856E-2</v>
      </c>
      <c r="AG48" s="188">
        <f t="shared" si="3"/>
        <v>0.40238364639614066</v>
      </c>
      <c r="AH48" s="188">
        <f t="shared" si="4"/>
        <v>0.21279742562905579</v>
      </c>
      <c r="AI48" s="188">
        <f t="shared" si="5"/>
        <v>5.0652827963447652E-2</v>
      </c>
      <c r="AJ48" s="188">
        <f t="shared" si="6"/>
        <v>0.39246235789721401</v>
      </c>
      <c r="AK48" s="188">
        <f t="shared" si="7"/>
        <v>0.18410558680970474</v>
      </c>
      <c r="AL48" s="188">
        <f t="shared" si="8"/>
        <v>4.7886364289359516E-3</v>
      </c>
      <c r="AM48" s="188">
        <v>-9.0584224229899798E-3</v>
      </c>
      <c r="AN48" s="188">
        <v>-2.9372397042812221E-2</v>
      </c>
      <c r="AO48">
        <f t="shared" si="9"/>
        <v>2</v>
      </c>
      <c r="AP48" s="188">
        <f t="shared" si="10"/>
        <v>9.4910774021510561E-3</v>
      </c>
      <c r="AQ48" s="188">
        <f t="shared" si="11"/>
        <v>3.6931827603615817E-2</v>
      </c>
      <c r="AR48" s="188">
        <f t="shared" si="12"/>
        <v>0.65457923619880776</v>
      </c>
      <c r="AS48" s="128">
        <f t="shared" si="13"/>
        <v>1846.9995101019956</v>
      </c>
      <c r="AT48" s="188">
        <v>0.24049999999999999</v>
      </c>
      <c r="AU48" s="238">
        <v>4.8099999999999997E-2</v>
      </c>
      <c r="AV48">
        <v>8</v>
      </c>
      <c r="AY48" t="s">
        <v>383</v>
      </c>
      <c r="AZ48" s="129">
        <v>2154.7401707229392</v>
      </c>
      <c r="BA48" t="s">
        <v>441</v>
      </c>
    </row>
    <row r="49" spans="1:55" x14ac:dyDescent="0.25">
      <c r="A49" t="s">
        <v>288</v>
      </c>
      <c r="B49">
        <v>505</v>
      </c>
      <c r="C49">
        <v>18817</v>
      </c>
      <c r="D49">
        <v>82667</v>
      </c>
      <c r="E49">
        <v>78</v>
      </c>
      <c r="F49">
        <v>0</v>
      </c>
      <c r="G49">
        <v>2619</v>
      </c>
      <c r="H49">
        <v>0</v>
      </c>
      <c r="I49">
        <v>11232</v>
      </c>
      <c r="J49">
        <v>0</v>
      </c>
      <c r="K49">
        <v>4409</v>
      </c>
      <c r="L49">
        <v>25501</v>
      </c>
      <c r="M49">
        <v>4258</v>
      </c>
      <c r="N49">
        <v>124320</v>
      </c>
      <c r="O49">
        <v>11075</v>
      </c>
      <c r="P49">
        <v>3401</v>
      </c>
      <c r="Q49">
        <v>36</v>
      </c>
      <c r="R49">
        <v>3003</v>
      </c>
      <c r="S49">
        <v>3954</v>
      </c>
      <c r="T49">
        <v>4299</v>
      </c>
      <c r="U49">
        <f t="shared" si="0"/>
        <v>-9</v>
      </c>
      <c r="V49">
        <v>14467</v>
      </c>
      <c r="W49">
        <v>70561</v>
      </c>
      <c r="X49">
        <v>56085</v>
      </c>
      <c r="Y49">
        <f t="shared" si="1"/>
        <v>14476</v>
      </c>
      <c r="Z49">
        <v>-7618</v>
      </c>
      <c r="AA49">
        <v>2028635.9999999991</v>
      </c>
      <c r="AB49">
        <v>27249</v>
      </c>
      <c r="AC49" s="128">
        <v>31047.050623021234</v>
      </c>
      <c r="AD49">
        <v>17439</v>
      </c>
      <c r="AE49" t="s">
        <v>288</v>
      </c>
      <c r="AF49" s="188">
        <f t="shared" si="2"/>
        <v>-0.31884468757528944</v>
      </c>
      <c r="AG49" s="188">
        <f t="shared" si="3"/>
        <v>-0.31311914513683198</v>
      </c>
      <c r="AH49" s="188">
        <f t="shared" si="4"/>
        <v>3.7116820906733183E-2</v>
      </c>
      <c r="AI49" s="188">
        <f t="shared" si="5"/>
        <v>0.15918141749691755</v>
      </c>
      <c r="AJ49" s="188">
        <f t="shared" si="6"/>
        <v>-0.42009211887586628</v>
      </c>
      <c r="AK49" s="188">
        <f t="shared" si="7"/>
        <v>0.82831405575395767</v>
      </c>
      <c r="AL49" s="188">
        <f t="shared" si="8"/>
        <v>0.20515582262156148</v>
      </c>
      <c r="AM49" s="188">
        <v>-7.5831495466595386E-2</v>
      </c>
      <c r="AN49" s="188">
        <v>-0.26774814917960499</v>
      </c>
      <c r="AO49">
        <f t="shared" si="9"/>
        <v>2</v>
      </c>
      <c r="AP49" s="188">
        <f t="shared" si="10"/>
        <v>-2.699083062881762E-2</v>
      </c>
      <c r="AQ49" s="188">
        <f t="shared" si="11"/>
        <v>2.8750102747976916E-2</v>
      </c>
      <c r="AR49" s="188">
        <f t="shared" si="12"/>
        <v>0.38617649976615975</v>
      </c>
      <c r="AS49" s="128">
        <f t="shared" si="13"/>
        <v>1780.3228753381061</v>
      </c>
      <c r="AT49" s="188">
        <v>0.33399999999999996</v>
      </c>
      <c r="AU49" s="238">
        <v>6.6799999999999998E-2</v>
      </c>
      <c r="AV49">
        <v>6.5</v>
      </c>
      <c r="AY49" t="s">
        <v>124</v>
      </c>
      <c r="AZ49" s="129">
        <v>1928.9733913040682</v>
      </c>
      <c r="BA49" t="s">
        <v>441</v>
      </c>
    </row>
    <row r="50" spans="1:55" x14ac:dyDescent="0.25">
      <c r="A50" t="s">
        <v>171</v>
      </c>
      <c r="B50">
        <v>0</v>
      </c>
      <c r="C50">
        <v>4751</v>
      </c>
      <c r="D50">
        <v>55159</v>
      </c>
      <c r="E50">
        <v>8003</v>
      </c>
      <c r="F50">
        <v>95</v>
      </c>
      <c r="G50">
        <v>1626</v>
      </c>
      <c r="H50">
        <v>0</v>
      </c>
      <c r="I50">
        <v>809</v>
      </c>
      <c r="J50">
        <v>0</v>
      </c>
      <c r="K50">
        <v>7266</v>
      </c>
      <c r="L50">
        <v>15998</v>
      </c>
      <c r="M50">
        <v>1597</v>
      </c>
      <c r="N50">
        <v>58010</v>
      </c>
      <c r="O50">
        <v>10785</v>
      </c>
      <c r="P50">
        <v>14886</v>
      </c>
      <c r="Q50">
        <v>8</v>
      </c>
      <c r="R50">
        <v>0</v>
      </c>
      <c r="S50">
        <v>5821</v>
      </c>
      <c r="T50">
        <v>5792</v>
      </c>
      <c r="U50">
        <f t="shared" si="0"/>
        <v>-237</v>
      </c>
      <c r="V50">
        <v>352</v>
      </c>
      <c r="W50">
        <v>88094</v>
      </c>
      <c r="X50">
        <v>87505</v>
      </c>
      <c r="Y50">
        <f t="shared" si="1"/>
        <v>589</v>
      </c>
      <c r="Z50">
        <v>-3369</v>
      </c>
      <c r="AA50">
        <v>3449795</v>
      </c>
      <c r="AB50">
        <v>64505</v>
      </c>
      <c r="AC50" s="128">
        <v>53478.071349316931</v>
      </c>
      <c r="AD50">
        <v>36087</v>
      </c>
      <c r="AE50" t="s">
        <v>171</v>
      </c>
      <c r="AF50" s="188">
        <f t="shared" si="2"/>
        <v>-0.18160147115581085</v>
      </c>
      <c r="AG50" s="188">
        <f t="shared" si="3"/>
        <v>-8.5136331645742044E-4</v>
      </c>
      <c r="AH50" s="188">
        <f t="shared" si="4"/>
        <v>1.9535950234976274E-2</v>
      </c>
      <c r="AI50" s="188">
        <f t="shared" si="5"/>
        <v>9.1833723068540426E-3</v>
      </c>
      <c r="AJ50" s="188">
        <f t="shared" si="6"/>
        <v>-4.935409903058097E-3</v>
      </c>
      <c r="AK50" s="188">
        <f t="shared" si="7"/>
        <v>0.60869656460514998</v>
      </c>
      <c r="AL50" s="188">
        <f t="shared" si="8"/>
        <v>6.6860399119122753E-3</v>
      </c>
      <c r="AM50" s="188">
        <v>-5.2942316387830243E-2</v>
      </c>
      <c r="AN50" s="188">
        <v>-2.9996946875636067E-2</v>
      </c>
      <c r="AO50">
        <f t="shared" si="9"/>
        <v>2</v>
      </c>
      <c r="AP50" s="188">
        <f t="shared" si="10"/>
        <v>-9.5608100438168316E-3</v>
      </c>
      <c r="AQ50" s="188">
        <f t="shared" si="11"/>
        <v>3.9160385497309692E-2</v>
      </c>
      <c r="AR50" s="188">
        <f t="shared" si="12"/>
        <v>0.73222920970781213</v>
      </c>
      <c r="AS50" s="128">
        <f t="shared" si="13"/>
        <v>1481.9206736308624</v>
      </c>
      <c r="AT50" s="188">
        <v>0.28400000000000003</v>
      </c>
      <c r="AU50" s="238">
        <v>5.6800000000000003E-2</v>
      </c>
      <c r="AV50">
        <v>7</v>
      </c>
      <c r="AY50" t="s">
        <v>419</v>
      </c>
      <c r="AZ50" s="129">
        <v>1999.0839953173438</v>
      </c>
      <c r="BA50" t="s">
        <v>441</v>
      </c>
    </row>
    <row r="51" spans="1:55" x14ac:dyDescent="0.25">
      <c r="A51" t="s">
        <v>172</v>
      </c>
      <c r="B51">
        <v>0</v>
      </c>
      <c r="C51">
        <v>1551</v>
      </c>
      <c r="D51">
        <v>52482</v>
      </c>
      <c r="E51">
        <v>42</v>
      </c>
      <c r="F51">
        <v>319</v>
      </c>
      <c r="G51">
        <v>4095</v>
      </c>
      <c r="H51">
        <v>1651</v>
      </c>
      <c r="I51">
        <v>15579</v>
      </c>
      <c r="J51">
        <v>202</v>
      </c>
      <c r="K51">
        <v>5405</v>
      </c>
      <c r="L51">
        <v>1572</v>
      </c>
      <c r="M51">
        <v>2821</v>
      </c>
      <c r="N51">
        <v>3942</v>
      </c>
      <c r="O51">
        <v>11396</v>
      </c>
      <c r="P51">
        <v>60790</v>
      </c>
      <c r="Q51">
        <v>1</v>
      </c>
      <c r="R51">
        <v>1363</v>
      </c>
      <c r="S51">
        <v>1450</v>
      </c>
      <c r="T51">
        <v>6776</v>
      </c>
      <c r="U51">
        <f t="shared" si="0"/>
        <v>2</v>
      </c>
      <c r="V51">
        <v>346</v>
      </c>
      <c r="W51">
        <v>53288</v>
      </c>
      <c r="X51">
        <v>52944</v>
      </c>
      <c r="Y51">
        <f t="shared" si="1"/>
        <v>344</v>
      </c>
      <c r="Z51">
        <v>7277</v>
      </c>
      <c r="AA51">
        <v>864452.99999999907</v>
      </c>
      <c r="AB51">
        <v>40992</v>
      </c>
      <c r="AC51" s="128">
        <v>30265.381261586197</v>
      </c>
      <c r="AD51">
        <v>20884</v>
      </c>
      <c r="AE51" t="s">
        <v>172</v>
      </c>
      <c r="AF51" s="188">
        <f t="shared" si="2"/>
        <v>-3.9220837712055246E-3</v>
      </c>
      <c r="AG51" s="188">
        <f t="shared" si="3"/>
        <v>1.0230633538507732</v>
      </c>
      <c r="AH51" s="188">
        <f t="shared" si="4"/>
        <v>8.2832907971776004E-2</v>
      </c>
      <c r="AI51" s="188">
        <f t="shared" si="5"/>
        <v>0.29614547365260474</v>
      </c>
      <c r="AJ51" s="188">
        <f t="shared" si="6"/>
        <v>0.82570147125056303</v>
      </c>
      <c r="AK51" s="188">
        <f t="shared" si="7"/>
        <v>4.5988007186355255E-2</v>
      </c>
      <c r="AL51" s="188">
        <f t="shared" si="8"/>
        <v>6.4554871640894757E-3</v>
      </c>
      <c r="AM51" s="188">
        <v>-9.2790274071250053E-2</v>
      </c>
      <c r="AN51" s="188">
        <v>-4.2859939839453215E-2</v>
      </c>
      <c r="AO51">
        <f t="shared" si="9"/>
        <v>2</v>
      </c>
      <c r="AP51" s="188">
        <f t="shared" si="10"/>
        <v>3.4139956462993545E-2</v>
      </c>
      <c r="AQ51" s="188">
        <f t="shared" si="11"/>
        <v>1.6222282690286725E-2</v>
      </c>
      <c r="AR51" s="188">
        <f t="shared" si="12"/>
        <v>0.76925386578591803</v>
      </c>
      <c r="AS51" s="128">
        <f t="shared" si="13"/>
        <v>1449.2138125639819</v>
      </c>
      <c r="AT51" s="188">
        <v>0.24</v>
      </c>
      <c r="AU51" s="238">
        <v>4.8000000000000001E-2</v>
      </c>
      <c r="AV51">
        <v>6.5</v>
      </c>
      <c r="AY51" t="s">
        <v>385</v>
      </c>
      <c r="AZ51" s="129">
        <v>1815.28446588734</v>
      </c>
      <c r="BA51" t="s">
        <v>441</v>
      </c>
    </row>
    <row r="52" spans="1:55" x14ac:dyDescent="0.25">
      <c r="A52" t="s">
        <v>402</v>
      </c>
      <c r="B52">
        <v>583</v>
      </c>
      <c r="C52">
        <v>1650</v>
      </c>
      <c r="D52">
        <v>52075</v>
      </c>
      <c r="E52">
        <v>313</v>
      </c>
      <c r="F52">
        <v>217</v>
      </c>
      <c r="G52">
        <v>3838</v>
      </c>
      <c r="H52">
        <v>2631</v>
      </c>
      <c r="I52">
        <v>5788</v>
      </c>
      <c r="J52">
        <v>0</v>
      </c>
      <c r="K52">
        <v>12113</v>
      </c>
      <c r="L52">
        <v>678</v>
      </c>
      <c r="M52">
        <v>2879</v>
      </c>
      <c r="N52">
        <v>55750</v>
      </c>
      <c r="O52">
        <v>3416</v>
      </c>
      <c r="P52">
        <v>6425</v>
      </c>
      <c r="Q52">
        <v>6450</v>
      </c>
      <c r="R52">
        <v>6005</v>
      </c>
      <c r="S52">
        <v>2989</v>
      </c>
      <c r="T52">
        <v>1729</v>
      </c>
      <c r="U52">
        <f t="shared" si="0"/>
        <v>158</v>
      </c>
      <c r="V52">
        <v>415</v>
      </c>
      <c r="W52">
        <v>103671</v>
      </c>
      <c r="X52">
        <v>103414</v>
      </c>
      <c r="Y52">
        <f t="shared" si="1"/>
        <v>257</v>
      </c>
      <c r="Z52">
        <v>-5204</v>
      </c>
      <c r="AA52">
        <v>-320377.00000000093</v>
      </c>
      <c r="AB52">
        <v>79446</v>
      </c>
      <c r="AC52" s="128">
        <v>55290.683821887578</v>
      </c>
      <c r="AD52">
        <v>27670</v>
      </c>
      <c r="AE52" t="s">
        <v>402</v>
      </c>
      <c r="AF52" s="188">
        <f t="shared" si="2"/>
        <v>5.1383704218151652E-2</v>
      </c>
      <c r="AG52" s="188">
        <f t="shared" si="3"/>
        <v>1.1980206615157566E-2</v>
      </c>
      <c r="AH52" s="188">
        <f t="shared" si="4"/>
        <v>3.9114120631613472E-2</v>
      </c>
      <c r="AI52" s="188">
        <f t="shared" si="5"/>
        <v>5.5830463678367144E-2</v>
      </c>
      <c r="AJ52" s="188">
        <f t="shared" si="6"/>
        <v>-2.2407423483905814E-2</v>
      </c>
      <c r="AK52" s="188">
        <f t="shared" si="7"/>
        <v>0.67360204920013533</v>
      </c>
      <c r="AL52" s="188">
        <f t="shared" si="8"/>
        <v>2.4789960548272901E-3</v>
      </c>
      <c r="AM52" s="188">
        <v>-7.8489069072996354E-2</v>
      </c>
      <c r="AN52" s="188">
        <v>4.8043040211230561E-3</v>
      </c>
      <c r="AO52">
        <f t="shared" si="9"/>
        <v>1</v>
      </c>
      <c r="AP52" s="188">
        <f t="shared" si="10"/>
        <v>-1.254931465887278E-2</v>
      </c>
      <c r="AQ52" s="188">
        <f t="shared" si="11"/>
        <v>-3.0903241986669459E-3</v>
      </c>
      <c r="AR52" s="188">
        <f t="shared" si="12"/>
        <v>0.76632809561015136</v>
      </c>
      <c r="AS52" s="128">
        <f t="shared" si="13"/>
        <v>1998.217702272771</v>
      </c>
      <c r="AT52" s="188">
        <v>0.28100000000000003</v>
      </c>
      <c r="AU52" s="238">
        <v>5.62E-2</v>
      </c>
      <c r="AV52">
        <v>5.5</v>
      </c>
      <c r="AY52" t="s">
        <v>316</v>
      </c>
      <c r="AZ52" s="129">
        <v>3155.9355863945734</v>
      </c>
      <c r="BA52" t="s">
        <v>441</v>
      </c>
      <c r="BC52">
        <v>1</v>
      </c>
    </row>
    <row r="53" spans="1:55" x14ac:dyDescent="0.25">
      <c r="A53" t="s">
        <v>216</v>
      </c>
      <c r="B53">
        <v>1280</v>
      </c>
      <c r="C53">
        <v>4419</v>
      </c>
      <c r="D53">
        <v>31907</v>
      </c>
      <c r="E53">
        <v>0</v>
      </c>
      <c r="F53">
        <v>0</v>
      </c>
      <c r="G53">
        <v>0</v>
      </c>
      <c r="H53">
        <v>61</v>
      </c>
      <c r="I53">
        <v>-826</v>
      </c>
      <c r="J53">
        <v>2</v>
      </c>
      <c r="K53">
        <v>794</v>
      </c>
      <c r="L53">
        <v>4392</v>
      </c>
      <c r="M53">
        <v>4147</v>
      </c>
      <c r="N53">
        <v>28060</v>
      </c>
      <c r="O53">
        <v>4968</v>
      </c>
      <c r="P53">
        <v>7800</v>
      </c>
      <c r="Q53">
        <v>3</v>
      </c>
      <c r="R53">
        <v>0</v>
      </c>
      <c r="S53">
        <v>1869</v>
      </c>
      <c r="T53">
        <v>3476</v>
      </c>
      <c r="U53">
        <f t="shared" si="0"/>
        <v>-4</v>
      </c>
      <c r="V53">
        <v>-1930</v>
      </c>
      <c r="W53">
        <v>34056</v>
      </c>
      <c r="X53">
        <v>35982</v>
      </c>
      <c r="Y53">
        <f t="shared" si="1"/>
        <v>-1926</v>
      </c>
      <c r="Z53">
        <v>-355</v>
      </c>
      <c r="AA53">
        <v>488916.99999999907</v>
      </c>
      <c r="AB53">
        <v>21574</v>
      </c>
      <c r="AC53" s="128">
        <v>23506.703824411627</v>
      </c>
      <c r="AD53">
        <v>15341</v>
      </c>
      <c r="AE53" t="s">
        <v>216</v>
      </c>
      <c r="AF53" s="188">
        <f t="shared" si="2"/>
        <v>-0.12896405919661733</v>
      </c>
      <c r="AG53" s="188">
        <f t="shared" si="3"/>
        <v>0.11023020906741837</v>
      </c>
      <c r="AH53" s="188">
        <f t="shared" si="4"/>
        <v>0</v>
      </c>
      <c r="AI53" s="188">
        <f t="shared" si="5"/>
        <v>-2.4195442800093964E-2</v>
      </c>
      <c r="AJ53" s="188">
        <f t="shared" si="6"/>
        <v>0.12716701902748415</v>
      </c>
      <c r="AK53" s="188">
        <f t="shared" si="7"/>
        <v>0.60767498267498266</v>
      </c>
      <c r="AL53" s="188">
        <f t="shared" si="8"/>
        <v>-5.6553911205073998E-2</v>
      </c>
      <c r="AM53" s="188">
        <v>-4.1296346171110516E-3</v>
      </c>
      <c r="AN53" s="188">
        <v>-5.1182970646057896E-2</v>
      </c>
      <c r="AO53">
        <f t="shared" si="9"/>
        <v>3</v>
      </c>
      <c r="AP53" s="188">
        <f t="shared" si="10"/>
        <v>-2.6060018792576933E-3</v>
      </c>
      <c r="AQ53" s="188">
        <f t="shared" si="11"/>
        <v>1.4356266149870773E-2</v>
      </c>
      <c r="AR53" s="188">
        <f t="shared" si="12"/>
        <v>0.63348602302090673</v>
      </c>
      <c r="AS53" s="128">
        <f t="shared" si="13"/>
        <v>1532.2797617112071</v>
      </c>
      <c r="AT53" s="188">
        <v>0.34250000000000003</v>
      </c>
      <c r="AU53" s="238">
        <v>6.8500000000000005E-2</v>
      </c>
      <c r="AV53">
        <v>6</v>
      </c>
      <c r="AY53" t="s">
        <v>317</v>
      </c>
      <c r="AZ53" s="129">
        <v>2197.4810087133051</v>
      </c>
      <c r="BA53" t="s">
        <v>441</v>
      </c>
    </row>
    <row r="54" spans="1:55" x14ac:dyDescent="0.25">
      <c r="A54" t="s">
        <v>217</v>
      </c>
      <c r="B54">
        <v>124</v>
      </c>
      <c r="C54">
        <v>6191</v>
      </c>
      <c r="D54">
        <v>36248</v>
      </c>
      <c r="E54">
        <v>356</v>
      </c>
      <c r="F54">
        <v>474</v>
      </c>
      <c r="G54">
        <v>2363</v>
      </c>
      <c r="H54">
        <v>0</v>
      </c>
      <c r="I54">
        <v>5875</v>
      </c>
      <c r="J54">
        <v>0</v>
      </c>
      <c r="K54">
        <v>17506</v>
      </c>
      <c r="L54">
        <v>138</v>
      </c>
      <c r="M54">
        <v>1816</v>
      </c>
      <c r="N54">
        <v>20486</v>
      </c>
      <c r="O54">
        <v>5138</v>
      </c>
      <c r="P54">
        <v>21878</v>
      </c>
      <c r="Q54">
        <v>0</v>
      </c>
      <c r="R54">
        <v>10000</v>
      </c>
      <c r="S54">
        <v>2733</v>
      </c>
      <c r="T54">
        <v>10856</v>
      </c>
      <c r="U54">
        <f t="shared" si="0"/>
        <v>2</v>
      </c>
      <c r="V54">
        <v>4443</v>
      </c>
      <c r="W54">
        <v>59965</v>
      </c>
      <c r="X54">
        <v>55524</v>
      </c>
      <c r="Y54">
        <f t="shared" si="1"/>
        <v>4441</v>
      </c>
      <c r="Z54">
        <v>18859</v>
      </c>
      <c r="AA54">
        <v>2798928</v>
      </c>
      <c r="AB54">
        <v>30944</v>
      </c>
      <c r="AC54" s="128">
        <v>32089.491788759216</v>
      </c>
      <c r="AD54">
        <v>22019</v>
      </c>
      <c r="AE54" t="s">
        <v>217</v>
      </c>
      <c r="AF54" s="188">
        <f t="shared" si="2"/>
        <v>0.16446260318519137</v>
      </c>
      <c r="AG54" s="188">
        <f t="shared" si="3"/>
        <v>0.38639206203618776</v>
      </c>
      <c r="AH54" s="188">
        <f t="shared" si="4"/>
        <v>4.7310931376636368E-2</v>
      </c>
      <c r="AI54" s="188">
        <f t="shared" si="5"/>
        <v>9.7973818060535317E-2</v>
      </c>
      <c r="AJ54" s="188">
        <f t="shared" si="6"/>
        <v>0.32348770115900938</v>
      </c>
      <c r="AK54" s="188">
        <f t="shared" si="7"/>
        <v>0.28816587191064974</v>
      </c>
      <c r="AL54" s="188">
        <f t="shared" si="8"/>
        <v>7.4059868256482947E-2</v>
      </c>
      <c r="AM54" s="188">
        <v>1.7974205847452681E-2</v>
      </c>
      <c r="AN54" s="188">
        <v>3.6574452355939459E-2</v>
      </c>
      <c r="AO54">
        <f t="shared" si="9"/>
        <v>0</v>
      </c>
      <c r="AP54" s="188">
        <f t="shared" si="10"/>
        <v>7.8625031268239803E-2</v>
      </c>
      <c r="AQ54" s="188">
        <f t="shared" si="11"/>
        <v>4.6676027682814973E-2</v>
      </c>
      <c r="AR54" s="188">
        <f t="shared" si="12"/>
        <v>0.51603435337280079</v>
      </c>
      <c r="AS54" s="128">
        <f t="shared" si="13"/>
        <v>1457.354638664754</v>
      </c>
      <c r="AT54" s="188">
        <v>0.23550000000000001</v>
      </c>
      <c r="AU54" s="238">
        <v>4.7100000000000003E-2</v>
      </c>
      <c r="AV54">
        <v>8</v>
      </c>
      <c r="AY54" t="s">
        <v>443</v>
      </c>
      <c r="AZ54" s="129">
        <v>2511.1977827988621</v>
      </c>
      <c r="BA54" t="s">
        <v>441</v>
      </c>
      <c r="BC54">
        <v>1</v>
      </c>
    </row>
    <row r="55" spans="1:55" x14ac:dyDescent="0.25">
      <c r="A55" t="s">
        <v>173</v>
      </c>
      <c r="B55">
        <v>0</v>
      </c>
      <c r="C55">
        <v>4464</v>
      </c>
      <c r="D55">
        <v>22602</v>
      </c>
      <c r="E55">
        <v>96</v>
      </c>
      <c r="F55">
        <v>0</v>
      </c>
      <c r="G55">
        <v>200</v>
      </c>
      <c r="H55">
        <v>186</v>
      </c>
      <c r="I55">
        <v>8881</v>
      </c>
      <c r="J55">
        <v>1489</v>
      </c>
      <c r="K55">
        <v>9693</v>
      </c>
      <c r="L55">
        <f>206+4</f>
        <v>210</v>
      </c>
      <c r="M55">
        <v>516</v>
      </c>
      <c r="N55">
        <v>14710</v>
      </c>
      <c r="O55">
        <v>15694</v>
      </c>
      <c r="P55">
        <v>5000</v>
      </c>
      <c r="Q55">
        <v>71</v>
      </c>
      <c r="R55" s="207">
        <f>-4+4</f>
        <v>0</v>
      </c>
      <c r="S55">
        <v>4291</v>
      </c>
      <c r="T55">
        <v>8573</v>
      </c>
      <c r="U55">
        <f t="shared" si="0"/>
        <v>4</v>
      </c>
      <c r="V55">
        <v>-1593</v>
      </c>
      <c r="W55">
        <v>65728</v>
      </c>
      <c r="X55">
        <v>67325</v>
      </c>
      <c r="Y55">
        <f t="shared" si="1"/>
        <v>-1597</v>
      </c>
      <c r="Z55">
        <v>143</v>
      </c>
      <c r="AA55">
        <v>1242257.9999999991</v>
      </c>
      <c r="AB55">
        <v>42109</v>
      </c>
      <c r="AC55" s="128">
        <v>48966.412012865738</v>
      </c>
      <c r="AD55">
        <v>27009</v>
      </c>
      <c r="AE55" t="s">
        <v>173</v>
      </c>
      <c r="AF55" s="188">
        <f t="shared" si="2"/>
        <v>-3.194985394352483E-3</v>
      </c>
      <c r="AG55" s="188">
        <f t="shared" si="3"/>
        <v>0.10847736124634859</v>
      </c>
      <c r="AH55" s="188">
        <f t="shared" si="4"/>
        <v>3.0428432327166506E-3</v>
      </c>
      <c r="AI55" s="188">
        <f t="shared" si="5"/>
        <v>0.15777142161635832</v>
      </c>
      <c r="AJ55" s="188">
        <f t="shared" si="6"/>
        <v>-1.5974926971762393E-3</v>
      </c>
      <c r="AK55" s="188">
        <f t="shared" si="7"/>
        <v>0.30430914996172864</v>
      </c>
      <c r="AL55" s="188">
        <f t="shared" si="8"/>
        <v>-2.4297103213242455E-2</v>
      </c>
      <c r="AM55" s="188">
        <v>5.1617722215670084E-2</v>
      </c>
      <c r="AN55" s="188">
        <v>-4.3051620482343997E-2</v>
      </c>
      <c r="AO55">
        <f t="shared" si="9"/>
        <v>2</v>
      </c>
      <c r="AP55" s="188">
        <f t="shared" si="10"/>
        <v>5.4390822784810124E-4</v>
      </c>
      <c r="AQ55" s="188">
        <f t="shared" si="11"/>
        <v>1.8899981742940591E-2</v>
      </c>
      <c r="AR55" s="188">
        <f t="shared" si="12"/>
        <v>0.64065542843232715</v>
      </c>
      <c r="AS55" s="128">
        <f t="shared" si="13"/>
        <v>1812.9664931269479</v>
      </c>
      <c r="AT55" s="188">
        <v>0.29949999999999999</v>
      </c>
      <c r="AU55" s="238">
        <v>5.9900000000000002E-2</v>
      </c>
      <c r="AV55">
        <v>6</v>
      </c>
      <c r="AY55" t="s">
        <v>480</v>
      </c>
      <c r="AZ55" s="129">
        <v>1841.470921613846</v>
      </c>
      <c r="BA55" t="s">
        <v>441</v>
      </c>
    </row>
    <row r="56" spans="1:55" x14ac:dyDescent="0.25">
      <c r="A56" t="s">
        <v>289</v>
      </c>
      <c r="B56">
        <v>0</v>
      </c>
      <c r="C56">
        <v>16406</v>
      </c>
      <c r="D56">
        <v>191516</v>
      </c>
      <c r="E56">
        <v>12233</v>
      </c>
      <c r="F56">
        <v>0</v>
      </c>
      <c r="G56">
        <v>286</v>
      </c>
      <c r="H56">
        <v>0</v>
      </c>
      <c r="I56">
        <v>6869</v>
      </c>
      <c r="J56">
        <v>1242</v>
      </c>
      <c r="K56">
        <v>34221</v>
      </c>
      <c r="L56">
        <v>23276</v>
      </c>
      <c r="M56">
        <v>492</v>
      </c>
      <c r="N56">
        <v>172350</v>
      </c>
      <c r="O56">
        <v>29146</v>
      </c>
      <c r="P56">
        <v>56596</v>
      </c>
      <c r="Q56">
        <v>4000</v>
      </c>
      <c r="R56">
        <v>0</v>
      </c>
      <c r="S56">
        <v>16784</v>
      </c>
      <c r="T56">
        <v>7665</v>
      </c>
      <c r="U56">
        <f t="shared" si="0"/>
        <v>-8</v>
      </c>
      <c r="V56">
        <v>87983</v>
      </c>
      <c r="W56">
        <v>304075</v>
      </c>
      <c r="X56">
        <v>216084</v>
      </c>
      <c r="Y56">
        <f t="shared" si="1"/>
        <v>87991</v>
      </c>
      <c r="Z56">
        <v>69062</v>
      </c>
      <c r="AA56">
        <v>4904456.9999999963</v>
      </c>
      <c r="AB56">
        <v>166581</v>
      </c>
      <c r="AC56" s="128">
        <v>130591.19939267449</v>
      </c>
      <c r="AD56">
        <v>67319</v>
      </c>
      <c r="AE56" t="s">
        <v>289</v>
      </c>
      <c r="AF56" s="188">
        <f t="shared" si="2"/>
        <v>-7.6546904546575686E-2</v>
      </c>
      <c r="AG56" s="188">
        <f t="shared" si="3"/>
        <v>8.8037490750637173E-2</v>
      </c>
      <c r="AH56" s="188">
        <f t="shared" si="4"/>
        <v>9.4055742826605279E-4</v>
      </c>
      <c r="AI56" s="188">
        <f t="shared" si="5"/>
        <v>2.667434021211872E-2</v>
      </c>
      <c r="AJ56" s="188">
        <f t="shared" si="6"/>
        <v>6.9478319493545992E-2</v>
      </c>
      <c r="AK56" s="188">
        <f t="shared" si="7"/>
        <v>0.60148460429746531</v>
      </c>
      <c r="AL56" s="188">
        <f t="shared" si="8"/>
        <v>0.28937268765929458</v>
      </c>
      <c r="AM56" s="188">
        <v>3.9773228840740337E-3</v>
      </c>
      <c r="AN56" s="188">
        <v>-1.4875549338809361E-2</v>
      </c>
      <c r="AO56">
        <f t="shared" si="9"/>
        <v>1</v>
      </c>
      <c r="AP56" s="188">
        <f t="shared" si="10"/>
        <v>5.6780399572473897E-2</v>
      </c>
      <c r="AQ56" s="188">
        <f t="shared" si="11"/>
        <v>1.6129103017347681E-2</v>
      </c>
      <c r="AR56" s="188">
        <f t="shared" si="12"/>
        <v>0.54782866069226344</v>
      </c>
      <c r="AS56" s="128">
        <f t="shared" si="13"/>
        <v>1939.8862043802565</v>
      </c>
      <c r="AT56" s="188">
        <v>0.191</v>
      </c>
      <c r="AU56" s="238">
        <v>3.8199999999999998E-2</v>
      </c>
      <c r="AV56">
        <v>9</v>
      </c>
      <c r="AY56" t="s">
        <v>421</v>
      </c>
      <c r="AZ56" s="129">
        <v>2362.5277005092553</v>
      </c>
      <c r="BA56" t="s">
        <v>441</v>
      </c>
      <c r="BC56">
        <v>1</v>
      </c>
    </row>
    <row r="57" spans="1:55" x14ac:dyDescent="0.25">
      <c r="A57" t="s">
        <v>246</v>
      </c>
      <c r="B57">
        <v>1715</v>
      </c>
      <c r="C57">
        <v>3992</v>
      </c>
      <c r="D57">
        <v>55960</v>
      </c>
      <c r="E57">
        <v>206</v>
      </c>
      <c r="F57">
        <v>1533</v>
      </c>
      <c r="G57">
        <v>1276</v>
      </c>
      <c r="H57">
        <v>0</v>
      </c>
      <c r="I57">
        <v>4184</v>
      </c>
      <c r="J57">
        <v>0</v>
      </c>
      <c r="K57">
        <v>10937</v>
      </c>
      <c r="L57">
        <v>11443</v>
      </c>
      <c r="M57">
        <v>8898</v>
      </c>
      <c r="N57">
        <v>41082</v>
      </c>
      <c r="O57">
        <v>10814</v>
      </c>
      <c r="P57">
        <v>34667</v>
      </c>
      <c r="Q57">
        <v>11</v>
      </c>
      <c r="R57">
        <v>193</v>
      </c>
      <c r="S57">
        <v>3641</v>
      </c>
      <c r="T57">
        <v>9736</v>
      </c>
      <c r="U57">
        <f t="shared" si="0"/>
        <v>-19</v>
      </c>
      <c r="V57">
        <v>21675</v>
      </c>
      <c r="W57">
        <v>100437</v>
      </c>
      <c r="X57">
        <v>78743</v>
      </c>
      <c r="Y57">
        <f t="shared" si="1"/>
        <v>21694</v>
      </c>
      <c r="Z57">
        <v>-2804</v>
      </c>
      <c r="AA57">
        <v>5224789.9999999981</v>
      </c>
      <c r="AB57">
        <v>53168</v>
      </c>
      <c r="AC57" s="128">
        <v>49769.678930644368</v>
      </c>
      <c r="AD57">
        <v>36086</v>
      </c>
      <c r="AE57" t="s">
        <v>246</v>
      </c>
      <c r="AF57" s="188">
        <f t="shared" si="2"/>
        <v>-0.11201051405358584</v>
      </c>
      <c r="AG57" s="188">
        <f t="shared" si="3"/>
        <v>0.1409938568455848</v>
      </c>
      <c r="AH57" s="188">
        <f t="shared" si="4"/>
        <v>2.7967780797913119E-2</v>
      </c>
      <c r="AI57" s="188">
        <f t="shared" si="5"/>
        <v>4.1657954737795835E-2</v>
      </c>
      <c r="AJ57" s="188">
        <f t="shared" si="6"/>
        <v>0.1151894222248773</v>
      </c>
      <c r="AK57" s="188">
        <f t="shared" si="7"/>
        <v>0.41022926985141395</v>
      </c>
      <c r="AL57" s="188">
        <f t="shared" si="8"/>
        <v>0.21599609705586587</v>
      </c>
      <c r="AM57" s="188">
        <v>-4.2887757089978017E-2</v>
      </c>
      <c r="AN57" s="188">
        <v>-1.8257456394947066E-2</v>
      </c>
      <c r="AO57">
        <f t="shared" si="9"/>
        <v>2</v>
      </c>
      <c r="AP57" s="188">
        <f t="shared" si="10"/>
        <v>-6.9794995868056589E-3</v>
      </c>
      <c r="AQ57" s="188">
        <f t="shared" si="11"/>
        <v>5.2020570108625291E-2</v>
      </c>
      <c r="AR57" s="188">
        <f t="shared" si="12"/>
        <v>0.52936666766231566</v>
      </c>
      <c r="AS57" s="128">
        <f t="shared" si="13"/>
        <v>1379.1963346074481</v>
      </c>
      <c r="AT57" s="188">
        <v>0.29199999999999998</v>
      </c>
      <c r="AU57" s="238">
        <v>5.8400000000000001E-2</v>
      </c>
      <c r="AV57">
        <v>7.5</v>
      </c>
      <c r="AY57" t="s">
        <v>136</v>
      </c>
      <c r="AZ57" s="129">
        <v>2010.3914682310221</v>
      </c>
      <c r="BA57" t="s">
        <v>441</v>
      </c>
    </row>
    <row r="58" spans="1:55" x14ac:dyDescent="0.25">
      <c r="A58" t="s">
        <v>109</v>
      </c>
      <c r="B58">
        <v>0</v>
      </c>
      <c r="C58">
        <v>11085</v>
      </c>
      <c r="D58">
        <v>87634</v>
      </c>
      <c r="E58">
        <v>2305</v>
      </c>
      <c r="F58">
        <v>148</v>
      </c>
      <c r="G58">
        <v>6660</v>
      </c>
      <c r="H58">
        <v>0</v>
      </c>
      <c r="I58">
        <v>11940</v>
      </c>
      <c r="J58">
        <v>0</v>
      </c>
      <c r="K58">
        <f>10700+1761</f>
        <v>12461</v>
      </c>
      <c r="L58" s="207">
        <f>-3066+3066</f>
        <v>0</v>
      </c>
      <c r="M58">
        <v>2388</v>
      </c>
      <c r="N58">
        <v>43623</v>
      </c>
      <c r="O58">
        <v>3197</v>
      </c>
      <c r="P58">
        <v>72396</v>
      </c>
      <c r="Q58">
        <v>14</v>
      </c>
      <c r="R58">
        <f>3066</f>
        <v>3066</v>
      </c>
      <c r="S58" s="207">
        <f>-1761+1761</f>
        <v>0</v>
      </c>
      <c r="T58">
        <v>12322</v>
      </c>
      <c r="U58">
        <f t="shared" si="0"/>
        <v>38</v>
      </c>
      <c r="V58">
        <v>4016</v>
      </c>
      <c r="W58">
        <v>115446</v>
      </c>
      <c r="X58">
        <v>111468</v>
      </c>
      <c r="Y58">
        <f t="shared" si="1"/>
        <v>3978</v>
      </c>
      <c r="Z58">
        <v>261</v>
      </c>
      <c r="AA58">
        <v>669791</v>
      </c>
      <c r="AB58">
        <v>77453</v>
      </c>
      <c r="AC58" s="128">
        <v>60017.497277509799</v>
      </c>
      <c r="AD58">
        <v>35317</v>
      </c>
      <c r="AE58" t="s">
        <v>109</v>
      </c>
      <c r="AF58" s="188">
        <f t="shared" si="2"/>
        <v>2.6557871212514943E-2</v>
      </c>
      <c r="AG58" s="188">
        <f t="shared" si="3"/>
        <v>0.57291720804531987</v>
      </c>
      <c r="AH58" s="188">
        <f t="shared" si="4"/>
        <v>5.8971293938291494E-2</v>
      </c>
      <c r="AI58" s="188">
        <f t="shared" si="5"/>
        <v>0.10342497791175095</v>
      </c>
      <c r="AJ58" s="188">
        <f t="shared" si="6"/>
        <v>0.50759627877968916</v>
      </c>
      <c r="AK58" s="188">
        <f t="shared" si="7"/>
        <v>0.32405027559464561</v>
      </c>
      <c r="AL58" s="188">
        <f t="shared" si="8"/>
        <v>3.4457668520347172E-2</v>
      </c>
      <c r="AM58" s="188">
        <v>5.0879296185468723E-3</v>
      </c>
      <c r="AN58" s="188">
        <v>5.9279440086429614E-3</v>
      </c>
      <c r="AO58">
        <f t="shared" si="9"/>
        <v>0</v>
      </c>
      <c r="AP58" s="188">
        <f t="shared" si="10"/>
        <v>5.6519931396497062E-4</v>
      </c>
      <c r="AQ58" s="188">
        <f t="shared" si="11"/>
        <v>5.8017687923358104E-3</v>
      </c>
      <c r="AR58" s="188">
        <f t="shared" si="12"/>
        <v>0.67090241324948463</v>
      </c>
      <c r="AS58" s="128">
        <f t="shared" si="13"/>
        <v>1699.393982430835</v>
      </c>
      <c r="AT58" s="188">
        <v>0.151</v>
      </c>
      <c r="AU58" s="238">
        <v>3.0200000000000001E-2</v>
      </c>
      <c r="AV58">
        <v>9.5</v>
      </c>
      <c r="AY58" t="s">
        <v>125</v>
      </c>
      <c r="AZ58" s="129">
        <v>2077.5066168698463</v>
      </c>
      <c r="BA58" t="s">
        <v>441</v>
      </c>
    </row>
    <row r="59" spans="1:55" x14ac:dyDescent="0.25">
      <c r="A59" t="s">
        <v>355</v>
      </c>
      <c r="B59">
        <v>701</v>
      </c>
      <c r="C59">
        <v>1237</v>
      </c>
      <c r="D59">
        <v>51590</v>
      </c>
      <c r="E59">
        <v>39</v>
      </c>
      <c r="F59">
        <v>0</v>
      </c>
      <c r="G59">
        <v>1695</v>
      </c>
      <c r="H59">
        <v>0</v>
      </c>
      <c r="I59">
        <v>2959</v>
      </c>
      <c r="J59">
        <v>0</v>
      </c>
      <c r="K59">
        <v>9153</v>
      </c>
      <c r="L59">
        <v>215</v>
      </c>
      <c r="M59">
        <v>3656</v>
      </c>
      <c r="N59">
        <v>22624</v>
      </c>
      <c r="O59">
        <v>3523</v>
      </c>
      <c r="P59">
        <v>30544</v>
      </c>
      <c r="Q59">
        <v>15</v>
      </c>
      <c r="R59">
        <v>0</v>
      </c>
      <c r="S59">
        <v>3678</v>
      </c>
      <c r="T59">
        <v>10859</v>
      </c>
      <c r="U59">
        <f t="shared" si="0"/>
        <v>1</v>
      </c>
      <c r="V59">
        <v>4261</v>
      </c>
      <c r="W59">
        <v>69539</v>
      </c>
      <c r="X59">
        <v>65279</v>
      </c>
      <c r="Y59">
        <f t="shared" si="1"/>
        <v>4260</v>
      </c>
      <c r="Z59">
        <v>9910</v>
      </c>
      <c r="AA59">
        <v>1207410.9999999991</v>
      </c>
      <c r="AB59">
        <v>38052</v>
      </c>
      <c r="AC59" s="128">
        <v>44308.187318216835</v>
      </c>
      <c r="AD59">
        <v>21001</v>
      </c>
      <c r="AE59" t="s">
        <v>355</v>
      </c>
      <c r="AF59" s="188">
        <f t="shared" si="2"/>
        <v>-3.0917902184385742E-3</v>
      </c>
      <c r="AG59" s="188">
        <f t="shared" si="3"/>
        <v>0.4368340068163189</v>
      </c>
      <c r="AH59" s="188">
        <f t="shared" si="4"/>
        <v>2.4374811256992479E-2</v>
      </c>
      <c r="AI59" s="188">
        <f t="shared" si="5"/>
        <v>4.2551661657487166E-2</v>
      </c>
      <c r="AJ59" s="188">
        <f t="shared" si="6"/>
        <v>0.40997282100691695</v>
      </c>
      <c r="AK59" s="188">
        <f t="shared" si="7"/>
        <v>0.31756102353915472</v>
      </c>
      <c r="AL59" s="188">
        <f t="shared" si="8"/>
        <v>6.1260587583945703E-2</v>
      </c>
      <c r="AM59" s="188">
        <v>-8.4641337831890869E-3</v>
      </c>
      <c r="AN59" s="188">
        <v>-3.5925995524198368E-2</v>
      </c>
      <c r="AO59">
        <f t="shared" si="9"/>
        <v>2</v>
      </c>
      <c r="AP59" s="188">
        <f t="shared" si="10"/>
        <v>3.5627489610146827E-2</v>
      </c>
      <c r="AQ59" s="188">
        <f t="shared" si="11"/>
        <v>1.736307683458202E-2</v>
      </c>
      <c r="AR59" s="188">
        <f t="shared" si="12"/>
        <v>0.54720372740476564</v>
      </c>
      <c r="AS59" s="128">
        <f t="shared" si="13"/>
        <v>2109.8132145239197</v>
      </c>
      <c r="AT59" s="188">
        <v>0.159</v>
      </c>
      <c r="AU59" s="238">
        <v>3.1800000000000002E-2</v>
      </c>
      <c r="AV59">
        <v>8.5</v>
      </c>
      <c r="AY59" t="s">
        <v>204</v>
      </c>
      <c r="AZ59" s="129">
        <v>1882.9779122289806</v>
      </c>
      <c r="BA59" t="s">
        <v>441</v>
      </c>
    </row>
    <row r="60" spans="1:55" x14ac:dyDescent="0.25">
      <c r="A60" t="s">
        <v>174</v>
      </c>
      <c r="B60">
        <v>153</v>
      </c>
      <c r="C60">
        <v>9978</v>
      </c>
      <c r="D60">
        <v>73428</v>
      </c>
      <c r="E60">
        <v>627</v>
      </c>
      <c r="F60">
        <v>20693</v>
      </c>
      <c r="G60">
        <v>7881</v>
      </c>
      <c r="H60">
        <v>0</v>
      </c>
      <c r="I60">
        <v>2654</v>
      </c>
      <c r="J60">
        <v>505</v>
      </c>
      <c r="K60">
        <v>9661</v>
      </c>
      <c r="L60">
        <v>977</v>
      </c>
      <c r="M60">
        <v>3138</v>
      </c>
      <c r="N60">
        <v>40707</v>
      </c>
      <c r="O60">
        <v>9007</v>
      </c>
      <c r="P60">
        <v>68136</v>
      </c>
      <c r="Q60">
        <v>0</v>
      </c>
      <c r="R60">
        <v>5000</v>
      </c>
      <c r="S60">
        <v>3907</v>
      </c>
      <c r="T60">
        <v>2937</v>
      </c>
      <c r="U60">
        <f t="shared" si="0"/>
        <v>-1</v>
      </c>
      <c r="V60">
        <v>485</v>
      </c>
      <c r="W60">
        <v>80062</v>
      </c>
      <c r="X60">
        <v>79576</v>
      </c>
      <c r="Y60">
        <f t="shared" si="1"/>
        <v>486</v>
      </c>
      <c r="Z60">
        <v>-4519</v>
      </c>
      <c r="AA60">
        <v>1105090.9999999991</v>
      </c>
      <c r="AB60">
        <v>59481</v>
      </c>
      <c r="AC60" s="128">
        <v>46928.85236392841</v>
      </c>
      <c r="AD60">
        <v>29121</v>
      </c>
      <c r="AE60" t="s">
        <v>174</v>
      </c>
      <c r="AF60" s="188">
        <f t="shared" si="2"/>
        <v>5.0248557368039772E-2</v>
      </c>
      <c r="AG60" s="188">
        <f t="shared" si="3"/>
        <v>0.47001074167520174</v>
      </c>
      <c r="AH60" s="188">
        <f t="shared" si="4"/>
        <v>0.35689840373710374</v>
      </c>
      <c r="AI60" s="188">
        <f t="shared" si="5"/>
        <v>3.9456920886313106E-2</v>
      </c>
      <c r="AJ60" s="188">
        <f t="shared" si="6"/>
        <v>0.48521870550323504</v>
      </c>
      <c r="AK60" s="188">
        <f t="shared" si="7"/>
        <v>0.31386956991071291</v>
      </c>
      <c r="AL60" s="188">
        <f t="shared" si="8"/>
        <v>6.0702955209712469E-3</v>
      </c>
      <c r="AM60" s="188">
        <v>-2.9974630846288947E-2</v>
      </c>
      <c r="AN60" s="188">
        <v>1.9873919542470916E-2</v>
      </c>
      <c r="AO60">
        <f t="shared" si="9"/>
        <v>1</v>
      </c>
      <c r="AP60" s="188">
        <f t="shared" si="10"/>
        <v>-1.4110939022257751E-2</v>
      </c>
      <c r="AQ60" s="188">
        <f t="shared" si="11"/>
        <v>1.3802940221328459E-2</v>
      </c>
      <c r="AR60" s="188">
        <f t="shared" si="12"/>
        <v>0.7429367240388699</v>
      </c>
      <c r="AS60" s="128">
        <f t="shared" si="13"/>
        <v>1611.5123918796885</v>
      </c>
      <c r="AT60" s="188">
        <v>0.2195</v>
      </c>
      <c r="AU60" s="238">
        <v>4.3900000000000002E-2</v>
      </c>
      <c r="AV60">
        <v>8</v>
      </c>
      <c r="AY60" t="s">
        <v>391</v>
      </c>
      <c r="AZ60" s="129">
        <v>2047.7738177825738</v>
      </c>
      <c r="BA60" t="s">
        <v>441</v>
      </c>
    </row>
    <row r="61" spans="1:55" x14ac:dyDescent="0.25">
      <c r="A61" t="s">
        <v>143</v>
      </c>
      <c r="B61">
        <v>494</v>
      </c>
      <c r="C61">
        <v>16017</v>
      </c>
      <c r="D61">
        <v>36855</v>
      </c>
      <c r="E61">
        <v>142</v>
      </c>
      <c r="F61">
        <v>2594</v>
      </c>
      <c r="G61">
        <v>2292</v>
      </c>
      <c r="H61">
        <v>0</v>
      </c>
      <c r="I61">
        <v>12036</v>
      </c>
      <c r="J61">
        <v>0</v>
      </c>
      <c r="K61">
        <v>6109</v>
      </c>
      <c r="L61">
        <v>255</v>
      </c>
      <c r="M61">
        <v>8088</v>
      </c>
      <c r="N61">
        <v>42408</v>
      </c>
      <c r="O61">
        <v>12125</v>
      </c>
      <c r="P61">
        <v>16336</v>
      </c>
      <c r="Q61">
        <v>0</v>
      </c>
      <c r="R61">
        <v>3000</v>
      </c>
      <c r="S61">
        <v>2348</v>
      </c>
      <c r="T61">
        <v>8663</v>
      </c>
      <c r="U61">
        <f t="shared" si="0"/>
        <v>-82</v>
      </c>
      <c r="V61">
        <v>-1843</v>
      </c>
      <c r="W61">
        <v>69900</v>
      </c>
      <c r="X61">
        <v>71661</v>
      </c>
      <c r="Y61">
        <f t="shared" si="1"/>
        <v>-1761</v>
      </c>
      <c r="Z61">
        <v>15953</v>
      </c>
      <c r="AA61">
        <v>2908050</v>
      </c>
      <c r="AB61">
        <v>44888</v>
      </c>
      <c r="AC61" s="128">
        <v>44834.046923334383</v>
      </c>
      <c r="AD61">
        <v>28901</v>
      </c>
      <c r="AE61" t="s">
        <v>143</v>
      </c>
      <c r="AF61" s="188">
        <f t="shared" si="2"/>
        <v>3.9270386266094422E-2</v>
      </c>
      <c r="AG61" s="188">
        <f t="shared" si="3"/>
        <v>0.1574964234620887</v>
      </c>
      <c r="AH61" s="188">
        <f t="shared" si="4"/>
        <v>6.9899856938483551E-2</v>
      </c>
      <c r="AI61" s="188">
        <f t="shared" si="5"/>
        <v>0.17218884120171674</v>
      </c>
      <c r="AJ61" s="188">
        <f t="shared" si="6"/>
        <v>4.5352217453505012E-2</v>
      </c>
      <c r="AK61" s="188">
        <f t="shared" si="7"/>
        <v>0.49962299717247877</v>
      </c>
      <c r="AL61" s="188">
        <f t="shared" si="8"/>
        <v>-2.5193133047210301E-2</v>
      </c>
      <c r="AM61" s="188">
        <v>-3.3064003139929896E-2</v>
      </c>
      <c r="AN61" s="188">
        <v>-6.3611668068042165E-2</v>
      </c>
      <c r="AO61">
        <f t="shared" si="9"/>
        <v>3</v>
      </c>
      <c r="AP61" s="188">
        <f t="shared" si="10"/>
        <v>5.7056509298998567E-2</v>
      </c>
      <c r="AQ61" s="188">
        <f t="shared" si="11"/>
        <v>4.1603004291845491E-2</v>
      </c>
      <c r="AR61" s="188">
        <f t="shared" si="12"/>
        <v>0.64217453505007149</v>
      </c>
      <c r="AS61" s="128">
        <f t="shared" si="13"/>
        <v>1551.2974265020027</v>
      </c>
      <c r="AT61" s="188">
        <v>0.34399999999999997</v>
      </c>
      <c r="AU61" s="238">
        <v>6.88E-2</v>
      </c>
      <c r="AV61">
        <v>6</v>
      </c>
      <c r="AY61" t="s">
        <v>231</v>
      </c>
      <c r="AZ61" s="129">
        <v>2110.2577054373592</v>
      </c>
      <c r="BA61" t="s">
        <v>441</v>
      </c>
    </row>
    <row r="62" spans="1:55" x14ac:dyDescent="0.25">
      <c r="A62" t="s">
        <v>129</v>
      </c>
      <c r="B62">
        <v>5320</v>
      </c>
      <c r="C62">
        <v>5888</v>
      </c>
      <c r="D62">
        <v>29215</v>
      </c>
      <c r="E62">
        <v>100</v>
      </c>
      <c r="F62">
        <v>0</v>
      </c>
      <c r="G62">
        <v>1255</v>
      </c>
      <c r="H62">
        <v>28</v>
      </c>
      <c r="I62">
        <v>985</v>
      </c>
      <c r="J62">
        <v>0</v>
      </c>
      <c r="K62">
        <v>11091</v>
      </c>
      <c r="L62">
        <v>358</v>
      </c>
      <c r="M62">
        <v>2910</v>
      </c>
      <c r="N62">
        <v>8607</v>
      </c>
      <c r="O62">
        <v>7482</v>
      </c>
      <c r="P62">
        <v>31469</v>
      </c>
      <c r="Q62">
        <v>21</v>
      </c>
      <c r="R62">
        <v>0</v>
      </c>
      <c r="S62">
        <v>4016</v>
      </c>
      <c r="T62">
        <v>5556</v>
      </c>
      <c r="U62">
        <f t="shared" si="0"/>
        <v>-1</v>
      </c>
      <c r="V62">
        <v>2105</v>
      </c>
      <c r="W62">
        <v>60369</v>
      </c>
      <c r="X62">
        <v>58263</v>
      </c>
      <c r="Y62">
        <f t="shared" si="1"/>
        <v>2106</v>
      </c>
      <c r="Z62">
        <v>-2964</v>
      </c>
      <c r="AA62">
        <v>-172412.00000000047</v>
      </c>
      <c r="AB62">
        <v>46066</v>
      </c>
      <c r="AC62" s="128">
        <v>32213.867157024368</v>
      </c>
      <c r="AD62">
        <v>18943</v>
      </c>
      <c r="AE62" t="s">
        <v>129</v>
      </c>
      <c r="AF62" s="188">
        <f t="shared" si="2"/>
        <v>-5.9301959615034204E-3</v>
      </c>
      <c r="AG62" s="188">
        <f t="shared" si="3"/>
        <v>0.42107704285311998</v>
      </c>
      <c r="AH62" s="188">
        <f t="shared" si="4"/>
        <v>2.0788815451639086E-2</v>
      </c>
      <c r="AI62" s="188">
        <f t="shared" si="5"/>
        <v>1.6316321290728686E-2</v>
      </c>
      <c r="AJ62" s="188">
        <f t="shared" si="6"/>
        <v>0.41215027580380659</v>
      </c>
      <c r="AK62" s="188">
        <f t="shared" si="7"/>
        <v>0.15060103935189237</v>
      </c>
      <c r="AL62" s="188">
        <f t="shared" si="8"/>
        <v>3.4885454455101127E-2</v>
      </c>
      <c r="AM62" s="188">
        <v>-7.8549906556314122E-2</v>
      </c>
      <c r="AN62" s="188">
        <v>-0.10241387391610031</v>
      </c>
      <c r="AO62">
        <f t="shared" si="9"/>
        <v>2</v>
      </c>
      <c r="AP62" s="188">
        <f t="shared" si="10"/>
        <v>-1.2274511752720768E-2</v>
      </c>
      <c r="AQ62" s="188">
        <f t="shared" si="11"/>
        <v>-2.8559691232255043E-3</v>
      </c>
      <c r="AR62" s="188">
        <f t="shared" si="12"/>
        <v>0.7630737630240686</v>
      </c>
      <c r="AS62" s="128">
        <f t="shared" si="13"/>
        <v>1700.5683976679707</v>
      </c>
      <c r="AT62" s="188">
        <v>0.2515</v>
      </c>
      <c r="AU62" s="238">
        <v>5.0299999999999997E-2</v>
      </c>
      <c r="AV62">
        <v>5.5</v>
      </c>
      <c r="AY62" t="s">
        <v>423</v>
      </c>
      <c r="AZ62" s="129">
        <v>1631.0634032178853</v>
      </c>
      <c r="BA62" t="s">
        <v>441</v>
      </c>
      <c r="BB62">
        <v>1</v>
      </c>
    </row>
    <row r="63" spans="1:55" x14ac:dyDescent="0.25">
      <c r="A63" t="s">
        <v>218</v>
      </c>
      <c r="B63">
        <v>308</v>
      </c>
      <c r="C63">
        <v>1607</v>
      </c>
      <c r="D63">
        <v>101743</v>
      </c>
      <c r="E63">
        <v>549</v>
      </c>
      <c r="F63">
        <v>38</v>
      </c>
      <c r="G63">
        <v>768</v>
      </c>
      <c r="H63">
        <v>0</v>
      </c>
      <c r="I63">
        <v>11320</v>
      </c>
      <c r="J63">
        <v>7</v>
      </c>
      <c r="K63">
        <v>8730</v>
      </c>
      <c r="L63" s="207">
        <f>-124+124</f>
        <v>0</v>
      </c>
      <c r="M63">
        <v>2063</v>
      </c>
      <c r="N63">
        <v>24432</v>
      </c>
      <c r="O63">
        <v>8239</v>
      </c>
      <c r="P63">
        <v>72925</v>
      </c>
      <c r="Q63">
        <v>0</v>
      </c>
      <c r="R63">
        <f>6000+124</f>
        <v>6124</v>
      </c>
      <c r="S63">
        <v>5357</v>
      </c>
      <c r="T63">
        <v>10055</v>
      </c>
      <c r="U63">
        <f t="shared" ref="U63:U125" si="14">SUM(V63,-Y63)</f>
        <v>-5</v>
      </c>
      <c r="V63">
        <v>2653</v>
      </c>
      <c r="W63">
        <v>112517</v>
      </c>
      <c r="X63">
        <v>109859</v>
      </c>
      <c r="Y63">
        <f t="shared" ref="Y63:Y125" si="15">SUM(W63,-X63)</f>
        <v>2658</v>
      </c>
      <c r="Z63">
        <v>9490</v>
      </c>
      <c r="AA63">
        <v>5871444</v>
      </c>
      <c r="AB63">
        <v>63717</v>
      </c>
      <c r="AC63" s="128">
        <v>72540.928842368332</v>
      </c>
      <c r="AD63">
        <v>43384</v>
      </c>
      <c r="AE63" t="s">
        <v>218</v>
      </c>
      <c r="AF63" s="188">
        <f t="shared" ref="AF63:AF125" si="16">SUM(R63,-L63)/W63</f>
        <v>5.4427330981096193E-2</v>
      </c>
      <c r="AG63" s="188">
        <f t="shared" ref="AG63:AG125" si="17">SUM(P63,Q63,R63,S63,T63,-F63,-G63,-H63,-K63,-L63,-M63)/W63</f>
        <v>0.73643982687060627</v>
      </c>
      <c r="AH63" s="188">
        <f t="shared" ref="AH63:AH125" si="18">SUM(F63,G63)/W63</f>
        <v>7.1633619808562261E-3</v>
      </c>
      <c r="AI63" s="188">
        <f t="shared" ref="AI63:AI125" si="19">SUM(I63,J63)/W63</f>
        <v>0.10066923220491125</v>
      </c>
      <c r="AJ63" s="188">
        <f t="shared" ref="AJ63:AJ125" si="20">SUM(AG63,0.12*AH63,-0.7*AI63)</f>
        <v>0.66683096776487116</v>
      </c>
      <c r="AK63" s="188">
        <f t="shared" ref="AK63:AK125" si="21">N63/SUM(N63,O63,P63,Q63,R63,S63,T63)</f>
        <v>0.19217820847622943</v>
      </c>
      <c r="AL63" s="188">
        <f t="shared" ref="AL63:AL125" si="22">Y63/W63</f>
        <v>2.3623096954238025E-2</v>
      </c>
      <c r="AM63" s="188">
        <v>1.6841916864289229E-2</v>
      </c>
      <c r="AN63" s="188">
        <v>1.5421560950143565E-2</v>
      </c>
      <c r="AO63">
        <f t="shared" ref="AO63:AO125" si="23">COUNTIF(AL63:AN63,"&lt;0")</f>
        <v>0</v>
      </c>
      <c r="AP63" s="188">
        <f t="shared" ref="AP63:AP125" si="24">Z63/(4*W63)</f>
        <v>2.1085702604939697E-2</v>
      </c>
      <c r="AQ63" s="188">
        <f t="shared" ref="AQ63:AQ125" si="25">AA63/(W63*1000)</f>
        <v>5.2182727943333007E-2</v>
      </c>
      <c r="AR63" s="188">
        <f t="shared" ref="AR63:AR125" si="26">AB63/W63</f>
        <v>0.56628776096056599</v>
      </c>
      <c r="AS63" s="128">
        <f t="shared" ref="AS63:AS125" si="27">AC63*1000/AD63</f>
        <v>1672.0664033369062</v>
      </c>
      <c r="AT63" s="188">
        <v>0.22450000000000001</v>
      </c>
      <c r="AU63" s="238">
        <v>4.4900000000000002E-2</v>
      </c>
      <c r="AV63">
        <v>9</v>
      </c>
      <c r="AY63" t="s">
        <v>126</v>
      </c>
      <c r="AZ63" s="129">
        <v>1469.3169204017129</v>
      </c>
      <c r="BA63" t="s">
        <v>441</v>
      </c>
      <c r="BB63">
        <v>1</v>
      </c>
    </row>
    <row r="64" spans="1:55" x14ac:dyDescent="0.25">
      <c r="A64" t="s">
        <v>529</v>
      </c>
      <c r="B64">
        <v>687</v>
      </c>
      <c r="C64">
        <v>9331</v>
      </c>
      <c r="D64">
        <v>96464</v>
      </c>
      <c r="E64">
        <v>380</v>
      </c>
      <c r="F64">
        <v>0</v>
      </c>
      <c r="G64">
        <v>6518</v>
      </c>
      <c r="H64">
        <v>0</v>
      </c>
      <c r="I64">
        <v>14697</v>
      </c>
      <c r="J64">
        <v>24</v>
      </c>
      <c r="K64">
        <v>10051</v>
      </c>
      <c r="L64">
        <v>9903</v>
      </c>
      <c r="M64">
        <v>7560</v>
      </c>
      <c r="N64">
        <v>39492</v>
      </c>
      <c r="O64">
        <v>12341</v>
      </c>
      <c r="P64">
        <v>76941</v>
      </c>
      <c r="Q64">
        <v>37</v>
      </c>
      <c r="R64">
        <v>10000</v>
      </c>
      <c r="S64">
        <v>6054</v>
      </c>
      <c r="T64">
        <v>10751</v>
      </c>
      <c r="U64">
        <f t="shared" si="14"/>
        <v>-1</v>
      </c>
      <c r="V64">
        <v>-698</v>
      </c>
      <c r="W64">
        <v>143043</v>
      </c>
      <c r="X64">
        <v>143740</v>
      </c>
      <c r="Y64">
        <f t="shared" si="15"/>
        <v>-697</v>
      </c>
      <c r="Z64">
        <v>-690</v>
      </c>
      <c r="AA64">
        <v>3354188.9999999981</v>
      </c>
      <c r="AB64">
        <v>100895</v>
      </c>
      <c r="AC64" s="128">
        <v>88625.85530491118</v>
      </c>
      <c r="AD64">
        <v>51778</v>
      </c>
      <c r="AE64" t="s">
        <v>529</v>
      </c>
      <c r="AF64" s="188">
        <f t="shared" si="16"/>
        <v>6.7811776878281356E-4</v>
      </c>
      <c r="AG64" s="188">
        <f t="shared" si="17"/>
        <v>0.48762260299350546</v>
      </c>
      <c r="AH64" s="188">
        <f t="shared" si="18"/>
        <v>4.5566717700271944E-2</v>
      </c>
      <c r="AI64" s="188">
        <f t="shared" si="19"/>
        <v>0.10291311004383297</v>
      </c>
      <c r="AJ64" s="188">
        <f t="shared" si="20"/>
        <v>0.42105143208685503</v>
      </c>
      <c r="AK64" s="188">
        <f t="shared" si="21"/>
        <v>0.25377853177051202</v>
      </c>
      <c r="AL64" s="188">
        <f t="shared" si="22"/>
        <v>-4.8726606684703199E-3</v>
      </c>
      <c r="AM64" s="188">
        <v>-2.533804268736357E-2</v>
      </c>
      <c r="AN64" s="188">
        <v>-4.6918130428359267E-2</v>
      </c>
      <c r="AO64">
        <f t="shared" si="23"/>
        <v>3</v>
      </c>
      <c r="AP64" s="188">
        <f t="shared" si="24"/>
        <v>-1.2059310836601582E-3</v>
      </c>
      <c r="AQ64" s="188">
        <f t="shared" si="25"/>
        <v>2.3448816090266549E-2</v>
      </c>
      <c r="AR64" s="188">
        <f t="shared" si="26"/>
        <v>0.70534734310661829</v>
      </c>
      <c r="AS64" s="128">
        <f t="shared" si="27"/>
        <v>1711.6508035248789</v>
      </c>
      <c r="AT64" s="188">
        <v>0.23800000000000002</v>
      </c>
      <c r="AU64" s="238">
        <v>4.7600000000000003E-2</v>
      </c>
      <c r="AV64">
        <v>6.5</v>
      </c>
      <c r="AY64" t="s">
        <v>233</v>
      </c>
      <c r="AZ64" s="129">
        <v>1649.3409380370758</v>
      </c>
      <c r="BA64" t="s">
        <v>441</v>
      </c>
      <c r="BB64">
        <v>1</v>
      </c>
    </row>
    <row r="65" spans="1:55" x14ac:dyDescent="0.25">
      <c r="A65" t="s">
        <v>219</v>
      </c>
      <c r="B65">
        <v>5383</v>
      </c>
      <c r="C65">
        <v>7489</v>
      </c>
      <c r="D65">
        <v>75177</v>
      </c>
      <c r="E65">
        <v>134</v>
      </c>
      <c r="F65">
        <v>0</v>
      </c>
      <c r="G65">
        <v>2302</v>
      </c>
      <c r="H65">
        <v>0</v>
      </c>
      <c r="I65">
        <v>-2795</v>
      </c>
      <c r="J65">
        <v>5</v>
      </c>
      <c r="K65">
        <v>7664</v>
      </c>
      <c r="L65">
        <v>10207</v>
      </c>
      <c r="M65">
        <v>1706</v>
      </c>
      <c r="N65">
        <v>27642</v>
      </c>
      <c r="O65">
        <v>4831</v>
      </c>
      <c r="P65">
        <v>53772</v>
      </c>
      <c r="Q65">
        <v>0</v>
      </c>
      <c r="R65">
        <v>0</v>
      </c>
      <c r="S65">
        <v>10118</v>
      </c>
      <c r="T65">
        <v>10907</v>
      </c>
      <c r="U65">
        <f t="shared" si="14"/>
        <v>3</v>
      </c>
      <c r="V65">
        <v>-2714</v>
      </c>
      <c r="W65">
        <v>122399</v>
      </c>
      <c r="X65">
        <v>125116</v>
      </c>
      <c r="Y65">
        <f t="shared" si="15"/>
        <v>-2717</v>
      </c>
      <c r="Z65">
        <v>10501</v>
      </c>
      <c r="AA65">
        <v>9008828</v>
      </c>
      <c r="AB65">
        <v>67372</v>
      </c>
      <c r="AC65" s="128">
        <v>66048.683376114248</v>
      </c>
      <c r="AD65">
        <v>44720</v>
      </c>
      <c r="AE65" t="s">
        <v>219</v>
      </c>
      <c r="AF65" s="188">
        <f t="shared" si="16"/>
        <v>-8.339120417650471E-2</v>
      </c>
      <c r="AG65" s="188">
        <f t="shared" si="17"/>
        <v>0.43234013349782269</v>
      </c>
      <c r="AH65" s="188">
        <f t="shared" si="18"/>
        <v>1.8807343197248343E-2</v>
      </c>
      <c r="AI65" s="188">
        <f t="shared" si="19"/>
        <v>-2.279430387503166E-2</v>
      </c>
      <c r="AJ65" s="188">
        <f t="shared" si="20"/>
        <v>0.45055302739401465</v>
      </c>
      <c r="AK65" s="188">
        <f t="shared" si="21"/>
        <v>0.25768621236133121</v>
      </c>
      <c r="AL65" s="188">
        <f t="shared" si="22"/>
        <v>-2.2197893773641942E-2</v>
      </c>
      <c r="AM65" s="188">
        <v>-6.621615593915875E-2</v>
      </c>
      <c r="AN65" s="188">
        <v>-8.9090289158481721E-4</v>
      </c>
      <c r="AO65">
        <f t="shared" si="23"/>
        <v>3</v>
      </c>
      <c r="AP65" s="188">
        <f t="shared" si="24"/>
        <v>2.1448296146210345E-2</v>
      </c>
      <c r="AQ65" s="188">
        <f t="shared" si="25"/>
        <v>7.3602137272363338E-2</v>
      </c>
      <c r="AR65" s="188">
        <f t="shared" si="26"/>
        <v>0.55042933357298673</v>
      </c>
      <c r="AS65" s="128">
        <f t="shared" si="27"/>
        <v>1476.9383581420896</v>
      </c>
      <c r="AT65" s="188">
        <v>0.31950000000000001</v>
      </c>
      <c r="AU65" s="238">
        <v>6.3899999999999998E-2</v>
      </c>
      <c r="AV65">
        <v>7</v>
      </c>
      <c r="AY65" t="s">
        <v>425</v>
      </c>
      <c r="AZ65" s="129">
        <v>1749.0624174682569</v>
      </c>
      <c r="BA65" t="s">
        <v>441</v>
      </c>
    </row>
    <row r="66" spans="1:55" x14ac:dyDescent="0.25">
      <c r="A66" t="s">
        <v>117</v>
      </c>
      <c r="B66">
        <v>236</v>
      </c>
      <c r="C66">
        <v>2449</v>
      </c>
      <c r="D66">
        <v>46498</v>
      </c>
      <c r="E66">
        <v>1671</v>
      </c>
      <c r="F66">
        <v>4411</v>
      </c>
      <c r="G66">
        <v>3246</v>
      </c>
      <c r="H66">
        <v>0</v>
      </c>
      <c r="I66">
        <v>-93</v>
      </c>
      <c r="J66">
        <v>83</v>
      </c>
      <c r="K66">
        <v>19106</v>
      </c>
      <c r="L66">
        <v>6</v>
      </c>
      <c r="M66">
        <v>2026</v>
      </c>
      <c r="N66">
        <v>39726</v>
      </c>
      <c r="O66">
        <v>3942</v>
      </c>
      <c r="P66">
        <v>18707</v>
      </c>
      <c r="Q66">
        <v>0</v>
      </c>
      <c r="R66">
        <v>6396</v>
      </c>
      <c r="S66">
        <v>3358</v>
      </c>
      <c r="T66">
        <v>7509</v>
      </c>
      <c r="U66">
        <f t="shared" si="14"/>
        <v>9</v>
      </c>
      <c r="V66">
        <v>951</v>
      </c>
      <c r="W66">
        <v>56236</v>
      </c>
      <c r="X66">
        <v>55294</v>
      </c>
      <c r="Y66">
        <f t="shared" si="15"/>
        <v>942</v>
      </c>
      <c r="Z66">
        <v>8126</v>
      </c>
      <c r="AA66">
        <v>2519863.9999999991</v>
      </c>
      <c r="AB66">
        <v>40095</v>
      </c>
      <c r="AC66" s="128">
        <v>35054.259864949658</v>
      </c>
      <c r="AD66">
        <v>24374</v>
      </c>
      <c r="AE66" t="s">
        <v>117</v>
      </c>
      <c r="AF66" s="188">
        <f t="shared" si="16"/>
        <v>0.11362828081655879</v>
      </c>
      <c r="AG66" s="188">
        <f t="shared" si="17"/>
        <v>0.12758731061953196</v>
      </c>
      <c r="AH66" s="188">
        <f t="shared" si="18"/>
        <v>0.13615833274059322</v>
      </c>
      <c r="AI66" s="188">
        <f t="shared" si="19"/>
        <v>-1.7782203570666476E-4</v>
      </c>
      <c r="AJ66" s="188">
        <f t="shared" si="20"/>
        <v>0.14405078597339782</v>
      </c>
      <c r="AK66" s="188">
        <f t="shared" si="21"/>
        <v>0.49883221577638814</v>
      </c>
      <c r="AL66" s="188">
        <f t="shared" si="22"/>
        <v>1.6750835763567822E-2</v>
      </c>
      <c r="AM66" s="188">
        <v>-2.9562808947702485E-2</v>
      </c>
      <c r="AN66" s="188">
        <v>1.2066801814846992E-2</v>
      </c>
      <c r="AO66">
        <f t="shared" si="23"/>
        <v>1</v>
      </c>
      <c r="AP66" s="188">
        <f t="shared" si="24"/>
        <v>3.6124546553808951E-2</v>
      </c>
      <c r="AQ66" s="188">
        <f t="shared" si="25"/>
        <v>4.4808734618393894E-2</v>
      </c>
      <c r="AR66" s="188">
        <f t="shared" si="26"/>
        <v>0.71297745216587238</v>
      </c>
      <c r="AS66" s="128">
        <f t="shared" si="27"/>
        <v>1438.1824839972783</v>
      </c>
      <c r="AT66" s="188">
        <v>0.26750000000000002</v>
      </c>
      <c r="AU66" s="238">
        <v>5.3499999999999999E-2</v>
      </c>
      <c r="AV66">
        <v>8.5</v>
      </c>
      <c r="AY66" t="s">
        <v>342</v>
      </c>
      <c r="AZ66" s="129">
        <v>1487.7391107873532</v>
      </c>
      <c r="BA66" t="s">
        <v>441</v>
      </c>
      <c r="BB66">
        <v>1</v>
      </c>
    </row>
    <row r="67" spans="1:55" x14ac:dyDescent="0.25">
      <c r="A67" t="s">
        <v>290</v>
      </c>
      <c r="B67">
        <v>92130</v>
      </c>
      <c r="C67">
        <v>34361</v>
      </c>
      <c r="D67">
        <v>268125</v>
      </c>
      <c r="E67">
        <v>2366</v>
      </c>
      <c r="F67">
        <v>70817</v>
      </c>
      <c r="G67">
        <v>19804</v>
      </c>
      <c r="H67">
        <v>0</v>
      </c>
      <c r="I67">
        <v>3726</v>
      </c>
      <c r="J67">
        <v>11</v>
      </c>
      <c r="K67">
        <v>39179</v>
      </c>
      <c r="L67">
        <v>52072</v>
      </c>
      <c r="M67">
        <v>16985</v>
      </c>
      <c r="N67">
        <v>235467</v>
      </c>
      <c r="O67">
        <v>27326</v>
      </c>
      <c r="P67">
        <v>274845</v>
      </c>
      <c r="Q67">
        <v>3479</v>
      </c>
      <c r="R67">
        <v>0</v>
      </c>
      <c r="S67">
        <v>17503</v>
      </c>
      <c r="T67">
        <v>40955</v>
      </c>
      <c r="U67">
        <f t="shared" si="14"/>
        <v>-6</v>
      </c>
      <c r="V67">
        <v>92399</v>
      </c>
      <c r="W67">
        <v>533372</v>
      </c>
      <c r="X67">
        <v>440967</v>
      </c>
      <c r="Y67">
        <f t="shared" si="15"/>
        <v>92405</v>
      </c>
      <c r="Z67">
        <v>43806</v>
      </c>
      <c r="AA67">
        <v>4920780.9999999925</v>
      </c>
      <c r="AB67">
        <v>287775</v>
      </c>
      <c r="AC67" s="128">
        <v>241778.49840865633</v>
      </c>
      <c r="AD67">
        <v>103581</v>
      </c>
      <c r="AE67" t="s">
        <v>290</v>
      </c>
      <c r="AF67" s="188">
        <f t="shared" si="16"/>
        <v>-9.762792197565677E-2</v>
      </c>
      <c r="AG67" s="188">
        <f t="shared" si="17"/>
        <v>0.25859062717952946</v>
      </c>
      <c r="AH67" s="188">
        <f t="shared" si="18"/>
        <v>0.16990205710086018</v>
      </c>
      <c r="AI67" s="188">
        <f t="shared" si="19"/>
        <v>7.0063670383897171E-3</v>
      </c>
      <c r="AJ67" s="188">
        <f t="shared" si="20"/>
        <v>0.27407441710475988</v>
      </c>
      <c r="AK67" s="188">
        <f t="shared" si="21"/>
        <v>0.39272317891840053</v>
      </c>
      <c r="AL67" s="188">
        <f t="shared" si="22"/>
        <v>0.17324681460594107</v>
      </c>
      <c r="AM67" s="188">
        <v>2.105948441252916E-3</v>
      </c>
      <c r="AN67" s="188">
        <v>-7.2380809250598942E-3</v>
      </c>
      <c r="AO67">
        <f t="shared" si="23"/>
        <v>1</v>
      </c>
      <c r="AP67" s="188">
        <f t="shared" si="24"/>
        <v>2.053257388839309E-2</v>
      </c>
      <c r="AQ67" s="188">
        <f t="shared" si="25"/>
        <v>9.2257955048258861E-3</v>
      </c>
      <c r="AR67" s="188">
        <f t="shared" si="26"/>
        <v>0.5395390084218894</v>
      </c>
      <c r="AS67" s="128">
        <f t="shared" si="27"/>
        <v>2334.1973760502055</v>
      </c>
      <c r="AT67" s="188">
        <v>0.32899999999999996</v>
      </c>
      <c r="AU67" s="238">
        <v>6.5799999999999997E-2</v>
      </c>
      <c r="AV67">
        <v>8</v>
      </c>
      <c r="AY67" t="s">
        <v>428</v>
      </c>
      <c r="AZ67" s="129">
        <v>1638.0910396381535</v>
      </c>
      <c r="BA67" t="s">
        <v>441</v>
      </c>
      <c r="BB67">
        <v>1</v>
      </c>
    </row>
    <row r="68" spans="1:55" x14ac:dyDescent="0.25">
      <c r="A68" t="s">
        <v>247</v>
      </c>
      <c r="B68">
        <v>4035</v>
      </c>
      <c r="C68">
        <v>11389</v>
      </c>
      <c r="D68">
        <v>93901</v>
      </c>
      <c r="E68">
        <v>17014</v>
      </c>
      <c r="F68">
        <v>45040</v>
      </c>
      <c r="G68">
        <v>3886</v>
      </c>
      <c r="H68">
        <v>0</v>
      </c>
      <c r="I68">
        <v>10585</v>
      </c>
      <c r="J68">
        <v>21</v>
      </c>
      <c r="K68">
        <v>21623</v>
      </c>
      <c r="L68">
        <v>1242</v>
      </c>
      <c r="M68">
        <v>8755</v>
      </c>
      <c r="N68">
        <v>53303</v>
      </c>
      <c r="O68">
        <v>11908</v>
      </c>
      <c r="P68">
        <v>94785</v>
      </c>
      <c r="Q68">
        <v>48</v>
      </c>
      <c r="R68">
        <v>9000</v>
      </c>
      <c r="S68">
        <v>11155</v>
      </c>
      <c r="T68">
        <v>37290</v>
      </c>
      <c r="U68">
        <f t="shared" si="14"/>
        <v>7</v>
      </c>
      <c r="V68">
        <v>-8772</v>
      </c>
      <c r="W68">
        <v>203257</v>
      </c>
      <c r="X68">
        <v>212036</v>
      </c>
      <c r="Y68">
        <f t="shared" si="15"/>
        <v>-8779</v>
      </c>
      <c r="Z68">
        <v>22643</v>
      </c>
      <c r="AA68">
        <v>-711077.00000000186</v>
      </c>
      <c r="AB68">
        <v>155699</v>
      </c>
      <c r="AC68" s="128">
        <v>115927.07888892811</v>
      </c>
      <c r="AD68">
        <v>56582</v>
      </c>
      <c r="AE68" t="s">
        <v>247</v>
      </c>
      <c r="AF68" s="188">
        <f t="shared" si="16"/>
        <v>3.816842716364012E-2</v>
      </c>
      <c r="AG68" s="188">
        <f t="shared" si="17"/>
        <v>0.352912814810806</v>
      </c>
      <c r="AH68" s="188">
        <f t="shared" si="18"/>
        <v>0.24071003704669458</v>
      </c>
      <c r="AI68" s="188">
        <f t="shared" si="19"/>
        <v>5.218024471481917E-2</v>
      </c>
      <c r="AJ68" s="188">
        <f t="shared" si="20"/>
        <v>0.34527184795603594</v>
      </c>
      <c r="AK68" s="188">
        <f t="shared" si="21"/>
        <v>0.24508365940346408</v>
      </c>
      <c r="AL68" s="188">
        <f t="shared" si="22"/>
        <v>-4.3191624396699747E-2</v>
      </c>
      <c r="AM68" s="188">
        <v>1.8763176750155931E-3</v>
      </c>
      <c r="AN68" s="188">
        <v>-2.3253911024511985E-2</v>
      </c>
      <c r="AO68">
        <f t="shared" si="23"/>
        <v>2</v>
      </c>
      <c r="AP68" s="188">
        <f t="shared" si="24"/>
        <v>2.7850209340883707E-2</v>
      </c>
      <c r="AQ68" s="188">
        <f t="shared" si="25"/>
        <v>-3.4984133387780092E-3</v>
      </c>
      <c r="AR68" s="188">
        <f t="shared" si="26"/>
        <v>0.76602035846243921</v>
      </c>
      <c r="AS68" s="128">
        <f t="shared" si="27"/>
        <v>2048.8331782002779</v>
      </c>
      <c r="AT68" s="188">
        <v>0.35950000000000004</v>
      </c>
      <c r="AU68" s="238">
        <v>7.1900000000000006E-2</v>
      </c>
      <c r="AV68">
        <v>6</v>
      </c>
      <c r="AY68" t="s">
        <v>281</v>
      </c>
      <c r="AZ68" s="129">
        <v>1762.8824868357865</v>
      </c>
      <c r="BA68" t="s">
        <v>441</v>
      </c>
    </row>
    <row r="69" spans="1:55" x14ac:dyDescent="0.25">
      <c r="A69" t="s">
        <v>357</v>
      </c>
      <c r="B69">
        <v>495</v>
      </c>
      <c r="C69">
        <v>13043</v>
      </c>
      <c r="D69">
        <v>81356</v>
      </c>
      <c r="E69">
        <v>254</v>
      </c>
      <c r="F69">
        <v>0</v>
      </c>
      <c r="G69">
        <v>1140</v>
      </c>
      <c r="H69">
        <v>3282</v>
      </c>
      <c r="I69">
        <v>21770</v>
      </c>
      <c r="J69">
        <v>17</v>
      </c>
      <c r="K69">
        <v>3906</v>
      </c>
      <c r="L69">
        <v>13637</v>
      </c>
      <c r="M69">
        <v>11519</v>
      </c>
      <c r="N69">
        <v>36127</v>
      </c>
      <c r="O69">
        <v>43308</v>
      </c>
      <c r="P69">
        <v>51118</v>
      </c>
      <c r="Q69">
        <v>666</v>
      </c>
      <c r="R69">
        <v>0</v>
      </c>
      <c r="S69">
        <v>5393</v>
      </c>
      <c r="T69">
        <v>13809</v>
      </c>
      <c r="U69">
        <f t="shared" si="14"/>
        <v>9</v>
      </c>
      <c r="V69">
        <v>-979</v>
      </c>
      <c r="W69">
        <v>96437</v>
      </c>
      <c r="X69">
        <v>97425</v>
      </c>
      <c r="Y69">
        <f t="shared" si="15"/>
        <v>-988</v>
      </c>
      <c r="Z69">
        <v>6236</v>
      </c>
      <c r="AA69">
        <v>2255860</v>
      </c>
      <c r="AB69">
        <v>66202</v>
      </c>
      <c r="AC69" s="128">
        <v>53000.413545600502</v>
      </c>
      <c r="AD69">
        <v>32437</v>
      </c>
      <c r="AE69" t="s">
        <v>357</v>
      </c>
      <c r="AF69" s="188">
        <f t="shared" si="16"/>
        <v>-0.14140838060080674</v>
      </c>
      <c r="AG69" s="188">
        <f t="shared" si="17"/>
        <v>0.38887563901821914</v>
      </c>
      <c r="AH69" s="188">
        <f t="shared" si="18"/>
        <v>1.1821188962742516E-2</v>
      </c>
      <c r="AI69" s="188">
        <f t="shared" si="19"/>
        <v>0.22591951222041332</v>
      </c>
      <c r="AJ69" s="188">
        <f t="shared" si="20"/>
        <v>0.23215052313945894</v>
      </c>
      <c r="AK69" s="188">
        <f t="shared" si="21"/>
        <v>0.24017258228571808</v>
      </c>
      <c r="AL69" s="188">
        <f t="shared" si="22"/>
        <v>-1.0245030434376847E-2</v>
      </c>
      <c r="AM69" s="188">
        <v>-3.4402599346641187E-2</v>
      </c>
      <c r="AN69" s="188">
        <v>4.2667112858696558E-2</v>
      </c>
      <c r="AO69">
        <f t="shared" si="23"/>
        <v>2</v>
      </c>
      <c r="AP69" s="188">
        <f t="shared" si="24"/>
        <v>1.6165994379750512E-2</v>
      </c>
      <c r="AQ69" s="188">
        <f t="shared" si="25"/>
        <v>2.3392059064466959E-2</v>
      </c>
      <c r="AR69" s="188">
        <f t="shared" si="26"/>
        <v>0.68647925588726322</v>
      </c>
      <c r="AS69" s="128">
        <f t="shared" si="27"/>
        <v>1633.9493031291581</v>
      </c>
      <c r="AT69" s="188">
        <v>0.33550000000000002</v>
      </c>
      <c r="AU69" s="238">
        <v>6.7100000000000007E-2</v>
      </c>
      <c r="AV69">
        <v>7.5</v>
      </c>
      <c r="AY69" t="s">
        <v>326</v>
      </c>
      <c r="AZ69" s="129">
        <v>2114.4044789909535</v>
      </c>
      <c r="BA69" t="s">
        <v>441</v>
      </c>
    </row>
    <row r="70" spans="1:55" x14ac:dyDescent="0.25">
      <c r="A70" t="s">
        <v>144</v>
      </c>
      <c r="B70">
        <v>4535</v>
      </c>
      <c r="C70">
        <v>28402</v>
      </c>
      <c r="D70">
        <v>214971</v>
      </c>
      <c r="E70">
        <v>25684</v>
      </c>
      <c r="F70">
        <v>32593</v>
      </c>
      <c r="G70">
        <v>6268</v>
      </c>
      <c r="H70">
        <v>0</v>
      </c>
      <c r="I70">
        <v>47039</v>
      </c>
      <c r="J70">
        <v>4354</v>
      </c>
      <c r="K70">
        <v>14023</v>
      </c>
      <c r="L70">
        <v>41000</v>
      </c>
      <c r="M70">
        <v>33926</v>
      </c>
      <c r="N70">
        <v>95800</v>
      </c>
      <c r="O70">
        <v>12483</v>
      </c>
      <c r="P70">
        <v>282013</v>
      </c>
      <c r="Q70">
        <v>162</v>
      </c>
      <c r="R70">
        <v>12308</v>
      </c>
      <c r="S70">
        <v>14074</v>
      </c>
      <c r="T70">
        <v>35959</v>
      </c>
      <c r="U70">
        <f t="shared" si="14"/>
        <v>114</v>
      </c>
      <c r="V70">
        <v>14593</v>
      </c>
      <c r="W70">
        <v>395582</v>
      </c>
      <c r="X70">
        <v>381103</v>
      </c>
      <c r="Y70">
        <f t="shared" si="15"/>
        <v>14479</v>
      </c>
      <c r="Z70">
        <v>-3153</v>
      </c>
      <c r="AA70">
        <v>-657659.00000000373</v>
      </c>
      <c r="AB70">
        <v>276560</v>
      </c>
      <c r="AC70" s="128">
        <v>201720.69198705931</v>
      </c>
      <c r="AD70">
        <v>101236</v>
      </c>
      <c r="AE70" t="s">
        <v>144</v>
      </c>
      <c r="AF70" s="188">
        <f t="shared" si="16"/>
        <v>-7.2531106066504536E-2</v>
      </c>
      <c r="AG70" s="188">
        <f t="shared" si="17"/>
        <v>0.547815623562245</v>
      </c>
      <c r="AH70" s="188">
        <f t="shared" si="18"/>
        <v>9.8237533558149764E-2</v>
      </c>
      <c r="AI70" s="188">
        <f t="shared" si="19"/>
        <v>0.12991743810385711</v>
      </c>
      <c r="AJ70" s="188">
        <f t="shared" si="20"/>
        <v>0.46866192091652298</v>
      </c>
      <c r="AK70" s="188">
        <f t="shared" si="21"/>
        <v>0.21157290541719395</v>
      </c>
      <c r="AL70" s="188">
        <f t="shared" si="22"/>
        <v>3.6601766511115269E-2</v>
      </c>
      <c r="AM70" s="188">
        <v>1.8862347851788162E-2</v>
      </c>
      <c r="AN70" s="188">
        <v>-5.8650865648407248E-3</v>
      </c>
      <c r="AO70">
        <f t="shared" si="23"/>
        <v>1</v>
      </c>
      <c r="AP70" s="188">
        <f t="shared" si="24"/>
        <v>-1.9926336385376483E-3</v>
      </c>
      <c r="AQ70" s="188">
        <f t="shared" si="25"/>
        <v>-1.6625099220894876E-3</v>
      </c>
      <c r="AR70" s="188">
        <f t="shared" si="26"/>
        <v>0.69912180028413828</v>
      </c>
      <c r="AS70" s="128">
        <f t="shared" si="27"/>
        <v>1992.5786477839831</v>
      </c>
      <c r="AT70" s="188">
        <v>0.22100000000000003</v>
      </c>
      <c r="AU70" s="238">
        <v>4.4200000000000003E-2</v>
      </c>
      <c r="AV70">
        <v>7.5</v>
      </c>
      <c r="AY70" t="s">
        <v>213</v>
      </c>
      <c r="AZ70" s="129">
        <v>1827.499525611036</v>
      </c>
      <c r="BA70" t="s">
        <v>441</v>
      </c>
    </row>
    <row r="71" spans="1:55" x14ac:dyDescent="0.25">
      <c r="A71" t="s">
        <v>248</v>
      </c>
      <c r="B71">
        <v>187</v>
      </c>
      <c r="C71">
        <v>10929</v>
      </c>
      <c r="D71">
        <v>74207</v>
      </c>
      <c r="E71">
        <v>1588</v>
      </c>
      <c r="F71">
        <v>0</v>
      </c>
      <c r="G71">
        <v>7491</v>
      </c>
      <c r="H71">
        <v>0</v>
      </c>
      <c r="I71">
        <v>-1239</v>
      </c>
      <c r="J71">
        <v>0</v>
      </c>
      <c r="K71">
        <v>18931</v>
      </c>
      <c r="L71">
        <v>10933</v>
      </c>
      <c r="M71">
        <v>3670</v>
      </c>
      <c r="N71">
        <v>21725</v>
      </c>
      <c r="O71">
        <v>16545</v>
      </c>
      <c r="P71">
        <v>41000</v>
      </c>
      <c r="Q71">
        <v>1570</v>
      </c>
      <c r="R71">
        <v>5000</v>
      </c>
      <c r="S71">
        <v>19514</v>
      </c>
      <c r="T71">
        <v>21335</v>
      </c>
      <c r="U71">
        <f t="shared" si="14"/>
        <v>-1067</v>
      </c>
      <c r="V71">
        <v>-999</v>
      </c>
      <c r="W71">
        <v>89035</v>
      </c>
      <c r="X71">
        <v>88967</v>
      </c>
      <c r="Y71">
        <f t="shared" si="15"/>
        <v>68</v>
      </c>
      <c r="Z71">
        <v>9501</v>
      </c>
      <c r="AA71">
        <v>4270035</v>
      </c>
      <c r="AB71">
        <v>60295</v>
      </c>
      <c r="AC71" s="128">
        <v>49281.890762512929</v>
      </c>
      <c r="AD71">
        <v>31334</v>
      </c>
      <c r="AE71" t="s">
        <v>248</v>
      </c>
      <c r="AF71" s="188">
        <f t="shared" si="16"/>
        <v>-6.6636715898242257E-2</v>
      </c>
      <c r="AG71" s="188">
        <f t="shared" si="17"/>
        <v>0.5323075195147976</v>
      </c>
      <c r="AH71" s="188">
        <f t="shared" si="18"/>
        <v>8.4135452350199355E-2</v>
      </c>
      <c r="AI71" s="188">
        <f t="shared" si="19"/>
        <v>-1.391587577918796E-2</v>
      </c>
      <c r="AJ71" s="188">
        <f t="shared" si="20"/>
        <v>0.55214488684225305</v>
      </c>
      <c r="AK71" s="188">
        <f t="shared" si="21"/>
        <v>0.17148292274783131</v>
      </c>
      <c r="AL71" s="188">
        <f t="shared" si="22"/>
        <v>7.637445948222609E-4</v>
      </c>
      <c r="AM71" s="188">
        <v>-5.0065969277165202E-3</v>
      </c>
      <c r="AN71" s="188">
        <v>-2.8108551644085097E-2</v>
      </c>
      <c r="AO71">
        <f t="shared" si="23"/>
        <v>2</v>
      </c>
      <c r="AP71" s="188">
        <f t="shared" si="24"/>
        <v>2.6677711012523166E-2</v>
      </c>
      <c r="AQ71" s="188">
        <f t="shared" si="25"/>
        <v>4.7959061043409898E-2</v>
      </c>
      <c r="AR71" s="188">
        <f t="shared" si="26"/>
        <v>0.67720559330600327</v>
      </c>
      <c r="AS71" s="128">
        <f t="shared" si="27"/>
        <v>1572.7928372538754</v>
      </c>
      <c r="AT71" s="188">
        <v>0.20850000000000002</v>
      </c>
      <c r="AU71" s="238">
        <v>4.1700000000000001E-2</v>
      </c>
      <c r="AV71">
        <v>8.5</v>
      </c>
      <c r="AY71" t="s">
        <v>164</v>
      </c>
      <c r="AZ71" s="129">
        <v>2024.1024205414528</v>
      </c>
      <c r="BA71" t="s">
        <v>441</v>
      </c>
      <c r="BB71">
        <f>_xlfn.QUARTILE.INC(AZ2:AZ71,1)</f>
        <v>1821.0869083104694</v>
      </c>
      <c r="BC71">
        <f>SUM(BB71,-0.05*BB71)</f>
        <v>1730.0325628949458</v>
      </c>
    </row>
    <row r="72" spans="1:55" x14ac:dyDescent="0.25">
      <c r="A72" t="s">
        <v>867</v>
      </c>
      <c r="B72">
        <v>2647</v>
      </c>
      <c r="C72">
        <v>32047</v>
      </c>
      <c r="D72">
        <v>185763</v>
      </c>
      <c r="E72">
        <v>239</v>
      </c>
      <c r="F72">
        <v>3743</v>
      </c>
      <c r="G72">
        <v>34</v>
      </c>
      <c r="H72">
        <v>508</v>
      </c>
      <c r="I72">
        <v>38916</v>
      </c>
      <c r="J72">
        <v>20189</v>
      </c>
      <c r="K72">
        <v>37850</v>
      </c>
      <c r="L72">
        <v>604</v>
      </c>
      <c r="M72">
        <v>10253</v>
      </c>
      <c r="N72">
        <v>113224</v>
      </c>
      <c r="O72">
        <v>41907</v>
      </c>
      <c r="P72">
        <v>119850</v>
      </c>
      <c r="Q72">
        <v>284</v>
      </c>
      <c r="R72">
        <v>22000</v>
      </c>
      <c r="S72">
        <v>24011</v>
      </c>
      <c r="T72">
        <v>11551</v>
      </c>
      <c r="U72">
        <v>550</v>
      </c>
      <c r="V72">
        <v>-5880</v>
      </c>
      <c r="W72">
        <v>276317</v>
      </c>
      <c r="X72">
        <v>282747</v>
      </c>
      <c r="Y72">
        <v>-6430</v>
      </c>
      <c r="Z72">
        <v>3805</v>
      </c>
      <c r="AA72">
        <v>5983314.9999999972</v>
      </c>
      <c r="AB72">
        <v>157015</v>
      </c>
      <c r="AC72" s="128">
        <v>153010.42218792852</v>
      </c>
      <c r="AD72">
        <v>86722</v>
      </c>
      <c r="AE72" t="s">
        <v>867</v>
      </c>
      <c r="AF72" s="188">
        <v>7.7432803627717442E-2</v>
      </c>
      <c r="AG72" s="188">
        <v>0.45130773712800876</v>
      </c>
      <c r="AH72" s="188">
        <v>1.3669082973541259E-2</v>
      </c>
      <c r="AI72" s="188">
        <v>0.21390287242551129</v>
      </c>
      <c r="AJ72" s="188">
        <v>0.30321601638697582</v>
      </c>
      <c r="AK72" s="188">
        <v>0.34018874670624677</v>
      </c>
      <c r="AL72" s="188">
        <v>-2.327037424407474E-2</v>
      </c>
      <c r="AM72" s="188">
        <v>-0.05</v>
      </c>
      <c r="AN72" s="188">
        <v>6.0000000000000002E-5</v>
      </c>
      <c r="AO72">
        <v>2</v>
      </c>
      <c r="AP72" s="188">
        <v>3.4426039657350074E-3</v>
      </c>
      <c r="AQ72" s="188">
        <v>2.1653807040464382E-2</v>
      </c>
      <c r="AR72" s="188">
        <v>0.56824227246242542</v>
      </c>
      <c r="AS72" s="128">
        <v>1764.3783836619143</v>
      </c>
      <c r="AT72" s="188">
        <v>0.26924999999999999</v>
      </c>
      <c r="AU72" s="238">
        <v>5.3850000000000002E-2</v>
      </c>
      <c r="AV72">
        <v>7</v>
      </c>
      <c r="AY72" t="s">
        <v>238</v>
      </c>
      <c r="AZ72" s="129">
        <v>1868.333552249419</v>
      </c>
      <c r="BA72" t="s">
        <v>467</v>
      </c>
      <c r="BB72">
        <f>_xlfn.QUARTILE.INC(AZ2:AZ71,3)</f>
        <v>2179.1472745377469</v>
      </c>
      <c r="BC72">
        <f>SUM(BB72,0.05*BB72)</f>
        <v>2288.1046382646341</v>
      </c>
    </row>
    <row r="73" spans="1:55" x14ac:dyDescent="0.25">
      <c r="A73" t="s">
        <v>145</v>
      </c>
      <c r="B73">
        <v>353</v>
      </c>
      <c r="C73">
        <v>13875</v>
      </c>
      <c r="D73">
        <v>43757</v>
      </c>
      <c r="E73">
        <v>2520</v>
      </c>
      <c r="F73">
        <v>651</v>
      </c>
      <c r="G73">
        <v>3735</v>
      </c>
      <c r="H73">
        <v>0</v>
      </c>
      <c r="I73">
        <v>3883</v>
      </c>
      <c r="J73">
        <v>222</v>
      </c>
      <c r="K73">
        <v>9909</v>
      </c>
      <c r="L73">
        <v>7719</v>
      </c>
      <c r="M73">
        <v>1415</v>
      </c>
      <c r="N73">
        <v>38635</v>
      </c>
      <c r="O73">
        <v>7300</v>
      </c>
      <c r="P73">
        <v>33330</v>
      </c>
      <c r="Q73">
        <v>0</v>
      </c>
      <c r="R73">
        <v>0</v>
      </c>
      <c r="S73">
        <v>6729</v>
      </c>
      <c r="T73">
        <v>2046</v>
      </c>
      <c r="U73">
        <f t="shared" si="14"/>
        <v>-1</v>
      </c>
      <c r="V73">
        <v>-898</v>
      </c>
      <c r="W73">
        <v>68731</v>
      </c>
      <c r="X73">
        <v>69628</v>
      </c>
      <c r="Y73">
        <f t="shared" si="15"/>
        <v>-897</v>
      </c>
      <c r="Z73">
        <v>6937</v>
      </c>
      <c r="AA73">
        <v>1609877</v>
      </c>
      <c r="AB73">
        <v>43600</v>
      </c>
      <c r="AC73" s="128">
        <v>43775.410409031836</v>
      </c>
      <c r="AD73">
        <v>26606</v>
      </c>
      <c r="AE73" t="s">
        <v>145</v>
      </c>
      <c r="AF73" s="188">
        <f t="shared" si="16"/>
        <v>-0.11230740131818248</v>
      </c>
      <c r="AG73" s="188">
        <f t="shared" si="17"/>
        <v>0.27172600427754579</v>
      </c>
      <c r="AH73" s="188">
        <f t="shared" si="18"/>
        <v>6.3813999505317839E-2</v>
      </c>
      <c r="AI73" s="188">
        <f t="shared" si="19"/>
        <v>5.9725596892232037E-2</v>
      </c>
      <c r="AJ73" s="188">
        <f t="shared" si="20"/>
        <v>0.23757576639362152</v>
      </c>
      <c r="AK73" s="188">
        <f t="shared" si="21"/>
        <v>0.43883462062698775</v>
      </c>
      <c r="AL73" s="188">
        <f t="shared" si="22"/>
        <v>-1.3050879515793456E-2</v>
      </c>
      <c r="AM73" s="188">
        <v>2.2853926259499016E-2</v>
      </c>
      <c r="AN73" s="188">
        <v>-0.11373332885410017</v>
      </c>
      <c r="AO73">
        <f t="shared" si="23"/>
        <v>2</v>
      </c>
      <c r="AP73" s="188">
        <f t="shared" si="24"/>
        <v>2.5232427870975252E-2</v>
      </c>
      <c r="AQ73" s="188">
        <f t="shared" si="25"/>
        <v>2.3422865955682298E-2</v>
      </c>
      <c r="AR73" s="188">
        <f t="shared" si="26"/>
        <v>0.63435713142541217</v>
      </c>
      <c r="AS73" s="128">
        <f t="shared" si="27"/>
        <v>1645.3209956036924</v>
      </c>
      <c r="AT73" s="188">
        <v>0.29949999999999999</v>
      </c>
      <c r="AU73" s="238">
        <v>5.9900000000000002E-2</v>
      </c>
      <c r="AV73">
        <v>7.5</v>
      </c>
      <c r="AY73" t="s">
        <v>283</v>
      </c>
      <c r="AZ73" s="129">
        <v>1821.1379256446905</v>
      </c>
      <c r="BA73" t="s">
        <v>467</v>
      </c>
      <c r="BC73">
        <v>1</v>
      </c>
    </row>
    <row r="74" spans="1:55" x14ac:dyDescent="0.25">
      <c r="A74" t="s">
        <v>175</v>
      </c>
      <c r="B74">
        <v>0</v>
      </c>
      <c r="C74">
        <v>1422</v>
      </c>
      <c r="D74">
        <v>20056</v>
      </c>
      <c r="E74">
        <v>101</v>
      </c>
      <c r="F74">
        <v>2027</v>
      </c>
      <c r="G74">
        <v>2555</v>
      </c>
      <c r="H74">
        <v>0</v>
      </c>
      <c r="I74">
        <v>-178</v>
      </c>
      <c r="J74">
        <v>0</v>
      </c>
      <c r="K74">
        <v>737</v>
      </c>
      <c r="L74">
        <v>3853</v>
      </c>
      <c r="M74">
        <v>4176</v>
      </c>
      <c r="N74">
        <v>23450</v>
      </c>
      <c r="O74">
        <v>2882</v>
      </c>
      <c r="P74">
        <v>0</v>
      </c>
      <c r="Q74">
        <v>0</v>
      </c>
      <c r="R74">
        <v>0</v>
      </c>
      <c r="S74">
        <v>3180</v>
      </c>
      <c r="T74">
        <v>5237</v>
      </c>
      <c r="U74">
        <f t="shared" si="14"/>
        <v>6</v>
      </c>
      <c r="V74">
        <v>-2761</v>
      </c>
      <c r="W74">
        <v>36326</v>
      </c>
      <c r="X74">
        <v>39093</v>
      </c>
      <c r="Y74">
        <f t="shared" si="15"/>
        <v>-2767</v>
      </c>
      <c r="Z74">
        <v>5815</v>
      </c>
      <c r="AA74">
        <v>437816.99999999953</v>
      </c>
      <c r="AB74">
        <v>30260</v>
      </c>
      <c r="AC74" s="128">
        <v>19261.604366713036</v>
      </c>
      <c r="AD74">
        <v>11064</v>
      </c>
      <c r="AE74" t="s">
        <v>175</v>
      </c>
      <c r="AF74" s="188">
        <f t="shared" si="16"/>
        <v>-0.10606727963442163</v>
      </c>
      <c r="AG74" s="188">
        <f t="shared" si="17"/>
        <v>-0.13574299399878875</v>
      </c>
      <c r="AH74" s="188">
        <f t="shared" si="18"/>
        <v>0.12613555029455487</v>
      </c>
      <c r="AI74" s="188">
        <f t="shared" si="19"/>
        <v>-4.900071574079172E-3</v>
      </c>
      <c r="AJ74" s="188">
        <f t="shared" si="20"/>
        <v>-0.11717667786158675</v>
      </c>
      <c r="AK74" s="188">
        <f t="shared" si="21"/>
        <v>0.67483956372845266</v>
      </c>
      <c r="AL74" s="188">
        <f t="shared" si="22"/>
        <v>-7.6171337334140832E-2</v>
      </c>
      <c r="AM74" s="188">
        <v>-3.1310620756547045E-2</v>
      </c>
      <c r="AN74" s="188">
        <v>-4.7481394919736762E-2</v>
      </c>
      <c r="AO74">
        <f t="shared" si="23"/>
        <v>3</v>
      </c>
      <c r="AP74" s="188">
        <f t="shared" si="24"/>
        <v>4.0019545229312337E-2</v>
      </c>
      <c r="AQ74" s="188">
        <f t="shared" si="25"/>
        <v>1.205244177723943E-2</v>
      </c>
      <c r="AR74" s="188">
        <f t="shared" si="26"/>
        <v>0.8330121675934592</v>
      </c>
      <c r="AS74" s="128">
        <f t="shared" si="27"/>
        <v>1740.9259189003105</v>
      </c>
      <c r="AT74" s="188">
        <v>0.38850000000000001</v>
      </c>
      <c r="AU74" s="238">
        <v>7.7700000000000005E-2</v>
      </c>
      <c r="AV74">
        <v>6</v>
      </c>
      <c r="AY74" t="s">
        <v>284</v>
      </c>
      <c r="AZ74" s="129">
        <v>1453.6955355817302</v>
      </c>
      <c r="BA74" t="s">
        <v>467</v>
      </c>
    </row>
    <row r="75" spans="1:55" x14ac:dyDescent="0.25">
      <c r="A75" t="s">
        <v>176</v>
      </c>
      <c r="B75">
        <v>18849</v>
      </c>
      <c r="C75">
        <v>15885</v>
      </c>
      <c r="D75">
        <v>179971</v>
      </c>
      <c r="E75">
        <v>506</v>
      </c>
      <c r="F75">
        <v>3349</v>
      </c>
      <c r="G75">
        <v>10589</v>
      </c>
      <c r="H75">
        <v>6</v>
      </c>
      <c r="I75">
        <v>45973</v>
      </c>
      <c r="J75">
        <v>0</v>
      </c>
      <c r="K75">
        <v>10445</v>
      </c>
      <c r="L75">
        <v>3195</v>
      </c>
      <c r="M75">
        <v>17571</v>
      </c>
      <c r="N75">
        <v>61639</v>
      </c>
      <c r="O75">
        <v>12109</v>
      </c>
      <c r="P75">
        <v>186251</v>
      </c>
      <c r="Q75">
        <v>313</v>
      </c>
      <c r="R75">
        <v>10413</v>
      </c>
      <c r="S75">
        <v>11389</v>
      </c>
      <c r="T75">
        <v>24225</v>
      </c>
      <c r="U75">
        <f t="shared" si="14"/>
        <v>-5</v>
      </c>
      <c r="V75">
        <v>4937</v>
      </c>
      <c r="W75">
        <v>280111</v>
      </c>
      <c r="X75">
        <v>275169</v>
      </c>
      <c r="Y75">
        <f t="shared" si="15"/>
        <v>4942</v>
      </c>
      <c r="Z75">
        <v>11833</v>
      </c>
      <c r="AA75">
        <v>2054630.9999999981</v>
      </c>
      <c r="AB75">
        <v>186872</v>
      </c>
      <c r="AC75" s="128">
        <v>144578.68445770274</v>
      </c>
      <c r="AD75">
        <v>58270</v>
      </c>
      <c r="AE75" t="s">
        <v>176</v>
      </c>
      <c r="AF75" s="188">
        <f t="shared" si="16"/>
        <v>2.5768356115968314E-2</v>
      </c>
      <c r="AG75" s="188">
        <f t="shared" si="17"/>
        <v>0.66914901592582943</v>
      </c>
      <c r="AH75" s="188">
        <f t="shared" si="18"/>
        <v>4.9758845600494088E-2</v>
      </c>
      <c r="AI75" s="188">
        <f t="shared" si="19"/>
        <v>0.16412422218334874</v>
      </c>
      <c r="AJ75" s="188">
        <f t="shared" si="20"/>
        <v>0.56023312186954466</v>
      </c>
      <c r="AK75" s="188">
        <f t="shared" si="21"/>
        <v>0.201211729489226</v>
      </c>
      <c r="AL75" s="188">
        <f t="shared" si="22"/>
        <v>1.7643005808411664E-2</v>
      </c>
      <c r="AM75" s="188">
        <v>4.7602637269418806E-3</v>
      </c>
      <c r="AN75" s="188">
        <v>-7.0407239077247153E-3</v>
      </c>
      <c r="AO75">
        <f t="shared" si="23"/>
        <v>1</v>
      </c>
      <c r="AP75" s="188">
        <f t="shared" si="24"/>
        <v>1.0560991892499759E-2</v>
      </c>
      <c r="AQ75" s="188">
        <f t="shared" si="25"/>
        <v>7.3350600297739047E-3</v>
      </c>
      <c r="AR75" s="188">
        <f t="shared" si="26"/>
        <v>0.66713552841552104</v>
      </c>
      <c r="AS75" s="128">
        <f t="shared" si="27"/>
        <v>2481.185592203582</v>
      </c>
      <c r="AT75" s="188">
        <v>0.31</v>
      </c>
      <c r="AU75" s="238">
        <v>6.2E-2</v>
      </c>
      <c r="AV75">
        <v>8</v>
      </c>
      <c r="AY75" t="s">
        <v>285</v>
      </c>
      <c r="AZ75" s="129">
        <v>1529.3309004895395</v>
      </c>
      <c r="BA75" t="s">
        <v>467</v>
      </c>
    </row>
    <row r="76" spans="1:55" x14ac:dyDescent="0.25">
      <c r="A76" t="s">
        <v>358</v>
      </c>
      <c r="B76">
        <v>857</v>
      </c>
      <c r="C76">
        <v>3514</v>
      </c>
      <c r="D76">
        <v>63324</v>
      </c>
      <c r="E76">
        <v>271</v>
      </c>
      <c r="F76">
        <v>3452</v>
      </c>
      <c r="G76">
        <v>1089</v>
      </c>
      <c r="H76">
        <v>2</v>
      </c>
      <c r="I76">
        <v>13064</v>
      </c>
      <c r="J76">
        <v>0</v>
      </c>
      <c r="K76">
        <v>9319</v>
      </c>
      <c r="L76">
        <v>17</v>
      </c>
      <c r="M76">
        <v>893</v>
      </c>
      <c r="N76">
        <v>10647</v>
      </c>
      <c r="O76">
        <v>7047</v>
      </c>
      <c r="P76">
        <v>67942</v>
      </c>
      <c r="Q76">
        <v>6</v>
      </c>
      <c r="R76">
        <v>0</v>
      </c>
      <c r="S76">
        <v>1960</v>
      </c>
      <c r="T76">
        <v>8201</v>
      </c>
      <c r="U76">
        <f t="shared" si="14"/>
        <v>-10</v>
      </c>
      <c r="V76">
        <v>1763</v>
      </c>
      <c r="W76">
        <v>62751</v>
      </c>
      <c r="X76">
        <v>60978</v>
      </c>
      <c r="Y76">
        <f t="shared" si="15"/>
        <v>1773</v>
      </c>
      <c r="Z76">
        <v>15750</v>
      </c>
      <c r="AA76">
        <v>1203203</v>
      </c>
      <c r="AB76">
        <v>43457</v>
      </c>
      <c r="AC76" s="128">
        <v>27119.295166054886</v>
      </c>
      <c r="AD76">
        <v>26368</v>
      </c>
      <c r="AE76" t="s">
        <v>358</v>
      </c>
      <c r="AF76" s="188">
        <f t="shared" si="16"/>
        <v>-2.7091201733836913E-4</v>
      </c>
      <c r="AG76" s="188">
        <f t="shared" si="17"/>
        <v>1.0093384965976637</v>
      </c>
      <c r="AH76" s="188">
        <f t="shared" si="18"/>
        <v>7.2365380631384355E-2</v>
      </c>
      <c r="AI76" s="188">
        <f t="shared" si="19"/>
        <v>0.20818791732402672</v>
      </c>
      <c r="AJ76" s="188">
        <f t="shared" si="20"/>
        <v>0.87229080014661109</v>
      </c>
      <c r="AK76" s="188">
        <f t="shared" si="21"/>
        <v>0.11113430685886663</v>
      </c>
      <c r="AL76" s="188">
        <f t="shared" si="22"/>
        <v>2.8254529808289908E-2</v>
      </c>
      <c r="AM76" s="188">
        <v>-5.9338372033507926E-2</v>
      </c>
      <c r="AN76" s="188">
        <v>-5.6835347432024168E-2</v>
      </c>
      <c r="AO76">
        <f t="shared" si="23"/>
        <v>2</v>
      </c>
      <c r="AP76" s="188">
        <f t="shared" si="24"/>
        <v>6.2748004015872258E-2</v>
      </c>
      <c r="AQ76" s="188">
        <f t="shared" si="25"/>
        <v>1.9174244235151631E-2</v>
      </c>
      <c r="AR76" s="188">
        <f t="shared" si="26"/>
        <v>0.69253079632197101</v>
      </c>
      <c r="AS76" s="128">
        <f t="shared" si="27"/>
        <v>1028.4926868194359</v>
      </c>
      <c r="AT76" s="188">
        <v>-4.4999999999999998E-2</v>
      </c>
      <c r="AU76" s="238">
        <v>-8.9999999999999993E-3</v>
      </c>
      <c r="AV76">
        <v>6.5</v>
      </c>
      <c r="AY76" t="s">
        <v>343</v>
      </c>
      <c r="AZ76" s="129">
        <v>1474.4724690935852</v>
      </c>
      <c r="BA76" t="s">
        <v>467</v>
      </c>
    </row>
    <row r="77" spans="1:55" x14ac:dyDescent="0.25">
      <c r="A77" t="s">
        <v>291</v>
      </c>
      <c r="B77">
        <v>6551</v>
      </c>
      <c r="C77">
        <v>97790</v>
      </c>
      <c r="D77">
        <v>503145</v>
      </c>
      <c r="E77">
        <v>19698</v>
      </c>
      <c r="F77">
        <v>5638</v>
      </c>
      <c r="G77">
        <v>11797</v>
      </c>
      <c r="H77">
        <v>11000</v>
      </c>
      <c r="I77">
        <v>46006</v>
      </c>
      <c r="J77">
        <v>2474</v>
      </c>
      <c r="K77">
        <v>338858</v>
      </c>
      <c r="L77" s="207">
        <f>-4431+4431</f>
        <v>0</v>
      </c>
      <c r="M77">
        <v>7540</v>
      </c>
      <c r="N77">
        <v>711516</v>
      </c>
      <c r="O77">
        <v>37146</v>
      </c>
      <c r="P77">
        <v>236884</v>
      </c>
      <c r="Q77">
        <v>-12</v>
      </c>
      <c r="R77">
        <f>4431</f>
        <v>4431</v>
      </c>
      <c r="S77">
        <v>14253</v>
      </c>
      <c r="T77">
        <v>46278</v>
      </c>
      <c r="U77">
        <f t="shared" si="14"/>
        <v>-3</v>
      </c>
      <c r="V77">
        <v>289110</v>
      </c>
      <c r="W77">
        <v>926059</v>
      </c>
      <c r="X77">
        <v>636946</v>
      </c>
      <c r="Y77">
        <f t="shared" si="15"/>
        <v>289113</v>
      </c>
      <c r="Z77">
        <v>-19273</v>
      </c>
      <c r="AA77">
        <v>7643487.9999999963</v>
      </c>
      <c r="AB77">
        <v>391935</v>
      </c>
      <c r="AC77" s="128">
        <v>358863.56920896302</v>
      </c>
      <c r="AD77">
        <v>119115</v>
      </c>
      <c r="AE77" t="s">
        <v>291</v>
      </c>
      <c r="AF77" s="188">
        <f t="shared" si="16"/>
        <v>4.7847923296463835E-3</v>
      </c>
      <c r="AG77" s="188">
        <f t="shared" si="17"/>
        <v>-7.8827590898636044E-2</v>
      </c>
      <c r="AH77" s="188">
        <f t="shared" si="18"/>
        <v>1.8827094170025885E-2</v>
      </c>
      <c r="AI77" s="188">
        <f t="shared" si="19"/>
        <v>5.2350876132082294E-2</v>
      </c>
      <c r="AJ77" s="188">
        <f t="shared" si="20"/>
        <v>-0.11321395289069053</v>
      </c>
      <c r="AK77" s="188">
        <f t="shared" si="21"/>
        <v>0.67731433532350438</v>
      </c>
      <c r="AL77" s="188">
        <f t="shared" si="22"/>
        <v>0.31219717102258066</v>
      </c>
      <c r="AM77" s="188">
        <v>-2.8887472705733342E-3</v>
      </c>
      <c r="AN77" s="188">
        <v>-1.1105796784740919E-2</v>
      </c>
      <c r="AO77">
        <f t="shared" si="23"/>
        <v>2</v>
      </c>
      <c r="AP77" s="188">
        <f t="shared" si="24"/>
        <v>-5.2029622302682656E-3</v>
      </c>
      <c r="AQ77" s="188">
        <f t="shared" si="25"/>
        <v>8.253780806622469E-3</v>
      </c>
      <c r="AR77" s="188">
        <f t="shared" si="26"/>
        <v>0.42322897353192401</v>
      </c>
      <c r="AS77" s="128">
        <f t="shared" si="27"/>
        <v>3012.7487655539858</v>
      </c>
      <c r="AT77" s="188">
        <v>0.45900000000000002</v>
      </c>
      <c r="AU77" s="238">
        <v>9.1800000000000007E-2</v>
      </c>
      <c r="AV77">
        <v>6.5</v>
      </c>
      <c r="AY77" t="s">
        <v>598</v>
      </c>
      <c r="AZ77" s="129">
        <v>1435.5680827120595</v>
      </c>
      <c r="BA77" t="s">
        <v>467</v>
      </c>
    </row>
    <row r="78" spans="1:55" x14ac:dyDescent="0.25">
      <c r="A78" t="s">
        <v>249</v>
      </c>
      <c r="B78">
        <v>3917</v>
      </c>
      <c r="C78">
        <v>3410</v>
      </c>
      <c r="D78">
        <v>25372</v>
      </c>
      <c r="E78">
        <v>168</v>
      </c>
      <c r="F78">
        <v>0</v>
      </c>
      <c r="G78">
        <v>6205</v>
      </c>
      <c r="H78">
        <v>0</v>
      </c>
      <c r="I78">
        <v>6411</v>
      </c>
      <c r="J78">
        <v>9</v>
      </c>
      <c r="K78">
        <v>2610</v>
      </c>
      <c r="L78">
        <f>6585</f>
        <v>6585</v>
      </c>
      <c r="M78">
        <v>4614</v>
      </c>
      <c r="N78">
        <v>27227</v>
      </c>
      <c r="O78">
        <v>5256</v>
      </c>
      <c r="P78">
        <v>13538</v>
      </c>
      <c r="Q78">
        <v>211</v>
      </c>
      <c r="R78">
        <v>0</v>
      </c>
      <c r="S78">
        <v>8554</v>
      </c>
      <c r="T78">
        <v>4514</v>
      </c>
      <c r="U78">
        <f t="shared" si="14"/>
        <v>-4</v>
      </c>
      <c r="V78">
        <v>-2340</v>
      </c>
      <c r="W78">
        <v>49642</v>
      </c>
      <c r="X78">
        <v>51978</v>
      </c>
      <c r="Y78">
        <f t="shared" si="15"/>
        <v>-2336</v>
      </c>
      <c r="Z78">
        <v>5915</v>
      </c>
      <c r="AA78">
        <v>2688374.9999999991</v>
      </c>
      <c r="AB78">
        <v>31055</v>
      </c>
      <c r="AC78" s="128">
        <v>29325.006846171746</v>
      </c>
      <c r="AD78">
        <v>19838</v>
      </c>
      <c r="AE78" t="s">
        <v>249</v>
      </c>
      <c r="AF78" s="188">
        <f t="shared" si="16"/>
        <v>-0.13264977237017042</v>
      </c>
      <c r="AG78" s="188">
        <f t="shared" si="17"/>
        <v>0.13704121510011683</v>
      </c>
      <c r="AH78" s="188">
        <f t="shared" si="18"/>
        <v>0.12499496394182345</v>
      </c>
      <c r="AI78" s="188">
        <f t="shared" si="19"/>
        <v>0.12932597397365134</v>
      </c>
      <c r="AJ78" s="188">
        <f t="shared" si="20"/>
        <v>6.1512428991579701E-2</v>
      </c>
      <c r="AK78" s="188">
        <f t="shared" si="21"/>
        <v>0.45913996627318721</v>
      </c>
      <c r="AL78" s="188">
        <f t="shared" si="22"/>
        <v>-4.7056927601627656E-2</v>
      </c>
      <c r="AM78" s="188">
        <v>-9.0659138333128761E-2</v>
      </c>
      <c r="AN78" s="188">
        <v>-6.0209636792069553E-2</v>
      </c>
      <c r="AO78">
        <f t="shared" si="23"/>
        <v>3</v>
      </c>
      <c r="AP78" s="188">
        <f t="shared" si="24"/>
        <v>2.9788284114258087E-2</v>
      </c>
      <c r="AQ78" s="188">
        <f t="shared" si="25"/>
        <v>5.4155251601466482E-2</v>
      </c>
      <c r="AR78" s="188">
        <f t="shared" si="26"/>
        <v>0.62557914669030257</v>
      </c>
      <c r="AS78" s="128">
        <f t="shared" si="27"/>
        <v>1478.2239563550631</v>
      </c>
      <c r="AT78" s="188">
        <v>0.34200000000000003</v>
      </c>
      <c r="AU78" s="238">
        <v>6.8400000000000002E-2</v>
      </c>
      <c r="AV78">
        <v>7</v>
      </c>
      <c r="AY78" t="s">
        <v>128</v>
      </c>
      <c r="AZ78" s="129">
        <v>2226.7368727615353</v>
      </c>
      <c r="BA78" t="s">
        <v>467</v>
      </c>
      <c r="BC78">
        <v>1</v>
      </c>
    </row>
    <row r="79" spans="1:55" x14ac:dyDescent="0.25">
      <c r="A79" t="s">
        <v>359</v>
      </c>
      <c r="B79">
        <v>335</v>
      </c>
      <c r="C79">
        <v>2661</v>
      </c>
      <c r="D79">
        <v>63617</v>
      </c>
      <c r="E79">
        <v>212</v>
      </c>
      <c r="F79">
        <v>0</v>
      </c>
      <c r="G79">
        <v>813</v>
      </c>
      <c r="H79">
        <v>1316</v>
      </c>
      <c r="I79">
        <v>0</v>
      </c>
      <c r="J79">
        <v>333</v>
      </c>
      <c r="K79">
        <v>16575</v>
      </c>
      <c r="L79" s="207">
        <f>-16784+16784</f>
        <v>0</v>
      </c>
      <c r="M79">
        <v>2979</v>
      </c>
      <c r="N79">
        <v>44660</v>
      </c>
      <c r="O79">
        <v>8770</v>
      </c>
      <c r="P79">
        <v>7750</v>
      </c>
      <c r="Q79">
        <v>980</v>
      </c>
      <c r="R79" s="207">
        <f>-4+16784</f>
        <v>16780</v>
      </c>
      <c r="S79">
        <v>2160</v>
      </c>
      <c r="T79">
        <v>7742</v>
      </c>
      <c r="U79">
        <f t="shared" si="14"/>
        <v>-5</v>
      </c>
      <c r="V79">
        <v>-2107</v>
      </c>
      <c r="W79">
        <v>61625</v>
      </c>
      <c r="X79">
        <v>63727</v>
      </c>
      <c r="Y79">
        <f t="shared" si="15"/>
        <v>-2102</v>
      </c>
      <c r="Z79">
        <v>12489</v>
      </c>
      <c r="AA79">
        <v>2954855</v>
      </c>
      <c r="AB79">
        <v>43217</v>
      </c>
      <c r="AC79" s="128">
        <v>40875.284658488199</v>
      </c>
      <c r="AD79">
        <v>27325</v>
      </c>
      <c r="AE79" t="s">
        <v>359</v>
      </c>
      <c r="AF79" s="188">
        <f t="shared" si="16"/>
        <v>0.27229208924949289</v>
      </c>
      <c r="AG79" s="188">
        <f t="shared" si="17"/>
        <v>0.22278296146044624</v>
      </c>
      <c r="AH79" s="188">
        <f t="shared" si="18"/>
        <v>1.3192697768762678E-2</v>
      </c>
      <c r="AI79" s="188">
        <f t="shared" si="19"/>
        <v>5.4036511156186611E-3</v>
      </c>
      <c r="AJ79" s="188">
        <f t="shared" si="20"/>
        <v>0.22058352941176471</v>
      </c>
      <c r="AK79" s="188">
        <f t="shared" si="21"/>
        <v>0.5026901690641814</v>
      </c>
      <c r="AL79" s="188">
        <f t="shared" si="22"/>
        <v>-3.4109533468559841E-2</v>
      </c>
      <c r="AM79" s="188">
        <v>-7.7249157866848342E-2</v>
      </c>
      <c r="AN79" s="188">
        <v>-1.5699445442474421E-2</v>
      </c>
      <c r="AO79">
        <f t="shared" si="23"/>
        <v>3</v>
      </c>
      <c r="AP79" s="188">
        <f t="shared" si="24"/>
        <v>5.0665314401622717E-2</v>
      </c>
      <c r="AQ79" s="188">
        <f t="shared" si="25"/>
        <v>4.7948965517241378E-2</v>
      </c>
      <c r="AR79" s="188">
        <f t="shared" si="26"/>
        <v>0.70129006085192702</v>
      </c>
      <c r="AS79" s="128">
        <f t="shared" si="27"/>
        <v>1495.8933086363477</v>
      </c>
      <c r="AT79" s="188">
        <v>0.32550000000000001</v>
      </c>
      <c r="AU79" s="238">
        <v>6.5100000000000005E-2</v>
      </c>
      <c r="AV79">
        <v>5.5</v>
      </c>
      <c r="AY79" t="s">
        <v>240</v>
      </c>
      <c r="AZ79" s="129">
        <v>1602.3790123230713</v>
      </c>
      <c r="BA79" t="s">
        <v>467</v>
      </c>
    </row>
    <row r="80" spans="1:55" x14ac:dyDescent="0.25">
      <c r="A80" t="s">
        <v>430</v>
      </c>
      <c r="B80">
        <v>13091</v>
      </c>
      <c r="C80">
        <v>11344</v>
      </c>
      <c r="D80">
        <v>68073</v>
      </c>
      <c r="E80">
        <v>38</v>
      </c>
      <c r="F80">
        <v>348</v>
      </c>
      <c r="G80">
        <v>13321</v>
      </c>
      <c r="H80">
        <v>3476</v>
      </c>
      <c r="I80">
        <v>20508</v>
      </c>
      <c r="J80">
        <v>0</v>
      </c>
      <c r="K80">
        <v>34526</v>
      </c>
      <c r="L80">
        <v>969</v>
      </c>
      <c r="M80">
        <v>3484</v>
      </c>
      <c r="N80">
        <v>92321</v>
      </c>
      <c r="O80">
        <v>44452</v>
      </c>
      <c r="P80">
        <v>17134</v>
      </c>
      <c r="Q80">
        <v>714</v>
      </c>
      <c r="R80">
        <v>0</v>
      </c>
      <c r="S80">
        <v>2572</v>
      </c>
      <c r="T80">
        <v>11983</v>
      </c>
      <c r="U80">
        <f t="shared" si="14"/>
        <v>416</v>
      </c>
      <c r="V80">
        <v>5157</v>
      </c>
      <c r="W80">
        <v>120649</v>
      </c>
      <c r="X80">
        <v>115908</v>
      </c>
      <c r="Y80">
        <f t="shared" si="15"/>
        <v>4741</v>
      </c>
      <c r="Z80">
        <v>31479</v>
      </c>
      <c r="AA80">
        <v>1462011.9999999981</v>
      </c>
      <c r="AB80">
        <v>80687</v>
      </c>
      <c r="AC80" s="128">
        <v>69420.368941716122</v>
      </c>
      <c r="AD80">
        <v>42011</v>
      </c>
      <c r="AE80" t="s">
        <v>430</v>
      </c>
      <c r="AF80" s="188">
        <f t="shared" si="16"/>
        <v>-8.0315626320980691E-3</v>
      </c>
      <c r="AG80" s="188">
        <f t="shared" si="17"/>
        <v>-0.19661165861300134</v>
      </c>
      <c r="AH80" s="188">
        <f t="shared" si="18"/>
        <v>0.11329559300118526</v>
      </c>
      <c r="AI80" s="188">
        <f t="shared" si="19"/>
        <v>0.16998068778025513</v>
      </c>
      <c r="AJ80" s="188">
        <f t="shared" si="20"/>
        <v>-0.30200266889903771</v>
      </c>
      <c r="AK80" s="188">
        <f t="shared" si="21"/>
        <v>0.54570979335130276</v>
      </c>
      <c r="AL80" s="188">
        <f t="shared" si="22"/>
        <v>3.9295808502349788E-2</v>
      </c>
      <c r="AM80" s="188">
        <v>-8.1541346584040136E-2</v>
      </c>
      <c r="AN80" s="188">
        <v>1.705032984269041E-2</v>
      </c>
      <c r="AO80">
        <f t="shared" si="23"/>
        <v>1</v>
      </c>
      <c r="AP80" s="188">
        <f t="shared" si="24"/>
        <v>6.522847267693889E-2</v>
      </c>
      <c r="AQ80" s="188">
        <f t="shared" si="25"/>
        <v>1.2117895714013362E-2</v>
      </c>
      <c r="AR80" s="188">
        <f t="shared" si="26"/>
        <v>0.66877471010949119</v>
      </c>
      <c r="AS80" s="128">
        <f t="shared" si="27"/>
        <v>1652.4331470737693</v>
      </c>
      <c r="AT80" s="188">
        <v>0.23499999999999999</v>
      </c>
      <c r="AU80" s="238">
        <v>4.7E-2</v>
      </c>
      <c r="AV80">
        <v>8.5</v>
      </c>
      <c r="AY80" t="s">
        <v>344</v>
      </c>
      <c r="AZ80" s="129">
        <v>1827.8443823432592</v>
      </c>
      <c r="BA80" t="s">
        <v>467</v>
      </c>
      <c r="BC80">
        <v>1</v>
      </c>
    </row>
    <row r="81" spans="1:55" x14ac:dyDescent="0.25">
      <c r="A81" t="s">
        <v>177</v>
      </c>
      <c r="B81">
        <v>128</v>
      </c>
      <c r="C81">
        <v>4253</v>
      </c>
      <c r="D81">
        <v>41491</v>
      </c>
      <c r="E81">
        <v>450</v>
      </c>
      <c r="F81">
        <v>0</v>
      </c>
      <c r="G81">
        <v>7408</v>
      </c>
      <c r="H81">
        <v>1075</v>
      </c>
      <c r="I81">
        <v>5496</v>
      </c>
      <c r="J81">
        <v>0</v>
      </c>
      <c r="K81">
        <v>6118</v>
      </c>
      <c r="L81">
        <v>598</v>
      </c>
      <c r="M81">
        <v>4398</v>
      </c>
      <c r="N81">
        <v>17739</v>
      </c>
      <c r="O81">
        <v>5456</v>
      </c>
      <c r="P81">
        <v>37923</v>
      </c>
      <c r="Q81">
        <v>15</v>
      </c>
      <c r="R81">
        <v>0</v>
      </c>
      <c r="S81">
        <v>6319</v>
      </c>
      <c r="T81">
        <v>3963</v>
      </c>
      <c r="U81">
        <f t="shared" si="14"/>
        <v>3</v>
      </c>
      <c r="V81">
        <v>1073</v>
      </c>
      <c r="W81">
        <v>49410</v>
      </c>
      <c r="X81">
        <v>48340</v>
      </c>
      <c r="Y81">
        <f t="shared" si="15"/>
        <v>1070</v>
      </c>
      <c r="Z81">
        <v>2458</v>
      </c>
      <c r="AA81">
        <v>1692102</v>
      </c>
      <c r="AB81">
        <v>37744</v>
      </c>
      <c r="AC81" s="128">
        <v>27970.188651898567</v>
      </c>
      <c r="AD81">
        <v>18991</v>
      </c>
      <c r="AE81" t="s">
        <v>177</v>
      </c>
      <c r="AF81" s="188">
        <f t="shared" si="16"/>
        <v>-1.2102813195709371E-2</v>
      </c>
      <c r="AG81" s="188">
        <f t="shared" si="17"/>
        <v>0.57929568913175467</v>
      </c>
      <c r="AH81" s="188">
        <f t="shared" si="18"/>
        <v>0.1499291641368144</v>
      </c>
      <c r="AI81" s="188">
        <f t="shared" si="19"/>
        <v>0.11123254401942927</v>
      </c>
      <c r="AJ81" s="188">
        <f t="shared" si="20"/>
        <v>0.51942440801457201</v>
      </c>
      <c r="AK81" s="188">
        <f t="shared" si="21"/>
        <v>0.24839319470699434</v>
      </c>
      <c r="AL81" s="188">
        <f t="shared" si="22"/>
        <v>2.1655535316737501E-2</v>
      </c>
      <c r="AM81" s="188">
        <v>3.3060306412596017E-2</v>
      </c>
      <c r="AN81" s="188">
        <v>7.0372976776917663E-4</v>
      </c>
      <c r="AO81">
        <f t="shared" si="23"/>
        <v>0</v>
      </c>
      <c r="AP81" s="188">
        <f t="shared" si="24"/>
        <v>1.2436753693584294E-2</v>
      </c>
      <c r="AQ81" s="188">
        <f t="shared" si="25"/>
        <v>3.4246144505160898E-2</v>
      </c>
      <c r="AR81" s="188">
        <f t="shared" si="26"/>
        <v>0.76389394859340209</v>
      </c>
      <c r="AS81" s="128">
        <f t="shared" si="27"/>
        <v>1472.8128403927421</v>
      </c>
      <c r="AT81" s="188">
        <v>0.2145</v>
      </c>
      <c r="AU81" s="238">
        <v>4.2900000000000001E-2</v>
      </c>
      <c r="AV81">
        <v>8</v>
      </c>
      <c r="AY81" t="s">
        <v>345</v>
      </c>
      <c r="AZ81" s="129">
        <v>1922.6828620274357</v>
      </c>
      <c r="BA81" t="s">
        <v>467</v>
      </c>
      <c r="BC81">
        <v>1</v>
      </c>
    </row>
    <row r="82" spans="1:55" x14ac:dyDescent="0.25">
      <c r="A82" t="s">
        <v>178</v>
      </c>
      <c r="B82">
        <v>345</v>
      </c>
      <c r="C82">
        <v>7171</v>
      </c>
      <c r="D82">
        <v>48857</v>
      </c>
      <c r="E82">
        <v>703</v>
      </c>
      <c r="F82">
        <v>0</v>
      </c>
      <c r="G82">
        <v>6051</v>
      </c>
      <c r="H82">
        <v>0</v>
      </c>
      <c r="I82">
        <v>26206</v>
      </c>
      <c r="J82">
        <v>0</v>
      </c>
      <c r="K82">
        <v>4091</v>
      </c>
      <c r="L82">
        <v>2907</v>
      </c>
      <c r="M82">
        <v>6338</v>
      </c>
      <c r="N82">
        <v>30464</v>
      </c>
      <c r="O82">
        <v>30871</v>
      </c>
      <c r="P82">
        <v>31814</v>
      </c>
      <c r="Q82">
        <v>45</v>
      </c>
      <c r="R82">
        <v>5000</v>
      </c>
      <c r="S82">
        <v>304</v>
      </c>
      <c r="T82">
        <v>4173</v>
      </c>
      <c r="U82">
        <f t="shared" si="14"/>
        <v>0</v>
      </c>
      <c r="V82">
        <v>737</v>
      </c>
      <c r="W82">
        <v>66961</v>
      </c>
      <c r="X82">
        <v>66224</v>
      </c>
      <c r="Y82">
        <f t="shared" si="15"/>
        <v>737</v>
      </c>
      <c r="Z82">
        <v>-1205</v>
      </c>
      <c r="AA82">
        <v>1871005.9999999991</v>
      </c>
      <c r="AB82">
        <v>47739</v>
      </c>
      <c r="AC82" s="128">
        <v>40326.427721692686</v>
      </c>
      <c r="AD82">
        <v>25066</v>
      </c>
      <c r="AE82" t="s">
        <v>178</v>
      </c>
      <c r="AF82" s="188">
        <f t="shared" si="16"/>
        <v>3.1257000343483519E-2</v>
      </c>
      <c r="AG82" s="188">
        <f t="shared" si="17"/>
        <v>0.32778781678887708</v>
      </c>
      <c r="AH82" s="188">
        <f t="shared" si="18"/>
        <v>9.0366033960066303E-2</v>
      </c>
      <c r="AI82" s="188">
        <f t="shared" si="19"/>
        <v>0.39136213616881466</v>
      </c>
      <c r="AJ82" s="188">
        <f t="shared" si="20"/>
        <v>6.4678245545914781E-2</v>
      </c>
      <c r="AK82" s="188">
        <f t="shared" si="21"/>
        <v>0.29671474905279971</v>
      </c>
      <c r="AL82" s="188">
        <f t="shared" si="22"/>
        <v>1.1006406714356117E-2</v>
      </c>
      <c r="AM82" s="188">
        <v>-4.2675189926278084E-2</v>
      </c>
      <c r="AN82" s="188">
        <v>-3.3243394593493868E-2</v>
      </c>
      <c r="AO82">
        <f t="shared" si="23"/>
        <v>2</v>
      </c>
      <c r="AP82" s="188">
        <f t="shared" si="24"/>
        <v>-4.4988874120756861E-3</v>
      </c>
      <c r="AQ82" s="188">
        <f t="shared" si="25"/>
        <v>2.79417272740849E-2</v>
      </c>
      <c r="AR82" s="188">
        <f t="shared" si="26"/>
        <v>0.71293738146085039</v>
      </c>
      <c r="AS82" s="128">
        <f t="shared" si="27"/>
        <v>1608.8098508614335</v>
      </c>
      <c r="AT82" s="188">
        <v>0.23800000000000002</v>
      </c>
      <c r="AU82" s="238">
        <v>4.7600000000000003E-2</v>
      </c>
      <c r="AV82">
        <v>8</v>
      </c>
      <c r="AY82" t="s">
        <v>286</v>
      </c>
      <c r="AZ82" s="129">
        <v>1531.6838531751184</v>
      </c>
      <c r="BA82" t="s">
        <v>467</v>
      </c>
    </row>
    <row r="83" spans="1:55" x14ac:dyDescent="0.25">
      <c r="A83" t="s">
        <v>403</v>
      </c>
      <c r="B83">
        <v>40</v>
      </c>
      <c r="C83">
        <v>1337</v>
      </c>
      <c r="D83">
        <v>97413</v>
      </c>
      <c r="E83">
        <v>5884</v>
      </c>
      <c r="F83">
        <v>6980</v>
      </c>
      <c r="G83">
        <v>638</v>
      </c>
      <c r="H83">
        <v>1858</v>
      </c>
      <c r="I83">
        <v>1242</v>
      </c>
      <c r="J83">
        <v>-59</v>
      </c>
      <c r="K83">
        <v>16556</v>
      </c>
      <c r="L83">
        <v>25447</v>
      </c>
      <c r="M83" s="207">
        <f>-3680+3680</f>
        <v>0</v>
      </c>
      <c r="N83">
        <v>54199</v>
      </c>
      <c r="O83">
        <v>9406</v>
      </c>
      <c r="P83">
        <v>77478</v>
      </c>
      <c r="Q83">
        <v>0</v>
      </c>
      <c r="R83">
        <v>2087</v>
      </c>
      <c r="S83">
        <v>5883</v>
      </c>
      <c r="T83">
        <f>4604+3680</f>
        <v>8284</v>
      </c>
      <c r="U83">
        <f t="shared" si="14"/>
        <v>2</v>
      </c>
      <c r="V83">
        <v>3167</v>
      </c>
      <c r="W83">
        <v>89447</v>
      </c>
      <c r="X83">
        <v>86282</v>
      </c>
      <c r="Y83">
        <f t="shared" si="15"/>
        <v>3165</v>
      </c>
      <c r="Z83">
        <v>12065</v>
      </c>
      <c r="AA83">
        <v>1888651</v>
      </c>
      <c r="AB83">
        <v>64126</v>
      </c>
      <c r="AC83" s="128">
        <v>51996.065920653899</v>
      </c>
      <c r="AD83">
        <v>31751</v>
      </c>
      <c r="AE83" t="s">
        <v>403</v>
      </c>
      <c r="AF83" s="188">
        <f t="shared" si="16"/>
        <v>-0.26116024014220712</v>
      </c>
      <c r="AG83" s="188">
        <f t="shared" si="17"/>
        <v>0.47238029224009748</v>
      </c>
      <c r="AH83" s="188">
        <f t="shared" si="18"/>
        <v>8.5167752971033128E-2</v>
      </c>
      <c r="AI83" s="188">
        <f t="shared" si="19"/>
        <v>1.3225709079119479E-2</v>
      </c>
      <c r="AJ83" s="188">
        <f t="shared" si="20"/>
        <v>0.47334242624123779</v>
      </c>
      <c r="AK83" s="188">
        <f t="shared" si="21"/>
        <v>0.34447714142255159</v>
      </c>
      <c r="AL83" s="188">
        <f t="shared" si="22"/>
        <v>3.5384082193924894E-2</v>
      </c>
      <c r="AM83" s="188">
        <v>-2.4572463947975874E-2</v>
      </c>
      <c r="AN83" s="188">
        <v>3.0939156778591263E-2</v>
      </c>
      <c r="AO83">
        <f t="shared" si="23"/>
        <v>1</v>
      </c>
      <c r="AP83" s="188">
        <f t="shared" si="24"/>
        <v>3.3721086229834427E-2</v>
      </c>
      <c r="AQ83" s="188">
        <f t="shared" si="25"/>
        <v>2.1114749516473443E-2</v>
      </c>
      <c r="AR83" s="188">
        <f t="shared" si="26"/>
        <v>0.7169161626438002</v>
      </c>
      <c r="AS83" s="128">
        <f t="shared" si="27"/>
        <v>1637.6197890036187</v>
      </c>
      <c r="AT83" s="188">
        <v>0.20500000000000002</v>
      </c>
      <c r="AU83" s="238">
        <v>4.1000000000000002E-2</v>
      </c>
      <c r="AV83">
        <v>9.5</v>
      </c>
      <c r="AY83" t="s">
        <v>168</v>
      </c>
      <c r="AZ83" s="129">
        <v>1460.3451444297355</v>
      </c>
      <c r="BA83" t="s">
        <v>467</v>
      </c>
    </row>
    <row r="84" spans="1:55" x14ac:dyDescent="0.25">
      <c r="A84" t="s">
        <v>250</v>
      </c>
      <c r="B84">
        <v>0</v>
      </c>
      <c r="C84">
        <v>7751</v>
      </c>
      <c r="D84">
        <v>107275</v>
      </c>
      <c r="E84">
        <v>1034</v>
      </c>
      <c r="F84">
        <v>0</v>
      </c>
      <c r="G84">
        <v>10927</v>
      </c>
      <c r="H84">
        <v>130</v>
      </c>
      <c r="I84">
        <v>-8012</v>
      </c>
      <c r="J84">
        <v>0</v>
      </c>
      <c r="K84">
        <v>9228</v>
      </c>
      <c r="L84" s="207">
        <f>-1272+1272</f>
        <v>0</v>
      </c>
      <c r="M84">
        <v>2812</v>
      </c>
      <c r="N84">
        <v>70723</v>
      </c>
      <c r="O84">
        <v>14922</v>
      </c>
      <c r="P84">
        <v>17501</v>
      </c>
      <c r="Q84">
        <v>16</v>
      </c>
      <c r="R84">
        <f>7500+1272</f>
        <v>8772</v>
      </c>
      <c r="S84">
        <v>7930</v>
      </c>
      <c r="T84">
        <v>11281</v>
      </c>
      <c r="U84">
        <f t="shared" si="14"/>
        <v>15</v>
      </c>
      <c r="V84">
        <v>-3417</v>
      </c>
      <c r="W84">
        <v>85706</v>
      </c>
      <c r="X84">
        <v>89138</v>
      </c>
      <c r="Y84">
        <f t="shared" si="15"/>
        <v>-3432</v>
      </c>
      <c r="Z84">
        <v>29947</v>
      </c>
      <c r="AA84">
        <v>4882202.9999999981</v>
      </c>
      <c r="AB84">
        <v>56138</v>
      </c>
      <c r="AC84" s="128">
        <v>51590.913788572056</v>
      </c>
      <c r="AD84">
        <v>36268</v>
      </c>
      <c r="AE84" t="s">
        <v>250</v>
      </c>
      <c r="AF84" s="188">
        <f t="shared" si="16"/>
        <v>0.10234989382306957</v>
      </c>
      <c r="AG84" s="188">
        <f t="shared" si="17"/>
        <v>0.26139360138146689</v>
      </c>
      <c r="AH84" s="188">
        <f t="shared" si="18"/>
        <v>0.12749399108580495</v>
      </c>
      <c r="AI84" s="188">
        <f t="shared" si="19"/>
        <v>-9.3482369962429701E-2</v>
      </c>
      <c r="AJ84" s="188">
        <f t="shared" si="20"/>
        <v>0.34213053928546427</v>
      </c>
      <c r="AK84" s="188">
        <f t="shared" si="21"/>
        <v>0.53927332342064127</v>
      </c>
      <c r="AL84" s="188">
        <f t="shared" si="22"/>
        <v>-4.0043870907521061E-2</v>
      </c>
      <c r="AM84" s="188">
        <v>1.1428832137602226E-2</v>
      </c>
      <c r="AN84" s="188">
        <v>1.9955540135949527E-2</v>
      </c>
      <c r="AO84">
        <f t="shared" si="23"/>
        <v>1</v>
      </c>
      <c r="AP84" s="188">
        <f t="shared" si="24"/>
        <v>8.735386087321774E-2</v>
      </c>
      <c r="AQ84" s="188">
        <f t="shared" si="25"/>
        <v>5.6964541572351972E-2</v>
      </c>
      <c r="AR84" s="188">
        <f t="shared" si="26"/>
        <v>0.65500665064289543</v>
      </c>
      <c r="AS84" s="128">
        <f t="shared" si="27"/>
        <v>1422.4912812554335</v>
      </c>
      <c r="AT84" s="188">
        <v>0.29499999999999998</v>
      </c>
      <c r="AU84" s="238">
        <v>5.8999999999999997E-2</v>
      </c>
      <c r="AV84">
        <v>6.5</v>
      </c>
      <c r="AY84" t="s">
        <v>242</v>
      </c>
      <c r="AZ84" s="129">
        <v>1362.4838195306145</v>
      </c>
      <c r="BA84" t="s">
        <v>467</v>
      </c>
      <c r="BB84">
        <v>1</v>
      </c>
    </row>
    <row r="85" spans="1:55" x14ac:dyDescent="0.25">
      <c r="A85" t="s">
        <v>179</v>
      </c>
      <c r="B85">
        <v>1767</v>
      </c>
      <c r="C85">
        <v>28073</v>
      </c>
      <c r="D85">
        <v>240799</v>
      </c>
      <c r="E85">
        <v>3001</v>
      </c>
      <c r="F85">
        <v>41677</v>
      </c>
      <c r="G85">
        <v>10592</v>
      </c>
      <c r="H85">
        <v>11281</v>
      </c>
      <c r="I85">
        <v>67874</v>
      </c>
      <c r="J85">
        <v>203</v>
      </c>
      <c r="K85">
        <v>8341</v>
      </c>
      <c r="L85">
        <v>22368</v>
      </c>
      <c r="M85">
        <v>26769</v>
      </c>
      <c r="N85">
        <v>129523</v>
      </c>
      <c r="O85">
        <v>48389</v>
      </c>
      <c r="P85">
        <v>170352</v>
      </c>
      <c r="Q85">
        <v>837</v>
      </c>
      <c r="R85">
        <v>3</v>
      </c>
      <c r="S85">
        <v>10711</v>
      </c>
      <c r="T85">
        <v>102931</v>
      </c>
      <c r="U85">
        <f t="shared" si="14"/>
        <v>-1671</v>
      </c>
      <c r="V85">
        <v>6513</v>
      </c>
      <c r="W85">
        <v>383731</v>
      </c>
      <c r="X85">
        <v>375547</v>
      </c>
      <c r="Y85">
        <f t="shared" si="15"/>
        <v>8184</v>
      </c>
      <c r="Z85">
        <v>40538</v>
      </c>
      <c r="AA85">
        <v>11795358</v>
      </c>
      <c r="AB85">
        <v>254314</v>
      </c>
      <c r="AC85" s="128">
        <v>188704.22964314724</v>
      </c>
      <c r="AD85">
        <v>118530</v>
      </c>
      <c r="AE85" t="s">
        <v>179</v>
      </c>
      <c r="AF85" s="188">
        <f t="shared" si="16"/>
        <v>-5.828301596691432E-2</v>
      </c>
      <c r="AG85" s="188">
        <f t="shared" si="17"/>
        <v>0.42687716134479625</v>
      </c>
      <c r="AH85" s="188">
        <f t="shared" si="18"/>
        <v>0.13621260726915468</v>
      </c>
      <c r="AI85" s="188">
        <f t="shared" si="19"/>
        <v>0.17740813225931706</v>
      </c>
      <c r="AJ85" s="188">
        <f t="shared" si="20"/>
        <v>0.31903698163557287</v>
      </c>
      <c r="AK85" s="188">
        <f t="shared" si="21"/>
        <v>0.27990085273562604</v>
      </c>
      <c r="AL85" s="188">
        <f t="shared" si="22"/>
        <v>2.1327440316263217E-2</v>
      </c>
      <c r="AM85" s="188">
        <v>-3.2897646850672327E-3</v>
      </c>
      <c r="AN85" s="188">
        <v>-1.9146292647678063E-2</v>
      </c>
      <c r="AO85">
        <f t="shared" si="23"/>
        <v>2</v>
      </c>
      <c r="AP85" s="188">
        <f t="shared" si="24"/>
        <v>2.6410428138461579E-2</v>
      </c>
      <c r="AQ85" s="188">
        <f t="shared" si="25"/>
        <v>3.0738611162507069E-2</v>
      </c>
      <c r="AR85" s="188">
        <f t="shared" si="26"/>
        <v>0.66274030505744908</v>
      </c>
      <c r="AS85" s="128">
        <f t="shared" si="27"/>
        <v>1592.0377089609992</v>
      </c>
      <c r="AT85" s="188">
        <v>0.26300000000000001</v>
      </c>
      <c r="AU85" s="238">
        <v>5.2600000000000001E-2</v>
      </c>
      <c r="AV85">
        <v>7.5</v>
      </c>
      <c r="AY85" t="s">
        <v>346</v>
      </c>
      <c r="AZ85" s="129">
        <v>1517.170332093978</v>
      </c>
      <c r="BA85" t="s">
        <v>467</v>
      </c>
    </row>
    <row r="86" spans="1:55" x14ac:dyDescent="0.25">
      <c r="A86" t="s">
        <v>220</v>
      </c>
      <c r="B86">
        <v>1665</v>
      </c>
      <c r="C86">
        <v>8256</v>
      </c>
      <c r="D86">
        <v>36174</v>
      </c>
      <c r="E86">
        <v>8</v>
      </c>
      <c r="F86">
        <v>2813</v>
      </c>
      <c r="G86">
        <v>5893</v>
      </c>
      <c r="H86">
        <v>0</v>
      </c>
      <c r="I86">
        <v>1189</v>
      </c>
      <c r="J86">
        <v>0</v>
      </c>
      <c r="K86">
        <v>6852</v>
      </c>
      <c r="L86">
        <v>250</v>
      </c>
      <c r="M86">
        <v>11169</v>
      </c>
      <c r="N86">
        <v>14255</v>
      </c>
      <c r="O86">
        <v>2661</v>
      </c>
      <c r="P86">
        <v>50015</v>
      </c>
      <c r="Q86">
        <v>0</v>
      </c>
      <c r="R86">
        <v>0</v>
      </c>
      <c r="S86">
        <v>1638</v>
      </c>
      <c r="T86">
        <v>5701</v>
      </c>
      <c r="U86">
        <f t="shared" si="14"/>
        <v>-1</v>
      </c>
      <c r="V86">
        <v>-2731</v>
      </c>
      <c r="W86">
        <v>24492</v>
      </c>
      <c r="X86">
        <v>27222</v>
      </c>
      <c r="Y86">
        <f t="shared" si="15"/>
        <v>-2730</v>
      </c>
      <c r="Z86">
        <v>28368</v>
      </c>
      <c r="AA86">
        <v>1169551</v>
      </c>
      <c r="AB86">
        <v>13505</v>
      </c>
      <c r="AC86" s="128">
        <v>17729.111866867232</v>
      </c>
      <c r="AD86">
        <v>9362</v>
      </c>
      <c r="AE86" t="s">
        <v>220</v>
      </c>
      <c r="AF86" s="188">
        <f t="shared" si="16"/>
        <v>-1.0207414666013392E-2</v>
      </c>
      <c r="AG86" s="188">
        <f t="shared" si="17"/>
        <v>1.2402825412379552</v>
      </c>
      <c r="AH86" s="188">
        <f t="shared" si="18"/>
        <v>0.35546300832925037</v>
      </c>
      <c r="AI86" s="188">
        <f t="shared" si="19"/>
        <v>4.8546464151559693E-2</v>
      </c>
      <c r="AJ86" s="188">
        <f t="shared" si="20"/>
        <v>1.2489555773313734</v>
      </c>
      <c r="AK86" s="188">
        <f t="shared" si="21"/>
        <v>0.19193483236838563</v>
      </c>
      <c r="AL86" s="188">
        <f t="shared" si="22"/>
        <v>-0.11146496815286625</v>
      </c>
      <c r="AM86" s="188">
        <v>-7.8963230861965036E-2</v>
      </c>
      <c r="AN86" s="188">
        <v>-0.14142921080113383</v>
      </c>
      <c r="AO86">
        <f t="shared" si="23"/>
        <v>3</v>
      </c>
      <c r="AP86" s="188">
        <f t="shared" si="24"/>
        <v>0.28956393924546792</v>
      </c>
      <c r="AQ86" s="188">
        <f t="shared" si="25"/>
        <v>4.7752368120202518E-2</v>
      </c>
      <c r="AR86" s="188">
        <f t="shared" si="26"/>
        <v>0.55140454025804342</v>
      </c>
      <c r="AS86" s="128">
        <f t="shared" si="27"/>
        <v>1893.7312397850067</v>
      </c>
      <c r="AT86" s="188">
        <v>0.28549999999999998</v>
      </c>
      <c r="AU86" s="238">
        <v>5.7099999999999998E-2</v>
      </c>
      <c r="AV86">
        <v>3</v>
      </c>
      <c r="AY86" t="s">
        <v>437</v>
      </c>
      <c r="AZ86" s="129">
        <v>1390.3676194978896</v>
      </c>
      <c r="BA86" t="s">
        <v>467</v>
      </c>
    </row>
    <row r="87" spans="1:55" x14ac:dyDescent="0.25">
      <c r="A87" t="s">
        <v>754</v>
      </c>
      <c r="B87">
        <v>927</v>
      </c>
      <c r="C87">
        <v>6949</v>
      </c>
      <c r="D87">
        <v>156391</v>
      </c>
      <c r="E87">
        <v>3688</v>
      </c>
      <c r="F87">
        <v>4</v>
      </c>
      <c r="G87">
        <v>2636</v>
      </c>
      <c r="H87">
        <v>1270</v>
      </c>
      <c r="I87">
        <v>919</v>
      </c>
      <c r="J87">
        <v>3937</v>
      </c>
      <c r="K87">
        <v>23964</v>
      </c>
      <c r="L87">
        <v>23379</v>
      </c>
      <c r="M87">
        <v>104336</v>
      </c>
      <c r="N87">
        <v>69772</v>
      </c>
      <c r="O87">
        <v>10742</v>
      </c>
      <c r="P87">
        <v>86469</v>
      </c>
      <c r="Q87">
        <v>14</v>
      </c>
      <c r="R87">
        <v>680</v>
      </c>
      <c r="S87">
        <v>11509</v>
      </c>
      <c r="T87">
        <v>149496</v>
      </c>
      <c r="U87">
        <v>-25</v>
      </c>
      <c r="V87">
        <v>-6778</v>
      </c>
      <c r="W87">
        <v>232152</v>
      </c>
      <c r="X87">
        <v>238905</v>
      </c>
      <c r="Y87">
        <v>-6753</v>
      </c>
      <c r="Z87">
        <v>30761</v>
      </c>
      <c r="AA87">
        <v>-6192656.0000000019</v>
      </c>
      <c r="AB87">
        <v>154059</v>
      </c>
      <c r="AC87" s="128">
        <v>108461.07452176041</v>
      </c>
      <c r="AD87">
        <v>45587</v>
      </c>
      <c r="AE87" t="s">
        <v>754</v>
      </c>
      <c r="AF87" s="188">
        <v>-9.777645680416279E-2</v>
      </c>
      <c r="AG87" s="188">
        <v>0.398786140115097</v>
      </c>
      <c r="AH87" s="188">
        <v>1.1371859815982632E-2</v>
      </c>
      <c r="AI87" s="188">
        <v>2.0917330025155931E-2</v>
      </c>
      <c r="AJ87" s="188">
        <v>0.38550863227540577</v>
      </c>
      <c r="AK87" s="188">
        <v>0.21227812901223675</v>
      </c>
      <c r="AL87" s="188">
        <v>-2.9088700506564664E-2</v>
      </c>
      <c r="AM87" s="188">
        <v>4.3928643455622168E-2</v>
      </c>
      <c r="AN87" s="188">
        <v>4.9225413737727305E-2</v>
      </c>
      <c r="AO87">
        <v>1</v>
      </c>
      <c r="AP87" s="188">
        <v>3.3125926117371376E-2</v>
      </c>
      <c r="AQ87" s="188">
        <v>-2.6675006030531728E-2</v>
      </c>
      <c r="AR87" s="188">
        <v>0.66361263310245011</v>
      </c>
      <c r="AS87" s="128">
        <v>2379.2106197328276</v>
      </c>
      <c r="AT87" s="188">
        <v>0.25850000000000001</v>
      </c>
      <c r="AU87" s="238">
        <v>5.1700000000000003E-2</v>
      </c>
      <c r="AV87">
        <v>7.5</v>
      </c>
      <c r="AY87" t="s">
        <v>348</v>
      </c>
      <c r="AZ87" s="129">
        <v>1405.5883788968069</v>
      </c>
      <c r="BA87" t="s">
        <v>467</v>
      </c>
    </row>
    <row r="88" spans="1:55" x14ac:dyDescent="0.25">
      <c r="A88" t="s">
        <v>360</v>
      </c>
      <c r="B88">
        <v>418</v>
      </c>
      <c r="C88">
        <v>800</v>
      </c>
      <c r="D88">
        <v>46628</v>
      </c>
      <c r="E88">
        <v>0</v>
      </c>
      <c r="F88">
        <v>805</v>
      </c>
      <c r="G88">
        <v>159</v>
      </c>
      <c r="H88">
        <v>0</v>
      </c>
      <c r="I88">
        <v>4704</v>
      </c>
      <c r="J88">
        <v>0</v>
      </c>
      <c r="K88">
        <v>31295</v>
      </c>
      <c r="L88">
        <v>828</v>
      </c>
      <c r="M88">
        <v>3009</v>
      </c>
      <c r="N88">
        <v>48456</v>
      </c>
      <c r="O88">
        <v>23359</v>
      </c>
      <c r="P88">
        <v>8707</v>
      </c>
      <c r="Q88">
        <v>14</v>
      </c>
      <c r="R88">
        <v>0</v>
      </c>
      <c r="S88">
        <v>2618</v>
      </c>
      <c r="T88">
        <v>5491</v>
      </c>
      <c r="U88">
        <f t="shared" si="14"/>
        <v>2</v>
      </c>
      <c r="V88">
        <v>1989</v>
      </c>
      <c r="W88">
        <v>51426</v>
      </c>
      <c r="X88">
        <v>49439</v>
      </c>
      <c r="Y88">
        <f t="shared" si="15"/>
        <v>1987</v>
      </c>
      <c r="Z88">
        <v>2329</v>
      </c>
      <c r="AA88">
        <v>3126745.9999999991</v>
      </c>
      <c r="AB88">
        <v>32219</v>
      </c>
      <c r="AC88" s="128">
        <v>25798.746129318668</v>
      </c>
      <c r="AD88">
        <v>19528</v>
      </c>
      <c r="AE88" t="s">
        <v>360</v>
      </c>
      <c r="AF88" s="188">
        <f t="shared" si="16"/>
        <v>-1.6100805040252013E-2</v>
      </c>
      <c r="AG88" s="188">
        <f t="shared" si="17"/>
        <v>-0.3746353984365885</v>
      </c>
      <c r="AH88" s="188">
        <f t="shared" si="18"/>
        <v>1.8745381713530122E-2</v>
      </c>
      <c r="AI88" s="188">
        <f t="shared" si="19"/>
        <v>9.14712402286781E-2</v>
      </c>
      <c r="AJ88" s="188">
        <f t="shared" si="20"/>
        <v>-0.43641582079103952</v>
      </c>
      <c r="AK88" s="188">
        <f t="shared" si="21"/>
        <v>0.54662981555643297</v>
      </c>
      <c r="AL88" s="188">
        <f t="shared" si="22"/>
        <v>3.8638043013261777E-2</v>
      </c>
      <c r="AM88" s="188">
        <v>8.3954875033760618E-2</v>
      </c>
      <c r="AN88" s="188">
        <v>7.226671633451294E-2</v>
      </c>
      <c r="AO88">
        <f t="shared" si="23"/>
        <v>0</v>
      </c>
      <c r="AP88" s="188">
        <f t="shared" si="24"/>
        <v>1.1322093882471901E-2</v>
      </c>
      <c r="AQ88" s="188">
        <f t="shared" si="25"/>
        <v>6.0800878932835513E-2</v>
      </c>
      <c r="AR88" s="188">
        <f t="shared" si="26"/>
        <v>0.62651188114961298</v>
      </c>
      <c r="AS88" s="128">
        <f t="shared" si="27"/>
        <v>1321.115635462857</v>
      </c>
      <c r="AT88" s="188">
        <v>0.2145</v>
      </c>
      <c r="AU88" s="238">
        <v>4.2900000000000001E-2</v>
      </c>
      <c r="AV88">
        <v>8.5</v>
      </c>
      <c r="AY88" t="s">
        <v>349</v>
      </c>
      <c r="AZ88" s="129">
        <v>1553.3395444665234</v>
      </c>
      <c r="BA88" t="s">
        <v>467</v>
      </c>
    </row>
    <row r="89" spans="1:55" x14ac:dyDescent="0.25">
      <c r="A89" t="s">
        <v>404</v>
      </c>
      <c r="B89">
        <v>6350</v>
      </c>
      <c r="C89">
        <v>5065</v>
      </c>
      <c r="D89">
        <v>78024</v>
      </c>
      <c r="E89">
        <v>610</v>
      </c>
      <c r="F89">
        <v>2735</v>
      </c>
      <c r="G89">
        <v>4833</v>
      </c>
      <c r="H89">
        <v>0</v>
      </c>
      <c r="I89">
        <v>372</v>
      </c>
      <c r="J89">
        <v>0</v>
      </c>
      <c r="K89">
        <v>11100</v>
      </c>
      <c r="L89" s="207">
        <f>-111+111</f>
        <v>0</v>
      </c>
      <c r="M89" s="207">
        <f>-4+4</f>
        <v>0</v>
      </c>
      <c r="N89">
        <v>19717</v>
      </c>
      <c r="O89">
        <v>4631</v>
      </c>
      <c r="P89">
        <v>69657</v>
      </c>
      <c r="Q89">
        <v>5</v>
      </c>
      <c r="R89">
        <f>7500+111</f>
        <v>7611</v>
      </c>
      <c r="S89">
        <v>2890</v>
      </c>
      <c r="T89">
        <f>4574+4</f>
        <v>4578</v>
      </c>
      <c r="U89">
        <f t="shared" si="14"/>
        <v>-1</v>
      </c>
      <c r="V89">
        <v>286</v>
      </c>
      <c r="W89">
        <v>63014</v>
      </c>
      <c r="X89">
        <v>62727</v>
      </c>
      <c r="Y89">
        <f t="shared" si="15"/>
        <v>287</v>
      </c>
      <c r="Z89">
        <v>19343</v>
      </c>
      <c r="AA89">
        <v>1844142.9999999991</v>
      </c>
      <c r="AB89">
        <v>43237</v>
      </c>
      <c r="AC89" s="128">
        <v>37449.778025918873</v>
      </c>
      <c r="AD89">
        <v>25900</v>
      </c>
      <c r="AE89" t="s">
        <v>404</v>
      </c>
      <c r="AF89" s="188">
        <f t="shared" si="16"/>
        <v>0.12078268321325419</v>
      </c>
      <c r="AG89" s="188">
        <f t="shared" si="17"/>
        <v>1.0485447678293713</v>
      </c>
      <c r="AH89" s="188">
        <f t="shared" si="18"/>
        <v>0.12010029517250134</v>
      </c>
      <c r="AI89" s="188">
        <f t="shared" si="19"/>
        <v>5.9034500269781317E-3</v>
      </c>
      <c r="AJ89" s="188">
        <f t="shared" si="20"/>
        <v>1.058824388231187</v>
      </c>
      <c r="AK89" s="188">
        <f t="shared" si="21"/>
        <v>0.18074232965743567</v>
      </c>
      <c r="AL89" s="188">
        <f t="shared" si="22"/>
        <v>4.5545434347922685E-3</v>
      </c>
      <c r="AM89" s="188">
        <v>-6.7568312537900369E-2</v>
      </c>
      <c r="AN89" s="188">
        <v>-2.8526790880685104E-2</v>
      </c>
      <c r="AO89">
        <f t="shared" si="23"/>
        <v>2</v>
      </c>
      <c r="AP89" s="188">
        <f t="shared" si="24"/>
        <v>7.6740882978385758E-2</v>
      </c>
      <c r="AQ89" s="188">
        <f t="shared" si="25"/>
        <v>2.9265607642746043E-2</v>
      </c>
      <c r="AR89" s="188">
        <f t="shared" si="26"/>
        <v>0.68614910972164911</v>
      </c>
      <c r="AS89" s="128">
        <f t="shared" si="27"/>
        <v>1445.9373755181032</v>
      </c>
      <c r="AT89" s="188">
        <v>0.315</v>
      </c>
      <c r="AU89" s="238">
        <v>6.3E-2</v>
      </c>
      <c r="AV89">
        <v>5.5</v>
      </c>
      <c r="AY89" t="s">
        <v>170</v>
      </c>
      <c r="AZ89" s="129">
        <v>1540.8638255360497</v>
      </c>
      <c r="BA89" t="s">
        <v>467</v>
      </c>
    </row>
    <row r="90" spans="1:55" x14ac:dyDescent="0.25">
      <c r="A90" t="s">
        <v>361</v>
      </c>
      <c r="B90">
        <v>142980</v>
      </c>
      <c r="C90">
        <v>95832</v>
      </c>
      <c r="D90">
        <v>457004</v>
      </c>
      <c r="E90">
        <v>8119</v>
      </c>
      <c r="F90">
        <v>1564</v>
      </c>
      <c r="G90">
        <v>17348</v>
      </c>
      <c r="H90">
        <v>0</v>
      </c>
      <c r="I90">
        <v>90923</v>
      </c>
      <c r="J90">
        <v>6986</v>
      </c>
      <c r="K90">
        <v>85693</v>
      </c>
      <c r="L90">
        <v>35</v>
      </c>
      <c r="M90">
        <v>27091</v>
      </c>
      <c r="N90">
        <v>350613</v>
      </c>
      <c r="O90">
        <v>16016</v>
      </c>
      <c r="P90">
        <v>372266</v>
      </c>
      <c r="Q90">
        <v>491</v>
      </c>
      <c r="R90">
        <v>52105</v>
      </c>
      <c r="S90">
        <v>52087</v>
      </c>
      <c r="T90">
        <v>89998</v>
      </c>
      <c r="U90">
        <f t="shared" si="14"/>
        <v>16528</v>
      </c>
      <c r="V90">
        <v>49060</v>
      </c>
      <c r="W90">
        <v>1031003</v>
      </c>
      <c r="X90">
        <v>998471</v>
      </c>
      <c r="Y90">
        <f t="shared" si="15"/>
        <v>32532</v>
      </c>
      <c r="Z90">
        <v>56443</v>
      </c>
      <c r="AA90">
        <v>11203523.999999985</v>
      </c>
      <c r="AB90">
        <v>701074</v>
      </c>
      <c r="AC90" s="128">
        <v>505704.12837521068</v>
      </c>
      <c r="AD90">
        <v>235691</v>
      </c>
      <c r="AE90" t="s">
        <v>361</v>
      </c>
      <c r="AF90" s="188">
        <f t="shared" si="16"/>
        <v>5.0504217737484758E-2</v>
      </c>
      <c r="AG90" s="188">
        <f t="shared" si="17"/>
        <v>0.42212874259337752</v>
      </c>
      <c r="AH90" s="188">
        <f t="shared" si="18"/>
        <v>1.8343302589808177E-2</v>
      </c>
      <c r="AI90" s="188">
        <f t="shared" si="19"/>
        <v>9.4964806115986081E-2</v>
      </c>
      <c r="AJ90" s="188">
        <f t="shared" si="20"/>
        <v>0.35785457462296422</v>
      </c>
      <c r="AK90" s="188">
        <f t="shared" si="21"/>
        <v>0.37555914033779791</v>
      </c>
      <c r="AL90" s="188">
        <f t="shared" si="22"/>
        <v>3.1553739416859114E-2</v>
      </c>
      <c r="AM90" s="188">
        <v>5.4654688184418238E-2</v>
      </c>
      <c r="AN90" s="188">
        <v>7.7303118652268396E-2</v>
      </c>
      <c r="AO90">
        <f t="shared" si="23"/>
        <v>0</v>
      </c>
      <c r="AP90" s="188">
        <f t="shared" si="24"/>
        <v>1.368642962241623E-2</v>
      </c>
      <c r="AQ90" s="188">
        <f t="shared" si="25"/>
        <v>1.0866625994298742E-2</v>
      </c>
      <c r="AR90" s="188">
        <f t="shared" si="26"/>
        <v>0.679992201768569</v>
      </c>
      <c r="AS90" s="128">
        <f t="shared" si="27"/>
        <v>2145.62341529889</v>
      </c>
      <c r="AT90" s="188">
        <v>0.21000000000000002</v>
      </c>
      <c r="AU90" s="238">
        <v>4.2000000000000003E-2</v>
      </c>
      <c r="AV90">
        <v>9.5</v>
      </c>
      <c r="AY90" t="s">
        <v>350</v>
      </c>
      <c r="AZ90" s="129">
        <v>1455.8414752319293</v>
      </c>
      <c r="BA90" t="s">
        <v>467</v>
      </c>
    </row>
    <row r="91" spans="1:55" x14ac:dyDescent="0.25">
      <c r="A91" t="s">
        <v>180</v>
      </c>
      <c r="B91">
        <v>889</v>
      </c>
      <c r="C91">
        <v>10620</v>
      </c>
      <c r="D91">
        <v>44210</v>
      </c>
      <c r="E91">
        <v>2101</v>
      </c>
      <c r="F91">
        <v>84</v>
      </c>
      <c r="G91">
        <v>3935</v>
      </c>
      <c r="H91">
        <v>0</v>
      </c>
      <c r="I91">
        <v>2447</v>
      </c>
      <c r="J91">
        <v>0</v>
      </c>
      <c r="K91">
        <v>5151</v>
      </c>
      <c r="L91">
        <v>6308</v>
      </c>
      <c r="M91">
        <v>3442</v>
      </c>
      <c r="N91">
        <v>46672</v>
      </c>
      <c r="O91">
        <v>8347</v>
      </c>
      <c r="P91">
        <v>14013</v>
      </c>
      <c r="Q91">
        <v>1</v>
      </c>
      <c r="R91">
        <v>0</v>
      </c>
      <c r="S91">
        <v>4740</v>
      </c>
      <c r="T91">
        <v>5411</v>
      </c>
      <c r="U91">
        <f t="shared" si="14"/>
        <v>90</v>
      </c>
      <c r="V91">
        <v>1853</v>
      </c>
      <c r="W91">
        <v>57169</v>
      </c>
      <c r="X91">
        <v>55406</v>
      </c>
      <c r="Y91">
        <f t="shared" si="15"/>
        <v>1763</v>
      </c>
      <c r="Z91">
        <v>-974</v>
      </c>
      <c r="AA91">
        <v>6378025.9999999991</v>
      </c>
      <c r="AB91">
        <v>41320</v>
      </c>
      <c r="AC91" s="128">
        <v>33254.086055290099</v>
      </c>
      <c r="AD91">
        <v>23429</v>
      </c>
      <c r="AE91" t="s">
        <v>180</v>
      </c>
      <c r="AF91" s="188">
        <f t="shared" si="16"/>
        <v>-0.11033951966975108</v>
      </c>
      <c r="AG91" s="188">
        <f t="shared" si="17"/>
        <v>9.1745526421662088E-2</v>
      </c>
      <c r="AH91" s="188">
        <f t="shared" si="18"/>
        <v>7.030033759555003E-2</v>
      </c>
      <c r="AI91" s="188">
        <f t="shared" si="19"/>
        <v>4.2802917665168187E-2</v>
      </c>
      <c r="AJ91" s="188">
        <f t="shared" si="20"/>
        <v>7.0219524567510364E-2</v>
      </c>
      <c r="AK91" s="188">
        <f t="shared" si="21"/>
        <v>0.58941200242473224</v>
      </c>
      <c r="AL91" s="188">
        <f t="shared" si="22"/>
        <v>3.0838391435918069E-2</v>
      </c>
      <c r="AM91" s="188">
        <v>9.2236195611685617E-4</v>
      </c>
      <c r="AN91" s="188">
        <v>9.6339779005524869E-3</v>
      </c>
      <c r="AO91">
        <f t="shared" si="23"/>
        <v>0</v>
      </c>
      <c r="AP91" s="188">
        <f t="shared" si="24"/>
        <v>-4.2593013696233971E-3</v>
      </c>
      <c r="AQ91" s="188">
        <f t="shared" si="25"/>
        <v>0.11156441428046666</v>
      </c>
      <c r="AR91" s="188">
        <f t="shared" si="26"/>
        <v>0.72276933303013868</v>
      </c>
      <c r="AS91" s="128">
        <f t="shared" si="27"/>
        <v>1419.3557580472961</v>
      </c>
      <c r="AT91" s="188">
        <v>0.3165</v>
      </c>
      <c r="AU91" s="238">
        <v>6.3299999999999995E-2</v>
      </c>
      <c r="AV91">
        <v>8</v>
      </c>
      <c r="AY91" t="s">
        <v>244</v>
      </c>
      <c r="AZ91" s="129">
        <v>1371.8602587318564</v>
      </c>
      <c r="BA91" t="s">
        <v>467</v>
      </c>
      <c r="BB91">
        <v>1</v>
      </c>
    </row>
    <row r="92" spans="1:55" x14ac:dyDescent="0.25">
      <c r="A92" t="s">
        <v>110</v>
      </c>
      <c r="B92">
        <v>6430</v>
      </c>
      <c r="C92">
        <v>59980</v>
      </c>
      <c r="D92">
        <v>440898</v>
      </c>
      <c r="E92">
        <v>18734</v>
      </c>
      <c r="F92">
        <v>9285</v>
      </c>
      <c r="G92">
        <v>70996</v>
      </c>
      <c r="H92">
        <v>0</v>
      </c>
      <c r="I92">
        <v>58225</v>
      </c>
      <c r="J92">
        <v>27</v>
      </c>
      <c r="K92">
        <v>50518</v>
      </c>
      <c r="L92">
        <v>1027</v>
      </c>
      <c r="M92">
        <v>10523</v>
      </c>
      <c r="N92">
        <v>37579</v>
      </c>
      <c r="O92">
        <v>61372</v>
      </c>
      <c r="P92">
        <v>524443</v>
      </c>
      <c r="Q92">
        <v>262</v>
      </c>
      <c r="R92">
        <v>25000</v>
      </c>
      <c r="S92">
        <v>31148</v>
      </c>
      <c r="T92">
        <v>46841</v>
      </c>
      <c r="U92">
        <f t="shared" si="14"/>
        <v>-8</v>
      </c>
      <c r="V92">
        <v>10407</v>
      </c>
      <c r="W92">
        <v>474679</v>
      </c>
      <c r="X92">
        <v>464264</v>
      </c>
      <c r="Y92">
        <f t="shared" si="15"/>
        <v>10415</v>
      </c>
      <c r="Z92">
        <v>63962</v>
      </c>
      <c r="AA92">
        <v>-3182831</v>
      </c>
      <c r="AB92">
        <v>359499</v>
      </c>
      <c r="AC92" s="128">
        <v>196400.69007667247</v>
      </c>
      <c r="AD92">
        <v>107024</v>
      </c>
      <c r="AE92" t="s">
        <v>110</v>
      </c>
      <c r="AF92" s="188">
        <f t="shared" si="16"/>
        <v>5.0503603487830721E-2</v>
      </c>
      <c r="AG92" s="188">
        <f t="shared" si="17"/>
        <v>1.0224699217787179</v>
      </c>
      <c r="AH92" s="188">
        <f t="shared" si="18"/>
        <v>0.16912692577510274</v>
      </c>
      <c r="AI92" s="188">
        <f t="shared" si="19"/>
        <v>0.12271872149389376</v>
      </c>
      <c r="AJ92" s="188">
        <f t="shared" si="20"/>
        <v>0.95686204782600448</v>
      </c>
      <c r="AK92" s="188">
        <f t="shared" si="21"/>
        <v>5.1715762167220583E-2</v>
      </c>
      <c r="AL92" s="188">
        <f t="shared" si="22"/>
        <v>2.1941143383212656E-2</v>
      </c>
      <c r="AM92" s="188">
        <v>4.5079763398458506E-3</v>
      </c>
      <c r="AN92" s="188">
        <v>-6.709443833642946E-2</v>
      </c>
      <c r="AO92">
        <f t="shared" si="23"/>
        <v>1</v>
      </c>
      <c r="AP92" s="188">
        <f t="shared" si="24"/>
        <v>3.3686975829981945E-2</v>
      </c>
      <c r="AQ92" s="188">
        <f t="shared" si="25"/>
        <v>-6.7052281647176299E-3</v>
      </c>
      <c r="AR92" s="188">
        <f t="shared" si="26"/>
        <v>0.75735181038133137</v>
      </c>
      <c r="AS92" s="128">
        <f t="shared" si="27"/>
        <v>1835.1088548052069</v>
      </c>
      <c r="AT92" s="188">
        <v>0.26050000000000001</v>
      </c>
      <c r="AU92" s="238">
        <v>5.21E-2</v>
      </c>
      <c r="AV92">
        <v>6</v>
      </c>
      <c r="AY92" t="s">
        <v>245</v>
      </c>
      <c r="AZ92" s="129">
        <v>1471.1910712872818</v>
      </c>
      <c r="BA92" t="s">
        <v>467</v>
      </c>
    </row>
    <row r="93" spans="1:55" x14ac:dyDescent="0.25">
      <c r="A93" t="s">
        <v>251</v>
      </c>
      <c r="B93">
        <v>238</v>
      </c>
      <c r="C93">
        <v>9824</v>
      </c>
      <c r="D93">
        <v>37284</v>
      </c>
      <c r="E93">
        <v>432</v>
      </c>
      <c r="F93">
        <v>0</v>
      </c>
      <c r="G93">
        <v>5347</v>
      </c>
      <c r="H93">
        <v>0</v>
      </c>
      <c r="I93">
        <v>1008</v>
      </c>
      <c r="J93">
        <v>71</v>
      </c>
      <c r="K93">
        <v>2211</v>
      </c>
      <c r="L93">
        <v>3660</v>
      </c>
      <c r="M93">
        <v>7242</v>
      </c>
      <c r="N93">
        <v>13846</v>
      </c>
      <c r="O93">
        <v>2331</v>
      </c>
      <c r="P93">
        <v>38989</v>
      </c>
      <c r="Q93">
        <v>28</v>
      </c>
      <c r="R93">
        <v>0</v>
      </c>
      <c r="S93">
        <v>8173</v>
      </c>
      <c r="T93">
        <v>3950</v>
      </c>
      <c r="U93">
        <f t="shared" si="14"/>
        <v>-2</v>
      </c>
      <c r="V93">
        <v>-3136</v>
      </c>
      <c r="W93">
        <v>55361</v>
      </c>
      <c r="X93">
        <v>58495</v>
      </c>
      <c r="Y93">
        <f t="shared" si="15"/>
        <v>-3134</v>
      </c>
      <c r="Z93">
        <v>5774</v>
      </c>
      <c r="AA93">
        <v>1235955</v>
      </c>
      <c r="AB93">
        <v>41652</v>
      </c>
      <c r="AC93" s="128">
        <v>38122.088976385574</v>
      </c>
      <c r="AD93">
        <v>18637</v>
      </c>
      <c r="AE93" t="s">
        <v>251</v>
      </c>
      <c r="AF93" s="188">
        <f t="shared" si="16"/>
        <v>-6.6111522551977026E-2</v>
      </c>
      <c r="AG93" s="188">
        <f t="shared" si="17"/>
        <v>0.5903072560105489</v>
      </c>
      <c r="AH93" s="188">
        <f t="shared" si="18"/>
        <v>9.6584238001481193E-2</v>
      </c>
      <c r="AI93" s="188">
        <f t="shared" si="19"/>
        <v>1.9490254872563718E-2</v>
      </c>
      <c r="AJ93" s="188">
        <f t="shared" si="20"/>
        <v>0.58825418615993197</v>
      </c>
      <c r="AK93" s="188">
        <f t="shared" si="21"/>
        <v>0.20568355690241694</v>
      </c>
      <c r="AL93" s="188">
        <f t="shared" si="22"/>
        <v>-5.6610249092321312E-2</v>
      </c>
      <c r="AM93" s="188">
        <v>-8.2423435419440749E-2</v>
      </c>
      <c r="AN93" s="188">
        <v>-5.575706282996816E-2</v>
      </c>
      <c r="AO93">
        <f t="shared" si="23"/>
        <v>3</v>
      </c>
      <c r="AP93" s="188">
        <f t="shared" si="24"/>
        <v>2.6074312241469628E-2</v>
      </c>
      <c r="AQ93" s="188">
        <f t="shared" si="25"/>
        <v>2.2325373457849389E-2</v>
      </c>
      <c r="AR93" s="188">
        <f t="shared" si="26"/>
        <v>0.75237080255053201</v>
      </c>
      <c r="AS93" s="128">
        <f t="shared" si="27"/>
        <v>2045.5056595152423</v>
      </c>
      <c r="AT93" s="188">
        <v>0.3105</v>
      </c>
      <c r="AU93" s="238">
        <v>6.2100000000000002E-2</v>
      </c>
      <c r="AV93">
        <v>5.5</v>
      </c>
      <c r="AY93" t="s">
        <v>287</v>
      </c>
      <c r="AZ93" s="129">
        <v>1248.8220656126175</v>
      </c>
      <c r="BA93" t="s">
        <v>467</v>
      </c>
      <c r="BB93">
        <v>1</v>
      </c>
    </row>
    <row r="94" spans="1:55" x14ac:dyDescent="0.25">
      <c r="A94" t="s">
        <v>146</v>
      </c>
      <c r="B94">
        <v>11387</v>
      </c>
      <c r="C94">
        <v>60917</v>
      </c>
      <c r="D94">
        <v>363740</v>
      </c>
      <c r="E94">
        <v>1931</v>
      </c>
      <c r="F94">
        <v>6455</v>
      </c>
      <c r="G94">
        <v>32648</v>
      </c>
      <c r="H94">
        <v>2905</v>
      </c>
      <c r="I94">
        <v>20051</v>
      </c>
      <c r="J94">
        <v>4061</v>
      </c>
      <c r="K94">
        <v>96944</v>
      </c>
      <c r="L94">
        <v>4231</v>
      </c>
      <c r="M94">
        <v>15204</v>
      </c>
      <c r="N94">
        <v>158260</v>
      </c>
      <c r="O94">
        <v>31647</v>
      </c>
      <c r="P94">
        <v>304760</v>
      </c>
      <c r="Q94">
        <v>896</v>
      </c>
      <c r="R94">
        <v>30000</v>
      </c>
      <c r="S94">
        <v>58042</v>
      </c>
      <c r="T94">
        <v>36866</v>
      </c>
      <c r="U94">
        <f t="shared" si="14"/>
        <v>-969</v>
      </c>
      <c r="V94">
        <v>34887</v>
      </c>
      <c r="W94">
        <v>784807</v>
      </c>
      <c r="X94">
        <v>748951</v>
      </c>
      <c r="Y94">
        <f t="shared" si="15"/>
        <v>35856</v>
      </c>
      <c r="Z94">
        <v>-95355</v>
      </c>
      <c r="AA94">
        <v>-11317680</v>
      </c>
      <c r="AB94">
        <v>554706</v>
      </c>
      <c r="AC94" s="128">
        <v>314284.83733088913</v>
      </c>
      <c r="AD94">
        <v>159732</v>
      </c>
      <c r="AE94" t="s">
        <v>146</v>
      </c>
      <c r="AF94" s="188">
        <f t="shared" si="16"/>
        <v>3.283482435809059E-2</v>
      </c>
      <c r="AG94" s="188">
        <f t="shared" si="17"/>
        <v>0.34680755905592076</v>
      </c>
      <c r="AH94" s="188">
        <f t="shared" si="18"/>
        <v>4.9824988818907068E-2</v>
      </c>
      <c r="AI94" s="188">
        <f t="shared" si="19"/>
        <v>3.0723477237078672E-2</v>
      </c>
      <c r="AJ94" s="188">
        <f t="shared" si="20"/>
        <v>0.3312801236482345</v>
      </c>
      <c r="AK94" s="188">
        <f t="shared" si="21"/>
        <v>0.25506429792850915</v>
      </c>
      <c r="AL94" s="188">
        <f t="shared" si="22"/>
        <v>4.5687665884733442E-2</v>
      </c>
      <c r="AM94" s="188">
        <v>-6.5564089033736247E-3</v>
      </c>
      <c r="AN94" s="188">
        <v>3.4648787801635127E-2</v>
      </c>
      <c r="AO94">
        <f t="shared" si="23"/>
        <v>1</v>
      </c>
      <c r="AP94" s="188">
        <f t="shared" si="24"/>
        <v>-3.0375302462898521E-2</v>
      </c>
      <c r="AQ94" s="188">
        <f t="shared" si="25"/>
        <v>-1.4420972290002511E-2</v>
      </c>
      <c r="AR94" s="188">
        <f t="shared" si="26"/>
        <v>0.70680562227401134</v>
      </c>
      <c r="AS94" s="128">
        <f t="shared" si="27"/>
        <v>1967.5759229890637</v>
      </c>
      <c r="AT94" s="188">
        <v>0.1515</v>
      </c>
      <c r="AU94" s="238">
        <v>3.0300000000000001E-2</v>
      </c>
      <c r="AV94">
        <v>8</v>
      </c>
      <c r="AY94" t="s">
        <v>351</v>
      </c>
      <c r="AZ94" s="129">
        <v>1463.8079740683843</v>
      </c>
      <c r="BA94" t="s">
        <v>467</v>
      </c>
    </row>
    <row r="95" spans="1:55" x14ac:dyDescent="0.25">
      <c r="A95" t="s">
        <v>181</v>
      </c>
      <c r="B95">
        <v>150</v>
      </c>
      <c r="C95">
        <v>3982</v>
      </c>
      <c r="D95">
        <v>55695</v>
      </c>
      <c r="E95">
        <v>0</v>
      </c>
      <c r="F95">
        <v>0</v>
      </c>
      <c r="G95">
        <v>5128</v>
      </c>
      <c r="H95">
        <v>194</v>
      </c>
      <c r="I95">
        <v>-564</v>
      </c>
      <c r="J95">
        <v>0</v>
      </c>
      <c r="K95">
        <v>4060</v>
      </c>
      <c r="L95">
        <v>80</v>
      </c>
      <c r="M95">
        <v>11581</v>
      </c>
      <c r="N95">
        <v>60775</v>
      </c>
      <c r="O95">
        <v>9262</v>
      </c>
      <c r="P95">
        <v>0</v>
      </c>
      <c r="Q95">
        <v>0</v>
      </c>
      <c r="R95">
        <v>0</v>
      </c>
      <c r="S95">
        <v>4848</v>
      </c>
      <c r="T95">
        <v>5423</v>
      </c>
      <c r="U95">
        <f t="shared" si="14"/>
        <v>-1</v>
      </c>
      <c r="V95">
        <v>3399</v>
      </c>
      <c r="W95">
        <v>83336</v>
      </c>
      <c r="X95">
        <v>79936</v>
      </c>
      <c r="Y95">
        <f t="shared" si="15"/>
        <v>3400</v>
      </c>
      <c r="Z95">
        <v>10674</v>
      </c>
      <c r="AA95">
        <v>5111876</v>
      </c>
      <c r="AB95">
        <v>59107</v>
      </c>
      <c r="AC95" s="128">
        <v>48853.867982407661</v>
      </c>
      <c r="AD95">
        <v>33198</v>
      </c>
      <c r="AE95" t="s">
        <v>181</v>
      </c>
      <c r="AF95" s="188">
        <f t="shared" si="16"/>
        <v>-9.5996928098300853E-4</v>
      </c>
      <c r="AG95" s="188">
        <f t="shared" si="17"/>
        <v>-0.1292598636843621</v>
      </c>
      <c r="AH95" s="188">
        <f t="shared" si="18"/>
        <v>6.1534030911010847E-2</v>
      </c>
      <c r="AI95" s="188">
        <f t="shared" si="19"/>
        <v>-6.7677834309302102E-3</v>
      </c>
      <c r="AJ95" s="188">
        <f t="shared" si="20"/>
        <v>-0.11713833157338965</v>
      </c>
      <c r="AK95" s="188">
        <f t="shared" si="21"/>
        <v>0.75677392040643521</v>
      </c>
      <c r="AL95" s="188">
        <f t="shared" si="22"/>
        <v>4.0798694441777861E-2</v>
      </c>
      <c r="AM95" s="188">
        <v>3.6210104479748102E-2</v>
      </c>
      <c r="AN95" s="188">
        <v>5.459630660774948E-2</v>
      </c>
      <c r="AO95">
        <f t="shared" si="23"/>
        <v>0</v>
      </c>
      <c r="AP95" s="188">
        <f t="shared" si="24"/>
        <v>3.2020975328789482E-2</v>
      </c>
      <c r="AQ95" s="188">
        <f t="shared" si="25"/>
        <v>6.1340549102428719E-2</v>
      </c>
      <c r="AR95" s="188">
        <f t="shared" si="26"/>
        <v>0.70926130363828355</v>
      </c>
      <c r="AS95" s="128">
        <f t="shared" si="27"/>
        <v>1471.5906977049117</v>
      </c>
      <c r="AT95" s="188">
        <v>0.2485</v>
      </c>
      <c r="AU95" s="238">
        <v>4.9700000000000001E-2</v>
      </c>
      <c r="AV95">
        <v>8.5</v>
      </c>
      <c r="AY95" t="s">
        <v>330</v>
      </c>
      <c r="AZ95" s="129">
        <v>1712.8474877261167</v>
      </c>
      <c r="BA95" t="s">
        <v>467</v>
      </c>
    </row>
    <row r="96" spans="1:55" x14ac:dyDescent="0.25">
      <c r="A96" t="s">
        <v>182</v>
      </c>
      <c r="B96">
        <v>0</v>
      </c>
      <c r="C96">
        <v>2597</v>
      </c>
      <c r="D96">
        <v>55692</v>
      </c>
      <c r="E96">
        <v>795</v>
      </c>
      <c r="F96">
        <v>0</v>
      </c>
      <c r="G96">
        <v>4388</v>
      </c>
      <c r="H96">
        <v>4003</v>
      </c>
      <c r="I96">
        <v>-542</v>
      </c>
      <c r="J96">
        <v>2</v>
      </c>
      <c r="K96">
        <v>37856</v>
      </c>
      <c r="L96">
        <v>154</v>
      </c>
      <c r="M96">
        <v>5987</v>
      </c>
      <c r="N96">
        <v>43669</v>
      </c>
      <c r="O96">
        <v>14513</v>
      </c>
      <c r="P96">
        <v>37200</v>
      </c>
      <c r="Q96">
        <v>1</v>
      </c>
      <c r="R96">
        <v>0</v>
      </c>
      <c r="S96">
        <v>2393</v>
      </c>
      <c r="T96">
        <v>13156</v>
      </c>
      <c r="U96">
        <f t="shared" si="14"/>
        <v>0</v>
      </c>
      <c r="V96">
        <v>-2001</v>
      </c>
      <c r="W96">
        <v>84157</v>
      </c>
      <c r="X96">
        <v>86158</v>
      </c>
      <c r="Y96">
        <f t="shared" si="15"/>
        <v>-2001</v>
      </c>
      <c r="Z96">
        <v>23119</v>
      </c>
      <c r="AA96">
        <v>1252849</v>
      </c>
      <c r="AB96">
        <v>49626</v>
      </c>
      <c r="AC96" s="128">
        <v>52139.584926311021</v>
      </c>
      <c r="AD96">
        <v>27016</v>
      </c>
      <c r="AE96" t="s">
        <v>182</v>
      </c>
      <c r="AF96" s="188">
        <f t="shared" si="16"/>
        <v>-1.8299131385386836E-3</v>
      </c>
      <c r="AG96" s="188">
        <f t="shared" si="17"/>
        <v>4.3014841308506718E-3</v>
      </c>
      <c r="AH96" s="188">
        <f t="shared" si="18"/>
        <v>5.2140641895504831E-2</v>
      </c>
      <c r="AI96" s="188">
        <f t="shared" si="19"/>
        <v>-6.4165785377330465E-3</v>
      </c>
      <c r="AJ96" s="188">
        <f t="shared" si="20"/>
        <v>1.5049966134724384E-2</v>
      </c>
      <c r="AK96" s="188">
        <f t="shared" si="21"/>
        <v>0.39365557278332675</v>
      </c>
      <c r="AL96" s="188">
        <f t="shared" si="22"/>
        <v>-2.3776988248155235E-2</v>
      </c>
      <c r="AM96" s="188">
        <v>-4.4324507541684592E-2</v>
      </c>
      <c r="AN96" s="188">
        <v>-3.0431791509853912E-2</v>
      </c>
      <c r="AO96">
        <f t="shared" si="23"/>
        <v>3</v>
      </c>
      <c r="AP96" s="188">
        <f t="shared" si="24"/>
        <v>6.8678184821226992E-2</v>
      </c>
      <c r="AQ96" s="188">
        <f t="shared" si="25"/>
        <v>1.4887044452630203E-2</v>
      </c>
      <c r="AR96" s="188">
        <f t="shared" si="26"/>
        <v>0.58968356761766694</v>
      </c>
      <c r="AS96" s="128">
        <f t="shared" si="27"/>
        <v>1929.9520627150957</v>
      </c>
      <c r="AT96" s="188">
        <v>0.29499999999999998</v>
      </c>
      <c r="AU96" s="238">
        <v>5.8999999999999997E-2</v>
      </c>
      <c r="AV96">
        <v>6</v>
      </c>
      <c r="AY96" t="s">
        <v>288</v>
      </c>
      <c r="AZ96" s="129">
        <v>1780.3228753381061</v>
      </c>
      <c r="BA96" t="s">
        <v>467</v>
      </c>
      <c r="BC96">
        <v>1</v>
      </c>
    </row>
    <row r="97" spans="1:55" x14ac:dyDescent="0.25">
      <c r="A97" t="s">
        <v>362</v>
      </c>
      <c r="B97">
        <v>0</v>
      </c>
      <c r="C97">
        <v>9428</v>
      </c>
      <c r="D97">
        <v>119311</v>
      </c>
      <c r="E97">
        <v>202</v>
      </c>
      <c r="F97">
        <v>0</v>
      </c>
      <c r="G97">
        <v>2175</v>
      </c>
      <c r="H97">
        <v>454</v>
      </c>
      <c r="I97">
        <v>8202</v>
      </c>
      <c r="J97">
        <v>0</v>
      </c>
      <c r="K97">
        <v>9307</v>
      </c>
      <c r="L97">
        <f>19+1899</f>
        <v>1918</v>
      </c>
      <c r="M97">
        <v>6106</v>
      </c>
      <c r="N97">
        <v>36383</v>
      </c>
      <c r="O97">
        <v>38452</v>
      </c>
      <c r="P97">
        <v>67500</v>
      </c>
      <c r="Q97">
        <v>91</v>
      </c>
      <c r="R97" s="207">
        <f>-1899+1899</f>
        <v>0</v>
      </c>
      <c r="S97">
        <v>4880</v>
      </c>
      <c r="T97">
        <v>9794</v>
      </c>
      <c r="U97">
        <f t="shared" si="14"/>
        <v>996</v>
      </c>
      <c r="V97">
        <v>2672</v>
      </c>
      <c r="W97">
        <v>122860</v>
      </c>
      <c r="X97">
        <v>121184</v>
      </c>
      <c r="Y97">
        <f t="shared" si="15"/>
        <v>1676</v>
      </c>
      <c r="Z97">
        <v>28517</v>
      </c>
      <c r="AA97">
        <v>4776520.9999999981</v>
      </c>
      <c r="AB97">
        <v>85513</v>
      </c>
      <c r="AC97" s="128">
        <v>70152.18078497627</v>
      </c>
      <c r="AD97">
        <v>43869</v>
      </c>
      <c r="AE97" t="s">
        <v>362</v>
      </c>
      <c r="AF97" s="188">
        <f t="shared" si="16"/>
        <v>-1.5611264854305714E-2</v>
      </c>
      <c r="AG97" s="188">
        <f t="shared" si="17"/>
        <v>0.50712192739703732</v>
      </c>
      <c r="AH97" s="188">
        <f t="shared" si="18"/>
        <v>1.7703076672635522E-2</v>
      </c>
      <c r="AI97" s="188">
        <f t="shared" si="19"/>
        <v>6.6758912583428295E-2</v>
      </c>
      <c r="AJ97" s="188">
        <f t="shared" si="20"/>
        <v>0.46251505778935376</v>
      </c>
      <c r="AK97" s="188">
        <f t="shared" si="21"/>
        <v>0.23159134309357096</v>
      </c>
      <c r="AL97" s="188">
        <f t="shared" si="22"/>
        <v>1.3641543219925119E-2</v>
      </c>
      <c r="AM97" s="188">
        <v>-3.9575019698548659E-2</v>
      </c>
      <c r="AN97" s="188">
        <v>-4.2252681256335772E-2</v>
      </c>
      <c r="AO97">
        <f t="shared" si="23"/>
        <v>2</v>
      </c>
      <c r="AP97" s="188">
        <f t="shared" si="24"/>
        <v>5.802742959466059E-2</v>
      </c>
      <c r="AQ97" s="188">
        <f t="shared" si="25"/>
        <v>3.8877755168484442E-2</v>
      </c>
      <c r="AR97" s="188">
        <f t="shared" si="26"/>
        <v>0.69601986000325577</v>
      </c>
      <c r="AS97" s="128">
        <f t="shared" si="27"/>
        <v>1599.1287876399342</v>
      </c>
      <c r="AT97" s="188">
        <v>0.23550000000000001</v>
      </c>
      <c r="AU97" s="238">
        <v>4.7100000000000003E-2</v>
      </c>
      <c r="AV97">
        <v>8</v>
      </c>
      <c r="AY97" t="s">
        <v>171</v>
      </c>
      <c r="AZ97" s="129">
        <v>1481.9206736308624</v>
      </c>
      <c r="BA97" t="s">
        <v>467</v>
      </c>
    </row>
    <row r="98" spans="1:55" x14ac:dyDescent="0.25">
      <c r="A98" t="s">
        <v>363</v>
      </c>
      <c r="B98">
        <v>333</v>
      </c>
      <c r="C98">
        <v>6070</v>
      </c>
      <c r="D98">
        <v>44553</v>
      </c>
      <c r="E98">
        <v>401</v>
      </c>
      <c r="F98">
        <v>0</v>
      </c>
      <c r="G98">
        <v>2318</v>
      </c>
      <c r="H98">
        <v>12</v>
      </c>
      <c r="I98">
        <v>-1370</v>
      </c>
      <c r="J98">
        <v>2518</v>
      </c>
      <c r="K98">
        <v>3055</v>
      </c>
      <c r="L98">
        <v>17</v>
      </c>
      <c r="M98">
        <v>8794</v>
      </c>
      <c r="N98">
        <v>12753</v>
      </c>
      <c r="O98">
        <v>11086</v>
      </c>
      <c r="P98">
        <v>25038</v>
      </c>
      <c r="Q98">
        <v>3</v>
      </c>
      <c r="R98">
        <v>7697</v>
      </c>
      <c r="S98">
        <v>3667</v>
      </c>
      <c r="T98">
        <v>6457</v>
      </c>
      <c r="U98">
        <f t="shared" si="14"/>
        <v>105</v>
      </c>
      <c r="V98">
        <v>263</v>
      </c>
      <c r="W98">
        <v>58921</v>
      </c>
      <c r="X98">
        <v>58763</v>
      </c>
      <c r="Y98">
        <f t="shared" si="15"/>
        <v>158</v>
      </c>
      <c r="Z98">
        <v>11815</v>
      </c>
      <c r="AA98">
        <v>513531</v>
      </c>
      <c r="AB98">
        <v>39471</v>
      </c>
      <c r="AC98" s="128">
        <v>36367.574450206914</v>
      </c>
      <c r="AD98">
        <v>21770</v>
      </c>
      <c r="AE98" t="s">
        <v>363</v>
      </c>
      <c r="AF98" s="188">
        <f t="shared" si="16"/>
        <v>0.13034401995892805</v>
      </c>
      <c r="AG98" s="188">
        <f t="shared" si="17"/>
        <v>0.4865158432477385</v>
      </c>
      <c r="AH98" s="188">
        <f t="shared" si="18"/>
        <v>3.934081227406188E-2</v>
      </c>
      <c r="AI98" s="188">
        <f t="shared" si="19"/>
        <v>1.9483715483443933E-2</v>
      </c>
      <c r="AJ98" s="188">
        <f t="shared" si="20"/>
        <v>0.47759813988221522</v>
      </c>
      <c r="AK98" s="188">
        <f t="shared" si="21"/>
        <v>0.19119653378510068</v>
      </c>
      <c r="AL98" s="188">
        <f t="shared" si="22"/>
        <v>2.6815566606133638E-3</v>
      </c>
      <c r="AM98" s="188">
        <v>-1.5895652173913043E-2</v>
      </c>
      <c r="AN98" s="188">
        <v>-1.8864765306691969E-2</v>
      </c>
      <c r="AO98">
        <f t="shared" si="23"/>
        <v>2</v>
      </c>
      <c r="AP98" s="188">
        <f t="shared" si="24"/>
        <v>5.0130683457510906E-2</v>
      </c>
      <c r="AQ98" s="188">
        <f t="shared" si="25"/>
        <v>8.7155852751989952E-3</v>
      </c>
      <c r="AR98" s="188">
        <f t="shared" si="26"/>
        <v>0.66989698070297521</v>
      </c>
      <c r="AS98" s="128">
        <f t="shared" si="27"/>
        <v>1670.5362632157517</v>
      </c>
      <c r="AT98" s="188">
        <v>0.26400000000000001</v>
      </c>
      <c r="AU98" s="238">
        <v>5.28E-2</v>
      </c>
      <c r="AV98">
        <v>6.5</v>
      </c>
      <c r="AY98" t="s">
        <v>216</v>
      </c>
      <c r="AZ98" s="129">
        <v>1532.2797617112071</v>
      </c>
      <c r="BA98" t="s">
        <v>467</v>
      </c>
    </row>
    <row r="99" spans="1:55" x14ac:dyDescent="0.25">
      <c r="A99" t="s">
        <v>364</v>
      </c>
      <c r="B99">
        <v>13707</v>
      </c>
      <c r="C99">
        <v>6222</v>
      </c>
      <c r="D99">
        <v>98496</v>
      </c>
      <c r="E99">
        <v>170</v>
      </c>
      <c r="F99">
        <v>0</v>
      </c>
      <c r="G99">
        <v>10332</v>
      </c>
      <c r="H99">
        <v>-77</v>
      </c>
      <c r="I99">
        <v>18583</v>
      </c>
      <c r="J99">
        <v>0</v>
      </c>
      <c r="K99">
        <v>9548</v>
      </c>
      <c r="L99" s="207">
        <f>-2181+2181</f>
        <v>0</v>
      </c>
      <c r="M99">
        <v>5735</v>
      </c>
      <c r="N99">
        <v>43305</v>
      </c>
      <c r="O99">
        <v>15680</v>
      </c>
      <c r="P99">
        <v>80926</v>
      </c>
      <c r="Q99">
        <v>368</v>
      </c>
      <c r="R99">
        <f>5000+2181</f>
        <v>7181</v>
      </c>
      <c r="S99">
        <v>7343</v>
      </c>
      <c r="T99">
        <v>7914</v>
      </c>
      <c r="U99">
        <f t="shared" si="14"/>
        <v>1</v>
      </c>
      <c r="V99">
        <v>8</v>
      </c>
      <c r="W99">
        <v>98353</v>
      </c>
      <c r="X99">
        <v>98346</v>
      </c>
      <c r="Y99">
        <f t="shared" si="15"/>
        <v>7</v>
      </c>
      <c r="Z99">
        <v>30550</v>
      </c>
      <c r="AA99">
        <v>5864978.9999999981</v>
      </c>
      <c r="AB99">
        <v>74709</v>
      </c>
      <c r="AC99" s="128">
        <v>59262.116713089083</v>
      </c>
      <c r="AD99">
        <v>40066</v>
      </c>
      <c r="AE99" t="s">
        <v>364</v>
      </c>
      <c r="AF99" s="188">
        <f t="shared" si="16"/>
        <v>7.3012516140839631E-2</v>
      </c>
      <c r="AG99" s="188">
        <f t="shared" si="17"/>
        <v>0.79503421349628378</v>
      </c>
      <c r="AH99" s="188">
        <f t="shared" si="18"/>
        <v>0.10505017640539689</v>
      </c>
      <c r="AI99" s="188">
        <f t="shared" si="19"/>
        <v>0.18894187264242066</v>
      </c>
      <c r="AJ99" s="188">
        <f t="shared" si="20"/>
        <v>0.67538092381523696</v>
      </c>
      <c r="AK99" s="188">
        <f t="shared" si="21"/>
        <v>0.26613691255369754</v>
      </c>
      <c r="AL99" s="188">
        <f t="shared" si="22"/>
        <v>7.1172206236718759E-5</v>
      </c>
      <c r="AM99" s="188">
        <v>-6.433984580339934E-2</v>
      </c>
      <c r="AN99" s="188">
        <v>-5.6523276891109246E-2</v>
      </c>
      <c r="AO99">
        <f t="shared" si="23"/>
        <v>2</v>
      </c>
      <c r="AP99" s="188">
        <f t="shared" si="24"/>
        <v>7.7653960733277072E-2</v>
      </c>
      <c r="AQ99" s="188">
        <f t="shared" si="25"/>
        <v>5.9631927851717774E-2</v>
      </c>
      <c r="AR99" s="188">
        <f t="shared" si="26"/>
        <v>0.75960062224843172</v>
      </c>
      <c r="AS99" s="128">
        <f t="shared" si="27"/>
        <v>1479.1123823962732</v>
      </c>
      <c r="AT99" s="188">
        <v>0.26400000000000001</v>
      </c>
      <c r="AU99" s="238">
        <v>5.28E-2</v>
      </c>
      <c r="AV99">
        <v>6</v>
      </c>
      <c r="AY99" t="s">
        <v>217</v>
      </c>
      <c r="AZ99" s="129">
        <v>1457.354638664754</v>
      </c>
      <c r="BA99" t="s">
        <v>467</v>
      </c>
    </row>
    <row r="100" spans="1:55" x14ac:dyDescent="0.25">
      <c r="A100" t="s">
        <v>365</v>
      </c>
      <c r="B100">
        <v>3083</v>
      </c>
      <c r="C100">
        <v>15710</v>
      </c>
      <c r="D100">
        <v>65243</v>
      </c>
      <c r="E100">
        <v>189</v>
      </c>
      <c r="F100">
        <v>13033</v>
      </c>
      <c r="G100">
        <v>13819</v>
      </c>
      <c r="H100">
        <v>-358</v>
      </c>
      <c r="I100">
        <v>23344</v>
      </c>
      <c r="J100">
        <v>3</v>
      </c>
      <c r="K100">
        <v>23807</v>
      </c>
      <c r="L100">
        <v>704</v>
      </c>
      <c r="M100">
        <f>644+3998</f>
        <v>4642</v>
      </c>
      <c r="N100">
        <v>15430</v>
      </c>
      <c r="O100">
        <v>30027</v>
      </c>
      <c r="P100">
        <v>106990</v>
      </c>
      <c r="Q100">
        <v>24</v>
      </c>
      <c r="R100">
        <v>537</v>
      </c>
      <c r="S100">
        <v>10212</v>
      </c>
      <c r="T100" s="207">
        <f>-3998+3998</f>
        <v>0</v>
      </c>
      <c r="U100">
        <f t="shared" si="14"/>
        <v>-1</v>
      </c>
      <c r="V100">
        <v>2735</v>
      </c>
      <c r="W100">
        <v>95470</v>
      </c>
      <c r="X100">
        <v>92734</v>
      </c>
      <c r="Y100">
        <f t="shared" si="15"/>
        <v>2736</v>
      </c>
      <c r="Z100">
        <v>295</v>
      </c>
      <c r="AA100">
        <v>762469.99999999814</v>
      </c>
      <c r="AB100">
        <v>60183</v>
      </c>
      <c r="AC100" s="128">
        <v>47914.989120912804</v>
      </c>
      <c r="AD100">
        <v>30760</v>
      </c>
      <c r="AE100" t="s">
        <v>365</v>
      </c>
      <c r="AF100" s="188">
        <f t="shared" si="16"/>
        <v>-1.7492405991410913E-3</v>
      </c>
      <c r="AG100" s="188">
        <f t="shared" si="17"/>
        <v>0.65063370692364098</v>
      </c>
      <c r="AH100" s="188">
        <f t="shared" si="18"/>
        <v>0.28126112915051849</v>
      </c>
      <c r="AI100" s="188">
        <f t="shared" si="19"/>
        <v>0.24454802555776683</v>
      </c>
      <c r="AJ100" s="188">
        <f t="shared" si="20"/>
        <v>0.51320142453126638</v>
      </c>
      <c r="AK100" s="188">
        <f t="shared" si="21"/>
        <v>9.4534983457909574E-2</v>
      </c>
      <c r="AL100" s="188">
        <f t="shared" si="22"/>
        <v>2.8658217241018122E-2</v>
      </c>
      <c r="AM100" s="188">
        <v>5.4052015637373829E-2</v>
      </c>
      <c r="AN100" s="188">
        <v>3.3066156528477338E-2</v>
      </c>
      <c r="AO100">
        <f t="shared" si="23"/>
        <v>0</v>
      </c>
      <c r="AP100" s="188">
        <f t="shared" si="24"/>
        <v>7.7249397716560176E-4</v>
      </c>
      <c r="AQ100" s="188">
        <f t="shared" si="25"/>
        <v>7.9864879019587113E-3</v>
      </c>
      <c r="AR100" s="188">
        <f t="shared" si="26"/>
        <v>0.63038650885094794</v>
      </c>
      <c r="AS100" s="128">
        <f t="shared" si="27"/>
        <v>1557.7044577669963</v>
      </c>
      <c r="AT100" s="188">
        <v>0.16049999999999998</v>
      </c>
      <c r="AU100" s="238">
        <v>3.2099999999999997E-2</v>
      </c>
      <c r="AV100">
        <v>9</v>
      </c>
      <c r="AY100" t="s">
        <v>173</v>
      </c>
      <c r="AZ100" s="129">
        <v>1812.9664931269479</v>
      </c>
      <c r="BA100" t="s">
        <v>467</v>
      </c>
    </row>
    <row r="101" spans="1:55" x14ac:dyDescent="0.25">
      <c r="A101" t="s">
        <v>405</v>
      </c>
      <c r="B101">
        <v>0</v>
      </c>
      <c r="C101">
        <v>367</v>
      </c>
      <c r="D101">
        <v>42082</v>
      </c>
      <c r="E101">
        <v>132</v>
      </c>
      <c r="F101">
        <v>1020</v>
      </c>
      <c r="G101">
        <v>23</v>
      </c>
      <c r="H101">
        <v>490</v>
      </c>
      <c r="I101">
        <v>2413</v>
      </c>
      <c r="J101">
        <v>0</v>
      </c>
      <c r="K101">
        <v>7578</v>
      </c>
      <c r="L101">
        <v>254</v>
      </c>
      <c r="M101">
        <v>6972</v>
      </c>
      <c r="N101">
        <v>18537</v>
      </c>
      <c r="O101">
        <v>8449</v>
      </c>
      <c r="P101">
        <v>14056</v>
      </c>
      <c r="Q101">
        <v>14</v>
      </c>
      <c r="R101">
        <v>10000</v>
      </c>
      <c r="S101">
        <v>2208</v>
      </c>
      <c r="T101">
        <v>8067</v>
      </c>
      <c r="U101">
        <f t="shared" si="14"/>
        <v>8</v>
      </c>
      <c r="V101">
        <v>-1470</v>
      </c>
      <c r="W101">
        <v>51523</v>
      </c>
      <c r="X101">
        <v>53001</v>
      </c>
      <c r="Y101">
        <f t="shared" si="15"/>
        <v>-1478</v>
      </c>
      <c r="Z101">
        <v>9785</v>
      </c>
      <c r="AA101">
        <v>1722036</v>
      </c>
      <c r="AB101">
        <v>38923</v>
      </c>
      <c r="AC101" s="128">
        <v>30137.548244269012</v>
      </c>
      <c r="AD101">
        <v>17035</v>
      </c>
      <c r="AE101" t="s">
        <v>405</v>
      </c>
      <c r="AF101" s="188">
        <f t="shared" si="16"/>
        <v>0.18915824000931622</v>
      </c>
      <c r="AG101" s="188">
        <f t="shared" si="17"/>
        <v>0.34951380936669063</v>
      </c>
      <c r="AH101" s="188">
        <f t="shared" si="18"/>
        <v>2.0243386448770453E-2</v>
      </c>
      <c r="AI101" s="188">
        <f t="shared" si="19"/>
        <v>4.6833453020980922E-2</v>
      </c>
      <c r="AJ101" s="188">
        <f t="shared" si="20"/>
        <v>0.31915959862585647</v>
      </c>
      <c r="AK101" s="188">
        <f t="shared" si="21"/>
        <v>0.30224519411064549</v>
      </c>
      <c r="AL101" s="188">
        <f t="shared" si="22"/>
        <v>-2.86862178056402E-2</v>
      </c>
      <c r="AM101" s="188">
        <v>2.0666180403598345E-3</v>
      </c>
      <c r="AN101" s="188">
        <v>2.1081907350006368E-2</v>
      </c>
      <c r="AO101">
        <f t="shared" si="23"/>
        <v>1</v>
      </c>
      <c r="AP101" s="188">
        <f t="shared" si="24"/>
        <v>4.7478795877569244E-2</v>
      </c>
      <c r="AQ101" s="188">
        <f t="shared" si="25"/>
        <v>3.3422665605651845E-2</v>
      </c>
      <c r="AR101" s="188">
        <f t="shared" si="26"/>
        <v>0.75544902276653147</v>
      </c>
      <c r="AS101" s="128">
        <f t="shared" si="27"/>
        <v>1769.1545784719115</v>
      </c>
      <c r="AT101" s="188">
        <v>0.29600000000000004</v>
      </c>
      <c r="AU101" s="238">
        <v>5.9200000000000003E-2</v>
      </c>
      <c r="AV101">
        <v>6.5</v>
      </c>
      <c r="AY101" t="s">
        <v>246</v>
      </c>
      <c r="AZ101" s="129">
        <v>1379.1963346074481</v>
      </c>
      <c r="BA101" t="s">
        <v>467</v>
      </c>
    </row>
    <row r="102" spans="1:55" x14ac:dyDescent="0.25">
      <c r="A102" t="s">
        <v>366</v>
      </c>
      <c r="B102">
        <v>424</v>
      </c>
      <c r="C102">
        <v>7389</v>
      </c>
      <c r="D102">
        <v>44696</v>
      </c>
      <c r="E102">
        <v>129</v>
      </c>
      <c r="F102">
        <v>75</v>
      </c>
      <c r="G102">
        <v>3281</v>
      </c>
      <c r="H102">
        <v>1876</v>
      </c>
      <c r="I102">
        <v>15076</v>
      </c>
      <c r="J102">
        <v>0</v>
      </c>
      <c r="K102">
        <v>11052</v>
      </c>
      <c r="L102">
        <v>9960</v>
      </c>
      <c r="M102">
        <v>1131</v>
      </c>
      <c r="N102">
        <v>21582</v>
      </c>
      <c r="O102">
        <v>11695</v>
      </c>
      <c r="P102">
        <v>49416</v>
      </c>
      <c r="Q102">
        <v>203</v>
      </c>
      <c r="R102">
        <v>0</v>
      </c>
      <c r="S102">
        <v>4122</v>
      </c>
      <c r="T102">
        <v>8071</v>
      </c>
      <c r="U102">
        <f t="shared" si="14"/>
        <v>8</v>
      </c>
      <c r="V102">
        <v>3125</v>
      </c>
      <c r="W102">
        <v>73918</v>
      </c>
      <c r="X102">
        <v>70801</v>
      </c>
      <c r="Y102">
        <f t="shared" si="15"/>
        <v>3117</v>
      </c>
      <c r="Z102">
        <v>16643</v>
      </c>
      <c r="AA102">
        <v>1304538.9999999981</v>
      </c>
      <c r="AB102">
        <v>48589</v>
      </c>
      <c r="AC102" s="128">
        <v>47439.656702179971</v>
      </c>
      <c r="AD102">
        <v>26723</v>
      </c>
      <c r="AE102" t="s">
        <v>366</v>
      </c>
      <c r="AF102" s="188">
        <f t="shared" si="16"/>
        <v>-0.13474390540869613</v>
      </c>
      <c r="AG102" s="188">
        <f t="shared" si="17"/>
        <v>0.46588111150193456</v>
      </c>
      <c r="AH102" s="188">
        <f t="shared" si="18"/>
        <v>4.5401661300359858E-2</v>
      </c>
      <c r="AI102" s="188">
        <f t="shared" si="19"/>
        <v>0.20395573473308259</v>
      </c>
      <c r="AJ102" s="188">
        <f t="shared" si="20"/>
        <v>0.32856029654481994</v>
      </c>
      <c r="AK102" s="188">
        <f t="shared" si="21"/>
        <v>0.22696631576733375</v>
      </c>
      <c r="AL102" s="188">
        <f t="shared" si="22"/>
        <v>4.2168348710733515E-2</v>
      </c>
      <c r="AM102" s="188">
        <v>-0.11507267580547692</v>
      </c>
      <c r="AN102" s="188">
        <v>2.1191333288052706E-2</v>
      </c>
      <c r="AO102">
        <f t="shared" si="23"/>
        <v>1</v>
      </c>
      <c r="AP102" s="188">
        <f t="shared" si="24"/>
        <v>5.628872534430044E-2</v>
      </c>
      <c r="AQ102" s="188">
        <f t="shared" si="25"/>
        <v>1.7648461809031603E-2</v>
      </c>
      <c r="AR102" s="188">
        <f t="shared" si="26"/>
        <v>0.65733650802240318</v>
      </c>
      <c r="AS102" s="128">
        <f t="shared" si="27"/>
        <v>1775.236938299591</v>
      </c>
      <c r="AT102" s="188">
        <v>0.19650000000000001</v>
      </c>
      <c r="AU102" s="238">
        <v>3.9300000000000002E-2</v>
      </c>
      <c r="AV102">
        <v>9</v>
      </c>
      <c r="AY102" t="s">
        <v>355</v>
      </c>
      <c r="AZ102" s="129">
        <v>2109.8132145239197</v>
      </c>
      <c r="BA102" t="s">
        <v>467</v>
      </c>
      <c r="BC102">
        <v>1</v>
      </c>
    </row>
    <row r="103" spans="1:55" x14ac:dyDescent="0.25">
      <c r="A103" t="s">
        <v>292</v>
      </c>
      <c r="B103">
        <v>249</v>
      </c>
      <c r="C103">
        <v>27778</v>
      </c>
      <c r="D103">
        <v>121233</v>
      </c>
      <c r="E103">
        <v>2163</v>
      </c>
      <c r="F103">
        <v>0</v>
      </c>
      <c r="G103">
        <v>12704</v>
      </c>
      <c r="H103">
        <v>0</v>
      </c>
      <c r="I103">
        <v>-3456</v>
      </c>
      <c r="J103">
        <v>930</v>
      </c>
      <c r="K103">
        <v>9971</v>
      </c>
      <c r="L103">
        <v>28705</v>
      </c>
      <c r="M103">
        <v>10459</v>
      </c>
      <c r="N103">
        <v>91653</v>
      </c>
      <c r="O103">
        <v>39229</v>
      </c>
      <c r="P103">
        <v>49279</v>
      </c>
      <c r="Q103">
        <v>1</v>
      </c>
      <c r="R103">
        <v>1991</v>
      </c>
      <c r="S103">
        <v>5641</v>
      </c>
      <c r="T103">
        <v>22942</v>
      </c>
      <c r="U103">
        <f t="shared" si="14"/>
        <v>15</v>
      </c>
      <c r="V103">
        <v>53010</v>
      </c>
      <c r="W103">
        <v>189366</v>
      </c>
      <c r="X103">
        <v>136371</v>
      </c>
      <c r="Y103">
        <f t="shared" si="15"/>
        <v>52995</v>
      </c>
      <c r="Z103">
        <v>25924</v>
      </c>
      <c r="AA103">
        <v>5860874.9999999981</v>
      </c>
      <c r="AB103">
        <v>89613</v>
      </c>
      <c r="AC103" s="128">
        <v>82786.944801838254</v>
      </c>
      <c r="AD103">
        <v>50589</v>
      </c>
      <c r="AE103" t="s">
        <v>292</v>
      </c>
      <c r="AF103" s="188">
        <f t="shared" si="16"/>
        <v>-0.14107073075420085</v>
      </c>
      <c r="AG103" s="188">
        <f t="shared" si="17"/>
        <v>9.5133234054687751E-2</v>
      </c>
      <c r="AH103" s="188">
        <f t="shared" si="18"/>
        <v>6.7087016676700154E-2</v>
      </c>
      <c r="AI103" s="188">
        <f t="shared" si="19"/>
        <v>-1.3339247805836316E-2</v>
      </c>
      <c r="AJ103" s="188">
        <f t="shared" si="20"/>
        <v>0.11252114951997719</v>
      </c>
      <c r="AK103" s="188">
        <f t="shared" si="21"/>
        <v>0.43491857110318122</v>
      </c>
      <c r="AL103" s="188">
        <f t="shared" si="22"/>
        <v>0.27985488419251608</v>
      </c>
      <c r="AM103" s="188">
        <v>9.9454475850188229E-3</v>
      </c>
      <c r="AN103" s="188">
        <v>-2.9065977468115622E-3</v>
      </c>
      <c r="AO103">
        <f t="shared" si="23"/>
        <v>1</v>
      </c>
      <c r="AP103" s="188">
        <f t="shared" si="24"/>
        <v>3.4224728831997293E-2</v>
      </c>
      <c r="AQ103" s="188">
        <f t="shared" si="25"/>
        <v>3.0949985741896634E-2</v>
      </c>
      <c r="AR103" s="188">
        <f t="shared" si="26"/>
        <v>0.47322645036595801</v>
      </c>
      <c r="AS103" s="128">
        <f t="shared" si="27"/>
        <v>1636.4613809689508</v>
      </c>
      <c r="AT103" s="188">
        <v>0.23400000000000001</v>
      </c>
      <c r="AU103" s="238">
        <v>4.6800000000000001E-2</v>
      </c>
      <c r="AV103">
        <v>9.5</v>
      </c>
      <c r="AY103" t="s">
        <v>143</v>
      </c>
      <c r="AZ103" s="129">
        <v>1551.2974265020027</v>
      </c>
      <c r="BA103" t="s">
        <v>467</v>
      </c>
    </row>
    <row r="104" spans="1:55" x14ac:dyDescent="0.25">
      <c r="A104" t="s">
        <v>331</v>
      </c>
      <c r="B104">
        <v>485</v>
      </c>
      <c r="C104">
        <v>74966</v>
      </c>
      <c r="D104">
        <v>104586</v>
      </c>
      <c r="E104">
        <v>11183</v>
      </c>
      <c r="F104">
        <v>1916</v>
      </c>
      <c r="G104">
        <v>4553</v>
      </c>
      <c r="H104">
        <v>0</v>
      </c>
      <c r="I104">
        <v>-1253</v>
      </c>
      <c r="J104">
        <v>0</v>
      </c>
      <c r="K104">
        <v>4140</v>
      </c>
      <c r="L104">
        <v>13121</v>
      </c>
      <c r="M104">
        <v>12649</v>
      </c>
      <c r="N104">
        <v>62215</v>
      </c>
      <c r="O104">
        <v>9260</v>
      </c>
      <c r="P104">
        <v>128102</v>
      </c>
      <c r="Q104">
        <v>0</v>
      </c>
      <c r="R104">
        <v>0</v>
      </c>
      <c r="S104">
        <v>8568</v>
      </c>
      <c r="T104">
        <v>18201</v>
      </c>
      <c r="U104">
        <f t="shared" si="14"/>
        <v>878</v>
      </c>
      <c r="V104">
        <v>-960</v>
      </c>
      <c r="W104">
        <v>147600</v>
      </c>
      <c r="X104">
        <v>149438</v>
      </c>
      <c r="Y104">
        <f t="shared" si="15"/>
        <v>-1838</v>
      </c>
      <c r="Z104">
        <v>26947</v>
      </c>
      <c r="AA104">
        <v>1315263.9999999981</v>
      </c>
      <c r="AB104">
        <v>92545</v>
      </c>
      <c r="AC104" s="128">
        <v>80300.750804947806</v>
      </c>
      <c r="AD104">
        <v>38594</v>
      </c>
      <c r="AE104" t="s">
        <v>331</v>
      </c>
      <c r="AF104" s="188">
        <f t="shared" si="16"/>
        <v>-8.8895663956639573E-2</v>
      </c>
      <c r="AG104" s="188">
        <f t="shared" si="17"/>
        <v>0.80279132791327912</v>
      </c>
      <c r="AH104" s="188">
        <f t="shared" si="18"/>
        <v>4.3827913279132789E-2</v>
      </c>
      <c r="AI104" s="188">
        <f t="shared" si="19"/>
        <v>-8.4891598915989158E-3</v>
      </c>
      <c r="AJ104" s="188">
        <f t="shared" si="20"/>
        <v>0.81399308943089432</v>
      </c>
      <c r="AK104" s="188">
        <f t="shared" si="21"/>
        <v>0.27486679685083898</v>
      </c>
      <c r="AL104" s="188">
        <f t="shared" si="22"/>
        <v>-1.2452574525745257E-2</v>
      </c>
      <c r="AM104" s="188">
        <v>1.1510132158590309E-2</v>
      </c>
      <c r="AN104" s="188">
        <v>5.5086155760355332E-2</v>
      </c>
      <c r="AO104">
        <f t="shared" si="23"/>
        <v>1</v>
      </c>
      <c r="AP104" s="188">
        <f t="shared" si="24"/>
        <v>4.5641937669376693E-2</v>
      </c>
      <c r="AQ104" s="188">
        <f t="shared" si="25"/>
        <v>8.9110027100270869E-3</v>
      </c>
      <c r="AR104" s="188">
        <f t="shared" si="26"/>
        <v>0.62699864498644986</v>
      </c>
      <c r="AS104" s="128">
        <f t="shared" si="27"/>
        <v>2080.6537494156555</v>
      </c>
      <c r="AT104" s="188">
        <v>0.248</v>
      </c>
      <c r="AU104" s="238">
        <v>4.9599999999999998E-2</v>
      </c>
      <c r="AV104">
        <v>8</v>
      </c>
      <c r="AY104" t="s">
        <v>218</v>
      </c>
      <c r="AZ104" s="129">
        <v>1672.0664033369062</v>
      </c>
      <c r="BA104" t="s">
        <v>467</v>
      </c>
    </row>
    <row r="105" spans="1:55" x14ac:dyDescent="0.25">
      <c r="A105" t="s">
        <v>367</v>
      </c>
      <c r="B105">
        <v>0</v>
      </c>
      <c r="C105">
        <v>2412</v>
      </c>
      <c r="D105">
        <v>57149</v>
      </c>
      <c r="E105">
        <v>245</v>
      </c>
      <c r="F105">
        <v>0</v>
      </c>
      <c r="G105">
        <v>3485</v>
      </c>
      <c r="H105">
        <v>5</v>
      </c>
      <c r="I105">
        <v>-2709</v>
      </c>
      <c r="J105">
        <v>0</v>
      </c>
      <c r="K105">
        <v>1315</v>
      </c>
      <c r="L105" s="207">
        <f>-790+790</f>
        <v>0</v>
      </c>
      <c r="M105">
        <v>3759</v>
      </c>
      <c r="N105">
        <v>21120</v>
      </c>
      <c r="O105">
        <v>4968</v>
      </c>
      <c r="P105">
        <v>27933</v>
      </c>
      <c r="Q105">
        <v>0</v>
      </c>
      <c r="R105">
        <f>5000+790</f>
        <v>5790</v>
      </c>
      <c r="S105">
        <v>2744</v>
      </c>
      <c r="T105">
        <v>3103</v>
      </c>
      <c r="U105">
        <f t="shared" si="14"/>
        <v>-4</v>
      </c>
      <c r="V105">
        <v>-2028</v>
      </c>
      <c r="W105">
        <v>59972</v>
      </c>
      <c r="X105">
        <v>61996</v>
      </c>
      <c r="Y105">
        <f t="shared" si="15"/>
        <v>-2024</v>
      </c>
      <c r="Z105">
        <v>3023</v>
      </c>
      <c r="AA105">
        <v>1254486.9999999991</v>
      </c>
      <c r="AB105">
        <v>42694</v>
      </c>
      <c r="AC105" s="128">
        <v>38390.763132424312</v>
      </c>
      <c r="AD105">
        <v>23952</v>
      </c>
      <c r="AE105" t="s">
        <v>367</v>
      </c>
      <c r="AF105" s="188">
        <f t="shared" si="16"/>
        <v>9.6545054358700727E-2</v>
      </c>
      <c r="AG105" s="188">
        <f t="shared" si="17"/>
        <v>0.51700793703728409</v>
      </c>
      <c r="AH105" s="188">
        <f t="shared" si="18"/>
        <v>5.8110451544053893E-2</v>
      </c>
      <c r="AI105" s="188">
        <f t="shared" si="19"/>
        <v>-4.5171079837257384E-2</v>
      </c>
      <c r="AJ105" s="188">
        <f t="shared" si="20"/>
        <v>0.55560094710865071</v>
      </c>
      <c r="AK105" s="188">
        <f t="shared" si="21"/>
        <v>0.32166681897103172</v>
      </c>
      <c r="AL105" s="188">
        <f t="shared" si="22"/>
        <v>-3.3749082905355832E-2</v>
      </c>
      <c r="AM105" s="188">
        <v>-0.13718597425654683</v>
      </c>
      <c r="AN105" s="188">
        <v>-7.8065905430593011E-2</v>
      </c>
      <c r="AO105">
        <f t="shared" si="23"/>
        <v>3</v>
      </c>
      <c r="AP105" s="188">
        <f t="shared" si="24"/>
        <v>1.2601714133262189E-2</v>
      </c>
      <c r="AQ105" s="188">
        <f t="shared" si="25"/>
        <v>2.0917878343226823E-2</v>
      </c>
      <c r="AR105" s="188">
        <f t="shared" si="26"/>
        <v>0.71189888614686858</v>
      </c>
      <c r="AS105" s="128">
        <f t="shared" si="27"/>
        <v>1602.8207720618032</v>
      </c>
      <c r="AT105" s="188">
        <v>0.33450000000000002</v>
      </c>
      <c r="AU105" s="238">
        <v>6.6900000000000001E-2</v>
      </c>
      <c r="AV105">
        <v>6.5</v>
      </c>
      <c r="AY105" t="s">
        <v>219</v>
      </c>
      <c r="AZ105" s="129">
        <v>1476.9383581420896</v>
      </c>
      <c r="BA105" t="s">
        <v>467</v>
      </c>
    </row>
    <row r="106" spans="1:55" x14ac:dyDescent="0.25">
      <c r="A106" t="s">
        <v>490</v>
      </c>
      <c r="B106">
        <v>0</v>
      </c>
      <c r="C106">
        <v>6513</v>
      </c>
      <c r="D106">
        <v>154572</v>
      </c>
      <c r="E106">
        <v>252</v>
      </c>
      <c r="F106">
        <v>0</v>
      </c>
      <c r="G106">
        <v>34521</v>
      </c>
      <c r="H106">
        <v>0</v>
      </c>
      <c r="I106">
        <v>6899</v>
      </c>
      <c r="J106">
        <v>7</v>
      </c>
      <c r="K106">
        <v>18641</v>
      </c>
      <c r="L106" s="207">
        <f>-2916+2916</f>
        <v>0</v>
      </c>
      <c r="M106">
        <v>12499</v>
      </c>
      <c r="N106">
        <v>49126</v>
      </c>
      <c r="O106">
        <v>26788</v>
      </c>
      <c r="P106">
        <v>124323</v>
      </c>
      <c r="Q106">
        <v>297</v>
      </c>
      <c r="R106">
        <f>2916</f>
        <v>2916</v>
      </c>
      <c r="S106">
        <v>10411</v>
      </c>
      <c r="T106">
        <v>20042</v>
      </c>
      <c r="U106">
        <f t="shared" si="14"/>
        <v>-7</v>
      </c>
      <c r="V106">
        <v>-3700</v>
      </c>
      <c r="W106">
        <v>153876</v>
      </c>
      <c r="X106">
        <v>157569</v>
      </c>
      <c r="Y106">
        <f t="shared" si="15"/>
        <v>-3693</v>
      </c>
      <c r="Z106">
        <v>-929</v>
      </c>
      <c r="AA106">
        <v>14050470.999999996</v>
      </c>
      <c r="AB106">
        <v>100399</v>
      </c>
      <c r="AC106" s="128">
        <v>87642.902193616057</v>
      </c>
      <c r="AD106">
        <v>58524</v>
      </c>
      <c r="AE106" t="s">
        <v>490</v>
      </c>
      <c r="AF106" s="188">
        <f t="shared" si="16"/>
        <v>1.895032363721438E-2</v>
      </c>
      <c r="AG106" s="188">
        <f t="shared" si="17"/>
        <v>0.60001559697418705</v>
      </c>
      <c r="AH106" s="188">
        <f t="shared" si="18"/>
        <v>0.22434297746237231</v>
      </c>
      <c r="AI106" s="188">
        <f t="shared" si="19"/>
        <v>4.4880293223114716E-2</v>
      </c>
      <c r="AJ106" s="188">
        <f t="shared" si="20"/>
        <v>0.5955205490134915</v>
      </c>
      <c r="AK106" s="188">
        <f t="shared" si="21"/>
        <v>0.21002723351132735</v>
      </c>
      <c r="AL106" s="188">
        <f t="shared" si="22"/>
        <v>-2.3999844030258129E-2</v>
      </c>
      <c r="AM106" s="188">
        <v>-3.7477741698963028E-2</v>
      </c>
      <c r="AN106" s="188">
        <v>4.5691237355414228E-2</v>
      </c>
      <c r="AO106">
        <f t="shared" si="23"/>
        <v>2</v>
      </c>
      <c r="AP106" s="188">
        <f t="shared" si="24"/>
        <v>-1.5093321895552263E-3</v>
      </c>
      <c r="AQ106" s="188">
        <f t="shared" si="25"/>
        <v>9.1310347292625202E-2</v>
      </c>
      <c r="AR106" s="188">
        <f t="shared" si="26"/>
        <v>0.65246692141724505</v>
      </c>
      <c r="AS106" s="128">
        <f t="shared" si="27"/>
        <v>1497.554886774931</v>
      </c>
      <c r="AT106" s="188">
        <v>0.24099999999999999</v>
      </c>
      <c r="AU106" s="238">
        <v>4.82E-2</v>
      </c>
      <c r="AV106">
        <v>7</v>
      </c>
      <c r="AY106" t="s">
        <v>117</v>
      </c>
      <c r="AZ106" s="129">
        <v>1438.1824839972783</v>
      </c>
      <c r="BA106" t="s">
        <v>467</v>
      </c>
    </row>
    <row r="107" spans="1:55" x14ac:dyDescent="0.25">
      <c r="A107" t="s">
        <v>293</v>
      </c>
      <c r="B107">
        <v>405</v>
      </c>
      <c r="C107">
        <v>24712</v>
      </c>
      <c r="D107">
        <v>140669</v>
      </c>
      <c r="E107">
        <v>1832</v>
      </c>
      <c r="F107">
        <v>252</v>
      </c>
      <c r="G107">
        <v>535</v>
      </c>
      <c r="H107">
        <v>0</v>
      </c>
      <c r="I107">
        <v>64662</v>
      </c>
      <c r="J107">
        <v>2</v>
      </c>
      <c r="K107">
        <v>9904</v>
      </c>
      <c r="L107">
        <f>16849+271</f>
        <v>17120</v>
      </c>
      <c r="M107">
        <v>2120</v>
      </c>
      <c r="N107">
        <v>86054</v>
      </c>
      <c r="O107">
        <v>38596</v>
      </c>
      <c r="P107">
        <v>124336</v>
      </c>
      <c r="Q107">
        <v>0</v>
      </c>
      <c r="R107" s="207">
        <f>-271+271</f>
        <v>0</v>
      </c>
      <c r="S107">
        <v>5523</v>
      </c>
      <c r="T107">
        <v>7702</v>
      </c>
      <c r="U107">
        <f t="shared" si="14"/>
        <v>7497</v>
      </c>
      <c r="V107">
        <v>33594</v>
      </c>
      <c r="W107">
        <v>176187</v>
      </c>
      <c r="X107">
        <v>150090</v>
      </c>
      <c r="Y107">
        <f t="shared" si="15"/>
        <v>26097</v>
      </c>
      <c r="Z107">
        <v>-1593</v>
      </c>
      <c r="AA107">
        <v>1123509.9999999981</v>
      </c>
      <c r="AB107">
        <v>94984</v>
      </c>
      <c r="AC107" s="128">
        <v>85721.676593835437</v>
      </c>
      <c r="AD107">
        <v>37410</v>
      </c>
      <c r="AE107" t="s">
        <v>293</v>
      </c>
      <c r="AF107" s="188">
        <f t="shared" si="16"/>
        <v>-9.7169484695238575E-2</v>
      </c>
      <c r="AG107" s="188">
        <f t="shared" si="17"/>
        <v>0.61088502556942337</v>
      </c>
      <c r="AH107" s="188">
        <f t="shared" si="18"/>
        <v>4.4668448863991097E-3</v>
      </c>
      <c r="AI107" s="188">
        <f t="shared" si="19"/>
        <v>0.36701913308019318</v>
      </c>
      <c r="AJ107" s="188">
        <f t="shared" si="20"/>
        <v>0.35450765379965604</v>
      </c>
      <c r="AK107" s="188">
        <f t="shared" si="21"/>
        <v>0.32818607914999753</v>
      </c>
      <c r="AL107" s="188">
        <f t="shared" si="22"/>
        <v>0.14812103049600708</v>
      </c>
      <c r="AM107" s="188">
        <v>-7.8715365239294708E-6</v>
      </c>
      <c r="AN107" s="188">
        <v>-5.2294794117442936E-2</v>
      </c>
      <c r="AO107">
        <f t="shared" si="23"/>
        <v>2</v>
      </c>
      <c r="AP107" s="188">
        <f t="shared" si="24"/>
        <v>-2.2603824345723577E-3</v>
      </c>
      <c r="AQ107" s="188">
        <f t="shared" si="25"/>
        <v>6.3768041910015954E-3</v>
      </c>
      <c r="AR107" s="188">
        <f t="shared" si="26"/>
        <v>0.53910901485353635</v>
      </c>
      <c r="AS107" s="128">
        <f t="shared" si="27"/>
        <v>2291.4107616636043</v>
      </c>
      <c r="AT107" s="188">
        <v>0.22650000000000001</v>
      </c>
      <c r="AU107" s="238">
        <v>4.53E-2</v>
      </c>
      <c r="AV107">
        <v>8</v>
      </c>
      <c r="AY107" t="s">
        <v>145</v>
      </c>
      <c r="AZ107" s="129">
        <v>1645.3209956036924</v>
      </c>
      <c r="BA107" t="s">
        <v>467</v>
      </c>
    </row>
    <row r="108" spans="1:55" x14ac:dyDescent="0.25">
      <c r="A108" t="s">
        <v>294</v>
      </c>
      <c r="B108">
        <v>13096</v>
      </c>
      <c r="C108">
        <v>51399</v>
      </c>
      <c r="D108">
        <v>284010</v>
      </c>
      <c r="E108">
        <v>1940</v>
      </c>
      <c r="F108">
        <v>0</v>
      </c>
      <c r="G108">
        <v>994</v>
      </c>
      <c r="H108">
        <v>18</v>
      </c>
      <c r="I108">
        <v>16750</v>
      </c>
      <c r="J108">
        <v>7</v>
      </c>
      <c r="K108">
        <v>26454</v>
      </c>
      <c r="L108">
        <v>40034</v>
      </c>
      <c r="M108">
        <v>6839</v>
      </c>
      <c r="N108">
        <v>77960</v>
      </c>
      <c r="O108">
        <v>39199</v>
      </c>
      <c r="P108">
        <v>274860</v>
      </c>
      <c r="Q108">
        <v>165</v>
      </c>
      <c r="R108">
        <v>14105</v>
      </c>
      <c r="S108">
        <v>6330</v>
      </c>
      <c r="T108">
        <v>28924</v>
      </c>
      <c r="U108">
        <f t="shared" si="14"/>
        <v>161</v>
      </c>
      <c r="V108">
        <v>6694</v>
      </c>
      <c r="W108">
        <v>299851</v>
      </c>
      <c r="X108">
        <v>293318</v>
      </c>
      <c r="Y108">
        <f t="shared" si="15"/>
        <v>6533</v>
      </c>
      <c r="Z108">
        <v>-10308</v>
      </c>
      <c r="AA108">
        <v>4044992.9999999963</v>
      </c>
      <c r="AB108">
        <v>211137</v>
      </c>
      <c r="AC108" s="128">
        <v>129645.62196515402</v>
      </c>
      <c r="AD108">
        <v>73681</v>
      </c>
      <c r="AE108" t="s">
        <v>294</v>
      </c>
      <c r="AF108" s="188">
        <f t="shared" si="16"/>
        <v>-8.6472948230954708E-2</v>
      </c>
      <c r="AG108" s="188">
        <f t="shared" si="17"/>
        <v>0.83389750242620497</v>
      </c>
      <c r="AH108" s="188">
        <f t="shared" si="18"/>
        <v>3.3149797732873994E-3</v>
      </c>
      <c r="AI108" s="188">
        <f t="shared" si="19"/>
        <v>5.5884422596556287E-2</v>
      </c>
      <c r="AJ108" s="188">
        <f t="shared" si="20"/>
        <v>0.79517620418141</v>
      </c>
      <c r="AK108" s="188">
        <f t="shared" si="21"/>
        <v>0.1765626450877944</v>
      </c>
      <c r="AL108" s="188">
        <f t="shared" si="22"/>
        <v>2.178748778560018E-2</v>
      </c>
      <c r="AM108" s="188">
        <v>2.630627534784492E-2</v>
      </c>
      <c r="AN108" s="188">
        <v>3.5765693053287757E-2</v>
      </c>
      <c r="AO108">
        <f t="shared" si="23"/>
        <v>0</v>
      </c>
      <c r="AP108" s="188">
        <f t="shared" si="24"/>
        <v>-8.5942684866817179E-3</v>
      </c>
      <c r="AQ108" s="188">
        <f t="shared" si="25"/>
        <v>1.349001003831902E-2</v>
      </c>
      <c r="AR108" s="188">
        <f t="shared" si="26"/>
        <v>0.70413972272895542</v>
      </c>
      <c r="AS108" s="128">
        <f t="shared" si="27"/>
        <v>1759.552964334822</v>
      </c>
      <c r="AT108" s="188">
        <v>0.19699999999999998</v>
      </c>
      <c r="AU108" s="238">
        <v>3.9399999999999998E-2</v>
      </c>
      <c r="AV108">
        <v>8.5</v>
      </c>
      <c r="AY108" t="s">
        <v>358</v>
      </c>
      <c r="AZ108" s="129">
        <v>1028.4926868194359</v>
      </c>
      <c r="BA108" t="s">
        <v>467</v>
      </c>
    </row>
    <row r="109" spans="1:55" x14ac:dyDescent="0.25">
      <c r="A109" t="s">
        <v>121</v>
      </c>
      <c r="B109">
        <v>4591</v>
      </c>
      <c r="C109">
        <v>147318</v>
      </c>
      <c r="D109">
        <v>1222971</v>
      </c>
      <c r="E109">
        <v>19414</v>
      </c>
      <c r="F109">
        <v>377795</v>
      </c>
      <c r="G109">
        <v>15234</v>
      </c>
      <c r="H109">
        <v>0</v>
      </c>
      <c r="I109">
        <v>61807</v>
      </c>
      <c r="J109">
        <v>2102</v>
      </c>
      <c r="K109">
        <v>149440</v>
      </c>
      <c r="L109">
        <v>32094</v>
      </c>
      <c r="M109">
        <v>71259</v>
      </c>
      <c r="N109">
        <v>238626</v>
      </c>
      <c r="O109">
        <v>49292</v>
      </c>
      <c r="P109">
        <v>1469051</v>
      </c>
      <c r="Q109">
        <v>940</v>
      </c>
      <c r="R109">
        <v>109383</v>
      </c>
      <c r="S109">
        <v>150030</v>
      </c>
      <c r="T109">
        <v>86703</v>
      </c>
      <c r="U109">
        <f t="shared" si="14"/>
        <v>28</v>
      </c>
      <c r="V109">
        <v>6664</v>
      </c>
      <c r="W109">
        <v>1098597</v>
      </c>
      <c r="X109">
        <v>1091961</v>
      </c>
      <c r="Y109">
        <f t="shared" si="15"/>
        <v>6636</v>
      </c>
      <c r="Z109">
        <v>190244</v>
      </c>
      <c r="AA109">
        <v>-24043781.000000015</v>
      </c>
      <c r="AB109">
        <v>796905</v>
      </c>
      <c r="AC109" s="128">
        <v>513766.4723727596</v>
      </c>
      <c r="AD109">
        <v>233273</v>
      </c>
      <c r="AE109" t="s">
        <v>121</v>
      </c>
      <c r="AF109" s="188">
        <f t="shared" si="16"/>
        <v>7.0352458635878301E-2</v>
      </c>
      <c r="AG109" s="188">
        <f t="shared" si="17"/>
        <v>1.0652541377775471</v>
      </c>
      <c r="AH109" s="188">
        <f t="shared" si="18"/>
        <v>0.35775539164953118</v>
      </c>
      <c r="AI109" s="188">
        <f t="shared" si="19"/>
        <v>5.8173288294069619E-2</v>
      </c>
      <c r="AJ109" s="188">
        <f t="shared" si="20"/>
        <v>1.0674634829696421</v>
      </c>
      <c r="AK109" s="188">
        <f t="shared" si="21"/>
        <v>0.11341405163912026</v>
      </c>
      <c r="AL109" s="188">
        <f t="shared" si="22"/>
        <v>6.0404315686279865E-3</v>
      </c>
      <c r="AM109" s="188">
        <v>-2.8698769706012841E-2</v>
      </c>
      <c r="AN109" s="188">
        <v>-2.6255596742761171E-2</v>
      </c>
      <c r="AO109">
        <f t="shared" si="23"/>
        <v>2</v>
      </c>
      <c r="AP109" s="188">
        <f t="shared" si="24"/>
        <v>4.3292490330849254E-2</v>
      </c>
      <c r="AQ109" s="188">
        <f t="shared" si="25"/>
        <v>-2.1885897194330602E-2</v>
      </c>
      <c r="AR109" s="188">
        <f t="shared" si="26"/>
        <v>0.72538428559335222</v>
      </c>
      <c r="AS109" s="128">
        <f t="shared" si="27"/>
        <v>2202.4257945529898</v>
      </c>
      <c r="AT109" s="188">
        <v>0.20949999999999999</v>
      </c>
      <c r="AU109" s="238">
        <v>4.19E-2</v>
      </c>
      <c r="AV109">
        <v>5.5</v>
      </c>
      <c r="AY109" t="s">
        <v>249</v>
      </c>
      <c r="AZ109" s="129">
        <v>1478.2239563550631</v>
      </c>
      <c r="BA109" t="s">
        <v>467</v>
      </c>
    </row>
    <row r="110" spans="1:55" x14ac:dyDescent="0.25">
      <c r="A110" t="s">
        <v>406</v>
      </c>
      <c r="B110">
        <v>64</v>
      </c>
      <c r="C110">
        <v>-5624</v>
      </c>
      <c r="D110">
        <v>46155</v>
      </c>
      <c r="E110">
        <v>484</v>
      </c>
      <c r="F110">
        <v>6868</v>
      </c>
      <c r="G110">
        <v>18</v>
      </c>
      <c r="H110">
        <v>0</v>
      </c>
      <c r="I110">
        <v>375</v>
      </c>
      <c r="J110">
        <v>1183</v>
      </c>
      <c r="K110">
        <v>5615</v>
      </c>
      <c r="L110">
        <v>1549</v>
      </c>
      <c r="M110">
        <v>771</v>
      </c>
      <c r="N110">
        <v>8460</v>
      </c>
      <c r="O110">
        <v>2452</v>
      </c>
      <c r="P110">
        <v>27037</v>
      </c>
      <c r="Q110">
        <v>5</v>
      </c>
      <c r="R110">
        <v>14000</v>
      </c>
      <c r="S110">
        <v>3903</v>
      </c>
      <c r="T110">
        <v>1599</v>
      </c>
      <c r="U110">
        <f t="shared" si="14"/>
        <v>1</v>
      </c>
      <c r="V110">
        <v>-1497</v>
      </c>
      <c r="W110">
        <v>41921</v>
      </c>
      <c r="X110">
        <v>43419</v>
      </c>
      <c r="Y110">
        <f t="shared" si="15"/>
        <v>-1498</v>
      </c>
      <c r="Z110">
        <v>9117</v>
      </c>
      <c r="AA110">
        <v>105154.99999999953</v>
      </c>
      <c r="AB110">
        <v>30711</v>
      </c>
      <c r="AC110" s="128">
        <v>24617.692934894134</v>
      </c>
      <c r="AD110">
        <v>14206</v>
      </c>
      <c r="AE110" t="s">
        <v>406</v>
      </c>
      <c r="AF110" s="188">
        <f t="shared" si="16"/>
        <v>0.29701104458386013</v>
      </c>
      <c r="AG110" s="188">
        <f t="shared" si="17"/>
        <v>0.75673290236397028</v>
      </c>
      <c r="AH110" s="188">
        <f t="shared" si="18"/>
        <v>0.16426134872736814</v>
      </c>
      <c r="AI110" s="188">
        <f t="shared" si="19"/>
        <v>3.7165143961260465E-2</v>
      </c>
      <c r="AJ110" s="188">
        <f t="shared" si="20"/>
        <v>0.75042866343837211</v>
      </c>
      <c r="AK110" s="188">
        <f t="shared" si="21"/>
        <v>0.14724310776942356</v>
      </c>
      <c r="AL110" s="188">
        <f t="shared" si="22"/>
        <v>-3.5733880394074567E-2</v>
      </c>
      <c r="AM110" s="188">
        <v>-5.3217320922703357E-2</v>
      </c>
      <c r="AN110" s="188">
        <v>-8.2796660703637448E-2</v>
      </c>
      <c r="AO110">
        <f t="shared" si="23"/>
        <v>3</v>
      </c>
      <c r="AP110" s="188">
        <f t="shared" si="24"/>
        <v>5.4370124758474275E-2</v>
      </c>
      <c r="AQ110" s="188">
        <f t="shared" si="25"/>
        <v>2.508408673457206E-3</v>
      </c>
      <c r="AR110" s="188">
        <f t="shared" si="26"/>
        <v>0.73259225686410157</v>
      </c>
      <c r="AS110" s="128">
        <f t="shared" si="27"/>
        <v>1732.9081328237457</v>
      </c>
      <c r="AT110" s="188">
        <v>0.2555</v>
      </c>
      <c r="AU110" s="238">
        <v>5.11E-2</v>
      </c>
      <c r="AV110">
        <v>4.5</v>
      </c>
      <c r="AY110" t="s">
        <v>359</v>
      </c>
      <c r="AZ110" s="129">
        <v>1495.8933086363477</v>
      </c>
      <c r="BA110" t="s">
        <v>467</v>
      </c>
    </row>
    <row r="111" spans="1:55" x14ac:dyDescent="0.25">
      <c r="A111" t="s">
        <v>147</v>
      </c>
      <c r="B111">
        <v>1786</v>
      </c>
      <c r="C111">
        <v>2343</v>
      </c>
      <c r="D111">
        <v>44657</v>
      </c>
      <c r="E111">
        <v>682</v>
      </c>
      <c r="F111">
        <v>204</v>
      </c>
      <c r="G111">
        <v>5752</v>
      </c>
      <c r="H111">
        <v>9136</v>
      </c>
      <c r="I111">
        <v>4926</v>
      </c>
      <c r="J111">
        <v>0</v>
      </c>
      <c r="K111">
        <v>6486</v>
      </c>
      <c r="L111">
        <v>344</v>
      </c>
      <c r="M111">
        <v>1303</v>
      </c>
      <c r="N111">
        <v>1007</v>
      </c>
      <c r="O111">
        <v>8705</v>
      </c>
      <c r="P111">
        <v>50434</v>
      </c>
      <c r="Q111">
        <v>0</v>
      </c>
      <c r="R111">
        <v>822</v>
      </c>
      <c r="S111">
        <v>4918</v>
      </c>
      <c r="T111">
        <v>11733</v>
      </c>
      <c r="U111">
        <f t="shared" si="14"/>
        <v>0</v>
      </c>
      <c r="V111">
        <v>1205</v>
      </c>
      <c r="W111">
        <v>63363</v>
      </c>
      <c r="X111">
        <v>62158</v>
      </c>
      <c r="Y111">
        <f t="shared" si="15"/>
        <v>1205</v>
      </c>
      <c r="Z111">
        <v>-7340</v>
      </c>
      <c r="AA111">
        <v>782681.99999999907</v>
      </c>
      <c r="AB111">
        <v>44263</v>
      </c>
      <c r="AC111" s="128">
        <v>36115.723395111003</v>
      </c>
      <c r="AD111">
        <v>24229</v>
      </c>
      <c r="AE111" t="s">
        <v>147</v>
      </c>
      <c r="AF111" s="188">
        <f t="shared" si="16"/>
        <v>7.5438347300475043E-3</v>
      </c>
      <c r="AG111" s="188">
        <f t="shared" si="17"/>
        <v>0.70517494436816441</v>
      </c>
      <c r="AH111" s="188">
        <f t="shared" si="18"/>
        <v>9.3998074586114921E-2</v>
      </c>
      <c r="AI111" s="188">
        <f t="shared" si="19"/>
        <v>7.7742531130154821E-2</v>
      </c>
      <c r="AJ111" s="188">
        <f t="shared" si="20"/>
        <v>0.66203494152738984</v>
      </c>
      <c r="AK111" s="188">
        <f t="shared" si="21"/>
        <v>1.2973627591182571E-2</v>
      </c>
      <c r="AL111" s="188">
        <f t="shared" si="22"/>
        <v>1.9017407635370801E-2</v>
      </c>
      <c r="AM111" s="188">
        <v>-5.0932049450646354E-2</v>
      </c>
      <c r="AN111" s="188">
        <v>2.9674547624423441E-3</v>
      </c>
      <c r="AO111">
        <f t="shared" si="23"/>
        <v>1</v>
      </c>
      <c r="AP111" s="188">
        <f t="shared" si="24"/>
        <v>-2.896011868124931E-2</v>
      </c>
      <c r="AQ111" s="188">
        <f t="shared" si="25"/>
        <v>1.2352350740968689E-2</v>
      </c>
      <c r="AR111" s="188">
        <f t="shared" si="26"/>
        <v>0.69856225241860392</v>
      </c>
      <c r="AS111" s="128">
        <f t="shared" si="27"/>
        <v>1490.5990092497009</v>
      </c>
      <c r="AT111" s="188">
        <v>0.20049999999999998</v>
      </c>
      <c r="AU111" s="238">
        <v>4.0099999999999997E-2</v>
      </c>
      <c r="AV111">
        <v>7</v>
      </c>
      <c r="AY111" t="s">
        <v>430</v>
      </c>
      <c r="AZ111" s="129">
        <v>1652.4331470737693</v>
      </c>
      <c r="BA111" t="s">
        <v>467</v>
      </c>
    </row>
    <row r="112" spans="1:55" x14ac:dyDescent="0.25">
      <c r="A112" t="s">
        <v>369</v>
      </c>
      <c r="B112">
        <v>1129</v>
      </c>
      <c r="C112">
        <v>3046</v>
      </c>
      <c r="D112">
        <v>25721</v>
      </c>
      <c r="E112">
        <v>29</v>
      </c>
      <c r="F112">
        <v>0</v>
      </c>
      <c r="G112">
        <v>2250</v>
      </c>
      <c r="H112">
        <v>0</v>
      </c>
      <c r="I112">
        <v>8940</v>
      </c>
      <c r="J112">
        <v>353</v>
      </c>
      <c r="K112">
        <v>7592</v>
      </c>
      <c r="L112">
        <v>35</v>
      </c>
      <c r="M112">
        <v>-2048</v>
      </c>
      <c r="N112">
        <v>15638</v>
      </c>
      <c r="O112">
        <v>13944</v>
      </c>
      <c r="P112">
        <v>3636</v>
      </c>
      <c r="Q112">
        <v>3</v>
      </c>
      <c r="R112">
        <v>6400</v>
      </c>
      <c r="S112">
        <v>5324</v>
      </c>
      <c r="T112">
        <v>2101</v>
      </c>
      <c r="U112">
        <f t="shared" si="14"/>
        <v>11</v>
      </c>
      <c r="V112">
        <v>-905</v>
      </c>
      <c r="W112">
        <v>33784</v>
      </c>
      <c r="X112">
        <v>34700</v>
      </c>
      <c r="Y112">
        <f t="shared" si="15"/>
        <v>-916</v>
      </c>
      <c r="Z112">
        <v>6391</v>
      </c>
      <c r="AA112">
        <v>1281738</v>
      </c>
      <c r="AB112">
        <v>22194</v>
      </c>
      <c r="AC112" s="128">
        <v>21978.345013120594</v>
      </c>
      <c r="AD112">
        <v>14318</v>
      </c>
      <c r="AE112" t="s">
        <v>369</v>
      </c>
      <c r="AF112" s="188">
        <f t="shared" si="16"/>
        <v>0.18840279422211698</v>
      </c>
      <c r="AG112" s="188">
        <f t="shared" si="17"/>
        <v>0.28519417475728154</v>
      </c>
      <c r="AH112" s="188">
        <f t="shared" si="18"/>
        <v>6.6599573762727918E-2</v>
      </c>
      <c r="AI112" s="188">
        <f t="shared" si="19"/>
        <v>0.2750710395453469</v>
      </c>
      <c r="AJ112" s="188">
        <f t="shared" si="20"/>
        <v>0.10063639592706611</v>
      </c>
      <c r="AK112" s="188">
        <f t="shared" si="21"/>
        <v>0.33239807847638481</v>
      </c>
      <c r="AL112" s="188">
        <f t="shared" si="22"/>
        <v>-2.7113426474070567E-2</v>
      </c>
      <c r="AM112" s="188">
        <v>-1.0488519323443258E-2</v>
      </c>
      <c r="AN112" s="188">
        <v>-0.13496643874286432</v>
      </c>
      <c r="AO112">
        <f t="shared" si="23"/>
        <v>3</v>
      </c>
      <c r="AP112" s="188">
        <f t="shared" si="24"/>
        <v>4.7293097324177122E-2</v>
      </c>
      <c r="AQ112" s="188">
        <f t="shared" si="25"/>
        <v>3.7939201989107267E-2</v>
      </c>
      <c r="AR112" s="188">
        <f t="shared" si="26"/>
        <v>0.65693819559554822</v>
      </c>
      <c r="AS112" s="128">
        <f t="shared" si="27"/>
        <v>1535.0150169800668</v>
      </c>
      <c r="AT112" s="188">
        <v>0.21850000000000003</v>
      </c>
      <c r="AU112" s="238">
        <v>4.3700000000000003E-2</v>
      </c>
      <c r="AV112">
        <v>6.5</v>
      </c>
      <c r="AY112" t="s">
        <v>178</v>
      </c>
      <c r="AZ112" s="129">
        <v>1608.8098508614335</v>
      </c>
      <c r="BA112" t="s">
        <v>467</v>
      </c>
    </row>
    <row r="113" spans="1:55" x14ac:dyDescent="0.25">
      <c r="A113" t="s">
        <v>252</v>
      </c>
      <c r="B113">
        <v>4966</v>
      </c>
      <c r="C113">
        <v>17084</v>
      </c>
      <c r="D113">
        <v>614690</v>
      </c>
      <c r="E113">
        <v>12461</v>
      </c>
      <c r="F113">
        <v>0</v>
      </c>
      <c r="G113">
        <v>10090</v>
      </c>
      <c r="H113">
        <v>6782</v>
      </c>
      <c r="I113">
        <v>2093</v>
      </c>
      <c r="J113">
        <v>400</v>
      </c>
      <c r="K113">
        <v>51339</v>
      </c>
      <c r="L113">
        <v>159</v>
      </c>
      <c r="M113">
        <v>24391</v>
      </c>
      <c r="N113">
        <v>158140</v>
      </c>
      <c r="O113">
        <v>23826</v>
      </c>
      <c r="P113">
        <v>460991</v>
      </c>
      <c r="Q113">
        <v>151</v>
      </c>
      <c r="R113">
        <v>25697</v>
      </c>
      <c r="S113">
        <v>29446</v>
      </c>
      <c r="T113">
        <v>46204</v>
      </c>
      <c r="U113">
        <f t="shared" si="14"/>
        <v>-2</v>
      </c>
      <c r="V113">
        <v>26250</v>
      </c>
      <c r="W113">
        <v>643347</v>
      </c>
      <c r="X113">
        <v>617095</v>
      </c>
      <c r="Y113">
        <f t="shared" si="15"/>
        <v>26252</v>
      </c>
      <c r="Z113">
        <v>40759</v>
      </c>
      <c r="AA113">
        <v>22967777.999999993</v>
      </c>
      <c r="AB113">
        <v>459939</v>
      </c>
      <c r="AC113" s="128">
        <v>278393.29170494329</v>
      </c>
      <c r="AD113">
        <v>162543</v>
      </c>
      <c r="AE113" t="s">
        <v>252</v>
      </c>
      <c r="AF113" s="188">
        <f t="shared" si="16"/>
        <v>3.9695529784082306E-2</v>
      </c>
      <c r="AG113" s="188">
        <f t="shared" si="17"/>
        <v>0.73013163969055583</v>
      </c>
      <c r="AH113" s="188">
        <f t="shared" si="18"/>
        <v>1.568360464881316E-2</v>
      </c>
      <c r="AI113" s="188">
        <f t="shared" si="19"/>
        <v>3.8750472140229144E-3</v>
      </c>
      <c r="AJ113" s="188">
        <f t="shared" si="20"/>
        <v>0.7293011391985974</v>
      </c>
      <c r="AK113" s="188">
        <f t="shared" si="21"/>
        <v>0.21242385369162675</v>
      </c>
      <c r="AL113" s="188">
        <f t="shared" si="22"/>
        <v>4.0805350767159868E-2</v>
      </c>
      <c r="AM113" s="188">
        <v>2.441542325617265E-3</v>
      </c>
      <c r="AN113" s="188">
        <v>6.6208080960708186E-3</v>
      </c>
      <c r="AO113">
        <f t="shared" si="23"/>
        <v>0</v>
      </c>
      <c r="AP113" s="188">
        <f t="shared" si="24"/>
        <v>1.583865316850782E-2</v>
      </c>
      <c r="AQ113" s="188">
        <f t="shared" si="25"/>
        <v>3.570045092306328E-2</v>
      </c>
      <c r="AR113" s="188">
        <f t="shared" si="26"/>
        <v>0.71491590075029499</v>
      </c>
      <c r="AS113" s="128">
        <f t="shared" si="27"/>
        <v>1712.7362710479276</v>
      </c>
      <c r="AT113" s="188">
        <v>0.17549999999999999</v>
      </c>
      <c r="AU113" s="238">
        <v>3.5099999999999999E-2</v>
      </c>
      <c r="AV113">
        <v>9</v>
      </c>
      <c r="AY113" t="s">
        <v>250</v>
      </c>
      <c r="AZ113" s="129">
        <v>1422.4912812554335</v>
      </c>
      <c r="BA113" t="s">
        <v>467</v>
      </c>
    </row>
    <row r="114" spans="1:55" x14ac:dyDescent="0.25">
      <c r="A114" t="s">
        <v>253</v>
      </c>
      <c r="B114">
        <v>59144</v>
      </c>
      <c r="C114">
        <v>102732</v>
      </c>
      <c r="D114">
        <v>465027</v>
      </c>
      <c r="E114">
        <v>32877</v>
      </c>
      <c r="F114">
        <v>38981</v>
      </c>
      <c r="G114">
        <v>1267</v>
      </c>
      <c r="H114">
        <v>38545</v>
      </c>
      <c r="I114">
        <v>121768</v>
      </c>
      <c r="J114">
        <v>29</v>
      </c>
      <c r="K114">
        <v>56956</v>
      </c>
      <c r="L114">
        <v>20</v>
      </c>
      <c r="M114">
        <v>29531</v>
      </c>
      <c r="N114">
        <v>315869</v>
      </c>
      <c r="O114">
        <v>29163</v>
      </c>
      <c r="P114">
        <v>429821</v>
      </c>
      <c r="Q114">
        <v>0</v>
      </c>
      <c r="R114">
        <v>43179</v>
      </c>
      <c r="S114">
        <v>24189</v>
      </c>
      <c r="T114">
        <v>104659</v>
      </c>
      <c r="U114">
        <f t="shared" si="14"/>
        <v>10</v>
      </c>
      <c r="V114">
        <v>-3025</v>
      </c>
      <c r="W114">
        <v>521956</v>
      </c>
      <c r="X114">
        <v>524991</v>
      </c>
      <c r="Y114">
        <f t="shared" si="15"/>
        <v>-3035</v>
      </c>
      <c r="Z114">
        <v>70280</v>
      </c>
      <c r="AA114">
        <v>4271067</v>
      </c>
      <c r="AB114">
        <v>257402</v>
      </c>
      <c r="AC114" s="128">
        <v>277663.51563297457</v>
      </c>
      <c r="AD114">
        <v>157789</v>
      </c>
      <c r="AE114" t="s">
        <v>253</v>
      </c>
      <c r="AF114" s="188">
        <f t="shared" si="16"/>
        <v>8.2687046417705704E-2</v>
      </c>
      <c r="AG114" s="188">
        <f t="shared" si="17"/>
        <v>0.83636934914054062</v>
      </c>
      <c r="AH114" s="188">
        <f t="shared" si="18"/>
        <v>7.7109947964962566E-2</v>
      </c>
      <c r="AI114" s="188">
        <f t="shared" si="19"/>
        <v>0.23334725532420358</v>
      </c>
      <c r="AJ114" s="188">
        <f t="shared" si="20"/>
        <v>0.68227946416939356</v>
      </c>
      <c r="AK114" s="188">
        <f t="shared" si="21"/>
        <v>0.33358926157485635</v>
      </c>
      <c r="AL114" s="188">
        <f t="shared" si="22"/>
        <v>-5.8146663703453928E-3</v>
      </c>
      <c r="AM114" s="188">
        <v>5.3090996586848222E-3</v>
      </c>
      <c r="AN114" s="188">
        <v>2.2952596635890291E-2</v>
      </c>
      <c r="AO114">
        <f t="shared" si="23"/>
        <v>1</v>
      </c>
      <c r="AP114" s="188">
        <f t="shared" si="24"/>
        <v>3.3661841227996231E-2</v>
      </c>
      <c r="AQ114" s="188">
        <f t="shared" si="25"/>
        <v>8.1828104284652342E-3</v>
      </c>
      <c r="AR114" s="188">
        <f t="shared" si="26"/>
        <v>0.49314884779559964</v>
      </c>
      <c r="AS114" s="128">
        <f t="shared" si="27"/>
        <v>1759.7140208314556</v>
      </c>
      <c r="AT114" s="188">
        <v>0.1855</v>
      </c>
      <c r="AU114" s="238">
        <v>3.7100000000000001E-2</v>
      </c>
      <c r="AV114">
        <v>8</v>
      </c>
      <c r="AY114" t="s">
        <v>220</v>
      </c>
      <c r="AZ114" s="129">
        <v>1893.7312397850067</v>
      </c>
      <c r="BA114" t="s">
        <v>467</v>
      </c>
      <c r="BC114">
        <v>1</v>
      </c>
    </row>
    <row r="115" spans="1:55" x14ac:dyDescent="0.25">
      <c r="A115" t="s">
        <v>370</v>
      </c>
      <c r="B115">
        <v>339</v>
      </c>
      <c r="C115">
        <v>8604</v>
      </c>
      <c r="D115">
        <v>60221</v>
      </c>
      <c r="E115">
        <v>676</v>
      </c>
      <c r="F115">
        <v>0</v>
      </c>
      <c r="G115">
        <v>2668</v>
      </c>
      <c r="H115">
        <v>0</v>
      </c>
      <c r="I115">
        <v>4621</v>
      </c>
      <c r="J115">
        <v>16</v>
      </c>
      <c r="K115">
        <v>8913</v>
      </c>
      <c r="L115">
        <v>1573</v>
      </c>
      <c r="M115">
        <v>5609</v>
      </c>
      <c r="N115">
        <v>14949</v>
      </c>
      <c r="O115">
        <v>2418</v>
      </c>
      <c r="P115">
        <v>65300</v>
      </c>
      <c r="Q115">
        <v>0</v>
      </c>
      <c r="R115">
        <v>0</v>
      </c>
      <c r="S115">
        <v>4563</v>
      </c>
      <c r="T115">
        <v>6010</v>
      </c>
      <c r="U115">
        <f t="shared" si="14"/>
        <v>-1</v>
      </c>
      <c r="V115">
        <v>-1430</v>
      </c>
      <c r="W115">
        <v>80635</v>
      </c>
      <c r="X115">
        <v>82064</v>
      </c>
      <c r="Y115">
        <f t="shared" si="15"/>
        <v>-1429</v>
      </c>
      <c r="Z115">
        <v>16810</v>
      </c>
      <c r="AA115">
        <v>2706068</v>
      </c>
      <c r="AB115">
        <v>57453</v>
      </c>
      <c r="AC115" s="128">
        <v>46949.78671417314</v>
      </c>
      <c r="AD115">
        <v>30430</v>
      </c>
      <c r="AE115" t="s">
        <v>370</v>
      </c>
      <c r="AF115" s="188">
        <f t="shared" si="16"/>
        <v>-1.9507657964903578E-2</v>
      </c>
      <c r="AG115" s="188">
        <f t="shared" si="17"/>
        <v>0.70825323990822842</v>
      </c>
      <c r="AH115" s="188">
        <f t="shared" si="18"/>
        <v>3.3087369008495071E-2</v>
      </c>
      <c r="AI115" s="188">
        <f t="shared" si="19"/>
        <v>5.7506045761765982E-2</v>
      </c>
      <c r="AJ115" s="188">
        <f t="shared" si="20"/>
        <v>0.67196949215601165</v>
      </c>
      <c r="AK115" s="188">
        <f t="shared" si="21"/>
        <v>0.16032818532818532</v>
      </c>
      <c r="AL115" s="188">
        <f t="shared" si="22"/>
        <v>-1.7721832950951821E-2</v>
      </c>
      <c r="AM115" s="188">
        <v>-6.7798941071305786E-3</v>
      </c>
      <c r="AN115" s="188">
        <v>-1.0722905867922289E-2</v>
      </c>
      <c r="AO115">
        <f t="shared" si="23"/>
        <v>3</v>
      </c>
      <c r="AP115" s="188">
        <f t="shared" si="24"/>
        <v>5.2117566813418489E-2</v>
      </c>
      <c r="AQ115" s="188">
        <f t="shared" si="25"/>
        <v>3.3559471693433374E-2</v>
      </c>
      <c r="AR115" s="188">
        <f t="shared" si="26"/>
        <v>0.71250697587896072</v>
      </c>
      <c r="AS115" s="128">
        <f t="shared" si="27"/>
        <v>1542.8783014844935</v>
      </c>
      <c r="AT115" s="188">
        <v>0.29849999999999999</v>
      </c>
      <c r="AU115" s="238">
        <v>5.9700000000000003E-2</v>
      </c>
      <c r="AV115">
        <v>5.5</v>
      </c>
      <c r="AY115" t="s">
        <v>360</v>
      </c>
      <c r="AZ115" s="129">
        <v>1321.115635462857</v>
      </c>
      <c r="BA115" t="s">
        <v>467</v>
      </c>
      <c r="BB115">
        <v>1</v>
      </c>
    </row>
    <row r="116" spans="1:55" x14ac:dyDescent="0.25">
      <c r="A116" t="s">
        <v>148</v>
      </c>
      <c r="B116">
        <v>8475</v>
      </c>
      <c r="C116">
        <v>20485</v>
      </c>
      <c r="D116">
        <v>154637</v>
      </c>
      <c r="E116">
        <v>15225</v>
      </c>
      <c r="F116">
        <v>214</v>
      </c>
      <c r="G116">
        <v>3969</v>
      </c>
      <c r="H116">
        <v>0</v>
      </c>
      <c r="I116">
        <v>28044</v>
      </c>
      <c r="J116">
        <v>0</v>
      </c>
      <c r="K116">
        <v>12787</v>
      </c>
      <c r="L116">
        <v>5476</v>
      </c>
      <c r="M116">
        <v>6486</v>
      </c>
      <c r="N116">
        <v>90285</v>
      </c>
      <c r="O116">
        <v>24341</v>
      </c>
      <c r="P116">
        <v>107618</v>
      </c>
      <c r="Q116">
        <v>487</v>
      </c>
      <c r="R116">
        <v>0</v>
      </c>
      <c r="S116">
        <v>15012</v>
      </c>
      <c r="T116">
        <v>18048</v>
      </c>
      <c r="U116">
        <f t="shared" si="14"/>
        <v>-3763</v>
      </c>
      <c r="V116">
        <v>720</v>
      </c>
      <c r="W116">
        <v>188713</v>
      </c>
      <c r="X116">
        <v>184230</v>
      </c>
      <c r="Y116">
        <f t="shared" si="15"/>
        <v>4483</v>
      </c>
      <c r="Z116">
        <v>-1198</v>
      </c>
      <c r="AA116">
        <v>911693</v>
      </c>
      <c r="AB116">
        <v>119293</v>
      </c>
      <c r="AC116" s="128">
        <v>96088.621551536969</v>
      </c>
      <c r="AD116">
        <v>61357</v>
      </c>
      <c r="AE116" t="s">
        <v>148</v>
      </c>
      <c r="AF116" s="188">
        <f t="shared" si="16"/>
        <v>-2.9017608749794661E-2</v>
      </c>
      <c r="AG116" s="188">
        <f t="shared" si="17"/>
        <v>0.59472850307080061</v>
      </c>
      <c r="AH116" s="188">
        <f t="shared" si="18"/>
        <v>2.2165934514315391E-2</v>
      </c>
      <c r="AI116" s="188">
        <f t="shared" si="19"/>
        <v>0.14860661427670591</v>
      </c>
      <c r="AJ116" s="188">
        <f t="shared" si="20"/>
        <v>0.4933637852188244</v>
      </c>
      <c r="AK116" s="188">
        <f t="shared" si="21"/>
        <v>0.35296394321926888</v>
      </c>
      <c r="AL116" s="188">
        <f t="shared" si="22"/>
        <v>2.375565011419457E-2</v>
      </c>
      <c r="AM116" s="188">
        <v>1.5683188807269239E-3</v>
      </c>
      <c r="AN116" s="188">
        <v>6.2923096573425763E-2</v>
      </c>
      <c r="AO116">
        <f t="shared" si="23"/>
        <v>0</v>
      </c>
      <c r="AP116" s="188">
        <f t="shared" si="24"/>
        <v>-1.5870660738793829E-3</v>
      </c>
      <c r="AQ116" s="188">
        <f t="shared" si="25"/>
        <v>4.8311086146688356E-3</v>
      </c>
      <c r="AR116" s="188">
        <f t="shared" si="26"/>
        <v>0.6321398101879574</v>
      </c>
      <c r="AS116" s="128">
        <f t="shared" si="27"/>
        <v>1566.0580137806112</v>
      </c>
      <c r="AT116" s="188">
        <v>0.22650000000000001</v>
      </c>
      <c r="AU116" s="238">
        <v>4.53E-2</v>
      </c>
      <c r="AV116">
        <v>8.5</v>
      </c>
      <c r="AY116" t="s">
        <v>404</v>
      </c>
      <c r="AZ116" s="129">
        <v>1445.9373755181032</v>
      </c>
      <c r="BA116" t="s">
        <v>467</v>
      </c>
    </row>
    <row r="117" spans="1:55" x14ac:dyDescent="0.25">
      <c r="A117" t="s">
        <v>183</v>
      </c>
      <c r="B117">
        <v>3944</v>
      </c>
      <c r="C117">
        <v>168703</v>
      </c>
      <c r="D117">
        <v>78871</v>
      </c>
      <c r="E117">
        <v>3590</v>
      </c>
      <c r="F117">
        <v>0</v>
      </c>
      <c r="G117">
        <v>694</v>
      </c>
      <c r="H117">
        <v>0</v>
      </c>
      <c r="I117">
        <v>10426</v>
      </c>
      <c r="J117">
        <v>3315</v>
      </c>
      <c r="K117">
        <v>35131</v>
      </c>
      <c r="L117">
        <v>66524</v>
      </c>
      <c r="M117" s="207">
        <f>-6+6</f>
        <v>0</v>
      </c>
      <c r="N117">
        <v>83787</v>
      </c>
      <c r="O117">
        <v>82735</v>
      </c>
      <c r="P117">
        <v>170071</v>
      </c>
      <c r="Q117">
        <v>314</v>
      </c>
      <c r="R117">
        <v>0</v>
      </c>
      <c r="S117">
        <v>5456</v>
      </c>
      <c r="T117">
        <f>28800+6</f>
        <v>28806</v>
      </c>
      <c r="U117">
        <f t="shared" si="14"/>
        <v>1</v>
      </c>
      <c r="V117">
        <v>2673</v>
      </c>
      <c r="W117">
        <v>198669</v>
      </c>
      <c r="X117">
        <v>195997</v>
      </c>
      <c r="Y117">
        <f t="shared" si="15"/>
        <v>2672</v>
      </c>
      <c r="Z117">
        <v>28632</v>
      </c>
      <c r="AA117">
        <v>3655553.9999999981</v>
      </c>
      <c r="AB117">
        <v>100917</v>
      </c>
      <c r="AC117" s="128">
        <v>121712.08856500516</v>
      </c>
      <c r="AD117">
        <v>48726</v>
      </c>
      <c r="AE117" t="s">
        <v>183</v>
      </c>
      <c r="AF117" s="188">
        <f t="shared" si="16"/>
        <v>-0.33484841620987671</v>
      </c>
      <c r="AG117" s="188">
        <f t="shared" si="17"/>
        <v>0.51491677111174872</v>
      </c>
      <c r="AH117" s="188">
        <f t="shared" si="18"/>
        <v>3.493247562528628E-3</v>
      </c>
      <c r="AI117" s="188">
        <f t="shared" si="19"/>
        <v>6.9165295038481095E-2</v>
      </c>
      <c r="AJ117" s="188">
        <f t="shared" si="20"/>
        <v>0.46692025429231537</v>
      </c>
      <c r="AK117" s="188">
        <f t="shared" si="21"/>
        <v>0.22573814084689184</v>
      </c>
      <c r="AL117" s="188">
        <f t="shared" si="22"/>
        <v>1.344950646552809E-2</v>
      </c>
      <c r="AM117" s="188">
        <v>-2.7920577828464486E-2</v>
      </c>
      <c r="AN117" s="188">
        <v>-5.6983956478048443E-2</v>
      </c>
      <c r="AO117">
        <f t="shared" si="23"/>
        <v>2</v>
      </c>
      <c r="AP117" s="188">
        <f t="shared" si="24"/>
        <v>3.602977817374628E-2</v>
      </c>
      <c r="AQ117" s="188">
        <f t="shared" si="25"/>
        <v>1.8400223487308024E-2</v>
      </c>
      <c r="AR117" s="188">
        <f t="shared" si="26"/>
        <v>0.50796551047219241</v>
      </c>
      <c r="AS117" s="128">
        <f t="shared" si="27"/>
        <v>2497.8879564299382</v>
      </c>
      <c r="AT117" s="188">
        <v>0.19900000000000001</v>
      </c>
      <c r="AU117" s="238">
        <v>3.9800000000000002E-2</v>
      </c>
      <c r="AV117">
        <v>8.5</v>
      </c>
      <c r="AY117" t="s">
        <v>180</v>
      </c>
      <c r="AZ117" s="129">
        <v>1419.3557580472961</v>
      </c>
      <c r="BA117" t="s">
        <v>467</v>
      </c>
    </row>
    <row r="118" spans="1:55" x14ac:dyDescent="0.25">
      <c r="A118" t="s">
        <v>295</v>
      </c>
      <c r="B118">
        <v>3160</v>
      </c>
      <c r="C118">
        <v>11392</v>
      </c>
      <c r="D118">
        <v>32487</v>
      </c>
      <c r="E118">
        <v>822</v>
      </c>
      <c r="F118">
        <v>0</v>
      </c>
      <c r="G118">
        <v>82</v>
      </c>
      <c r="H118">
        <v>0</v>
      </c>
      <c r="I118">
        <v>4127</v>
      </c>
      <c r="J118">
        <v>0</v>
      </c>
      <c r="K118">
        <v>3657</v>
      </c>
      <c r="L118">
        <v>430</v>
      </c>
      <c r="M118">
        <v>13605</v>
      </c>
      <c r="N118">
        <v>33684</v>
      </c>
      <c r="O118">
        <v>5054</v>
      </c>
      <c r="P118">
        <v>21520</v>
      </c>
      <c r="Q118">
        <v>1</v>
      </c>
      <c r="R118">
        <v>1521</v>
      </c>
      <c r="S118">
        <v>1884</v>
      </c>
      <c r="T118">
        <v>6099</v>
      </c>
      <c r="U118">
        <f t="shared" si="14"/>
        <v>4</v>
      </c>
      <c r="V118">
        <v>16562</v>
      </c>
      <c r="W118">
        <v>61546</v>
      </c>
      <c r="X118">
        <v>44988</v>
      </c>
      <c r="Y118">
        <f t="shared" si="15"/>
        <v>16558</v>
      </c>
      <c r="Z118">
        <v>-369</v>
      </c>
      <c r="AA118">
        <v>1290187</v>
      </c>
      <c r="AB118">
        <v>27704</v>
      </c>
      <c r="AC118" s="128">
        <v>26739.240467274209</v>
      </c>
      <c r="AD118">
        <v>18413</v>
      </c>
      <c r="AE118" t="s">
        <v>295</v>
      </c>
      <c r="AF118" s="188">
        <f t="shared" si="16"/>
        <v>1.7726578494134469E-2</v>
      </c>
      <c r="AG118" s="188">
        <f t="shared" si="17"/>
        <v>0.21530237545900627</v>
      </c>
      <c r="AH118" s="188">
        <f t="shared" si="18"/>
        <v>1.3323367887433789E-3</v>
      </c>
      <c r="AI118" s="188">
        <f t="shared" si="19"/>
        <v>6.7055535696877139E-2</v>
      </c>
      <c r="AJ118" s="188">
        <f t="shared" si="20"/>
        <v>0.16852338088584148</v>
      </c>
      <c r="AK118" s="188">
        <f t="shared" si="21"/>
        <v>0.48283474047847713</v>
      </c>
      <c r="AL118" s="188">
        <f t="shared" si="22"/>
        <v>0.26903454326844961</v>
      </c>
      <c r="AM118" s="188">
        <v>3.3317347737196802E-3</v>
      </c>
      <c r="AN118" s="188">
        <v>-5.406084988684938E-3</v>
      </c>
      <c r="AO118">
        <f t="shared" si="23"/>
        <v>1</v>
      </c>
      <c r="AP118" s="188">
        <f t="shared" si="24"/>
        <v>-1.4988788873363014E-3</v>
      </c>
      <c r="AQ118" s="188">
        <f t="shared" si="25"/>
        <v>2.0962970786078707E-2</v>
      </c>
      <c r="AR118" s="188">
        <f t="shared" si="26"/>
        <v>0.4501348584798362</v>
      </c>
      <c r="AS118" s="128">
        <f t="shared" si="27"/>
        <v>1452.193584276012</v>
      </c>
      <c r="AT118" s="188">
        <v>0.32950000000000002</v>
      </c>
      <c r="AU118" s="238">
        <v>6.59E-2</v>
      </c>
      <c r="AV118">
        <v>8</v>
      </c>
      <c r="AY118" t="s">
        <v>292</v>
      </c>
      <c r="AZ118" s="129">
        <v>1636.4613809689508</v>
      </c>
      <c r="BA118" t="s">
        <v>467</v>
      </c>
    </row>
    <row r="119" spans="1:55" x14ac:dyDescent="0.25">
      <c r="A119" t="s">
        <v>130</v>
      </c>
      <c r="B119">
        <v>401</v>
      </c>
      <c r="C119">
        <v>18118</v>
      </c>
      <c r="D119">
        <v>64196</v>
      </c>
      <c r="E119">
        <v>3919</v>
      </c>
      <c r="F119">
        <v>348</v>
      </c>
      <c r="G119">
        <v>353</v>
      </c>
      <c r="H119">
        <v>0</v>
      </c>
      <c r="I119">
        <v>1639</v>
      </c>
      <c r="J119">
        <v>0</v>
      </c>
      <c r="K119">
        <v>8162</v>
      </c>
      <c r="L119">
        <v>48</v>
      </c>
      <c r="M119">
        <v>3674</v>
      </c>
      <c r="N119">
        <v>34563</v>
      </c>
      <c r="O119">
        <v>9734</v>
      </c>
      <c r="P119">
        <v>48667</v>
      </c>
      <c r="Q119">
        <v>26</v>
      </c>
      <c r="R119">
        <v>0</v>
      </c>
      <c r="S119">
        <v>2046</v>
      </c>
      <c r="T119">
        <v>5822</v>
      </c>
      <c r="U119">
        <f t="shared" si="14"/>
        <v>-4</v>
      </c>
      <c r="V119">
        <v>3105</v>
      </c>
      <c r="W119">
        <v>64583</v>
      </c>
      <c r="X119">
        <v>61474</v>
      </c>
      <c r="Y119">
        <f t="shared" si="15"/>
        <v>3109</v>
      </c>
      <c r="Z119">
        <v>14446</v>
      </c>
      <c r="AA119">
        <v>196212.99999999953</v>
      </c>
      <c r="AB119">
        <v>42938</v>
      </c>
      <c r="AC119" s="128">
        <v>39103.288391106005</v>
      </c>
      <c r="AD119">
        <v>15807</v>
      </c>
      <c r="AE119" t="s">
        <v>130</v>
      </c>
      <c r="AF119" s="188">
        <f t="shared" si="16"/>
        <v>-7.4322964247557403E-4</v>
      </c>
      <c r="AG119" s="188">
        <f t="shared" si="17"/>
        <v>0.68092222411470515</v>
      </c>
      <c r="AH119" s="188">
        <f t="shared" si="18"/>
        <v>1.0854249570320364E-2</v>
      </c>
      <c r="AI119" s="188">
        <f t="shared" si="19"/>
        <v>2.5378195500363875E-2</v>
      </c>
      <c r="AJ119" s="188">
        <f t="shared" si="20"/>
        <v>0.66445999721288884</v>
      </c>
      <c r="AK119" s="188">
        <f t="shared" si="21"/>
        <v>0.34268972218366417</v>
      </c>
      <c r="AL119" s="188">
        <f t="shared" si="22"/>
        <v>4.8139603301178328E-2</v>
      </c>
      <c r="AM119" s="188">
        <v>-1.9617940199335548E-2</v>
      </c>
      <c r="AN119" s="188">
        <v>-2.5365449079033764E-2</v>
      </c>
      <c r="AO119">
        <f t="shared" si="23"/>
        <v>2</v>
      </c>
      <c r="AP119" s="188">
        <f t="shared" si="24"/>
        <v>5.5920288620844492E-2</v>
      </c>
      <c r="AQ119" s="188">
        <f t="shared" si="25"/>
        <v>3.0381524549804055E-3</v>
      </c>
      <c r="AR119" s="188">
        <f t="shared" si="26"/>
        <v>0.66484988309617077</v>
      </c>
      <c r="AS119" s="128">
        <f t="shared" si="27"/>
        <v>2473.7956848931485</v>
      </c>
      <c r="AT119" s="188">
        <v>0.1245</v>
      </c>
      <c r="AU119" s="238">
        <v>2.4899999999999999E-2</v>
      </c>
      <c r="AV119">
        <v>7.5</v>
      </c>
      <c r="AY119" t="s">
        <v>367</v>
      </c>
      <c r="AZ119" s="129">
        <v>1602.8207720618032</v>
      </c>
      <c r="BA119" t="s">
        <v>467</v>
      </c>
    </row>
    <row r="120" spans="1:55" x14ac:dyDescent="0.25">
      <c r="A120" t="s">
        <v>184</v>
      </c>
      <c r="B120">
        <v>589</v>
      </c>
      <c r="C120">
        <v>1989</v>
      </c>
      <c r="D120">
        <v>24677</v>
      </c>
      <c r="E120">
        <v>1722</v>
      </c>
      <c r="F120">
        <v>348</v>
      </c>
      <c r="G120">
        <v>7942</v>
      </c>
      <c r="H120">
        <v>0</v>
      </c>
      <c r="I120">
        <v>-679</v>
      </c>
      <c r="J120">
        <v>0</v>
      </c>
      <c r="K120">
        <v>23401</v>
      </c>
      <c r="L120">
        <v>34</v>
      </c>
      <c r="M120">
        <v>2390</v>
      </c>
      <c r="N120">
        <v>10432</v>
      </c>
      <c r="O120">
        <v>1832</v>
      </c>
      <c r="P120">
        <v>41365</v>
      </c>
      <c r="Q120">
        <v>0</v>
      </c>
      <c r="R120">
        <v>716</v>
      </c>
      <c r="S120">
        <v>2961</v>
      </c>
      <c r="T120">
        <v>5109</v>
      </c>
      <c r="U120">
        <f t="shared" si="14"/>
        <v>8</v>
      </c>
      <c r="V120">
        <v>614</v>
      </c>
      <c r="W120">
        <v>32812</v>
      </c>
      <c r="X120">
        <v>32206</v>
      </c>
      <c r="Y120">
        <f t="shared" si="15"/>
        <v>606</v>
      </c>
      <c r="Z120">
        <v>2450</v>
      </c>
      <c r="AA120">
        <v>382165.99999999953</v>
      </c>
      <c r="AB120">
        <v>19330</v>
      </c>
      <c r="AC120" s="128">
        <v>18379.296434321957</v>
      </c>
      <c r="AD120">
        <v>12228</v>
      </c>
      <c r="AE120" t="s">
        <v>184</v>
      </c>
      <c r="AF120" s="188">
        <f t="shared" si="16"/>
        <v>2.0785078629769596E-2</v>
      </c>
      <c r="AG120" s="188">
        <f t="shared" si="17"/>
        <v>0.48872363769352678</v>
      </c>
      <c r="AH120" s="188">
        <f t="shared" si="18"/>
        <v>0.25265146897476531</v>
      </c>
      <c r="AI120" s="188">
        <f t="shared" si="19"/>
        <v>-2.0693648665122515E-2</v>
      </c>
      <c r="AJ120" s="188">
        <f t="shared" si="20"/>
        <v>0.53352736803608436</v>
      </c>
      <c r="AK120" s="188">
        <f t="shared" si="21"/>
        <v>0.16713930946086678</v>
      </c>
      <c r="AL120" s="188">
        <f t="shared" si="22"/>
        <v>1.8468852858710229E-2</v>
      </c>
      <c r="AM120" s="188">
        <v>-1.1387969632080981E-2</v>
      </c>
      <c r="AN120" s="188">
        <v>-3.2398032976569277E-2</v>
      </c>
      <c r="AO120">
        <f t="shared" si="23"/>
        <v>2</v>
      </c>
      <c r="AP120" s="188">
        <f t="shared" si="24"/>
        <v>1.8666951115445567E-2</v>
      </c>
      <c r="AQ120" s="188">
        <f t="shared" si="25"/>
        <v>1.164714128977202E-2</v>
      </c>
      <c r="AR120" s="188">
        <f t="shared" si="26"/>
        <v>0.58911373887602092</v>
      </c>
      <c r="AS120" s="128">
        <f t="shared" si="27"/>
        <v>1503.0500845863558</v>
      </c>
      <c r="AT120" s="188">
        <v>0.23199999999999998</v>
      </c>
      <c r="AU120" s="238">
        <v>4.6399999999999997E-2</v>
      </c>
      <c r="AV120">
        <v>8.5</v>
      </c>
      <c r="AY120" t="s">
        <v>490</v>
      </c>
      <c r="AZ120" s="129">
        <v>1497.554886774931</v>
      </c>
      <c r="BA120" t="s">
        <v>467</v>
      </c>
    </row>
    <row r="121" spans="1:55" x14ac:dyDescent="0.25">
      <c r="A121" t="s">
        <v>254</v>
      </c>
      <c r="B121">
        <v>0</v>
      </c>
      <c r="C121">
        <v>1557</v>
      </c>
      <c r="D121">
        <v>78026</v>
      </c>
      <c r="E121">
        <v>0</v>
      </c>
      <c r="F121">
        <v>-337</v>
      </c>
      <c r="G121">
        <v>2397</v>
      </c>
      <c r="H121">
        <v>0</v>
      </c>
      <c r="I121">
        <v>-768</v>
      </c>
      <c r="J121">
        <v>2269</v>
      </c>
      <c r="K121">
        <v>2479</v>
      </c>
      <c r="L121">
        <v>552</v>
      </c>
      <c r="M121">
        <v>6634</v>
      </c>
      <c r="N121">
        <v>52455</v>
      </c>
      <c r="O121">
        <v>6703</v>
      </c>
      <c r="P121">
        <v>23287</v>
      </c>
      <c r="Q121">
        <v>91</v>
      </c>
      <c r="R121">
        <v>2564</v>
      </c>
      <c r="S121">
        <v>42</v>
      </c>
      <c r="T121">
        <v>7702</v>
      </c>
      <c r="U121">
        <f t="shared" si="14"/>
        <v>35</v>
      </c>
      <c r="V121">
        <v>-815</v>
      </c>
      <c r="W121">
        <v>102610</v>
      </c>
      <c r="X121">
        <v>103460</v>
      </c>
      <c r="Y121">
        <f t="shared" si="15"/>
        <v>-850</v>
      </c>
      <c r="Z121">
        <v>-3507</v>
      </c>
      <c r="AA121">
        <v>4996791</v>
      </c>
      <c r="AB121">
        <v>77561</v>
      </c>
      <c r="AC121" s="128">
        <v>60537.9379959043</v>
      </c>
      <c r="AD121">
        <v>39191</v>
      </c>
      <c r="AE121" t="s">
        <v>254</v>
      </c>
      <c r="AF121" s="188">
        <f t="shared" si="16"/>
        <v>1.9608225319169673E-2</v>
      </c>
      <c r="AG121" s="188">
        <f t="shared" si="17"/>
        <v>0.21402397427151348</v>
      </c>
      <c r="AH121" s="188">
        <f t="shared" si="18"/>
        <v>2.0076015982847677E-2</v>
      </c>
      <c r="AI121" s="188">
        <f t="shared" si="19"/>
        <v>1.4628203878764253E-2</v>
      </c>
      <c r="AJ121" s="188">
        <f t="shared" si="20"/>
        <v>0.20619335347432022</v>
      </c>
      <c r="AK121" s="188">
        <f t="shared" si="21"/>
        <v>0.56497996639524362</v>
      </c>
      <c r="AL121" s="188">
        <f t="shared" si="22"/>
        <v>-8.2837930026313233E-3</v>
      </c>
      <c r="AM121" s="188">
        <v>-1.0583297209858008E-2</v>
      </c>
      <c r="AN121" s="188">
        <v>-2.3486317603964663E-2</v>
      </c>
      <c r="AO121">
        <f t="shared" si="23"/>
        <v>3</v>
      </c>
      <c r="AP121" s="188">
        <f t="shared" si="24"/>
        <v>-8.544488841243543E-3</v>
      </c>
      <c r="AQ121" s="188">
        <f t="shared" si="25"/>
        <v>4.8696920378130788E-2</v>
      </c>
      <c r="AR121" s="188">
        <f t="shared" si="26"/>
        <v>0.75588149303186825</v>
      </c>
      <c r="AS121" s="128">
        <f t="shared" si="27"/>
        <v>1544.6898011253679</v>
      </c>
      <c r="AT121" s="188">
        <v>0.28500000000000003</v>
      </c>
      <c r="AU121" s="238">
        <v>5.7000000000000002E-2</v>
      </c>
      <c r="AV121">
        <v>5.5</v>
      </c>
      <c r="AY121" t="s">
        <v>369</v>
      </c>
      <c r="AZ121" s="129">
        <v>1535.0150169800668</v>
      </c>
      <c r="BA121" t="s">
        <v>467</v>
      </c>
    </row>
    <row r="122" spans="1:55" x14ac:dyDescent="0.25">
      <c r="A122" t="s">
        <v>255</v>
      </c>
      <c r="B122">
        <v>0</v>
      </c>
      <c r="C122">
        <v>2398</v>
      </c>
      <c r="D122">
        <v>53424</v>
      </c>
      <c r="E122">
        <v>1817</v>
      </c>
      <c r="F122">
        <v>42</v>
      </c>
      <c r="G122">
        <v>241</v>
      </c>
      <c r="H122">
        <v>34501</v>
      </c>
      <c r="I122">
        <v>0</v>
      </c>
      <c r="J122">
        <v>1</v>
      </c>
      <c r="K122">
        <v>6016</v>
      </c>
      <c r="L122" s="207">
        <f>-1900+1900</f>
        <v>0</v>
      </c>
      <c r="M122">
        <v>1209</v>
      </c>
      <c r="N122">
        <v>56638</v>
      </c>
      <c r="O122">
        <v>10835</v>
      </c>
      <c r="P122">
        <v>21184</v>
      </c>
      <c r="Q122">
        <v>184</v>
      </c>
      <c r="R122">
        <f>1900</f>
        <v>1900</v>
      </c>
      <c r="S122">
        <v>2881</v>
      </c>
      <c r="T122">
        <v>6029</v>
      </c>
      <c r="U122">
        <f t="shared" si="14"/>
        <v>3</v>
      </c>
      <c r="V122">
        <v>33594</v>
      </c>
      <c r="W122">
        <v>98718</v>
      </c>
      <c r="X122">
        <v>65127</v>
      </c>
      <c r="Y122">
        <f t="shared" si="15"/>
        <v>33591</v>
      </c>
      <c r="Z122">
        <v>1458</v>
      </c>
      <c r="AA122">
        <v>6934392.9999999981</v>
      </c>
      <c r="AB122">
        <v>40249</v>
      </c>
      <c r="AC122" s="128">
        <v>39494.791041544726</v>
      </c>
      <c r="AD122">
        <v>27545</v>
      </c>
      <c r="AE122" t="s">
        <v>255</v>
      </c>
      <c r="AF122" s="188">
        <f t="shared" si="16"/>
        <v>1.9246743248445067E-2</v>
      </c>
      <c r="AG122" s="188">
        <f t="shared" si="17"/>
        <v>-9.9586701513401807E-2</v>
      </c>
      <c r="AH122" s="188">
        <f t="shared" si="18"/>
        <v>2.8667517575315547E-3</v>
      </c>
      <c r="AI122" s="188">
        <f t="shared" si="19"/>
        <v>1.0129864867602666E-5</v>
      </c>
      <c r="AJ122" s="188">
        <f t="shared" si="20"/>
        <v>-9.924978220790534E-2</v>
      </c>
      <c r="AK122" s="188">
        <f t="shared" si="21"/>
        <v>0.56836358892534944</v>
      </c>
      <c r="AL122" s="188">
        <f t="shared" si="22"/>
        <v>0.34027229076764115</v>
      </c>
      <c r="AM122" s="188">
        <v>7.3528121435465473E-3</v>
      </c>
      <c r="AN122" s="188">
        <v>4.3977477643248816E-3</v>
      </c>
      <c r="AO122">
        <f t="shared" si="23"/>
        <v>0</v>
      </c>
      <c r="AP122" s="188">
        <f t="shared" si="24"/>
        <v>3.6923357442411719E-3</v>
      </c>
      <c r="AQ122" s="188">
        <f t="shared" si="25"/>
        <v>7.0244464028849832E-2</v>
      </c>
      <c r="AR122" s="188">
        <f t="shared" si="26"/>
        <v>0.40771693105613971</v>
      </c>
      <c r="AS122" s="128">
        <f t="shared" si="27"/>
        <v>1433.8279557649203</v>
      </c>
      <c r="AT122" s="188">
        <v>0.27750000000000002</v>
      </c>
      <c r="AU122" s="238">
        <v>5.5500000000000001E-2</v>
      </c>
      <c r="AV122">
        <v>8.5</v>
      </c>
      <c r="AY122" t="s">
        <v>253</v>
      </c>
      <c r="AZ122" s="129">
        <v>1759.7140208314556</v>
      </c>
      <c r="BA122" t="s">
        <v>467</v>
      </c>
      <c r="BC122">
        <v>1</v>
      </c>
    </row>
    <row r="123" spans="1:55" x14ac:dyDescent="0.25">
      <c r="A123" t="s">
        <v>185</v>
      </c>
      <c r="B123">
        <v>1348</v>
      </c>
      <c r="C123">
        <v>5848</v>
      </c>
      <c r="D123">
        <v>54094</v>
      </c>
      <c r="E123">
        <v>66</v>
      </c>
      <c r="F123">
        <v>547</v>
      </c>
      <c r="G123">
        <v>1134</v>
      </c>
      <c r="H123">
        <v>0</v>
      </c>
      <c r="I123">
        <v>1127</v>
      </c>
      <c r="J123">
        <v>39</v>
      </c>
      <c r="K123">
        <v>5129</v>
      </c>
      <c r="L123">
        <v>17892</v>
      </c>
      <c r="M123">
        <v>4888</v>
      </c>
      <c r="N123">
        <v>24163</v>
      </c>
      <c r="O123">
        <v>7106</v>
      </c>
      <c r="P123">
        <v>42755</v>
      </c>
      <c r="Q123">
        <v>0</v>
      </c>
      <c r="R123">
        <v>10000</v>
      </c>
      <c r="S123">
        <v>1931</v>
      </c>
      <c r="T123">
        <v>6157</v>
      </c>
      <c r="U123">
        <f t="shared" si="14"/>
        <v>6</v>
      </c>
      <c r="V123">
        <v>1066</v>
      </c>
      <c r="W123">
        <v>51059</v>
      </c>
      <c r="X123">
        <v>49999</v>
      </c>
      <c r="Y123">
        <f t="shared" si="15"/>
        <v>1060</v>
      </c>
      <c r="Z123">
        <v>2440</v>
      </c>
      <c r="AA123">
        <v>398076.99999999907</v>
      </c>
      <c r="AB123">
        <v>34298</v>
      </c>
      <c r="AC123" s="128">
        <v>28641.443435268317</v>
      </c>
      <c r="AD123">
        <v>18776</v>
      </c>
      <c r="AE123" t="s">
        <v>185</v>
      </c>
      <c r="AF123" s="188">
        <f t="shared" si="16"/>
        <v>-0.1545662860612233</v>
      </c>
      <c r="AG123" s="188">
        <f t="shared" si="17"/>
        <v>0.61209581072876473</v>
      </c>
      <c r="AH123" s="188">
        <f t="shared" si="18"/>
        <v>3.2922697271783624E-2</v>
      </c>
      <c r="AI123" s="188">
        <f t="shared" si="19"/>
        <v>2.2836326602557824E-2</v>
      </c>
      <c r="AJ123" s="188">
        <f t="shared" si="20"/>
        <v>0.60006110577958838</v>
      </c>
      <c r="AK123" s="188">
        <f t="shared" si="21"/>
        <v>0.26232195587979851</v>
      </c>
      <c r="AL123" s="188">
        <f t="shared" si="22"/>
        <v>2.0760296911416204E-2</v>
      </c>
      <c r="AM123" s="188">
        <v>1.223253936213161E-2</v>
      </c>
      <c r="AN123" s="188">
        <v>7.4413525477272285E-2</v>
      </c>
      <c r="AO123">
        <f t="shared" si="23"/>
        <v>0</v>
      </c>
      <c r="AP123" s="188">
        <f t="shared" si="24"/>
        <v>1.1946963316947062E-2</v>
      </c>
      <c r="AQ123" s="188">
        <f t="shared" si="25"/>
        <v>7.7964119939677445E-3</v>
      </c>
      <c r="AR123" s="188">
        <f t="shared" si="26"/>
        <v>0.67173270138467267</v>
      </c>
      <c r="AS123" s="128">
        <f t="shared" si="27"/>
        <v>1525.428389181312</v>
      </c>
      <c r="AT123" s="188">
        <v>0.25650000000000001</v>
      </c>
      <c r="AU123" s="238">
        <v>5.1299999999999998E-2</v>
      </c>
      <c r="AV123">
        <v>9</v>
      </c>
      <c r="AY123" t="s">
        <v>295</v>
      </c>
      <c r="AZ123" s="129">
        <v>1452.193584276012</v>
      </c>
      <c r="BA123" t="s">
        <v>467</v>
      </c>
    </row>
    <row r="124" spans="1:55" x14ac:dyDescent="0.25">
      <c r="A124" t="s">
        <v>131</v>
      </c>
      <c r="B124">
        <v>14871</v>
      </c>
      <c r="C124">
        <v>8410</v>
      </c>
      <c r="D124">
        <v>105362</v>
      </c>
      <c r="E124">
        <v>12281</v>
      </c>
      <c r="F124">
        <v>0</v>
      </c>
      <c r="G124">
        <v>400</v>
      </c>
      <c r="H124">
        <v>102</v>
      </c>
      <c r="I124">
        <v>18153</v>
      </c>
      <c r="J124">
        <v>7</v>
      </c>
      <c r="K124">
        <v>19732</v>
      </c>
      <c r="L124">
        <f>17451+1410</f>
        <v>18861</v>
      </c>
      <c r="M124">
        <v>2891</v>
      </c>
      <c r="N124">
        <v>42589</v>
      </c>
      <c r="O124">
        <v>20516</v>
      </c>
      <c r="P124">
        <v>119175</v>
      </c>
      <c r="Q124">
        <v>2</v>
      </c>
      <c r="R124" s="207">
        <f>-1410+1410</f>
        <v>0</v>
      </c>
      <c r="S124">
        <v>3739</v>
      </c>
      <c r="T124">
        <v>15051</v>
      </c>
      <c r="U124">
        <f t="shared" si="14"/>
        <v>-1</v>
      </c>
      <c r="V124">
        <v>-40</v>
      </c>
      <c r="W124">
        <v>174302</v>
      </c>
      <c r="X124">
        <v>174341</v>
      </c>
      <c r="Y124">
        <f t="shared" si="15"/>
        <v>-39</v>
      </c>
      <c r="Z124">
        <v>298</v>
      </c>
      <c r="AA124">
        <v>32329.999999998137</v>
      </c>
      <c r="AB124">
        <v>118711</v>
      </c>
      <c r="AC124" s="128">
        <v>99054.110924440291</v>
      </c>
      <c r="AD124">
        <v>50650</v>
      </c>
      <c r="AE124" t="s">
        <v>131</v>
      </c>
      <c r="AF124" s="188">
        <f t="shared" si="16"/>
        <v>-0.10820874115041709</v>
      </c>
      <c r="AG124" s="188">
        <f t="shared" si="17"/>
        <v>0.55065920069763974</v>
      </c>
      <c r="AH124" s="188">
        <f t="shared" si="18"/>
        <v>2.2948675287719016E-3</v>
      </c>
      <c r="AI124" s="188">
        <f t="shared" si="19"/>
        <v>0.10418698580624433</v>
      </c>
      <c r="AJ124" s="188">
        <f t="shared" si="20"/>
        <v>0.47800369473672133</v>
      </c>
      <c r="AK124" s="188">
        <f t="shared" si="21"/>
        <v>0.21180970000795735</v>
      </c>
      <c r="AL124" s="188">
        <f t="shared" si="22"/>
        <v>-2.237495840552604E-4</v>
      </c>
      <c r="AM124" s="188">
        <v>2.9589095366025775E-3</v>
      </c>
      <c r="AN124" s="188">
        <v>6.7373619624211886E-3</v>
      </c>
      <c r="AO124">
        <f t="shared" si="23"/>
        <v>1</v>
      </c>
      <c r="AP124" s="188">
        <f t="shared" si="24"/>
        <v>4.274190772337667E-4</v>
      </c>
      <c r="AQ124" s="188">
        <f t="shared" si="25"/>
        <v>1.8548266801297826E-4</v>
      </c>
      <c r="AR124" s="188">
        <f t="shared" si="26"/>
        <v>0.68106504802010304</v>
      </c>
      <c r="AS124" s="128">
        <f t="shared" si="27"/>
        <v>1955.6586559613088</v>
      </c>
      <c r="AT124" s="188">
        <v>0.21600000000000003</v>
      </c>
      <c r="AU124" s="238">
        <v>4.3200000000000002E-2</v>
      </c>
      <c r="AV124">
        <v>8</v>
      </c>
      <c r="AY124" t="s">
        <v>184</v>
      </c>
      <c r="AZ124" s="129">
        <v>1503.0500845863558</v>
      </c>
      <c r="BA124" t="s">
        <v>467</v>
      </c>
    </row>
    <row r="125" spans="1:55" x14ac:dyDescent="0.25">
      <c r="A125" t="s">
        <v>407</v>
      </c>
      <c r="B125">
        <v>29526</v>
      </c>
      <c r="C125">
        <v>23848</v>
      </c>
      <c r="D125">
        <v>315792</v>
      </c>
      <c r="E125">
        <v>2295</v>
      </c>
      <c r="F125">
        <v>1242</v>
      </c>
      <c r="G125">
        <v>27917</v>
      </c>
      <c r="H125">
        <v>0</v>
      </c>
      <c r="I125">
        <v>9399</v>
      </c>
      <c r="J125">
        <v>2</v>
      </c>
      <c r="K125">
        <v>29769</v>
      </c>
      <c r="L125">
        <v>6598</v>
      </c>
      <c r="M125">
        <v>19587</v>
      </c>
      <c r="N125">
        <v>32719</v>
      </c>
      <c r="O125">
        <v>22678</v>
      </c>
      <c r="P125">
        <v>256125</v>
      </c>
      <c r="Q125">
        <v>12</v>
      </c>
      <c r="R125">
        <v>105000</v>
      </c>
      <c r="S125">
        <v>15719</v>
      </c>
      <c r="T125">
        <v>33723</v>
      </c>
      <c r="U125">
        <f t="shared" si="14"/>
        <v>5</v>
      </c>
      <c r="V125">
        <v>12864</v>
      </c>
      <c r="W125">
        <v>458564</v>
      </c>
      <c r="X125">
        <v>445705</v>
      </c>
      <c r="Y125">
        <f t="shared" si="15"/>
        <v>12859</v>
      </c>
      <c r="Z125">
        <v>82458</v>
      </c>
      <c r="AA125">
        <v>-3725547</v>
      </c>
      <c r="AB125">
        <v>355495</v>
      </c>
      <c r="AC125" s="128">
        <v>200930.9121488716</v>
      </c>
      <c r="AD125">
        <v>86936</v>
      </c>
      <c r="AE125" t="s">
        <v>407</v>
      </c>
      <c r="AF125" s="188">
        <f t="shared" si="16"/>
        <v>0.21458727680323794</v>
      </c>
      <c r="AG125" s="188">
        <f t="shared" si="17"/>
        <v>0.70975043832485762</v>
      </c>
      <c r="AH125" s="188">
        <f t="shared" si="18"/>
        <v>6.3587634441430202E-2</v>
      </c>
      <c r="AI125" s="188">
        <f t="shared" si="19"/>
        <v>2.0500955155659844E-2</v>
      </c>
      <c r="AJ125" s="188">
        <f t="shared" si="20"/>
        <v>0.7030302858488674</v>
      </c>
      <c r="AK125" s="188">
        <f t="shared" si="21"/>
        <v>7.0216062629835013E-2</v>
      </c>
      <c r="AL125" s="188">
        <f t="shared" si="22"/>
        <v>2.8041887282909257E-2</v>
      </c>
      <c r="AM125" s="188">
        <v>-1.693313288756822E-2</v>
      </c>
      <c r="AN125" s="188">
        <v>4.8430279554618986E-3</v>
      </c>
      <c r="AO125">
        <f t="shared" si="23"/>
        <v>1</v>
      </c>
      <c r="AP125" s="188">
        <f t="shared" si="24"/>
        <v>4.4954466552106137E-2</v>
      </c>
      <c r="AQ125" s="188">
        <f t="shared" si="25"/>
        <v>-8.1243774042445548E-3</v>
      </c>
      <c r="AR125" s="188">
        <f t="shared" si="26"/>
        <v>0.77523529976186534</v>
      </c>
      <c r="AS125" s="128">
        <f t="shared" si="27"/>
        <v>2311.2509449350282</v>
      </c>
      <c r="AT125" s="188">
        <v>0.26150000000000001</v>
      </c>
      <c r="AU125" s="238">
        <v>5.2299999999999999E-2</v>
      </c>
      <c r="AV125">
        <v>5</v>
      </c>
      <c r="AY125" t="s">
        <v>255</v>
      </c>
      <c r="AZ125" s="129">
        <v>1433.8279557649203</v>
      </c>
      <c r="BA125" t="s">
        <v>467</v>
      </c>
    </row>
    <row r="126" spans="1:55" x14ac:dyDescent="0.25">
      <c r="A126" t="s">
        <v>371</v>
      </c>
      <c r="B126">
        <v>44</v>
      </c>
      <c r="C126">
        <v>1807</v>
      </c>
      <c r="D126">
        <v>28405</v>
      </c>
      <c r="E126">
        <v>42</v>
      </c>
      <c r="F126">
        <v>2730</v>
      </c>
      <c r="G126">
        <v>6756</v>
      </c>
      <c r="H126">
        <v>0</v>
      </c>
      <c r="I126">
        <v>2102</v>
      </c>
      <c r="J126">
        <v>2</v>
      </c>
      <c r="K126">
        <v>8766</v>
      </c>
      <c r="L126" s="207">
        <f>-18+18</f>
        <v>0</v>
      </c>
      <c r="M126">
        <v>2011</v>
      </c>
      <c r="N126">
        <v>14011</v>
      </c>
      <c r="O126">
        <v>5185</v>
      </c>
      <c r="P126">
        <v>22739</v>
      </c>
      <c r="Q126">
        <v>1731</v>
      </c>
      <c r="R126">
        <f>18</f>
        <v>18</v>
      </c>
      <c r="S126">
        <v>5435</v>
      </c>
      <c r="T126">
        <v>3541</v>
      </c>
      <c r="U126">
        <f t="shared" ref="U126:U188" si="28">SUM(V126,-Y126)</f>
        <v>-76</v>
      </c>
      <c r="V126">
        <v>1302</v>
      </c>
      <c r="W126">
        <v>39650</v>
      </c>
      <c r="X126">
        <v>38272</v>
      </c>
      <c r="Y126">
        <f t="shared" ref="Y126:Y188" si="29">SUM(W126,-X126)</f>
        <v>1378</v>
      </c>
      <c r="Z126">
        <v>12271</v>
      </c>
      <c r="AA126">
        <v>2351837.9999999991</v>
      </c>
      <c r="AB126">
        <v>25904</v>
      </c>
      <c r="AC126" s="128">
        <v>24405.06636486428</v>
      </c>
      <c r="AD126">
        <v>16243</v>
      </c>
      <c r="AE126" t="s">
        <v>371</v>
      </c>
      <c r="AF126" s="188">
        <f t="shared" ref="AF126:AF188" si="30">SUM(R126,-L126)/W126</f>
        <v>4.5397225725094578E-4</v>
      </c>
      <c r="AG126" s="188">
        <f t="shared" ref="AG126:AG188" si="31">SUM(P126,Q126,R126,S126,T126,-F126,-G126,-H126,-K126,-L126,-M126)/W126</f>
        <v>0.33293820933165197</v>
      </c>
      <c r="AH126" s="188">
        <f t="shared" ref="AH126:AH188" si="32">SUM(F126,G126)/W126</f>
        <v>0.23924337957124842</v>
      </c>
      <c r="AI126" s="188">
        <f t="shared" ref="AI126:AI188" si="33">SUM(I126,J126)/W126</f>
        <v>5.3064312736443887E-2</v>
      </c>
      <c r="AJ126" s="188">
        <f t="shared" ref="AJ126:AJ188" si="34">SUM(AG126,0.12*AH126,-0.7*AI126)</f>
        <v>0.3245023959646911</v>
      </c>
      <c r="AK126" s="188">
        <f t="shared" ref="AK126:AK188" si="35">N126/SUM(N126,O126,P126,Q126,R126,S126,T126)</f>
        <v>0.26606532472464867</v>
      </c>
      <c r="AL126" s="188">
        <f t="shared" ref="AL126:AL188" si="36">Y126/W126</f>
        <v>3.4754098360655739E-2</v>
      </c>
      <c r="AM126" s="188">
        <v>2.7211557490599645E-3</v>
      </c>
      <c r="AN126" s="188">
        <v>-2.370682967697893E-2</v>
      </c>
      <c r="AO126">
        <f t="shared" ref="AO126:AO188" si="37">COUNTIF(AL126:AN126,"&lt;0")</f>
        <v>1</v>
      </c>
      <c r="AP126" s="188">
        <f t="shared" ref="AP126:AP188" si="38">Z126/(4*W126)</f>
        <v>7.7370744010088269E-2</v>
      </c>
      <c r="AQ126" s="188">
        <f t="shared" ref="AQ126:AQ188" si="39">AA126/(W126*1000)</f>
        <v>5.9314955863808298E-2</v>
      </c>
      <c r="AR126" s="188">
        <f t="shared" ref="AR126:AR188" si="40">AB126/W126</f>
        <v>0.65331651954602776</v>
      </c>
      <c r="AS126" s="128">
        <f t="shared" ref="AS126:AS188" si="41">AC126*1000/AD126</f>
        <v>1502.4974675161163</v>
      </c>
      <c r="AT126" s="188">
        <v>0.23550000000000001</v>
      </c>
      <c r="AU126" s="238">
        <v>4.7100000000000003E-2</v>
      </c>
      <c r="AV126">
        <v>8.5</v>
      </c>
      <c r="AY126" t="s">
        <v>185</v>
      </c>
      <c r="AZ126" s="129">
        <v>1525.428389181312</v>
      </c>
      <c r="BA126" t="s">
        <v>467</v>
      </c>
    </row>
    <row r="127" spans="1:55" x14ac:dyDescent="0.25">
      <c r="A127" t="s">
        <v>257</v>
      </c>
      <c r="B127">
        <v>0</v>
      </c>
      <c r="C127">
        <v>4072</v>
      </c>
      <c r="D127">
        <v>42902</v>
      </c>
      <c r="E127">
        <v>357</v>
      </c>
      <c r="F127">
        <v>0</v>
      </c>
      <c r="G127">
        <v>96</v>
      </c>
      <c r="H127">
        <v>0</v>
      </c>
      <c r="I127">
        <v>9788</v>
      </c>
      <c r="J127">
        <v>747</v>
      </c>
      <c r="K127">
        <v>5665</v>
      </c>
      <c r="L127">
        <v>19644</v>
      </c>
      <c r="M127">
        <v>4573</v>
      </c>
      <c r="N127">
        <v>24858</v>
      </c>
      <c r="O127">
        <v>1736</v>
      </c>
      <c r="P127">
        <v>51700</v>
      </c>
      <c r="Q127">
        <v>117</v>
      </c>
      <c r="R127">
        <v>0</v>
      </c>
      <c r="S127">
        <v>2430</v>
      </c>
      <c r="T127">
        <v>7003</v>
      </c>
      <c r="U127">
        <f t="shared" si="28"/>
        <v>-4</v>
      </c>
      <c r="V127">
        <v>1446</v>
      </c>
      <c r="W127">
        <v>62681</v>
      </c>
      <c r="X127">
        <v>61231</v>
      </c>
      <c r="Y127">
        <f t="shared" si="29"/>
        <v>1450</v>
      </c>
      <c r="Z127">
        <v>-9034</v>
      </c>
      <c r="AA127">
        <v>4029182.9999999981</v>
      </c>
      <c r="AB127">
        <v>35918</v>
      </c>
      <c r="AC127" s="128">
        <v>40399.092437068291</v>
      </c>
      <c r="AD127">
        <v>24144</v>
      </c>
      <c r="AE127" t="s">
        <v>257</v>
      </c>
      <c r="AF127" s="188">
        <f t="shared" si="30"/>
        <v>-0.3133964040139755</v>
      </c>
      <c r="AG127" s="188">
        <f t="shared" si="31"/>
        <v>0.49890716485059267</v>
      </c>
      <c r="AH127" s="188">
        <f t="shared" si="32"/>
        <v>1.5315645889503997E-3</v>
      </c>
      <c r="AI127" s="188">
        <f t="shared" si="33"/>
        <v>0.1680732598395048</v>
      </c>
      <c r="AJ127" s="188">
        <f t="shared" si="34"/>
        <v>0.3814396707136134</v>
      </c>
      <c r="AK127" s="188">
        <f t="shared" si="35"/>
        <v>0.28297891717134921</v>
      </c>
      <c r="AL127" s="188">
        <f t="shared" si="36"/>
        <v>2.3133006812271661E-2</v>
      </c>
      <c r="AM127" s="188">
        <v>-3.9320822162645222E-2</v>
      </c>
      <c r="AN127" s="188">
        <v>1.6379029170270999E-2</v>
      </c>
      <c r="AO127">
        <f t="shared" si="37"/>
        <v>1</v>
      </c>
      <c r="AP127" s="188">
        <f t="shared" si="38"/>
        <v>-3.6031652334838307E-2</v>
      </c>
      <c r="AQ127" s="188">
        <f t="shared" si="39"/>
        <v>6.4280770887509747E-2</v>
      </c>
      <c r="AR127" s="188">
        <f t="shared" si="40"/>
        <v>0.57302850943667138</v>
      </c>
      <c r="AS127" s="128">
        <f t="shared" si="41"/>
        <v>1673.2559823172751</v>
      </c>
      <c r="AT127" s="188">
        <v>0.20500000000000002</v>
      </c>
      <c r="AU127" s="238">
        <v>4.1000000000000002E-2</v>
      </c>
      <c r="AV127">
        <v>8.5</v>
      </c>
      <c r="AY127" t="s">
        <v>371</v>
      </c>
      <c r="AZ127" s="129">
        <v>1502.4974675161163</v>
      </c>
      <c r="BA127" t="s">
        <v>467</v>
      </c>
    </row>
    <row r="128" spans="1:55" x14ac:dyDescent="0.25">
      <c r="A128" t="s">
        <v>149</v>
      </c>
      <c r="B128">
        <v>1246</v>
      </c>
      <c r="C128">
        <v>3410</v>
      </c>
      <c r="D128">
        <v>118468</v>
      </c>
      <c r="E128">
        <v>137</v>
      </c>
      <c r="F128">
        <v>71</v>
      </c>
      <c r="G128">
        <v>5327</v>
      </c>
      <c r="H128">
        <v>106</v>
      </c>
      <c r="I128">
        <v>6532</v>
      </c>
      <c r="J128">
        <v>25</v>
      </c>
      <c r="K128">
        <v>4711</v>
      </c>
      <c r="L128">
        <v>22416</v>
      </c>
      <c r="M128">
        <v>4628</v>
      </c>
      <c r="N128">
        <v>18192</v>
      </c>
      <c r="O128">
        <v>8669</v>
      </c>
      <c r="P128">
        <v>126300</v>
      </c>
      <c r="Q128">
        <v>0</v>
      </c>
      <c r="R128">
        <v>0</v>
      </c>
      <c r="S128">
        <v>5082</v>
      </c>
      <c r="T128">
        <v>8836</v>
      </c>
      <c r="U128">
        <f t="shared" si="28"/>
        <v>-7</v>
      </c>
      <c r="V128">
        <v>5718</v>
      </c>
      <c r="W128">
        <v>103352</v>
      </c>
      <c r="X128">
        <v>97627</v>
      </c>
      <c r="Y128">
        <f t="shared" si="29"/>
        <v>5725</v>
      </c>
      <c r="Z128">
        <v>433</v>
      </c>
      <c r="AA128">
        <v>-18781.000000001863</v>
      </c>
      <c r="AB128">
        <v>64893</v>
      </c>
      <c r="AC128" s="128">
        <v>55958.945189604216</v>
      </c>
      <c r="AD128">
        <v>35932</v>
      </c>
      <c r="AE128" t="s">
        <v>149</v>
      </c>
      <c r="AF128" s="188">
        <f t="shared" si="30"/>
        <v>-0.21688985215573961</v>
      </c>
      <c r="AG128" s="188">
        <f t="shared" si="31"/>
        <v>0.99619746110380059</v>
      </c>
      <c r="AH128" s="188">
        <f t="shared" si="32"/>
        <v>5.222927471166499E-2</v>
      </c>
      <c r="AI128" s="188">
        <f t="shared" si="33"/>
        <v>6.3443377970431147E-2</v>
      </c>
      <c r="AJ128" s="188">
        <f t="shared" si="34"/>
        <v>0.95805460948989862</v>
      </c>
      <c r="AK128" s="188">
        <f t="shared" si="35"/>
        <v>0.10888262438726591</v>
      </c>
      <c r="AL128" s="188">
        <f t="shared" si="36"/>
        <v>5.5393219289418684E-2</v>
      </c>
      <c r="AM128" s="188">
        <v>-3.5546879189951627E-2</v>
      </c>
      <c r="AN128" s="188">
        <v>-3.0063387269892061E-2</v>
      </c>
      <c r="AO128">
        <f t="shared" si="37"/>
        <v>2</v>
      </c>
      <c r="AP128" s="188">
        <f t="shared" si="38"/>
        <v>1.0473914389658643E-3</v>
      </c>
      <c r="AQ128" s="188">
        <f t="shared" si="39"/>
        <v>-1.8171878628378611E-4</v>
      </c>
      <c r="AR128" s="188">
        <f t="shared" si="40"/>
        <v>0.62788335010449725</v>
      </c>
      <c r="AS128" s="128">
        <f t="shared" si="41"/>
        <v>1557.356818145503</v>
      </c>
      <c r="AT128" s="188">
        <v>0.14099999999999999</v>
      </c>
      <c r="AU128" s="238">
        <v>2.8199999999999999E-2</v>
      </c>
      <c r="AV128">
        <v>7</v>
      </c>
      <c r="AY128" t="s">
        <v>257</v>
      </c>
      <c r="AZ128" s="129">
        <v>1673.2559823172751</v>
      </c>
      <c r="BA128" t="s">
        <v>467</v>
      </c>
    </row>
    <row r="129" spans="1:55" x14ac:dyDescent="0.25">
      <c r="A129" t="s">
        <v>296</v>
      </c>
      <c r="B129">
        <v>638</v>
      </c>
      <c r="C129">
        <v>8313</v>
      </c>
      <c r="D129">
        <v>118431</v>
      </c>
      <c r="E129">
        <v>0</v>
      </c>
      <c r="F129">
        <v>1600</v>
      </c>
      <c r="G129">
        <v>0</v>
      </c>
      <c r="H129">
        <v>3167</v>
      </c>
      <c r="I129">
        <v>63263</v>
      </c>
      <c r="J129">
        <v>11</v>
      </c>
      <c r="K129">
        <v>6037</v>
      </c>
      <c r="L129">
        <v>5640</v>
      </c>
      <c r="M129">
        <v>11024</v>
      </c>
      <c r="N129">
        <v>36413</v>
      </c>
      <c r="O129">
        <v>28828</v>
      </c>
      <c r="P129">
        <v>120740</v>
      </c>
      <c r="Q129">
        <v>28</v>
      </c>
      <c r="R129">
        <v>20000</v>
      </c>
      <c r="S129">
        <v>-3399</v>
      </c>
      <c r="T129">
        <v>15520</v>
      </c>
      <c r="U129">
        <f t="shared" si="28"/>
        <v>771</v>
      </c>
      <c r="V129">
        <v>32013</v>
      </c>
      <c r="W129">
        <v>179944</v>
      </c>
      <c r="X129">
        <v>148702</v>
      </c>
      <c r="Y129">
        <f t="shared" si="29"/>
        <v>31242</v>
      </c>
      <c r="Z129">
        <v>28108</v>
      </c>
      <c r="AA129">
        <v>4236574.9999999981</v>
      </c>
      <c r="AB129">
        <v>76950</v>
      </c>
      <c r="AC129" s="128">
        <v>67461.673281885916</v>
      </c>
      <c r="AD129">
        <v>40312</v>
      </c>
      <c r="AE129" t="s">
        <v>296</v>
      </c>
      <c r="AF129" s="188">
        <f t="shared" si="30"/>
        <v>7.9802605254968212E-2</v>
      </c>
      <c r="AG129" s="188">
        <f t="shared" si="31"/>
        <v>0.69700017783310364</v>
      </c>
      <c r="AH129" s="188">
        <f t="shared" si="32"/>
        <v>8.891655181612057E-3</v>
      </c>
      <c r="AI129" s="188">
        <f t="shared" si="33"/>
        <v>0.35163161872582582</v>
      </c>
      <c r="AJ129" s="188">
        <f t="shared" si="34"/>
        <v>0.45192504334681904</v>
      </c>
      <c r="AK129" s="188">
        <f t="shared" si="35"/>
        <v>0.16693256315041488</v>
      </c>
      <c r="AL129" s="188">
        <f t="shared" si="36"/>
        <v>0.17362068198995242</v>
      </c>
      <c r="AM129" s="188">
        <v>-0.11472091355536795</v>
      </c>
      <c r="AN129" s="188">
        <v>-7.7853729955384962E-2</v>
      </c>
      <c r="AO129">
        <f t="shared" si="37"/>
        <v>2</v>
      </c>
      <c r="AP129" s="188">
        <f t="shared" si="38"/>
        <v>3.9051038100742452E-2</v>
      </c>
      <c r="AQ129" s="188">
        <f t="shared" si="39"/>
        <v>2.3543852531898803E-2</v>
      </c>
      <c r="AR129" s="188">
        <f t="shared" si="40"/>
        <v>0.42763304139065489</v>
      </c>
      <c r="AS129" s="128">
        <f t="shared" si="41"/>
        <v>1673.4886208048702</v>
      </c>
      <c r="AT129" s="188">
        <v>0.189</v>
      </c>
      <c r="AU129" s="238">
        <v>3.78E-2</v>
      </c>
      <c r="AV129">
        <v>9</v>
      </c>
      <c r="AY129" t="s">
        <v>297</v>
      </c>
      <c r="AZ129" s="129">
        <v>1421.5268220394712</v>
      </c>
      <c r="BA129" t="s">
        <v>467</v>
      </c>
    </row>
    <row r="130" spans="1:55" x14ac:dyDescent="0.25">
      <c r="A130" t="s">
        <v>372</v>
      </c>
      <c r="B130">
        <v>425</v>
      </c>
      <c r="C130">
        <v>52832</v>
      </c>
      <c r="D130">
        <v>186224</v>
      </c>
      <c r="E130">
        <v>6430</v>
      </c>
      <c r="F130">
        <v>3331</v>
      </c>
      <c r="G130">
        <v>15570</v>
      </c>
      <c r="H130">
        <v>0</v>
      </c>
      <c r="I130">
        <v>125401</v>
      </c>
      <c r="J130">
        <v>446</v>
      </c>
      <c r="K130">
        <v>20422</v>
      </c>
      <c r="L130">
        <v>72333</v>
      </c>
      <c r="M130">
        <v>18370</v>
      </c>
      <c r="N130">
        <v>246335</v>
      </c>
      <c r="O130">
        <v>33663</v>
      </c>
      <c r="P130">
        <v>105238</v>
      </c>
      <c r="Q130">
        <v>1153</v>
      </c>
      <c r="R130">
        <v>16642</v>
      </c>
      <c r="S130">
        <v>18464</v>
      </c>
      <c r="T130">
        <v>80288</v>
      </c>
      <c r="U130">
        <f t="shared" si="28"/>
        <v>-1</v>
      </c>
      <c r="V130">
        <v>6723</v>
      </c>
      <c r="W130">
        <v>368284</v>
      </c>
      <c r="X130">
        <v>361560</v>
      </c>
      <c r="Y130">
        <f t="shared" si="29"/>
        <v>6724</v>
      </c>
      <c r="Z130">
        <v>996</v>
      </c>
      <c r="AA130">
        <v>2882689.9999999963</v>
      </c>
      <c r="AB130">
        <v>265389</v>
      </c>
      <c r="AC130" s="128">
        <v>168483.82322184066</v>
      </c>
      <c r="AD130">
        <v>92627</v>
      </c>
      <c r="AE130" t="s">
        <v>372</v>
      </c>
      <c r="AF130" s="188">
        <f t="shared" si="30"/>
        <v>-0.1512175386386593</v>
      </c>
      <c r="AG130" s="188">
        <f t="shared" si="31"/>
        <v>0.24915282770905062</v>
      </c>
      <c r="AH130" s="188">
        <f t="shared" si="32"/>
        <v>5.1321805997545371E-2</v>
      </c>
      <c r="AI130" s="188">
        <f t="shared" si="33"/>
        <v>0.34171183108687858</v>
      </c>
      <c r="AJ130" s="188">
        <f t="shared" si="34"/>
        <v>1.6113162667941106E-2</v>
      </c>
      <c r="AK130" s="188">
        <f t="shared" si="35"/>
        <v>0.49091938148562225</v>
      </c>
      <c r="AL130" s="188">
        <f t="shared" si="36"/>
        <v>1.8257648988280785E-2</v>
      </c>
      <c r="AM130" s="188">
        <v>-3.1827245932598641E-2</v>
      </c>
      <c r="AN130" s="188">
        <v>-2.8374875373878367E-2</v>
      </c>
      <c r="AO130">
        <f t="shared" si="37"/>
        <v>2</v>
      </c>
      <c r="AP130" s="188">
        <f t="shared" si="38"/>
        <v>6.761086552769059E-4</v>
      </c>
      <c r="AQ130" s="188">
        <f t="shared" si="39"/>
        <v>7.8273560621694022E-3</v>
      </c>
      <c r="AR130" s="188">
        <f t="shared" si="40"/>
        <v>0.72060963821398705</v>
      </c>
      <c r="AS130" s="128">
        <f t="shared" si="41"/>
        <v>1818.9493692102806</v>
      </c>
      <c r="AT130" s="188">
        <v>0.3145</v>
      </c>
      <c r="AU130" s="238">
        <v>6.2899999999999998E-2</v>
      </c>
      <c r="AV130">
        <v>8</v>
      </c>
      <c r="AY130" t="s">
        <v>186</v>
      </c>
      <c r="AZ130" s="129">
        <v>1693.6819603850638</v>
      </c>
      <c r="BA130" t="s">
        <v>467</v>
      </c>
    </row>
    <row r="131" spans="1:55" x14ac:dyDescent="0.25">
      <c r="A131" t="s">
        <v>297</v>
      </c>
      <c r="B131">
        <v>3683</v>
      </c>
      <c r="C131">
        <v>6952</v>
      </c>
      <c r="D131">
        <v>74051</v>
      </c>
      <c r="E131">
        <v>663</v>
      </c>
      <c r="F131">
        <v>1292</v>
      </c>
      <c r="G131">
        <v>4385</v>
      </c>
      <c r="H131">
        <v>0</v>
      </c>
      <c r="I131">
        <v>77825</v>
      </c>
      <c r="J131">
        <v>1420</v>
      </c>
      <c r="K131">
        <v>7759</v>
      </c>
      <c r="L131">
        <v>13</v>
      </c>
      <c r="M131">
        <v>4242</v>
      </c>
      <c r="N131">
        <v>51999</v>
      </c>
      <c r="O131">
        <v>5635</v>
      </c>
      <c r="P131">
        <v>101750</v>
      </c>
      <c r="Q131">
        <v>0</v>
      </c>
      <c r="R131">
        <v>11968</v>
      </c>
      <c r="S131">
        <v>3790</v>
      </c>
      <c r="T131">
        <v>7142</v>
      </c>
      <c r="U131">
        <f t="shared" si="28"/>
        <v>-8</v>
      </c>
      <c r="V131">
        <v>17538</v>
      </c>
      <c r="W131">
        <v>119207</v>
      </c>
      <c r="X131">
        <v>101661</v>
      </c>
      <c r="Y131">
        <f t="shared" si="29"/>
        <v>17546</v>
      </c>
      <c r="Z131">
        <v>16081</v>
      </c>
      <c r="AA131">
        <v>2344628.9999999991</v>
      </c>
      <c r="AB131">
        <v>48172</v>
      </c>
      <c r="AC131" s="128">
        <v>44434.085403309793</v>
      </c>
      <c r="AD131">
        <v>31258</v>
      </c>
      <c r="AE131" t="s">
        <v>297</v>
      </c>
      <c r="AF131" s="188">
        <f t="shared" si="30"/>
        <v>0.10028773478067562</v>
      </c>
      <c r="AG131" s="188">
        <f t="shared" si="31"/>
        <v>0.89725435586836344</v>
      </c>
      <c r="AH131" s="188">
        <f t="shared" si="32"/>
        <v>4.7623042271007575E-2</v>
      </c>
      <c r="AI131" s="188">
        <f t="shared" si="33"/>
        <v>0.66476800859009955</v>
      </c>
      <c r="AJ131" s="188">
        <f t="shared" si="34"/>
        <v>0.43763151492781466</v>
      </c>
      <c r="AK131" s="188">
        <f t="shared" si="35"/>
        <v>0.2852636545171271</v>
      </c>
      <c r="AL131" s="188">
        <f t="shared" si="36"/>
        <v>0.14718934290771515</v>
      </c>
      <c r="AM131" s="188">
        <v>2.0058559817273933E-2</v>
      </c>
      <c r="AN131" s="188">
        <v>1.2921298876536329E-2</v>
      </c>
      <c r="AO131">
        <f t="shared" si="37"/>
        <v>0</v>
      </c>
      <c r="AP131" s="188">
        <f t="shared" si="38"/>
        <v>3.372494903822762E-2</v>
      </c>
      <c r="AQ131" s="188">
        <f t="shared" si="39"/>
        <v>1.9668551343461366E-2</v>
      </c>
      <c r="AR131" s="188">
        <f t="shared" si="40"/>
        <v>0.40410378585150203</v>
      </c>
      <c r="AS131" s="128">
        <f t="shared" si="41"/>
        <v>1421.5268220394712</v>
      </c>
      <c r="AT131" s="188">
        <v>0.26150000000000001</v>
      </c>
      <c r="AU131" s="238">
        <v>5.2299999999999999E-2</v>
      </c>
      <c r="AV131">
        <v>8.5</v>
      </c>
      <c r="AY131" t="s">
        <v>373</v>
      </c>
      <c r="AZ131" s="129">
        <v>1509.8623316871458</v>
      </c>
      <c r="BA131" t="s">
        <v>467</v>
      </c>
    </row>
    <row r="132" spans="1:55" x14ac:dyDescent="0.25">
      <c r="A132" t="s">
        <v>444</v>
      </c>
      <c r="B132">
        <v>9852</v>
      </c>
      <c r="C132">
        <v>58899</v>
      </c>
      <c r="D132">
        <v>211786</v>
      </c>
      <c r="E132">
        <v>851</v>
      </c>
      <c r="F132">
        <v>291202</v>
      </c>
      <c r="G132">
        <v>16250</v>
      </c>
      <c r="H132">
        <v>1343</v>
      </c>
      <c r="I132">
        <v>79486</v>
      </c>
      <c r="J132">
        <v>226</v>
      </c>
      <c r="K132">
        <v>90811</v>
      </c>
      <c r="L132">
        <v>2629</v>
      </c>
      <c r="M132">
        <v>31193</v>
      </c>
      <c r="N132">
        <v>80795</v>
      </c>
      <c r="O132">
        <v>41887</v>
      </c>
      <c r="P132">
        <v>615375</v>
      </c>
      <c r="Q132">
        <v>81</v>
      </c>
      <c r="R132">
        <v>0</v>
      </c>
      <c r="S132">
        <v>20591</v>
      </c>
      <c r="T132">
        <v>35797</v>
      </c>
      <c r="U132">
        <f t="shared" si="28"/>
        <v>-3</v>
      </c>
      <c r="V132">
        <v>19149</v>
      </c>
      <c r="W132">
        <v>320160</v>
      </c>
      <c r="X132">
        <v>301008</v>
      </c>
      <c r="Y132">
        <f t="shared" si="29"/>
        <v>19152</v>
      </c>
      <c r="Z132">
        <v>60266</v>
      </c>
      <c r="AA132">
        <v>-2800900</v>
      </c>
      <c r="AB132">
        <v>203990</v>
      </c>
      <c r="AC132" s="128">
        <v>151452.27750314411</v>
      </c>
      <c r="AD132">
        <v>81049</v>
      </c>
      <c r="AE132" t="s">
        <v>444</v>
      </c>
      <c r="AF132" s="188">
        <f t="shared" si="30"/>
        <v>-8.2115192403798103E-3</v>
      </c>
      <c r="AG132" s="188">
        <f t="shared" si="31"/>
        <v>0.74467766116941525</v>
      </c>
      <c r="AH132" s="188">
        <f t="shared" si="32"/>
        <v>0.96030734632683656</v>
      </c>
      <c r="AI132" s="188">
        <f t="shared" si="33"/>
        <v>0.24897551224387807</v>
      </c>
      <c r="AJ132" s="188">
        <f t="shared" si="34"/>
        <v>0.68563168415792108</v>
      </c>
      <c r="AK132" s="188">
        <f t="shared" si="35"/>
        <v>0.10168956081991024</v>
      </c>
      <c r="AL132" s="188">
        <f t="shared" si="36"/>
        <v>5.9820089955022492E-2</v>
      </c>
      <c r="AM132" s="188">
        <v>5.4855831493621958E-3</v>
      </c>
      <c r="AN132" s="188">
        <v>5.1816499156659236E-2</v>
      </c>
      <c r="AO132">
        <f t="shared" si="37"/>
        <v>0</v>
      </c>
      <c r="AP132" s="188">
        <f t="shared" si="38"/>
        <v>4.7059282858570715E-2</v>
      </c>
      <c r="AQ132" s="188">
        <f t="shared" si="39"/>
        <v>-8.7484382808595707E-3</v>
      </c>
      <c r="AR132" s="188">
        <f t="shared" si="40"/>
        <v>0.63715017491254378</v>
      </c>
      <c r="AS132" s="128">
        <f t="shared" si="41"/>
        <v>1868.6507853661874</v>
      </c>
      <c r="AT132" s="188">
        <v>0.16699999999999998</v>
      </c>
      <c r="AU132" s="238">
        <v>3.3399999999999999E-2</v>
      </c>
      <c r="AV132">
        <v>8</v>
      </c>
      <c r="AY132" t="s">
        <v>374</v>
      </c>
      <c r="AZ132" s="129">
        <v>1578.2980946419411</v>
      </c>
      <c r="BA132" t="s">
        <v>467</v>
      </c>
    </row>
    <row r="133" spans="1:55" x14ac:dyDescent="0.25">
      <c r="A133" t="s">
        <v>600</v>
      </c>
      <c r="B133">
        <v>357</v>
      </c>
      <c r="C133">
        <v>12177</v>
      </c>
      <c r="D133">
        <v>127406</v>
      </c>
      <c r="E133">
        <v>645</v>
      </c>
      <c r="F133">
        <v>3996</v>
      </c>
      <c r="G133">
        <v>9338</v>
      </c>
      <c r="H133">
        <v>0</v>
      </c>
      <c r="I133">
        <v>992</v>
      </c>
      <c r="J133">
        <v>0</v>
      </c>
      <c r="K133">
        <v>19242</v>
      </c>
      <c r="L133">
        <v>24171</v>
      </c>
      <c r="M133">
        <v>4023</v>
      </c>
      <c r="N133">
        <v>40389</v>
      </c>
      <c r="O133">
        <v>15119</v>
      </c>
      <c r="P133">
        <v>104125</v>
      </c>
      <c r="Q133">
        <v>0</v>
      </c>
      <c r="R133">
        <v>418</v>
      </c>
      <c r="S133">
        <v>5203</v>
      </c>
      <c r="T133">
        <v>37094</v>
      </c>
      <c r="U133">
        <f t="shared" si="28"/>
        <v>20</v>
      </c>
      <c r="V133">
        <v>3413</v>
      </c>
      <c r="W133">
        <v>187069</v>
      </c>
      <c r="X133">
        <v>183676</v>
      </c>
      <c r="Y133">
        <f t="shared" si="29"/>
        <v>3393</v>
      </c>
      <c r="Z133">
        <v>707</v>
      </c>
      <c r="AA133">
        <v>-7236142.0000000019</v>
      </c>
      <c r="AB133">
        <v>117302</v>
      </c>
      <c r="AC133" s="128">
        <v>102097.14228387964</v>
      </c>
      <c r="AD133">
        <v>47834</v>
      </c>
      <c r="AE133" t="s">
        <v>600</v>
      </c>
      <c r="AF133" s="188">
        <f t="shared" si="30"/>
        <v>-0.12697453880653661</v>
      </c>
      <c r="AG133" s="188">
        <f t="shared" si="31"/>
        <v>0.46009761104191499</v>
      </c>
      <c r="AH133" s="188">
        <f t="shared" si="32"/>
        <v>7.1278512206725861E-2</v>
      </c>
      <c r="AI133" s="188">
        <f t="shared" si="33"/>
        <v>5.3028561653721351E-3</v>
      </c>
      <c r="AJ133" s="188">
        <f t="shared" si="34"/>
        <v>0.46493903319096158</v>
      </c>
      <c r="AK133" s="188">
        <f t="shared" si="35"/>
        <v>0.19960167632000317</v>
      </c>
      <c r="AL133" s="188">
        <f t="shared" si="36"/>
        <v>1.8137692509181104E-2</v>
      </c>
      <c r="AM133" s="188">
        <v>-8.5255066387141865E-2</v>
      </c>
      <c r="AN133" s="188">
        <v>-7.7371878117177648E-2</v>
      </c>
      <c r="AO133">
        <f t="shared" si="37"/>
        <v>2</v>
      </c>
      <c r="AP133" s="188">
        <f t="shared" si="38"/>
        <v>9.4483853551363402E-4</v>
      </c>
      <c r="AQ133" s="188">
        <f t="shared" si="39"/>
        <v>-3.868167360706478E-2</v>
      </c>
      <c r="AR133" s="188">
        <f t="shared" si="40"/>
        <v>0.62705205031298616</v>
      </c>
      <c r="AS133" s="128">
        <f t="shared" si="41"/>
        <v>2134.4052825161943</v>
      </c>
      <c r="AT133" s="188">
        <v>0.17799999999999999</v>
      </c>
      <c r="AU133" s="238">
        <v>3.56E-2</v>
      </c>
      <c r="AV133">
        <v>6.5</v>
      </c>
      <c r="AY133" t="s">
        <v>601</v>
      </c>
      <c r="AZ133" s="129">
        <v>1525.3158562698598</v>
      </c>
      <c r="BA133" t="s">
        <v>467</v>
      </c>
    </row>
    <row r="134" spans="1:55" x14ac:dyDescent="0.25">
      <c r="A134" t="s">
        <v>186</v>
      </c>
      <c r="B134">
        <v>6870</v>
      </c>
      <c r="C134">
        <v>4940</v>
      </c>
      <c r="D134">
        <v>19381</v>
      </c>
      <c r="E134">
        <v>744</v>
      </c>
      <c r="F134">
        <v>6235</v>
      </c>
      <c r="G134">
        <v>1594</v>
      </c>
      <c r="H134">
        <v>3471</v>
      </c>
      <c r="I134">
        <v>969</v>
      </c>
      <c r="J134">
        <v>4</v>
      </c>
      <c r="K134">
        <v>5383</v>
      </c>
      <c r="L134">
        <v>670</v>
      </c>
      <c r="M134">
        <v>261</v>
      </c>
      <c r="N134">
        <v>11019</v>
      </c>
      <c r="O134">
        <v>8668</v>
      </c>
      <c r="P134">
        <v>22582</v>
      </c>
      <c r="Q134">
        <v>0</v>
      </c>
      <c r="R134">
        <v>3000</v>
      </c>
      <c r="S134">
        <v>1378</v>
      </c>
      <c r="T134">
        <v>3875</v>
      </c>
      <c r="U134">
        <f t="shared" si="28"/>
        <v>99</v>
      </c>
      <c r="V134">
        <v>-532</v>
      </c>
      <c r="W134">
        <v>41843</v>
      </c>
      <c r="X134">
        <v>42474</v>
      </c>
      <c r="Y134">
        <f t="shared" si="29"/>
        <v>-631</v>
      </c>
      <c r="Z134">
        <v>20203</v>
      </c>
      <c r="AA134">
        <v>304183</v>
      </c>
      <c r="AB134">
        <v>27124</v>
      </c>
      <c r="AC134" s="128">
        <v>28062.616401620122</v>
      </c>
      <c r="AD134">
        <v>16569</v>
      </c>
      <c r="AE134" t="s">
        <v>186</v>
      </c>
      <c r="AF134" s="188">
        <f t="shared" si="30"/>
        <v>5.5684343856798033E-2</v>
      </c>
      <c r="AG134" s="188">
        <f t="shared" si="31"/>
        <v>0.31596682838228618</v>
      </c>
      <c r="AH134" s="188">
        <f t="shared" si="32"/>
        <v>0.18710417513084626</v>
      </c>
      <c r="AI134" s="188">
        <f t="shared" si="33"/>
        <v>2.3253590803718662E-2</v>
      </c>
      <c r="AJ134" s="188">
        <f t="shared" si="34"/>
        <v>0.3221418158353847</v>
      </c>
      <c r="AK134" s="188">
        <f t="shared" si="35"/>
        <v>0.21810300463164561</v>
      </c>
      <c r="AL134" s="188">
        <f t="shared" si="36"/>
        <v>-1.5080180675381784E-2</v>
      </c>
      <c r="AM134" s="188">
        <v>-2.4047541107445926E-2</v>
      </c>
      <c r="AN134" s="188">
        <v>1.8876106420427009E-2</v>
      </c>
      <c r="AO134">
        <f t="shared" si="37"/>
        <v>2</v>
      </c>
      <c r="AP134" s="188">
        <f t="shared" si="38"/>
        <v>0.12070716726812131</v>
      </c>
      <c r="AQ134" s="188">
        <f t="shared" si="39"/>
        <v>7.2696269387950195E-3</v>
      </c>
      <c r="AR134" s="188">
        <f t="shared" si="40"/>
        <v>0.64823267930119732</v>
      </c>
      <c r="AS134" s="128">
        <f t="shared" si="41"/>
        <v>1693.6819603850638</v>
      </c>
      <c r="AT134" s="188">
        <v>0.27300000000000002</v>
      </c>
      <c r="AU134" s="238">
        <v>5.4600000000000003E-2</v>
      </c>
      <c r="AV134">
        <v>6.5</v>
      </c>
      <c r="AY134" t="s">
        <v>150</v>
      </c>
      <c r="AZ134" s="129">
        <v>1583.4189497716895</v>
      </c>
      <c r="BA134" t="s">
        <v>467</v>
      </c>
    </row>
    <row r="135" spans="1:55" x14ac:dyDescent="0.25">
      <c r="A135" t="s">
        <v>373</v>
      </c>
      <c r="B135">
        <v>467</v>
      </c>
      <c r="C135">
        <v>26242</v>
      </c>
      <c r="D135">
        <v>61592</v>
      </c>
      <c r="E135">
        <v>133</v>
      </c>
      <c r="F135">
        <v>0</v>
      </c>
      <c r="G135">
        <v>6563</v>
      </c>
      <c r="H135">
        <v>9642</v>
      </c>
      <c r="I135">
        <v>0</v>
      </c>
      <c r="J135">
        <v>62758</v>
      </c>
      <c r="K135">
        <v>9179</v>
      </c>
      <c r="L135">
        <v>29005</v>
      </c>
      <c r="M135">
        <v>2922</v>
      </c>
      <c r="N135">
        <v>38250</v>
      </c>
      <c r="O135">
        <v>20276</v>
      </c>
      <c r="P135">
        <v>117893</v>
      </c>
      <c r="Q135">
        <v>170</v>
      </c>
      <c r="R135">
        <v>8207</v>
      </c>
      <c r="S135">
        <v>10270</v>
      </c>
      <c r="T135">
        <v>13437</v>
      </c>
      <c r="U135">
        <f t="shared" si="28"/>
        <v>61</v>
      </c>
      <c r="V135">
        <v>4053</v>
      </c>
      <c r="W135">
        <v>120429</v>
      </c>
      <c r="X135">
        <v>116437</v>
      </c>
      <c r="Y135">
        <f t="shared" si="29"/>
        <v>3992</v>
      </c>
      <c r="Z135">
        <v>12322</v>
      </c>
      <c r="AA135">
        <v>4471392.9999999981</v>
      </c>
      <c r="AB135">
        <v>80716</v>
      </c>
      <c r="AC135" s="128">
        <v>67951.354237580003</v>
      </c>
      <c r="AD135">
        <v>45005</v>
      </c>
      <c r="AE135" t="s">
        <v>373</v>
      </c>
      <c r="AF135" s="188">
        <f t="shared" si="30"/>
        <v>-0.17269926678789993</v>
      </c>
      <c r="AG135" s="188">
        <f t="shared" si="31"/>
        <v>0.76946582633751004</v>
      </c>
      <c r="AH135" s="188">
        <f t="shared" si="32"/>
        <v>5.4496840462014966E-2</v>
      </c>
      <c r="AI135" s="188">
        <f t="shared" si="33"/>
        <v>0.52112032816016074</v>
      </c>
      <c r="AJ135" s="188">
        <f t="shared" si="34"/>
        <v>0.41122121748083934</v>
      </c>
      <c r="AK135" s="188">
        <f t="shared" si="35"/>
        <v>0.1834505978331247</v>
      </c>
      <c r="AL135" s="188">
        <f t="shared" si="36"/>
        <v>3.3148161987561132E-2</v>
      </c>
      <c r="AM135" s="188">
        <v>1.6528773502425018E-2</v>
      </c>
      <c r="AN135" s="188">
        <v>3.4479618228844121E-2</v>
      </c>
      <c r="AO135">
        <f t="shared" si="37"/>
        <v>0</v>
      </c>
      <c r="AP135" s="188">
        <f t="shared" si="38"/>
        <v>2.5579387024719961E-2</v>
      </c>
      <c r="AQ135" s="188">
        <f t="shared" si="39"/>
        <v>3.7128872613739199E-2</v>
      </c>
      <c r="AR135" s="188">
        <f t="shared" si="40"/>
        <v>0.67023723521743106</v>
      </c>
      <c r="AS135" s="128">
        <f t="shared" si="41"/>
        <v>1509.8623316871458</v>
      </c>
      <c r="AT135" s="188">
        <v>0.246</v>
      </c>
      <c r="AU135" s="238">
        <v>4.9200000000000001E-2</v>
      </c>
      <c r="AV135">
        <v>9</v>
      </c>
      <c r="AY135" t="s">
        <v>259</v>
      </c>
      <c r="AZ135" s="129">
        <v>1587.3193647396245</v>
      </c>
      <c r="BA135" t="s">
        <v>467</v>
      </c>
    </row>
    <row r="136" spans="1:55" x14ac:dyDescent="0.25">
      <c r="A136" t="s">
        <v>298</v>
      </c>
      <c r="B136">
        <v>1133</v>
      </c>
      <c r="C136">
        <v>4729</v>
      </c>
      <c r="D136">
        <v>53956</v>
      </c>
      <c r="E136">
        <v>1021</v>
      </c>
      <c r="F136">
        <v>0</v>
      </c>
      <c r="G136">
        <v>8553</v>
      </c>
      <c r="H136">
        <v>0</v>
      </c>
      <c r="I136">
        <v>6258</v>
      </c>
      <c r="J136">
        <v>0</v>
      </c>
      <c r="K136">
        <v>8026</v>
      </c>
      <c r="L136">
        <v>2781</v>
      </c>
      <c r="M136">
        <v>1108</v>
      </c>
      <c r="N136">
        <v>63182</v>
      </c>
      <c r="O136">
        <v>5521</v>
      </c>
      <c r="P136">
        <v>11800</v>
      </c>
      <c r="Q136">
        <v>21</v>
      </c>
      <c r="R136">
        <v>0</v>
      </c>
      <c r="S136">
        <v>473</v>
      </c>
      <c r="T136">
        <v>6568</v>
      </c>
      <c r="U136">
        <f t="shared" si="28"/>
        <v>-2</v>
      </c>
      <c r="V136">
        <v>1159</v>
      </c>
      <c r="W136">
        <v>55755</v>
      </c>
      <c r="X136">
        <v>54594</v>
      </c>
      <c r="Y136">
        <f t="shared" si="29"/>
        <v>1161</v>
      </c>
      <c r="Z136">
        <v>9428</v>
      </c>
      <c r="AA136">
        <v>2854397.9999999991</v>
      </c>
      <c r="AB136">
        <v>38056</v>
      </c>
      <c r="AC136" s="128">
        <v>36641.527569703881</v>
      </c>
      <c r="AD136">
        <v>22197</v>
      </c>
      <c r="AE136" t="s">
        <v>298</v>
      </c>
      <c r="AF136" s="188">
        <f t="shared" si="30"/>
        <v>-4.9878934624697335E-2</v>
      </c>
      <c r="AG136" s="188">
        <f t="shared" si="31"/>
        <v>-2.8804591516455924E-2</v>
      </c>
      <c r="AH136" s="188">
        <f t="shared" si="32"/>
        <v>0.15340328221684155</v>
      </c>
      <c r="AI136" s="188">
        <f t="shared" si="33"/>
        <v>0.11224105461393596</v>
      </c>
      <c r="AJ136" s="188">
        <f t="shared" si="34"/>
        <v>-8.896493588019011E-2</v>
      </c>
      <c r="AK136" s="188">
        <f t="shared" si="35"/>
        <v>0.72154399588876839</v>
      </c>
      <c r="AL136" s="188">
        <f t="shared" si="36"/>
        <v>2.0823244552058112E-2</v>
      </c>
      <c r="AM136" s="188">
        <v>-7.2515141080435087E-3</v>
      </c>
      <c r="AN136" s="188">
        <v>-2.0227505986999659E-2</v>
      </c>
      <c r="AO136">
        <f t="shared" si="37"/>
        <v>2</v>
      </c>
      <c r="AP136" s="188">
        <f t="shared" si="38"/>
        <v>4.2274235494574479E-2</v>
      </c>
      <c r="AQ136" s="188">
        <f t="shared" si="39"/>
        <v>5.1195372612321745E-2</v>
      </c>
      <c r="AR136" s="188">
        <f t="shared" si="40"/>
        <v>0.68255761815083849</v>
      </c>
      <c r="AS136" s="128">
        <f t="shared" si="41"/>
        <v>1650.7423331848395</v>
      </c>
      <c r="AT136" s="188">
        <v>0.23949999999999999</v>
      </c>
      <c r="AU136" s="238">
        <v>4.7899999999999998E-2</v>
      </c>
      <c r="AV136">
        <v>8.5</v>
      </c>
      <c r="AY136" t="s">
        <v>408</v>
      </c>
      <c r="AZ136" s="129">
        <v>1665.7674087881046</v>
      </c>
      <c r="BA136" t="s">
        <v>467</v>
      </c>
    </row>
    <row r="137" spans="1:55" x14ac:dyDescent="0.25">
      <c r="A137" t="s">
        <v>374</v>
      </c>
      <c r="B137">
        <v>673</v>
      </c>
      <c r="C137">
        <v>2276</v>
      </c>
      <c r="D137">
        <v>39098</v>
      </c>
      <c r="E137">
        <v>60</v>
      </c>
      <c r="F137">
        <v>1558</v>
      </c>
      <c r="G137">
        <v>869</v>
      </c>
      <c r="H137">
        <v>377</v>
      </c>
      <c r="I137">
        <v>3912</v>
      </c>
      <c r="J137">
        <v>0</v>
      </c>
      <c r="K137">
        <v>6311</v>
      </c>
      <c r="L137">
        <v>1509</v>
      </c>
      <c r="M137">
        <v>3012</v>
      </c>
      <c r="N137">
        <v>15337</v>
      </c>
      <c r="O137">
        <v>11640</v>
      </c>
      <c r="P137">
        <v>22220</v>
      </c>
      <c r="Q137">
        <v>0</v>
      </c>
      <c r="R137">
        <v>3072</v>
      </c>
      <c r="S137">
        <v>2399</v>
      </c>
      <c r="T137">
        <v>4987</v>
      </c>
      <c r="U137">
        <f t="shared" si="28"/>
        <v>-8</v>
      </c>
      <c r="V137">
        <v>-795</v>
      </c>
      <c r="W137">
        <v>39173</v>
      </c>
      <c r="X137">
        <v>39960</v>
      </c>
      <c r="Y137">
        <f t="shared" si="29"/>
        <v>-787</v>
      </c>
      <c r="Z137">
        <v>14153</v>
      </c>
      <c r="AA137">
        <v>1861971</v>
      </c>
      <c r="AB137">
        <v>23807</v>
      </c>
      <c r="AC137" s="128">
        <v>24776.123489689195</v>
      </c>
      <c r="AD137">
        <v>15698</v>
      </c>
      <c r="AE137" t="s">
        <v>374</v>
      </c>
      <c r="AF137" s="188">
        <f t="shared" si="30"/>
        <v>3.9899931074975109E-2</v>
      </c>
      <c r="AG137" s="188">
        <f t="shared" si="31"/>
        <v>0.48610011998059888</v>
      </c>
      <c r="AH137" s="188">
        <f t="shared" si="32"/>
        <v>6.195593903964465E-2</v>
      </c>
      <c r="AI137" s="188">
        <f t="shared" si="33"/>
        <v>9.9864702728920424E-2</v>
      </c>
      <c r="AJ137" s="188">
        <f t="shared" si="34"/>
        <v>0.42362954075511194</v>
      </c>
      <c r="AK137" s="188">
        <f t="shared" si="35"/>
        <v>0.25709496270220433</v>
      </c>
      <c r="AL137" s="188">
        <f t="shared" si="36"/>
        <v>-2.0090368365966355E-2</v>
      </c>
      <c r="AM137" s="188">
        <v>-8.1692913385826765E-2</v>
      </c>
      <c r="AN137" s="188">
        <v>1.3900656640542257E-2</v>
      </c>
      <c r="AO137">
        <f t="shared" si="37"/>
        <v>2</v>
      </c>
      <c r="AP137" s="188">
        <f t="shared" si="38"/>
        <v>9.0323692339111125E-2</v>
      </c>
      <c r="AQ137" s="188">
        <f t="shared" si="39"/>
        <v>4.7531999080999671E-2</v>
      </c>
      <c r="AR137" s="188">
        <f t="shared" si="40"/>
        <v>0.60774002501723123</v>
      </c>
      <c r="AS137" s="128">
        <f t="shared" si="41"/>
        <v>1578.2980946419411</v>
      </c>
      <c r="AT137" s="188">
        <v>0.28349999999999997</v>
      </c>
      <c r="AU137" s="238">
        <v>5.67E-2</v>
      </c>
      <c r="AV137">
        <v>6.5</v>
      </c>
      <c r="AY137" t="s">
        <v>221</v>
      </c>
      <c r="AZ137" s="129">
        <v>1543.8522459631583</v>
      </c>
      <c r="BA137" t="s">
        <v>467</v>
      </c>
    </row>
    <row r="138" spans="1:55" x14ac:dyDescent="0.25">
      <c r="A138" t="s">
        <v>258</v>
      </c>
      <c r="B138">
        <v>2778</v>
      </c>
      <c r="C138">
        <v>22646</v>
      </c>
      <c r="D138">
        <v>245795</v>
      </c>
      <c r="E138">
        <v>1364</v>
      </c>
      <c r="F138">
        <v>16081</v>
      </c>
      <c r="G138">
        <v>3750</v>
      </c>
      <c r="H138">
        <v>-36</v>
      </c>
      <c r="I138">
        <v>6943</v>
      </c>
      <c r="J138">
        <v>38</v>
      </c>
      <c r="K138">
        <v>35410</v>
      </c>
      <c r="L138">
        <v>17</v>
      </c>
      <c r="M138">
        <v>1747</v>
      </c>
      <c r="N138">
        <v>77457</v>
      </c>
      <c r="O138">
        <v>13029</v>
      </c>
      <c r="P138">
        <v>173804</v>
      </c>
      <c r="Q138">
        <v>313</v>
      </c>
      <c r="R138">
        <v>16689</v>
      </c>
      <c r="S138">
        <v>34517</v>
      </c>
      <c r="T138">
        <v>20725</v>
      </c>
      <c r="U138">
        <f t="shared" si="28"/>
        <v>8</v>
      </c>
      <c r="V138">
        <v>-2699</v>
      </c>
      <c r="W138">
        <v>310594</v>
      </c>
      <c r="X138">
        <v>313301</v>
      </c>
      <c r="Y138">
        <f t="shared" si="29"/>
        <v>-2707</v>
      </c>
      <c r="Z138">
        <v>-40263</v>
      </c>
      <c r="AA138">
        <v>14265747</v>
      </c>
      <c r="AB138">
        <v>222406</v>
      </c>
      <c r="AC138" s="128">
        <v>160201.26243854826</v>
      </c>
      <c r="AD138">
        <v>91235</v>
      </c>
      <c r="AE138" t="s">
        <v>258</v>
      </c>
      <c r="AF138" s="188">
        <f t="shared" si="30"/>
        <v>5.3677791586444042E-2</v>
      </c>
      <c r="AG138" s="188">
        <f t="shared" si="31"/>
        <v>0.60876578427142825</v>
      </c>
      <c r="AH138" s="188">
        <f t="shared" si="32"/>
        <v>6.3848625536874509E-2</v>
      </c>
      <c r="AI138" s="188">
        <f t="shared" si="33"/>
        <v>2.2476287371938929E-2</v>
      </c>
      <c r="AJ138" s="188">
        <f t="shared" si="34"/>
        <v>0.60069421817549595</v>
      </c>
      <c r="AK138" s="188">
        <f t="shared" si="35"/>
        <v>0.23016099413432223</v>
      </c>
      <c r="AL138" s="188">
        <f t="shared" si="36"/>
        <v>-8.7155579309323421E-3</v>
      </c>
      <c r="AM138" s="188">
        <v>-4.7355977343049374E-2</v>
      </c>
      <c r="AN138" s="188">
        <v>-2.2462088551019277E-2</v>
      </c>
      <c r="AO138">
        <f t="shared" si="37"/>
        <v>3</v>
      </c>
      <c r="AP138" s="188">
        <f t="shared" si="38"/>
        <v>-3.2408063259431928E-2</v>
      </c>
      <c r="AQ138" s="188">
        <f t="shared" si="39"/>
        <v>4.593052988789223E-2</v>
      </c>
      <c r="AR138" s="188">
        <f t="shared" si="40"/>
        <v>0.71606663361172462</v>
      </c>
      <c r="AS138" s="128">
        <f t="shared" si="41"/>
        <v>1755.9189175047763</v>
      </c>
      <c r="AT138" s="188">
        <v>0.20850000000000002</v>
      </c>
      <c r="AU138" s="238">
        <v>4.1700000000000001E-2</v>
      </c>
      <c r="AV138">
        <v>6.5</v>
      </c>
      <c r="AY138" t="s">
        <v>222</v>
      </c>
      <c r="AZ138" s="129">
        <v>1558.7110827913834</v>
      </c>
      <c r="BA138" t="s">
        <v>467</v>
      </c>
    </row>
    <row r="139" spans="1:55" x14ac:dyDescent="0.25">
      <c r="A139" t="s">
        <v>601</v>
      </c>
      <c r="B139">
        <v>1077</v>
      </c>
      <c r="C139">
        <v>13556</v>
      </c>
      <c r="D139">
        <v>189520</v>
      </c>
      <c r="E139">
        <v>9884</v>
      </c>
      <c r="F139">
        <v>0</v>
      </c>
      <c r="G139">
        <v>10486</v>
      </c>
      <c r="H139">
        <v>134</v>
      </c>
      <c r="I139">
        <v>-138</v>
      </c>
      <c r="J139">
        <v>21</v>
      </c>
      <c r="K139">
        <v>49675</v>
      </c>
      <c r="L139">
        <v>1400</v>
      </c>
      <c r="M139">
        <v>9617</v>
      </c>
      <c r="N139">
        <v>198196</v>
      </c>
      <c r="O139">
        <v>19254</v>
      </c>
      <c r="P139">
        <v>27000</v>
      </c>
      <c r="Q139">
        <v>5</v>
      </c>
      <c r="R139">
        <v>2121</v>
      </c>
      <c r="S139">
        <v>14494</v>
      </c>
      <c r="T139">
        <v>24163</v>
      </c>
      <c r="U139">
        <f t="shared" si="28"/>
        <v>2</v>
      </c>
      <c r="V139">
        <v>79835</v>
      </c>
      <c r="W139" s="86">
        <v>285840</v>
      </c>
      <c r="X139" s="86">
        <v>206007</v>
      </c>
      <c r="Y139">
        <f t="shared" si="29"/>
        <v>79833</v>
      </c>
      <c r="Z139">
        <v>56407</v>
      </c>
      <c r="AA139">
        <v>8944597</v>
      </c>
      <c r="AB139">
        <v>139998</v>
      </c>
      <c r="AC139" s="128">
        <v>134299.48519699235</v>
      </c>
      <c r="AD139">
        <v>88047</v>
      </c>
      <c r="AE139" t="s">
        <v>601</v>
      </c>
      <c r="AF139" s="188">
        <f t="shared" si="30"/>
        <v>2.5223901483347327E-3</v>
      </c>
      <c r="AG139" s="188">
        <f t="shared" si="31"/>
        <v>-1.2346067730198713E-2</v>
      </c>
      <c r="AH139" s="188">
        <f t="shared" si="32"/>
        <v>3.6684858662188638E-2</v>
      </c>
      <c r="AI139" s="188">
        <f t="shared" si="33"/>
        <v>-4.0931989924433248E-4</v>
      </c>
      <c r="AJ139" s="188">
        <f t="shared" si="34"/>
        <v>-7.6573607612650434E-3</v>
      </c>
      <c r="AK139" s="188">
        <f t="shared" si="35"/>
        <v>0.69485648575024628</v>
      </c>
      <c r="AL139" s="188">
        <f t="shared" si="36"/>
        <v>0.27929261125104954</v>
      </c>
      <c r="AM139" s="188">
        <v>3.1582380356222316E-2</v>
      </c>
      <c r="AN139" s="188">
        <v>-3.0447128819976563E-2</v>
      </c>
      <c r="AO139">
        <f t="shared" si="37"/>
        <v>1</v>
      </c>
      <c r="AP139" s="188">
        <f t="shared" si="38"/>
        <v>4.9334417856143294E-2</v>
      </c>
      <c r="AQ139" s="188">
        <f t="shared" si="39"/>
        <v>3.1292320878813319E-2</v>
      </c>
      <c r="AR139" s="188">
        <f t="shared" si="40"/>
        <v>0.48977749790092362</v>
      </c>
      <c r="AS139" s="128">
        <f t="shared" si="41"/>
        <v>1525.3158562698598</v>
      </c>
      <c r="AT139" s="188">
        <v>0.29600000000000004</v>
      </c>
      <c r="AU139" s="238">
        <v>5.9200000000000003E-2</v>
      </c>
      <c r="AV139">
        <v>8.5</v>
      </c>
      <c r="AY139" t="s">
        <v>299</v>
      </c>
      <c r="AZ139" s="129">
        <v>1148.5886913473685</v>
      </c>
      <c r="BA139" t="s">
        <v>467</v>
      </c>
      <c r="BB139">
        <v>1</v>
      </c>
    </row>
    <row r="140" spans="1:55" x14ac:dyDescent="0.25">
      <c r="A140" t="s">
        <v>150</v>
      </c>
      <c r="B140">
        <v>12597</v>
      </c>
      <c r="C140">
        <v>0</v>
      </c>
      <c r="D140">
        <v>102463</v>
      </c>
      <c r="E140">
        <v>0</v>
      </c>
      <c r="F140">
        <v>0</v>
      </c>
      <c r="G140">
        <v>4722</v>
      </c>
      <c r="H140">
        <v>0</v>
      </c>
      <c r="I140">
        <v>3593</v>
      </c>
      <c r="J140">
        <v>0</v>
      </c>
      <c r="K140">
        <v>0</v>
      </c>
      <c r="L140">
        <v>11480</v>
      </c>
      <c r="M140">
        <v>2946</v>
      </c>
      <c r="N140">
        <v>83846</v>
      </c>
      <c r="O140">
        <v>4653</v>
      </c>
      <c r="P140">
        <v>24436</v>
      </c>
      <c r="Q140">
        <v>0</v>
      </c>
      <c r="R140">
        <v>15606</v>
      </c>
      <c r="S140">
        <v>6884</v>
      </c>
      <c r="T140">
        <v>2378</v>
      </c>
      <c r="U140">
        <f t="shared" si="28"/>
        <v>1770</v>
      </c>
      <c r="V140">
        <v>-3384</v>
      </c>
      <c r="W140" s="207">
        <v>77649</v>
      </c>
      <c r="X140" s="207">
        <v>82803</v>
      </c>
      <c r="Y140">
        <f t="shared" si="29"/>
        <v>-5154</v>
      </c>
      <c r="Z140">
        <v>5229</v>
      </c>
      <c r="AA140">
        <v>10071055</v>
      </c>
      <c r="AB140" s="207">
        <v>57755</v>
      </c>
      <c r="AC140" s="242">
        <v>55483</v>
      </c>
      <c r="AD140">
        <v>35040</v>
      </c>
      <c r="AE140" t="s">
        <v>150</v>
      </c>
      <c r="AF140" s="188">
        <f t="shared" si="30"/>
        <v>5.3136550374119434E-2</v>
      </c>
      <c r="AG140" s="188">
        <f t="shared" si="31"/>
        <v>0.38836301819727231</v>
      </c>
      <c r="AH140" s="188">
        <f t="shared" si="32"/>
        <v>6.0812116060734847E-2</v>
      </c>
      <c r="AI140" s="188">
        <f t="shared" si="33"/>
        <v>4.627232804028384E-2</v>
      </c>
      <c r="AJ140" s="188">
        <f t="shared" si="34"/>
        <v>0.36326984249636185</v>
      </c>
      <c r="AK140" s="188">
        <f t="shared" si="35"/>
        <v>0.608448292127167</v>
      </c>
      <c r="AL140" s="188">
        <f t="shared" si="36"/>
        <v>-6.637561333693931E-2</v>
      </c>
      <c r="AM140" s="188">
        <v>-3.8884610521718141E-2</v>
      </c>
      <c r="AN140" s="188">
        <v>-7.3670279808419462E-2</v>
      </c>
      <c r="AO140">
        <f t="shared" si="37"/>
        <v>3</v>
      </c>
      <c r="AP140" s="188">
        <f t="shared" si="38"/>
        <v>1.6835374570181201E-2</v>
      </c>
      <c r="AQ140" s="188">
        <f t="shared" si="39"/>
        <v>0.12969973856714187</v>
      </c>
      <c r="AR140" s="188">
        <f t="shared" si="40"/>
        <v>0.74379579904441784</v>
      </c>
      <c r="AS140" s="128">
        <f t="shared" si="41"/>
        <v>1583.4189497716895</v>
      </c>
      <c r="AT140" s="188">
        <v>0.34750000000000003</v>
      </c>
      <c r="AU140" s="300">
        <v>6.9500000000000006E-2</v>
      </c>
      <c r="AV140">
        <v>6.5</v>
      </c>
      <c r="AY140" t="s">
        <v>333</v>
      </c>
      <c r="AZ140" s="129">
        <v>1777.8892243749367</v>
      </c>
      <c r="BA140" t="s">
        <v>467</v>
      </c>
      <c r="BC140">
        <v>1</v>
      </c>
    </row>
    <row r="141" spans="1:55" x14ac:dyDescent="0.25">
      <c r="A141" t="s">
        <v>259</v>
      </c>
      <c r="B141">
        <v>14</v>
      </c>
      <c r="C141">
        <v>3527</v>
      </c>
      <c r="D141">
        <v>114723</v>
      </c>
      <c r="E141">
        <v>284</v>
      </c>
      <c r="F141">
        <v>3827</v>
      </c>
      <c r="G141">
        <v>956</v>
      </c>
      <c r="H141">
        <v>6847</v>
      </c>
      <c r="I141">
        <v>7993</v>
      </c>
      <c r="J141">
        <v>0</v>
      </c>
      <c r="K141">
        <v>6896</v>
      </c>
      <c r="L141">
        <v>0</v>
      </c>
      <c r="M141">
        <v>16071</v>
      </c>
      <c r="N141">
        <v>59628</v>
      </c>
      <c r="O141">
        <v>25603</v>
      </c>
      <c r="P141">
        <v>48264</v>
      </c>
      <c r="Q141">
        <v>0</v>
      </c>
      <c r="R141">
        <v>6463</v>
      </c>
      <c r="S141">
        <v>1790</v>
      </c>
      <c r="T141">
        <v>19387</v>
      </c>
      <c r="U141">
        <f t="shared" si="28"/>
        <v>-6</v>
      </c>
      <c r="V141">
        <v>2972</v>
      </c>
      <c r="W141">
        <v>124787</v>
      </c>
      <c r="X141">
        <v>121809</v>
      </c>
      <c r="Y141">
        <f t="shared" si="29"/>
        <v>2978</v>
      </c>
      <c r="Z141">
        <v>26969</v>
      </c>
      <c r="AA141">
        <v>4554384.9999999981</v>
      </c>
      <c r="AB141">
        <v>84201</v>
      </c>
      <c r="AC141" s="128">
        <v>77116.736697145185</v>
      </c>
      <c r="AD141">
        <v>48583</v>
      </c>
      <c r="AE141" t="s">
        <v>259</v>
      </c>
      <c r="AF141" s="188">
        <f t="shared" si="30"/>
        <v>5.1792254000817391E-2</v>
      </c>
      <c r="AG141" s="188">
        <f t="shared" si="31"/>
        <v>0.33102005817913727</v>
      </c>
      <c r="AH141" s="188">
        <f t="shared" si="32"/>
        <v>3.8329313149606928E-2</v>
      </c>
      <c r="AI141" s="188">
        <f t="shared" si="33"/>
        <v>6.40531465617412E-2</v>
      </c>
      <c r="AJ141" s="188">
        <f t="shared" si="34"/>
        <v>0.29078237316387129</v>
      </c>
      <c r="AK141" s="188">
        <f t="shared" si="35"/>
        <v>0.37004995810965963</v>
      </c>
      <c r="AL141" s="188">
        <f t="shared" si="36"/>
        <v>2.386466538982426E-2</v>
      </c>
      <c r="AM141" s="188">
        <v>4.8038631317974104E-2</v>
      </c>
      <c r="AN141" s="188">
        <v>9.0731170576404483E-3</v>
      </c>
      <c r="AO141">
        <f t="shared" si="37"/>
        <v>0</v>
      </c>
      <c r="AP141" s="188">
        <f t="shared" si="38"/>
        <v>5.4030067234567707E-2</v>
      </c>
      <c r="AQ141" s="188">
        <f t="shared" si="39"/>
        <v>3.6497271350381034E-2</v>
      </c>
      <c r="AR141" s="188">
        <f t="shared" si="40"/>
        <v>0.67475778726950719</v>
      </c>
      <c r="AS141" s="128">
        <f t="shared" si="41"/>
        <v>1587.3193647396245</v>
      </c>
      <c r="AT141" s="188">
        <v>0.23949999999999999</v>
      </c>
      <c r="AU141" s="238">
        <v>4.7899999999999998E-2</v>
      </c>
      <c r="AV141">
        <v>8.5</v>
      </c>
      <c r="AY141" t="s">
        <v>300</v>
      </c>
      <c r="AZ141" s="129">
        <v>1647.6510975996403</v>
      </c>
      <c r="BA141" t="s">
        <v>467</v>
      </c>
    </row>
    <row r="142" spans="1:55" x14ac:dyDescent="0.25">
      <c r="A142" t="s">
        <v>111</v>
      </c>
      <c r="B142">
        <v>10057</v>
      </c>
      <c r="C142">
        <v>15672</v>
      </c>
      <c r="D142">
        <v>119111</v>
      </c>
      <c r="E142">
        <v>1039</v>
      </c>
      <c r="F142">
        <v>9856</v>
      </c>
      <c r="G142">
        <v>982</v>
      </c>
      <c r="H142">
        <v>0</v>
      </c>
      <c r="I142">
        <v>21356</v>
      </c>
      <c r="J142">
        <v>0</v>
      </c>
      <c r="K142">
        <v>30055</v>
      </c>
      <c r="L142">
        <v>18</v>
      </c>
      <c r="M142">
        <v>3375</v>
      </c>
      <c r="N142">
        <v>12718</v>
      </c>
      <c r="O142">
        <v>15945</v>
      </c>
      <c r="P142">
        <v>133155</v>
      </c>
      <c r="Q142">
        <v>0</v>
      </c>
      <c r="R142">
        <v>22988</v>
      </c>
      <c r="S142">
        <v>11745</v>
      </c>
      <c r="T142">
        <v>14972</v>
      </c>
      <c r="U142">
        <f t="shared" si="28"/>
        <v>-5</v>
      </c>
      <c r="V142">
        <v>-963</v>
      </c>
      <c r="W142">
        <v>197453</v>
      </c>
      <c r="X142">
        <v>198411</v>
      </c>
      <c r="Y142">
        <f t="shared" si="29"/>
        <v>-958</v>
      </c>
      <c r="Z142">
        <v>6776</v>
      </c>
      <c r="AA142">
        <v>-81159.000000001863</v>
      </c>
      <c r="AB142">
        <v>145846</v>
      </c>
      <c r="AC142" s="128">
        <v>106060.91580003689</v>
      </c>
      <c r="AD142">
        <v>55603</v>
      </c>
      <c r="AE142" t="s">
        <v>111</v>
      </c>
      <c r="AF142" s="188">
        <f t="shared" si="30"/>
        <v>0.11633148141583061</v>
      </c>
      <c r="AG142" s="188">
        <f t="shared" si="31"/>
        <v>0.70180751875129777</v>
      </c>
      <c r="AH142" s="188">
        <f t="shared" si="32"/>
        <v>5.4889011562245189E-2</v>
      </c>
      <c r="AI142" s="188">
        <f t="shared" si="33"/>
        <v>0.10815738428891938</v>
      </c>
      <c r="AJ142" s="188">
        <f t="shared" si="34"/>
        <v>0.63268403113652361</v>
      </c>
      <c r="AK142" s="188">
        <f t="shared" si="35"/>
        <v>6.0125849198432321E-2</v>
      </c>
      <c r="AL142" s="188">
        <f t="shared" si="36"/>
        <v>-4.851787513990671E-3</v>
      </c>
      <c r="AM142" s="188">
        <v>-4.1784768302340188E-2</v>
      </c>
      <c r="AN142" s="188">
        <v>-5.8810605325144469E-2</v>
      </c>
      <c r="AO142">
        <f t="shared" si="37"/>
        <v>3</v>
      </c>
      <c r="AP142" s="188">
        <f t="shared" si="38"/>
        <v>8.5792568358039629E-3</v>
      </c>
      <c r="AQ142" s="188">
        <f t="shared" si="39"/>
        <v>-4.1102946017534231E-4</v>
      </c>
      <c r="AR142" s="188">
        <f t="shared" si="40"/>
        <v>0.73863653628964865</v>
      </c>
      <c r="AS142" s="128">
        <f t="shared" si="41"/>
        <v>1907.4675071495583</v>
      </c>
      <c r="AT142" s="188">
        <v>0.29649999999999999</v>
      </c>
      <c r="AU142" s="238">
        <v>5.9299999999999999E-2</v>
      </c>
      <c r="AV142">
        <v>4</v>
      </c>
      <c r="AY142" t="s">
        <v>262</v>
      </c>
      <c r="AZ142" s="129">
        <v>2115.4037286444204</v>
      </c>
      <c r="BA142" t="s">
        <v>467</v>
      </c>
      <c r="BC142">
        <v>1</v>
      </c>
    </row>
    <row r="143" spans="1:55" x14ac:dyDescent="0.25">
      <c r="A143" t="s">
        <v>260</v>
      </c>
      <c r="B143">
        <v>1680</v>
      </c>
      <c r="C143">
        <v>14786</v>
      </c>
      <c r="D143">
        <v>177077</v>
      </c>
      <c r="E143">
        <v>245</v>
      </c>
      <c r="F143">
        <v>35907</v>
      </c>
      <c r="G143">
        <v>13179</v>
      </c>
      <c r="H143">
        <v>14600</v>
      </c>
      <c r="I143">
        <v>-2556</v>
      </c>
      <c r="J143">
        <v>0</v>
      </c>
      <c r="K143">
        <v>37201</v>
      </c>
      <c r="L143">
        <v>12548</v>
      </c>
      <c r="M143">
        <v>6488</v>
      </c>
      <c r="N143">
        <v>67373</v>
      </c>
      <c r="O143">
        <v>10825</v>
      </c>
      <c r="P143">
        <v>161422</v>
      </c>
      <c r="Q143">
        <v>64</v>
      </c>
      <c r="R143">
        <v>25798</v>
      </c>
      <c r="S143">
        <v>10966</v>
      </c>
      <c r="T143">
        <v>34707</v>
      </c>
      <c r="U143">
        <f t="shared" si="28"/>
        <v>-4</v>
      </c>
      <c r="V143">
        <v>-6296</v>
      </c>
      <c r="W143">
        <v>262620</v>
      </c>
      <c r="X143">
        <v>268912</v>
      </c>
      <c r="Y143">
        <f t="shared" si="29"/>
        <v>-6292</v>
      </c>
      <c r="Z143">
        <v>13137</v>
      </c>
      <c r="AA143">
        <v>7651152</v>
      </c>
      <c r="AB143">
        <v>184537</v>
      </c>
      <c r="AC143" s="128">
        <v>140658.58614094427</v>
      </c>
      <c r="AD143">
        <v>73619</v>
      </c>
      <c r="AE143" t="s">
        <v>260</v>
      </c>
      <c r="AF143" s="188">
        <f t="shared" si="30"/>
        <v>5.0453126189932224E-2</v>
      </c>
      <c r="AG143" s="188">
        <f t="shared" si="31"/>
        <v>0.43040895590587158</v>
      </c>
      <c r="AH143" s="188">
        <f t="shared" si="32"/>
        <v>0.18690884167237834</v>
      </c>
      <c r="AI143" s="188">
        <f t="shared" si="33"/>
        <v>-9.7326936257710762E-3</v>
      </c>
      <c r="AJ143" s="188">
        <f t="shared" si="34"/>
        <v>0.45965090244459678</v>
      </c>
      <c r="AK143" s="188">
        <f t="shared" si="35"/>
        <v>0.21652552586331572</v>
      </c>
      <c r="AL143" s="188">
        <f t="shared" si="36"/>
        <v>-2.3958571319777626E-2</v>
      </c>
      <c r="AM143" s="188">
        <v>1.4180177904186005E-3</v>
      </c>
      <c r="AN143" s="188">
        <v>4.95704038246022E-3</v>
      </c>
      <c r="AO143">
        <f t="shared" si="37"/>
        <v>1</v>
      </c>
      <c r="AP143" s="188">
        <f t="shared" si="38"/>
        <v>1.250571167466301E-2</v>
      </c>
      <c r="AQ143" s="188">
        <f t="shared" si="39"/>
        <v>2.9133927347498288E-2</v>
      </c>
      <c r="AR143" s="188">
        <f t="shared" si="40"/>
        <v>0.70267687152539793</v>
      </c>
      <c r="AS143" s="128">
        <f t="shared" si="41"/>
        <v>1910.6288613122192</v>
      </c>
      <c r="AT143" s="188">
        <v>0.29449999999999998</v>
      </c>
      <c r="AU143" s="238">
        <v>5.8900000000000001E-2</v>
      </c>
      <c r="AV143">
        <v>8</v>
      </c>
      <c r="AY143" t="s">
        <v>301</v>
      </c>
      <c r="AZ143" s="129">
        <v>1632.7114117327833</v>
      </c>
      <c r="BA143" t="s">
        <v>467</v>
      </c>
    </row>
    <row r="144" spans="1:55" x14ac:dyDescent="0.25">
      <c r="A144" t="s">
        <v>408</v>
      </c>
      <c r="B144">
        <v>8194</v>
      </c>
      <c r="C144">
        <v>6632</v>
      </c>
      <c r="D144">
        <v>92795</v>
      </c>
      <c r="E144">
        <v>4402</v>
      </c>
      <c r="F144">
        <v>6829</v>
      </c>
      <c r="G144">
        <v>2136</v>
      </c>
      <c r="H144">
        <v>12866</v>
      </c>
      <c r="I144">
        <v>906</v>
      </c>
      <c r="J144">
        <v>43</v>
      </c>
      <c r="K144">
        <v>79607</v>
      </c>
      <c r="L144">
        <v>1599</v>
      </c>
      <c r="M144">
        <v>221</v>
      </c>
      <c r="N144">
        <v>52808</v>
      </c>
      <c r="O144">
        <v>16092</v>
      </c>
      <c r="P144">
        <v>69133</v>
      </c>
      <c r="Q144">
        <v>8</v>
      </c>
      <c r="R144">
        <v>65000</v>
      </c>
      <c r="S144">
        <v>7310</v>
      </c>
      <c r="T144">
        <v>5882</v>
      </c>
      <c r="U144">
        <f t="shared" si="28"/>
        <v>7</v>
      </c>
      <c r="V144">
        <v>-31</v>
      </c>
      <c r="W144">
        <v>116326</v>
      </c>
      <c r="X144">
        <v>116364</v>
      </c>
      <c r="Y144">
        <f t="shared" si="29"/>
        <v>-38</v>
      </c>
      <c r="Z144">
        <v>11404</v>
      </c>
      <c r="AA144">
        <v>1265262.9999999981</v>
      </c>
      <c r="AB144">
        <v>72244</v>
      </c>
      <c r="AC144" s="128">
        <v>70773.459897180204</v>
      </c>
      <c r="AD144">
        <v>42487</v>
      </c>
      <c r="AE144" t="s">
        <v>408</v>
      </c>
      <c r="AF144" s="188">
        <f t="shared" si="30"/>
        <v>0.54502862644636629</v>
      </c>
      <c r="AG144" s="188">
        <f t="shared" si="31"/>
        <v>0.3788920791568523</v>
      </c>
      <c r="AH144" s="188">
        <f t="shared" si="32"/>
        <v>7.7067895397417596E-2</v>
      </c>
      <c r="AI144" s="188">
        <f t="shared" si="33"/>
        <v>8.1581073878582606E-3</v>
      </c>
      <c r="AJ144" s="188">
        <f t="shared" si="34"/>
        <v>0.38242955143304164</v>
      </c>
      <c r="AK144" s="188">
        <f t="shared" si="35"/>
        <v>0.24421804257444515</v>
      </c>
      <c r="AL144" s="188">
        <f t="shared" si="36"/>
        <v>-3.2666815673194297E-4</v>
      </c>
      <c r="AM144" s="188">
        <v>-8.9787499763468118E-3</v>
      </c>
      <c r="AN144" s="188">
        <v>-2.2394401399650089E-3</v>
      </c>
      <c r="AO144">
        <f t="shared" si="37"/>
        <v>3</v>
      </c>
      <c r="AP144" s="188">
        <f t="shared" si="38"/>
        <v>2.450870828533604E-2</v>
      </c>
      <c r="AQ144" s="188">
        <f t="shared" si="39"/>
        <v>1.0876871894503362E-2</v>
      </c>
      <c r="AR144" s="188">
        <f t="shared" si="40"/>
        <v>0.62104774513006555</v>
      </c>
      <c r="AS144" s="128">
        <f t="shared" si="41"/>
        <v>1665.7674087881046</v>
      </c>
      <c r="AT144" s="188">
        <v>0.27</v>
      </c>
      <c r="AU144" s="238">
        <v>5.3999999999999999E-2</v>
      </c>
      <c r="AV144">
        <v>6.5</v>
      </c>
      <c r="AY144" t="s">
        <v>478</v>
      </c>
      <c r="AZ144" s="129">
        <v>1678.8668961173728</v>
      </c>
      <c r="BA144" t="s">
        <v>467</v>
      </c>
    </row>
    <row r="145" spans="1:55" x14ac:dyDescent="0.25">
      <c r="A145" t="s">
        <v>221</v>
      </c>
      <c r="B145">
        <v>710</v>
      </c>
      <c r="C145">
        <v>25739</v>
      </c>
      <c r="D145">
        <v>91653</v>
      </c>
      <c r="E145">
        <v>18</v>
      </c>
      <c r="F145">
        <v>0</v>
      </c>
      <c r="G145">
        <v>2984</v>
      </c>
      <c r="H145">
        <v>0</v>
      </c>
      <c r="I145">
        <v>25414</v>
      </c>
      <c r="J145">
        <v>20</v>
      </c>
      <c r="K145">
        <v>7844</v>
      </c>
      <c r="L145">
        <v>73</v>
      </c>
      <c r="M145">
        <v>1757</v>
      </c>
      <c r="N145">
        <v>46162</v>
      </c>
      <c r="O145">
        <v>11948</v>
      </c>
      <c r="P145">
        <v>59703</v>
      </c>
      <c r="Q145">
        <v>191</v>
      </c>
      <c r="R145">
        <v>22804</v>
      </c>
      <c r="S145">
        <v>3590</v>
      </c>
      <c r="T145">
        <v>11813</v>
      </c>
      <c r="U145">
        <f t="shared" si="28"/>
        <v>9</v>
      </c>
      <c r="V145">
        <v>947</v>
      </c>
      <c r="W145">
        <v>124236</v>
      </c>
      <c r="X145">
        <v>123298</v>
      </c>
      <c r="Y145">
        <f t="shared" si="29"/>
        <v>938</v>
      </c>
      <c r="Z145">
        <v>-11459</v>
      </c>
      <c r="AA145">
        <v>4032385</v>
      </c>
      <c r="AB145">
        <v>77092</v>
      </c>
      <c r="AC145" s="128">
        <v>77536.891349007696</v>
      </c>
      <c r="AD145">
        <v>50223</v>
      </c>
      <c r="AE145" t="s">
        <v>221</v>
      </c>
      <c r="AF145" s="188">
        <f t="shared" si="30"/>
        <v>0.18296628996426156</v>
      </c>
      <c r="AG145" s="188">
        <f t="shared" si="31"/>
        <v>0.68774751279822277</v>
      </c>
      <c r="AH145" s="188">
        <f t="shared" si="32"/>
        <v>2.4018802923468238E-2</v>
      </c>
      <c r="AI145" s="188">
        <f t="shared" si="33"/>
        <v>0.20472326861779194</v>
      </c>
      <c r="AJ145" s="188">
        <f t="shared" si="34"/>
        <v>0.54732348111658458</v>
      </c>
      <c r="AK145" s="188">
        <f t="shared" si="35"/>
        <v>0.29551055943563515</v>
      </c>
      <c r="AL145" s="188">
        <f t="shared" si="36"/>
        <v>7.5501464953797613E-3</v>
      </c>
      <c r="AM145" s="188">
        <v>-2.318381581054392E-2</v>
      </c>
      <c r="AN145" s="188">
        <v>-2.3639015668376229E-2</v>
      </c>
      <c r="AO145">
        <f t="shared" si="37"/>
        <v>2</v>
      </c>
      <c r="AP145" s="188">
        <f t="shared" si="38"/>
        <v>-2.3058936218165429E-2</v>
      </c>
      <c r="AQ145" s="188">
        <f t="shared" si="39"/>
        <v>3.2457459995492446E-2</v>
      </c>
      <c r="AR145" s="188">
        <f t="shared" si="40"/>
        <v>0.62052867123861044</v>
      </c>
      <c r="AS145" s="128">
        <f t="shared" si="41"/>
        <v>1543.8522459631583</v>
      </c>
      <c r="AT145" s="188">
        <v>0.23849999999999999</v>
      </c>
      <c r="AU145" s="238">
        <v>4.7699999999999999E-2</v>
      </c>
      <c r="AV145">
        <v>7.5</v>
      </c>
      <c r="AY145" t="s">
        <v>375</v>
      </c>
      <c r="AZ145" s="129">
        <v>1527.6402279145989</v>
      </c>
      <c r="BA145" t="s">
        <v>467</v>
      </c>
    </row>
    <row r="146" spans="1:55" x14ac:dyDescent="0.25">
      <c r="A146" t="s">
        <v>261</v>
      </c>
      <c r="B146">
        <v>317</v>
      </c>
      <c r="C146">
        <v>10634</v>
      </c>
      <c r="D146">
        <v>50638</v>
      </c>
      <c r="E146">
        <v>225</v>
      </c>
      <c r="F146">
        <v>0</v>
      </c>
      <c r="G146">
        <v>46423</v>
      </c>
      <c r="H146">
        <v>4000</v>
      </c>
      <c r="I146">
        <v>1182</v>
      </c>
      <c r="J146">
        <v>0</v>
      </c>
      <c r="K146">
        <v>22431</v>
      </c>
      <c r="L146">
        <v>814</v>
      </c>
      <c r="M146">
        <v>5442</v>
      </c>
      <c r="N146">
        <v>92390</v>
      </c>
      <c r="O146">
        <v>30994</v>
      </c>
      <c r="P146">
        <v>0</v>
      </c>
      <c r="Q146">
        <v>27</v>
      </c>
      <c r="R146">
        <v>0</v>
      </c>
      <c r="S146">
        <v>11342</v>
      </c>
      <c r="T146">
        <v>7352</v>
      </c>
      <c r="U146">
        <f t="shared" si="28"/>
        <v>6</v>
      </c>
      <c r="V146">
        <v>-6289</v>
      </c>
      <c r="W146">
        <v>103604</v>
      </c>
      <c r="X146">
        <v>109899</v>
      </c>
      <c r="Y146">
        <f t="shared" si="29"/>
        <v>-6295</v>
      </c>
      <c r="Z146">
        <v>1448</v>
      </c>
      <c r="AA146">
        <v>8928611.9999999981</v>
      </c>
      <c r="AB146">
        <v>76169</v>
      </c>
      <c r="AC146" s="128">
        <v>67457.16442009373</v>
      </c>
      <c r="AD146">
        <v>41090</v>
      </c>
      <c r="AE146" t="s">
        <v>261</v>
      </c>
      <c r="AF146" s="188">
        <f t="shared" si="30"/>
        <v>-7.8568395042662442E-3</v>
      </c>
      <c r="AG146" s="188">
        <f t="shared" si="31"/>
        <v>-0.58288290027412071</v>
      </c>
      <c r="AH146" s="188">
        <f t="shared" si="32"/>
        <v>0.44808115516775415</v>
      </c>
      <c r="AI146" s="188">
        <f t="shared" si="33"/>
        <v>1.1408825914057372E-2</v>
      </c>
      <c r="AJ146" s="188">
        <f t="shared" si="34"/>
        <v>-0.5370993397938304</v>
      </c>
      <c r="AK146" s="188">
        <f t="shared" si="35"/>
        <v>0.6501530558389923</v>
      </c>
      <c r="AL146" s="188">
        <f t="shared" si="36"/>
        <v>-6.0760202308791166E-2</v>
      </c>
      <c r="AM146" s="188">
        <v>-7.7643090544956259E-2</v>
      </c>
      <c r="AN146" s="188">
        <v>-4.2304566520965578E-2</v>
      </c>
      <c r="AO146">
        <f t="shared" si="37"/>
        <v>3</v>
      </c>
      <c r="AP146" s="188">
        <f t="shared" si="38"/>
        <v>3.4940735878923592E-3</v>
      </c>
      <c r="AQ146" s="188">
        <f t="shared" si="39"/>
        <v>8.6180186093201022E-2</v>
      </c>
      <c r="AR146" s="188">
        <f t="shared" si="40"/>
        <v>0.73519362186788151</v>
      </c>
      <c r="AS146" s="128">
        <f t="shared" si="41"/>
        <v>1641.6929768823006</v>
      </c>
      <c r="AT146" s="188">
        <v>0.33250000000000002</v>
      </c>
      <c r="AU146" s="238">
        <v>6.6500000000000004E-2</v>
      </c>
      <c r="AV146">
        <v>6</v>
      </c>
      <c r="AY146" t="s">
        <v>376</v>
      </c>
      <c r="AZ146" s="129">
        <v>1590.6812803490566</v>
      </c>
      <c r="BA146" t="s">
        <v>467</v>
      </c>
    </row>
    <row r="147" spans="1:55" x14ac:dyDescent="0.25">
      <c r="A147" t="s">
        <v>332</v>
      </c>
      <c r="B147">
        <v>322</v>
      </c>
      <c r="C147">
        <v>4813</v>
      </c>
      <c r="D147">
        <v>59471</v>
      </c>
      <c r="E147">
        <v>255</v>
      </c>
      <c r="F147">
        <v>0</v>
      </c>
      <c r="G147">
        <v>616</v>
      </c>
      <c r="H147">
        <v>0</v>
      </c>
      <c r="I147">
        <v>3393</v>
      </c>
      <c r="J147">
        <v>0</v>
      </c>
      <c r="K147">
        <v>7481</v>
      </c>
      <c r="L147">
        <v>3216</v>
      </c>
      <c r="M147">
        <v>88</v>
      </c>
      <c r="N147">
        <v>21447</v>
      </c>
      <c r="O147">
        <v>11849</v>
      </c>
      <c r="P147">
        <v>36313</v>
      </c>
      <c r="Q147">
        <v>1</v>
      </c>
      <c r="R147">
        <v>288</v>
      </c>
      <c r="S147">
        <v>6599</v>
      </c>
      <c r="T147">
        <v>3158</v>
      </c>
      <c r="U147">
        <f t="shared" si="28"/>
        <v>-3</v>
      </c>
      <c r="V147">
        <v>3657</v>
      </c>
      <c r="W147">
        <v>76294</v>
      </c>
      <c r="X147">
        <v>72634</v>
      </c>
      <c r="Y147">
        <f t="shared" si="29"/>
        <v>3660</v>
      </c>
      <c r="Z147">
        <v>12554</v>
      </c>
      <c r="AA147">
        <v>2235369</v>
      </c>
      <c r="AB147">
        <v>54211</v>
      </c>
      <c r="AC147" s="128">
        <v>42996.051614029653</v>
      </c>
      <c r="AD147">
        <v>27575</v>
      </c>
      <c r="AE147" t="s">
        <v>332</v>
      </c>
      <c r="AF147" s="188">
        <f t="shared" si="30"/>
        <v>-3.8377854090754185E-2</v>
      </c>
      <c r="AG147" s="188">
        <f t="shared" si="31"/>
        <v>0.45820116916140197</v>
      </c>
      <c r="AH147" s="188">
        <f t="shared" si="32"/>
        <v>8.0740294125357173E-3</v>
      </c>
      <c r="AI147" s="188">
        <f t="shared" si="33"/>
        <v>4.4472697721970274E-2</v>
      </c>
      <c r="AJ147" s="188">
        <f t="shared" si="34"/>
        <v>0.42803916428552707</v>
      </c>
      <c r="AK147" s="188">
        <f t="shared" si="35"/>
        <v>0.26924863473730465</v>
      </c>
      <c r="AL147" s="188">
        <f t="shared" si="36"/>
        <v>4.7972317613442735E-2</v>
      </c>
      <c r="AM147" s="188">
        <v>1.1456847360912981E-2</v>
      </c>
      <c r="AN147" s="188">
        <v>9.3394777265745008E-3</v>
      </c>
      <c r="AO147">
        <f t="shared" si="37"/>
        <v>0</v>
      </c>
      <c r="AP147" s="188">
        <f t="shared" si="38"/>
        <v>4.1136917713057386E-2</v>
      </c>
      <c r="AQ147" s="188">
        <f t="shared" si="39"/>
        <v>2.9299407554984665E-2</v>
      </c>
      <c r="AR147" s="188">
        <f t="shared" si="40"/>
        <v>0.71055390987495737</v>
      </c>
      <c r="AS147" s="128">
        <f t="shared" si="41"/>
        <v>1559.2403123854815</v>
      </c>
      <c r="AT147" s="188">
        <v>0.214</v>
      </c>
      <c r="AU147" s="238">
        <v>4.2799999999999998E-2</v>
      </c>
      <c r="AV147">
        <v>9</v>
      </c>
      <c r="AY147" t="s">
        <v>263</v>
      </c>
      <c r="AZ147" s="129">
        <v>1579.1197330342786</v>
      </c>
      <c r="BA147" t="s">
        <v>467</v>
      </c>
    </row>
    <row r="148" spans="1:55" x14ac:dyDescent="0.25">
      <c r="A148" t="s">
        <v>222</v>
      </c>
      <c r="B148">
        <v>68</v>
      </c>
      <c r="C148">
        <v>7279</v>
      </c>
      <c r="D148">
        <v>62174</v>
      </c>
      <c r="E148">
        <v>77</v>
      </c>
      <c r="F148">
        <v>16699</v>
      </c>
      <c r="G148">
        <v>1305</v>
      </c>
      <c r="H148">
        <v>0</v>
      </c>
      <c r="I148">
        <v>4990</v>
      </c>
      <c r="J148">
        <v>0</v>
      </c>
      <c r="K148">
        <v>3478</v>
      </c>
      <c r="L148">
        <v>11194</v>
      </c>
      <c r="M148">
        <v>6826</v>
      </c>
      <c r="N148">
        <v>29780</v>
      </c>
      <c r="O148">
        <v>28936</v>
      </c>
      <c r="P148">
        <v>43218</v>
      </c>
      <c r="Q148">
        <v>4</v>
      </c>
      <c r="R148">
        <v>0</v>
      </c>
      <c r="S148">
        <v>3070</v>
      </c>
      <c r="T148">
        <v>9082</v>
      </c>
      <c r="U148">
        <f t="shared" si="28"/>
        <v>0</v>
      </c>
      <c r="V148">
        <v>-2093</v>
      </c>
      <c r="W148">
        <v>82235</v>
      </c>
      <c r="X148">
        <v>84328</v>
      </c>
      <c r="Y148">
        <f t="shared" si="29"/>
        <v>-2093</v>
      </c>
      <c r="Z148">
        <v>9289</v>
      </c>
      <c r="AA148">
        <v>4028113.9999999981</v>
      </c>
      <c r="AB148">
        <v>61898</v>
      </c>
      <c r="AC148" s="128">
        <v>52714.050108921794</v>
      </c>
      <c r="AD148">
        <v>33819</v>
      </c>
      <c r="AE148" t="s">
        <v>222</v>
      </c>
      <c r="AF148" s="188">
        <f t="shared" si="30"/>
        <v>-0.13612208913479662</v>
      </c>
      <c r="AG148" s="188">
        <f t="shared" si="31"/>
        <v>0.19300784337569163</v>
      </c>
      <c r="AH148" s="188">
        <f t="shared" si="32"/>
        <v>0.2189335441113881</v>
      </c>
      <c r="AI148" s="188">
        <f t="shared" si="33"/>
        <v>6.0679759226606678E-2</v>
      </c>
      <c r="AJ148" s="188">
        <f t="shared" si="34"/>
        <v>0.17680403721043353</v>
      </c>
      <c r="AK148" s="188">
        <f t="shared" si="35"/>
        <v>0.2610220001753002</v>
      </c>
      <c r="AL148" s="188">
        <f t="shared" si="36"/>
        <v>-2.545145011248252E-2</v>
      </c>
      <c r="AM148" s="188">
        <v>-8.9259421385650045E-2</v>
      </c>
      <c r="AN148" s="188">
        <v>-7.4969718560741E-2</v>
      </c>
      <c r="AO148">
        <f t="shared" si="37"/>
        <v>3</v>
      </c>
      <c r="AP148" s="188">
        <f t="shared" si="38"/>
        <v>2.8239192557913299E-2</v>
      </c>
      <c r="AQ148" s="188">
        <f t="shared" si="39"/>
        <v>4.8982963458381448E-2</v>
      </c>
      <c r="AR148" s="188">
        <f t="shared" si="40"/>
        <v>0.752696540402505</v>
      </c>
      <c r="AS148" s="128">
        <f t="shared" si="41"/>
        <v>1558.7110827913834</v>
      </c>
      <c r="AT148" s="188">
        <v>0.29100000000000004</v>
      </c>
      <c r="AU148" s="238">
        <v>5.8200000000000002E-2</v>
      </c>
      <c r="AV148">
        <v>6.5</v>
      </c>
      <c r="AY148" t="s">
        <v>264</v>
      </c>
      <c r="AZ148" s="129">
        <v>1854.7069715984628</v>
      </c>
      <c r="BA148" t="s">
        <v>467</v>
      </c>
    </row>
    <row r="149" spans="1:55" x14ac:dyDescent="0.25">
      <c r="A149" t="s">
        <v>299</v>
      </c>
      <c r="B149">
        <v>0</v>
      </c>
      <c r="C149">
        <v>2045</v>
      </c>
      <c r="D149">
        <v>67899</v>
      </c>
      <c r="E149">
        <v>4670</v>
      </c>
      <c r="F149">
        <v>0</v>
      </c>
      <c r="G149">
        <v>5401</v>
      </c>
      <c r="H149">
        <v>0</v>
      </c>
      <c r="I149">
        <v>17880</v>
      </c>
      <c r="J149">
        <v>4</v>
      </c>
      <c r="K149">
        <v>5816</v>
      </c>
      <c r="L149">
        <v>480</v>
      </c>
      <c r="M149">
        <v>7713</v>
      </c>
      <c r="N149">
        <v>30755</v>
      </c>
      <c r="O149">
        <v>19467</v>
      </c>
      <c r="P149">
        <v>51024</v>
      </c>
      <c r="Q149">
        <v>0</v>
      </c>
      <c r="R149">
        <v>0</v>
      </c>
      <c r="S149">
        <v>1850</v>
      </c>
      <c r="T149">
        <v>8811</v>
      </c>
      <c r="U149">
        <f t="shared" si="28"/>
        <v>-2</v>
      </c>
      <c r="V149">
        <v>6288</v>
      </c>
      <c r="W149">
        <v>67705</v>
      </c>
      <c r="X149">
        <v>61415</v>
      </c>
      <c r="Y149">
        <f t="shared" si="29"/>
        <v>6290</v>
      </c>
      <c r="Z149">
        <v>-959</v>
      </c>
      <c r="AA149">
        <v>3340197</v>
      </c>
      <c r="AB149">
        <v>40256</v>
      </c>
      <c r="AC149" s="128">
        <v>31633.281148397873</v>
      </c>
      <c r="AD149">
        <v>27541</v>
      </c>
      <c r="AE149" t="s">
        <v>299</v>
      </c>
      <c r="AF149" s="188">
        <f t="shared" si="30"/>
        <v>-7.089579794697585E-3</v>
      </c>
      <c r="AG149" s="188">
        <f t="shared" si="31"/>
        <v>0.62439997046008422</v>
      </c>
      <c r="AH149" s="188">
        <f t="shared" si="32"/>
        <v>7.9772542648253453E-2</v>
      </c>
      <c r="AI149" s="188">
        <f t="shared" si="33"/>
        <v>0.26414592718410751</v>
      </c>
      <c r="AJ149" s="188">
        <f t="shared" si="34"/>
        <v>0.44907052654899937</v>
      </c>
      <c r="AK149" s="188">
        <f t="shared" si="35"/>
        <v>0.27482641836524974</v>
      </c>
      <c r="AL149" s="188">
        <f t="shared" si="36"/>
        <v>9.2903035226349601E-2</v>
      </c>
      <c r="AM149" s="188">
        <v>4.4364108886149334E-2</v>
      </c>
      <c r="AN149" s="188">
        <v>-2.2809240666731651E-2</v>
      </c>
      <c r="AO149">
        <f t="shared" si="37"/>
        <v>1</v>
      </c>
      <c r="AP149" s="188">
        <f t="shared" si="38"/>
        <v>-3.5410974078723878E-3</v>
      </c>
      <c r="AQ149" s="188">
        <f t="shared" si="39"/>
        <v>4.9334569086478104E-2</v>
      </c>
      <c r="AR149" s="188">
        <f t="shared" si="40"/>
        <v>0.59457942544863751</v>
      </c>
      <c r="AS149" s="128">
        <f t="shared" si="41"/>
        <v>1148.5886913473685</v>
      </c>
      <c r="AT149" s="188">
        <v>0.13300000000000001</v>
      </c>
      <c r="AU149" s="238">
        <v>2.6599999999999999E-2</v>
      </c>
      <c r="AV149">
        <v>8</v>
      </c>
      <c r="AY149" t="s">
        <v>302</v>
      </c>
      <c r="AZ149" s="129">
        <v>1129.1260940347679</v>
      </c>
      <c r="BA149" t="s">
        <v>467</v>
      </c>
      <c r="BB149">
        <v>1</v>
      </c>
    </row>
    <row r="150" spans="1:55" x14ac:dyDescent="0.25">
      <c r="A150" t="s">
        <v>151</v>
      </c>
      <c r="B150">
        <v>21421</v>
      </c>
      <c r="C150">
        <v>38557</v>
      </c>
      <c r="D150">
        <v>97646</v>
      </c>
      <c r="E150">
        <v>432</v>
      </c>
      <c r="F150">
        <v>929</v>
      </c>
      <c r="G150">
        <v>9543</v>
      </c>
      <c r="H150">
        <v>0</v>
      </c>
      <c r="I150">
        <v>55011</v>
      </c>
      <c r="J150">
        <v>12446</v>
      </c>
      <c r="K150">
        <v>19713</v>
      </c>
      <c r="L150">
        <v>38</v>
      </c>
      <c r="M150">
        <v>6719</v>
      </c>
      <c r="N150">
        <v>42118</v>
      </c>
      <c r="O150">
        <v>62929</v>
      </c>
      <c r="P150">
        <v>125569</v>
      </c>
      <c r="Q150">
        <v>0</v>
      </c>
      <c r="R150">
        <v>4451</v>
      </c>
      <c r="S150">
        <v>12670</v>
      </c>
      <c r="T150">
        <v>14718</v>
      </c>
      <c r="U150">
        <f t="shared" si="28"/>
        <v>-1</v>
      </c>
      <c r="V150">
        <v>9625</v>
      </c>
      <c r="W150">
        <v>193330</v>
      </c>
      <c r="X150">
        <v>183704</v>
      </c>
      <c r="Y150">
        <f t="shared" si="29"/>
        <v>9626</v>
      </c>
      <c r="Z150">
        <v>5779</v>
      </c>
      <c r="AA150">
        <v>1892611.9999999981</v>
      </c>
      <c r="AB150">
        <v>106499</v>
      </c>
      <c r="AC150" s="128">
        <v>96567.62722283756</v>
      </c>
      <c r="AD150">
        <v>54474</v>
      </c>
      <c r="AE150" t="s">
        <v>151</v>
      </c>
      <c r="AF150" s="188">
        <f t="shared" si="30"/>
        <v>2.2826255625096985E-2</v>
      </c>
      <c r="AG150" s="188">
        <f t="shared" si="31"/>
        <v>0.62311074328867744</v>
      </c>
      <c r="AH150" s="188">
        <f t="shared" si="32"/>
        <v>5.4166451145709407E-2</v>
      </c>
      <c r="AI150" s="188">
        <f t="shared" si="33"/>
        <v>0.34892153312988156</v>
      </c>
      <c r="AJ150" s="188">
        <f t="shared" si="34"/>
        <v>0.38536564423524555</v>
      </c>
      <c r="AK150" s="188">
        <f t="shared" si="35"/>
        <v>0.16047703415823664</v>
      </c>
      <c r="AL150" s="188">
        <f t="shared" si="36"/>
        <v>4.9790513629545334E-2</v>
      </c>
      <c r="AM150" s="188">
        <v>-5.3979491501615393E-2</v>
      </c>
      <c r="AN150" s="188">
        <v>-2.9600709648622232E-2</v>
      </c>
      <c r="AO150">
        <f t="shared" si="37"/>
        <v>2</v>
      </c>
      <c r="AP150" s="188">
        <f t="shared" si="38"/>
        <v>7.472973671959861E-3</v>
      </c>
      <c r="AQ150" s="188">
        <f t="shared" si="39"/>
        <v>9.7895411989861805E-3</v>
      </c>
      <c r="AR150" s="188">
        <f t="shared" si="40"/>
        <v>0.55086639424817674</v>
      </c>
      <c r="AS150" s="128">
        <f t="shared" si="41"/>
        <v>1772.7287737790059</v>
      </c>
      <c r="AT150" s="188">
        <v>0.16650000000000001</v>
      </c>
      <c r="AU150" s="238">
        <v>3.3300000000000003E-2</v>
      </c>
      <c r="AV150">
        <v>8.5</v>
      </c>
      <c r="AY150" t="s">
        <v>265</v>
      </c>
      <c r="AZ150" s="129">
        <v>2527.4469670537233</v>
      </c>
      <c r="BA150" t="s">
        <v>467</v>
      </c>
      <c r="BC150">
        <v>1</v>
      </c>
    </row>
    <row r="151" spans="1:55" x14ac:dyDescent="0.25">
      <c r="A151" t="s">
        <v>333</v>
      </c>
      <c r="B151">
        <v>993</v>
      </c>
      <c r="C151">
        <v>10160</v>
      </c>
      <c r="D151">
        <v>39847</v>
      </c>
      <c r="E151">
        <v>228</v>
      </c>
      <c r="F151">
        <v>0</v>
      </c>
      <c r="G151">
        <v>1494</v>
      </c>
      <c r="H151">
        <v>0</v>
      </c>
      <c r="I151">
        <v>2242</v>
      </c>
      <c r="J151">
        <v>0</v>
      </c>
      <c r="K151">
        <v>3705</v>
      </c>
      <c r="L151">
        <v>11753</v>
      </c>
      <c r="M151">
        <v>3084</v>
      </c>
      <c r="N151">
        <v>23508</v>
      </c>
      <c r="O151">
        <v>3329</v>
      </c>
      <c r="P151">
        <v>40987</v>
      </c>
      <c r="Q151">
        <v>0</v>
      </c>
      <c r="R151">
        <v>0</v>
      </c>
      <c r="S151">
        <v>2515</v>
      </c>
      <c r="T151">
        <v>3178</v>
      </c>
      <c r="U151">
        <f t="shared" si="28"/>
        <v>7</v>
      </c>
      <c r="V151">
        <v>-159</v>
      </c>
      <c r="W151">
        <v>38378</v>
      </c>
      <c r="X151">
        <v>38544</v>
      </c>
      <c r="Y151">
        <f t="shared" si="29"/>
        <v>-166</v>
      </c>
      <c r="Z151">
        <v>8433</v>
      </c>
      <c r="AA151">
        <v>1013993.9999999995</v>
      </c>
      <c r="AB151">
        <v>20204</v>
      </c>
      <c r="AC151" s="128">
        <v>22902.768988397933</v>
      </c>
      <c r="AD151">
        <v>12882</v>
      </c>
      <c r="AE151" t="s">
        <v>333</v>
      </c>
      <c r="AF151" s="188">
        <f t="shared" si="30"/>
        <v>-0.3062431601438324</v>
      </c>
      <c r="AG151" s="188">
        <f t="shared" si="31"/>
        <v>0.69425191515972695</v>
      </c>
      <c r="AH151" s="188">
        <f t="shared" si="32"/>
        <v>3.8928552816717914E-2</v>
      </c>
      <c r="AI151" s="188">
        <f t="shared" si="33"/>
        <v>5.8418885820001043E-2</v>
      </c>
      <c r="AJ151" s="188">
        <f t="shared" si="34"/>
        <v>0.65803012142373229</v>
      </c>
      <c r="AK151" s="188">
        <f t="shared" si="35"/>
        <v>0.31976277595658148</v>
      </c>
      <c r="AL151" s="188">
        <f t="shared" si="36"/>
        <v>-4.3253947574131016E-3</v>
      </c>
      <c r="AM151" s="188">
        <v>-4.0169740284602129E-2</v>
      </c>
      <c r="AN151" s="188">
        <v>1.4214936058727401E-2</v>
      </c>
      <c r="AO151">
        <f t="shared" si="37"/>
        <v>2</v>
      </c>
      <c r="AP151" s="188">
        <f t="shared" si="38"/>
        <v>5.4933816248892597E-2</v>
      </c>
      <c r="AQ151" s="188">
        <f t="shared" si="39"/>
        <v>2.6421230913544206E-2</v>
      </c>
      <c r="AR151" s="188">
        <f t="shared" si="40"/>
        <v>0.52644744384803799</v>
      </c>
      <c r="AS151" s="128">
        <f t="shared" si="41"/>
        <v>1777.8892243749367</v>
      </c>
      <c r="AT151" s="188">
        <v>0.25</v>
      </c>
      <c r="AU151" s="238">
        <v>0.05</v>
      </c>
      <c r="AV151">
        <v>6</v>
      </c>
      <c r="AY151" t="s">
        <v>304</v>
      </c>
      <c r="AZ151" s="129">
        <v>1767.4309110250324</v>
      </c>
      <c r="BA151" t="s">
        <v>467</v>
      </c>
      <c r="BC151">
        <v>1</v>
      </c>
    </row>
    <row r="152" spans="1:55" x14ac:dyDescent="0.25">
      <c r="A152" t="s">
        <v>300</v>
      </c>
      <c r="B152">
        <v>726</v>
      </c>
      <c r="C152">
        <v>19302</v>
      </c>
      <c r="D152">
        <v>199240</v>
      </c>
      <c r="E152">
        <v>5240</v>
      </c>
      <c r="F152">
        <v>716</v>
      </c>
      <c r="G152">
        <v>13450</v>
      </c>
      <c r="H152">
        <v>0</v>
      </c>
      <c r="I152">
        <v>20291</v>
      </c>
      <c r="J152">
        <v>2765</v>
      </c>
      <c r="K152">
        <v>31630</v>
      </c>
      <c r="L152">
        <v>6194</v>
      </c>
      <c r="M152">
        <v>5078</v>
      </c>
      <c r="N152">
        <v>94321</v>
      </c>
      <c r="O152">
        <v>13536</v>
      </c>
      <c r="P152">
        <v>158562</v>
      </c>
      <c r="Q152">
        <v>43</v>
      </c>
      <c r="R152">
        <v>10000</v>
      </c>
      <c r="S152">
        <v>8497</v>
      </c>
      <c r="T152">
        <v>19669</v>
      </c>
      <c r="U152">
        <f t="shared" si="28"/>
        <v>8</v>
      </c>
      <c r="V152">
        <v>-335</v>
      </c>
      <c r="W152">
        <v>181733</v>
      </c>
      <c r="X152">
        <v>182076</v>
      </c>
      <c r="Y152">
        <f t="shared" si="29"/>
        <v>-343</v>
      </c>
      <c r="Z152">
        <v>45054</v>
      </c>
      <c r="AA152">
        <v>7717446.9999999963</v>
      </c>
      <c r="AB152">
        <v>110041</v>
      </c>
      <c r="AC152" s="128">
        <v>108736.73418608826</v>
      </c>
      <c r="AD152">
        <v>65995</v>
      </c>
      <c r="AE152" t="s">
        <v>300</v>
      </c>
      <c r="AF152" s="188">
        <f t="shared" si="30"/>
        <v>2.0942811707284861E-2</v>
      </c>
      <c r="AG152" s="188">
        <f t="shared" si="31"/>
        <v>0.76872664843479166</v>
      </c>
      <c r="AH152" s="188">
        <f t="shared" si="32"/>
        <v>7.7949519349815394E-2</v>
      </c>
      <c r="AI152" s="188">
        <f t="shared" si="33"/>
        <v>0.12686743739441927</v>
      </c>
      <c r="AJ152" s="188">
        <f t="shared" si="34"/>
        <v>0.689273384580676</v>
      </c>
      <c r="AK152" s="188">
        <f t="shared" si="35"/>
        <v>0.30962682353559096</v>
      </c>
      <c r="AL152" s="188">
        <f t="shared" si="36"/>
        <v>-1.8873842395162133E-3</v>
      </c>
      <c r="AM152" s="188">
        <v>-6.151207251849293E-2</v>
      </c>
      <c r="AN152" s="188">
        <v>3.2248360507791348E-3</v>
      </c>
      <c r="AO152">
        <f t="shared" si="37"/>
        <v>2</v>
      </c>
      <c r="AP152" s="188">
        <f t="shared" si="38"/>
        <v>6.1978286827378624E-2</v>
      </c>
      <c r="AQ152" s="188">
        <f t="shared" si="39"/>
        <v>4.2465853752483018E-2</v>
      </c>
      <c r="AR152" s="188">
        <f t="shared" si="40"/>
        <v>0.60550918105132256</v>
      </c>
      <c r="AS152" s="128">
        <f t="shared" si="41"/>
        <v>1647.6510975996403</v>
      </c>
      <c r="AT152" s="188">
        <v>0.23449999999999999</v>
      </c>
      <c r="AU152" s="238">
        <v>4.6899999999999997E-2</v>
      </c>
      <c r="AV152">
        <v>7</v>
      </c>
      <c r="AY152" t="s">
        <v>411</v>
      </c>
      <c r="AZ152" s="129">
        <v>1416.0621160929895</v>
      </c>
      <c r="BA152" t="s">
        <v>467</v>
      </c>
    </row>
    <row r="153" spans="1:55" x14ac:dyDescent="0.25">
      <c r="A153" t="s">
        <v>409</v>
      </c>
      <c r="B153">
        <v>8189</v>
      </c>
      <c r="C153">
        <v>12230</v>
      </c>
      <c r="D153">
        <v>120371</v>
      </c>
      <c r="E153">
        <v>5782</v>
      </c>
      <c r="F153">
        <v>21711</v>
      </c>
      <c r="G153">
        <v>5635</v>
      </c>
      <c r="H153">
        <v>0</v>
      </c>
      <c r="I153">
        <v>-845</v>
      </c>
      <c r="J153">
        <v>94</v>
      </c>
      <c r="K153">
        <v>19476</v>
      </c>
      <c r="L153">
        <v>1496</v>
      </c>
      <c r="M153">
        <v>10119</v>
      </c>
      <c r="N153">
        <v>31933</v>
      </c>
      <c r="O153">
        <v>8352</v>
      </c>
      <c r="P153">
        <v>131486</v>
      </c>
      <c r="Q153">
        <v>0</v>
      </c>
      <c r="R153">
        <v>9900</v>
      </c>
      <c r="S153">
        <v>5741</v>
      </c>
      <c r="T153">
        <v>16846</v>
      </c>
      <c r="U153">
        <f t="shared" si="28"/>
        <v>-18</v>
      </c>
      <c r="V153">
        <v>5969</v>
      </c>
      <c r="W153">
        <v>182990</v>
      </c>
      <c r="X153">
        <v>177003</v>
      </c>
      <c r="Y153">
        <f t="shared" si="29"/>
        <v>5987</v>
      </c>
      <c r="Z153">
        <v>33560</v>
      </c>
      <c r="AA153">
        <v>-3531843</v>
      </c>
      <c r="AB153">
        <v>142999</v>
      </c>
      <c r="AC153" s="128">
        <v>85926.181629413783</v>
      </c>
      <c r="AD153">
        <v>45442</v>
      </c>
      <c r="AE153" t="s">
        <v>409</v>
      </c>
      <c r="AF153" s="188">
        <f t="shared" si="30"/>
        <v>4.5926006885622164E-2</v>
      </c>
      <c r="AG153" s="188">
        <f t="shared" si="31"/>
        <v>0.57673096890540465</v>
      </c>
      <c r="AH153" s="188">
        <f t="shared" si="32"/>
        <v>0.14943986010164489</v>
      </c>
      <c r="AI153" s="188">
        <f t="shared" si="33"/>
        <v>-4.1040494016066449E-3</v>
      </c>
      <c r="AJ153" s="188">
        <f t="shared" si="34"/>
        <v>0.59753658669872667</v>
      </c>
      <c r="AK153" s="188">
        <f t="shared" si="35"/>
        <v>0.1563365939155382</v>
      </c>
      <c r="AL153" s="188">
        <f t="shared" si="36"/>
        <v>3.2717634843434068E-2</v>
      </c>
      <c r="AM153" s="188">
        <v>-1.8606091648699835E-2</v>
      </c>
      <c r="AN153" s="188">
        <v>-3.0195327926121694E-2</v>
      </c>
      <c r="AO153">
        <f t="shared" si="37"/>
        <v>2</v>
      </c>
      <c r="AP153" s="188">
        <f t="shared" si="38"/>
        <v>4.5849499972676101E-2</v>
      </c>
      <c r="AQ153" s="188">
        <f t="shared" si="39"/>
        <v>-1.9300743210011476E-2</v>
      </c>
      <c r="AR153" s="188">
        <f t="shared" si="40"/>
        <v>0.78145800316957215</v>
      </c>
      <c r="AS153" s="128">
        <f t="shared" si="41"/>
        <v>1890.8978836629942</v>
      </c>
      <c r="AT153" s="188">
        <v>0.17850000000000002</v>
      </c>
      <c r="AU153" s="238">
        <v>3.5700000000000003E-2</v>
      </c>
      <c r="AV153">
        <v>7</v>
      </c>
      <c r="AY153" t="s">
        <v>223</v>
      </c>
      <c r="AZ153" s="129">
        <v>1478.2724171424793</v>
      </c>
      <c r="BA153" t="s">
        <v>467</v>
      </c>
    </row>
    <row r="154" spans="1:55" x14ac:dyDescent="0.25">
      <c r="A154" t="s">
        <v>262</v>
      </c>
      <c r="B154">
        <v>0</v>
      </c>
      <c r="C154">
        <v>4484</v>
      </c>
      <c r="D154">
        <v>54513</v>
      </c>
      <c r="E154">
        <v>117</v>
      </c>
      <c r="F154">
        <v>0</v>
      </c>
      <c r="G154">
        <v>2973</v>
      </c>
      <c r="H154">
        <v>0</v>
      </c>
      <c r="I154">
        <v>-950</v>
      </c>
      <c r="J154">
        <v>0</v>
      </c>
      <c r="K154">
        <v>5285</v>
      </c>
      <c r="L154">
        <v>5174</v>
      </c>
      <c r="M154">
        <v>1547</v>
      </c>
      <c r="N154">
        <v>44051</v>
      </c>
      <c r="O154">
        <v>15181</v>
      </c>
      <c r="P154">
        <v>4616</v>
      </c>
      <c r="Q154">
        <v>215</v>
      </c>
      <c r="R154">
        <v>0</v>
      </c>
      <c r="S154">
        <v>1796</v>
      </c>
      <c r="T154">
        <v>7281</v>
      </c>
      <c r="U154">
        <f t="shared" si="28"/>
        <v>11</v>
      </c>
      <c r="V154">
        <v>-4031</v>
      </c>
      <c r="W154">
        <v>63252</v>
      </c>
      <c r="X154">
        <v>67294</v>
      </c>
      <c r="Y154">
        <f t="shared" si="29"/>
        <v>-4042</v>
      </c>
      <c r="Z154">
        <v>-4428</v>
      </c>
      <c r="AA154">
        <v>3608025.9999999991</v>
      </c>
      <c r="AB154">
        <v>33508</v>
      </c>
      <c r="AC154" s="128">
        <v>48527.361535103009</v>
      </c>
      <c r="AD154">
        <v>22940</v>
      </c>
      <c r="AE154" t="s">
        <v>262</v>
      </c>
      <c r="AF154" s="188">
        <f t="shared" si="30"/>
        <v>-8.1799784987035981E-2</v>
      </c>
      <c r="AG154" s="188">
        <f t="shared" si="31"/>
        <v>-1.693227091633466E-2</v>
      </c>
      <c r="AH154" s="188">
        <f t="shared" si="32"/>
        <v>4.700246632517549E-2</v>
      </c>
      <c r="AI154" s="188">
        <f t="shared" si="33"/>
        <v>-1.5019287927654461E-2</v>
      </c>
      <c r="AJ154" s="188">
        <f t="shared" si="34"/>
        <v>-7.7847340795547844E-4</v>
      </c>
      <c r="AK154" s="188">
        <f t="shared" si="35"/>
        <v>0.60228329231610611</v>
      </c>
      <c r="AL154" s="188">
        <f t="shared" si="36"/>
        <v>-6.3903117687978239E-2</v>
      </c>
      <c r="AM154" s="188">
        <v>1.5660545316672711E-3</v>
      </c>
      <c r="AN154" s="188">
        <v>1.4422712455462058E-2</v>
      </c>
      <c r="AO154">
        <f t="shared" si="37"/>
        <v>1</v>
      </c>
      <c r="AP154" s="188">
        <f t="shared" si="38"/>
        <v>-1.7501422879908936E-2</v>
      </c>
      <c r="AQ154" s="188">
        <f t="shared" si="39"/>
        <v>5.704208562575095E-2</v>
      </c>
      <c r="AR154" s="188">
        <f t="shared" si="40"/>
        <v>0.52975399987352179</v>
      </c>
      <c r="AS154" s="128">
        <f t="shared" si="41"/>
        <v>2115.4037286444204</v>
      </c>
      <c r="AT154" s="188">
        <v>0.30249999999999999</v>
      </c>
      <c r="AU154" s="238">
        <v>6.0499999999999998E-2</v>
      </c>
      <c r="AV154">
        <v>6</v>
      </c>
      <c r="AY154" t="s">
        <v>187</v>
      </c>
      <c r="AZ154" s="129">
        <v>1661.336368079596</v>
      </c>
      <c r="BA154" t="s">
        <v>467</v>
      </c>
    </row>
    <row r="155" spans="1:55" x14ac:dyDescent="0.25">
      <c r="A155" t="s">
        <v>301</v>
      </c>
      <c r="B155">
        <v>0</v>
      </c>
      <c r="C155">
        <v>4987</v>
      </c>
      <c r="D155">
        <v>63395</v>
      </c>
      <c r="E155">
        <v>1039</v>
      </c>
      <c r="F155">
        <v>137</v>
      </c>
      <c r="G155">
        <v>14474</v>
      </c>
      <c r="H155">
        <v>0</v>
      </c>
      <c r="I155">
        <v>3100</v>
      </c>
      <c r="J155">
        <v>0</v>
      </c>
      <c r="K155">
        <v>10005</v>
      </c>
      <c r="L155">
        <f>18123+210</f>
        <v>18333</v>
      </c>
      <c r="M155">
        <v>2845</v>
      </c>
      <c r="N155">
        <v>47837</v>
      </c>
      <c r="O155">
        <v>12549</v>
      </c>
      <c r="P155">
        <v>48838</v>
      </c>
      <c r="Q155">
        <v>15</v>
      </c>
      <c r="R155" s="207">
        <f>-210+210</f>
        <v>0</v>
      </c>
      <c r="S155">
        <v>3794</v>
      </c>
      <c r="T155">
        <v>5282</v>
      </c>
      <c r="U155">
        <f t="shared" si="28"/>
        <v>17</v>
      </c>
      <c r="V155">
        <v>29097</v>
      </c>
      <c r="W155">
        <v>105962</v>
      </c>
      <c r="X155">
        <v>76882</v>
      </c>
      <c r="Y155">
        <f t="shared" si="29"/>
        <v>29080</v>
      </c>
      <c r="Z155">
        <v>11961</v>
      </c>
      <c r="AA155">
        <v>2055249.9999999991</v>
      </c>
      <c r="AB155">
        <v>55779</v>
      </c>
      <c r="AC155" s="128">
        <v>48018.042619061154</v>
      </c>
      <c r="AD155">
        <v>29410</v>
      </c>
      <c r="AE155" t="s">
        <v>301</v>
      </c>
      <c r="AF155" s="188">
        <f t="shared" si="30"/>
        <v>-0.17301485438175951</v>
      </c>
      <c r="AG155" s="188">
        <f t="shared" si="31"/>
        <v>0.11452218719918461</v>
      </c>
      <c r="AH155" s="188">
        <f t="shared" si="32"/>
        <v>0.13788905456673148</v>
      </c>
      <c r="AI155" s="188">
        <f t="shared" si="33"/>
        <v>2.925577093675091E-2</v>
      </c>
      <c r="AJ155" s="188">
        <f t="shared" si="34"/>
        <v>0.11058983409146676</v>
      </c>
      <c r="AK155" s="188">
        <f t="shared" si="35"/>
        <v>0.40431897899674596</v>
      </c>
      <c r="AL155" s="188">
        <f t="shared" si="36"/>
        <v>0.27443800607765045</v>
      </c>
      <c r="AM155" s="188">
        <v>-3.3278656620979175E-2</v>
      </c>
      <c r="AN155" s="188">
        <v>-1.5613868439800522E-2</v>
      </c>
      <c r="AO155">
        <f t="shared" si="37"/>
        <v>2</v>
      </c>
      <c r="AP155" s="188">
        <f t="shared" si="38"/>
        <v>2.8220022272135294E-2</v>
      </c>
      <c r="AQ155" s="188">
        <f t="shared" si="39"/>
        <v>1.9396104263792673E-2</v>
      </c>
      <c r="AR155" s="188">
        <f t="shared" si="40"/>
        <v>0.5264056926067836</v>
      </c>
      <c r="AS155" s="128">
        <f t="shared" si="41"/>
        <v>1632.7114117327833</v>
      </c>
      <c r="AT155" s="188">
        <v>0.2545</v>
      </c>
      <c r="AU155" s="238">
        <v>5.0900000000000001E-2</v>
      </c>
      <c r="AV155">
        <v>8.5</v>
      </c>
      <c r="AY155" t="s">
        <v>306</v>
      </c>
      <c r="AZ155" s="129">
        <v>1812.531569580269</v>
      </c>
      <c r="BA155" t="s">
        <v>467</v>
      </c>
    </row>
    <row r="156" spans="1:55" x14ac:dyDescent="0.25">
      <c r="A156" t="s">
        <v>478</v>
      </c>
      <c r="B156">
        <v>4412</v>
      </c>
      <c r="C156">
        <v>9252</v>
      </c>
      <c r="D156">
        <v>119654</v>
      </c>
      <c r="E156">
        <v>2162</v>
      </c>
      <c r="F156">
        <v>28</v>
      </c>
      <c r="G156">
        <v>5209</v>
      </c>
      <c r="H156">
        <v>539</v>
      </c>
      <c r="I156">
        <v>3795</v>
      </c>
      <c r="J156">
        <v>2433</v>
      </c>
      <c r="K156">
        <v>5425</v>
      </c>
      <c r="L156">
        <v>23735</v>
      </c>
      <c r="M156">
        <v>17048</v>
      </c>
      <c r="N156">
        <v>82081</v>
      </c>
      <c r="O156">
        <v>38658</v>
      </c>
      <c r="P156">
        <v>52195</v>
      </c>
      <c r="Q156">
        <v>0</v>
      </c>
      <c r="R156">
        <v>0</v>
      </c>
      <c r="S156">
        <v>10585</v>
      </c>
      <c r="T156">
        <v>10155</v>
      </c>
      <c r="U156">
        <f t="shared" si="28"/>
        <v>-4</v>
      </c>
      <c r="V156">
        <v>21135</v>
      </c>
      <c r="W156">
        <v>169498</v>
      </c>
      <c r="X156">
        <v>148359</v>
      </c>
      <c r="Y156">
        <f t="shared" si="29"/>
        <v>21139</v>
      </c>
      <c r="Z156">
        <v>9822</v>
      </c>
      <c r="AA156">
        <v>4320269.9999999981</v>
      </c>
      <c r="AB156">
        <v>93682</v>
      </c>
      <c r="AC156" s="128">
        <v>95060.801391957881</v>
      </c>
      <c r="AD156">
        <v>56622</v>
      </c>
      <c r="AE156" t="s">
        <v>478</v>
      </c>
      <c r="AF156" s="188">
        <f t="shared" si="30"/>
        <v>-0.14003115081003906</v>
      </c>
      <c r="AG156" s="188">
        <f t="shared" si="31"/>
        <v>0.12360617824399107</v>
      </c>
      <c r="AH156" s="188">
        <f t="shared" si="32"/>
        <v>3.0897119730026314E-2</v>
      </c>
      <c r="AI156" s="188">
        <f t="shared" si="33"/>
        <v>3.6743796386978014E-2</v>
      </c>
      <c r="AJ156" s="188">
        <f t="shared" si="34"/>
        <v>0.10159317514070962</v>
      </c>
      <c r="AK156" s="188">
        <f t="shared" si="35"/>
        <v>0.42381011390274381</v>
      </c>
      <c r="AL156" s="188">
        <f t="shared" si="36"/>
        <v>0.12471533587416961</v>
      </c>
      <c r="AM156" s="188">
        <v>-3.0869575455037792E-2</v>
      </c>
      <c r="AN156" s="188">
        <v>6.6371086927314252E-3</v>
      </c>
      <c r="AO156">
        <f t="shared" si="37"/>
        <v>1</v>
      </c>
      <c r="AP156" s="188">
        <f t="shared" si="38"/>
        <v>1.4486896600549859E-2</v>
      </c>
      <c r="AQ156" s="188">
        <f t="shared" si="39"/>
        <v>2.5488619334741402E-2</v>
      </c>
      <c r="AR156" s="188">
        <f t="shared" si="40"/>
        <v>0.55270268675736589</v>
      </c>
      <c r="AS156" s="128">
        <f t="shared" si="41"/>
        <v>1678.8668961173728</v>
      </c>
      <c r="AT156" s="188">
        <v>0.3075</v>
      </c>
      <c r="AU156" s="238">
        <v>6.1499999999999999E-2</v>
      </c>
      <c r="AV156">
        <v>9</v>
      </c>
      <c r="AY156" t="s">
        <v>188</v>
      </c>
      <c r="AZ156" s="129">
        <v>1652.3882541087983</v>
      </c>
      <c r="BA156" t="s">
        <v>467</v>
      </c>
    </row>
    <row r="157" spans="1:55" x14ac:dyDescent="0.25">
      <c r="A157" t="s">
        <v>375</v>
      </c>
      <c r="B157">
        <v>33</v>
      </c>
      <c r="C157">
        <v>3445</v>
      </c>
      <c r="D157">
        <v>48837</v>
      </c>
      <c r="E157">
        <v>54</v>
      </c>
      <c r="F157">
        <v>0</v>
      </c>
      <c r="G157">
        <v>18</v>
      </c>
      <c r="H157">
        <v>1857</v>
      </c>
      <c r="I157">
        <v>17667</v>
      </c>
      <c r="J157">
        <v>1</v>
      </c>
      <c r="K157">
        <v>7212</v>
      </c>
      <c r="L157">
        <v>676</v>
      </c>
      <c r="M157">
        <v>7987</v>
      </c>
      <c r="N157">
        <v>45171</v>
      </c>
      <c r="O157">
        <v>7478</v>
      </c>
      <c r="P157">
        <v>25672</v>
      </c>
      <c r="Q157">
        <v>19</v>
      </c>
      <c r="R157">
        <v>3000</v>
      </c>
      <c r="S157">
        <v>4316</v>
      </c>
      <c r="T157">
        <v>2131</v>
      </c>
      <c r="U157">
        <f t="shared" si="28"/>
        <v>-65</v>
      </c>
      <c r="V157">
        <v>2770</v>
      </c>
      <c r="W157">
        <v>63925</v>
      </c>
      <c r="X157">
        <v>61090</v>
      </c>
      <c r="Y157">
        <f t="shared" si="29"/>
        <v>2835</v>
      </c>
      <c r="Z157">
        <v>3863</v>
      </c>
      <c r="AA157">
        <v>1617458</v>
      </c>
      <c r="AB157">
        <v>39523</v>
      </c>
      <c r="AC157" s="128">
        <v>34837.835397592426</v>
      </c>
      <c r="AD157">
        <v>22805</v>
      </c>
      <c r="AE157" t="s">
        <v>375</v>
      </c>
      <c r="AF157" s="188">
        <f t="shared" si="30"/>
        <v>3.6355103637074698E-2</v>
      </c>
      <c r="AG157" s="188">
        <f t="shared" si="31"/>
        <v>0.27200625733281186</v>
      </c>
      <c r="AH157" s="188">
        <f t="shared" si="32"/>
        <v>2.8157997653500196E-4</v>
      </c>
      <c r="AI157" s="188">
        <f t="shared" si="33"/>
        <v>0.27638639030113415</v>
      </c>
      <c r="AJ157" s="188">
        <f t="shared" si="34"/>
        <v>7.8569573719202174E-2</v>
      </c>
      <c r="AK157" s="188">
        <f t="shared" si="35"/>
        <v>0.51455226855912606</v>
      </c>
      <c r="AL157" s="188">
        <f t="shared" si="36"/>
        <v>4.4348846304262807E-2</v>
      </c>
      <c r="AM157" s="188">
        <v>-4.8111590519534252E-2</v>
      </c>
      <c r="AN157" s="188">
        <v>-3.4850045676300803E-2</v>
      </c>
      <c r="AO157">
        <f t="shared" si="37"/>
        <v>2</v>
      </c>
      <c r="AP157" s="188">
        <f t="shared" si="38"/>
        <v>1.5107547907704341E-2</v>
      </c>
      <c r="AQ157" s="188">
        <f t="shared" si="39"/>
        <v>2.5302432538130623E-2</v>
      </c>
      <c r="AR157" s="188">
        <f t="shared" si="40"/>
        <v>0.61827141181071565</v>
      </c>
      <c r="AS157" s="128">
        <f t="shared" si="41"/>
        <v>1527.6402279145989</v>
      </c>
      <c r="AT157" s="188">
        <v>0.2165</v>
      </c>
      <c r="AU157" s="238">
        <v>4.3299999999999998E-2</v>
      </c>
      <c r="AV157">
        <v>9</v>
      </c>
      <c r="AY157" t="s">
        <v>377</v>
      </c>
      <c r="AZ157" s="129">
        <v>1489.9003179113956</v>
      </c>
      <c r="BA157" t="s">
        <v>467</v>
      </c>
    </row>
    <row r="158" spans="1:55" x14ac:dyDescent="0.25">
      <c r="A158" t="s">
        <v>868</v>
      </c>
      <c r="B158">
        <v>8253</v>
      </c>
      <c r="C158">
        <v>14796</v>
      </c>
      <c r="D158">
        <v>259067</v>
      </c>
      <c r="E158">
        <v>4929</v>
      </c>
      <c r="F158">
        <v>798</v>
      </c>
      <c r="G158">
        <v>6554</v>
      </c>
      <c r="H158">
        <v>479</v>
      </c>
      <c r="I158">
        <v>39028</v>
      </c>
      <c r="J158">
        <v>11</v>
      </c>
      <c r="K158">
        <v>46915</v>
      </c>
      <c r="L158">
        <v>6981</v>
      </c>
      <c r="M158">
        <v>3484</v>
      </c>
      <c r="N158">
        <v>133136</v>
      </c>
      <c r="O158">
        <v>35293</v>
      </c>
      <c r="P158">
        <v>113311</v>
      </c>
      <c r="Q158">
        <v>56</v>
      </c>
      <c r="R158">
        <v>62500</v>
      </c>
      <c r="S158">
        <v>25094</v>
      </c>
      <c r="T158">
        <v>21928</v>
      </c>
      <c r="U158">
        <v>-14</v>
      </c>
      <c r="V158">
        <v>12353</v>
      </c>
      <c r="W158">
        <v>282384</v>
      </c>
      <c r="X158">
        <v>270017</v>
      </c>
      <c r="Y158">
        <v>12367</v>
      </c>
      <c r="Z158">
        <v>27879</v>
      </c>
      <c r="AA158">
        <v>3391616.9999999972</v>
      </c>
      <c r="AB158">
        <v>170696</v>
      </c>
      <c r="AC158" s="128">
        <v>140480.94657240683</v>
      </c>
      <c r="AD158">
        <v>90194</v>
      </c>
      <c r="AE158" t="s">
        <v>868</v>
      </c>
      <c r="AF158" s="188">
        <v>0.19660816476854212</v>
      </c>
      <c r="AG158" s="188">
        <v>0.5583814947022494</v>
      </c>
      <c r="AH158" s="188">
        <v>2.6035469431695848E-2</v>
      </c>
      <c r="AI158" s="188">
        <v>0.13824791772904979</v>
      </c>
      <c r="AJ158" s="188">
        <v>0.464732208623718</v>
      </c>
      <c r="AK158" s="188">
        <v>0.34022457438707138</v>
      </c>
      <c r="AL158" s="188">
        <v>4.3794974219502521E-2</v>
      </c>
      <c r="AM158" s="188">
        <v>-2.9579680464991895E-3</v>
      </c>
      <c r="AN158" s="188">
        <v>-4.3597452076304957E-2</v>
      </c>
      <c r="AO158">
        <v>2</v>
      </c>
      <c r="AP158" s="188">
        <v>2.4681816250212478E-2</v>
      </c>
      <c r="AQ158" s="188">
        <v>1.2010655702872674E-2</v>
      </c>
      <c r="AR158" s="188">
        <v>0.60448184033089691</v>
      </c>
      <c r="AS158" s="128">
        <v>1557.5420379671245</v>
      </c>
      <c r="AT158" s="188">
        <v>0.22480000000000003</v>
      </c>
      <c r="AU158" s="238">
        <v>4.496E-2</v>
      </c>
      <c r="AV158">
        <v>7.5</v>
      </c>
      <c r="AY158" t="s">
        <v>224</v>
      </c>
      <c r="AZ158" s="129">
        <v>1573.1893123383322</v>
      </c>
      <c r="BA158" t="s">
        <v>467</v>
      </c>
    </row>
    <row r="159" spans="1:55" x14ac:dyDescent="0.25">
      <c r="A159" t="s">
        <v>410</v>
      </c>
      <c r="B159">
        <v>50</v>
      </c>
      <c r="C159">
        <v>3375</v>
      </c>
      <c r="D159">
        <v>84311</v>
      </c>
      <c r="E159">
        <v>803</v>
      </c>
      <c r="F159">
        <v>2038</v>
      </c>
      <c r="G159">
        <v>7123</v>
      </c>
      <c r="H159">
        <v>0</v>
      </c>
      <c r="I159">
        <v>219</v>
      </c>
      <c r="J159">
        <v>28</v>
      </c>
      <c r="K159">
        <v>13312</v>
      </c>
      <c r="L159">
        <v>8</v>
      </c>
      <c r="M159">
        <v>6224</v>
      </c>
      <c r="N159">
        <v>47458</v>
      </c>
      <c r="O159">
        <v>17874</v>
      </c>
      <c r="P159">
        <v>18149</v>
      </c>
      <c r="Q159">
        <v>9</v>
      </c>
      <c r="R159">
        <v>13431</v>
      </c>
      <c r="S159">
        <v>12194</v>
      </c>
      <c r="T159">
        <v>8375</v>
      </c>
      <c r="U159">
        <f t="shared" si="28"/>
        <v>-13</v>
      </c>
      <c r="V159">
        <v>-3163</v>
      </c>
      <c r="W159">
        <v>127319</v>
      </c>
      <c r="X159">
        <v>130469</v>
      </c>
      <c r="Y159">
        <f t="shared" si="29"/>
        <v>-3150</v>
      </c>
      <c r="Z159">
        <v>13516</v>
      </c>
      <c r="AA159">
        <v>122448.99999999907</v>
      </c>
      <c r="AB159">
        <v>95691</v>
      </c>
      <c r="AC159" s="128">
        <v>80991.494313508389</v>
      </c>
      <c r="AD159">
        <v>37262</v>
      </c>
      <c r="AE159" t="s">
        <v>410</v>
      </c>
      <c r="AF159" s="188">
        <f t="shared" si="30"/>
        <v>0.10542809792725359</v>
      </c>
      <c r="AG159" s="188">
        <f t="shared" si="31"/>
        <v>0.18420659917215812</v>
      </c>
      <c r="AH159" s="188">
        <f t="shared" si="32"/>
        <v>7.1953125613616192E-2</v>
      </c>
      <c r="AI159" s="188">
        <f t="shared" si="33"/>
        <v>1.9400089538874794E-3</v>
      </c>
      <c r="AJ159" s="188">
        <f t="shared" si="34"/>
        <v>0.19148296797807082</v>
      </c>
      <c r="AK159" s="188">
        <f t="shared" si="35"/>
        <v>0.40393224955315343</v>
      </c>
      <c r="AL159" s="188">
        <f t="shared" si="36"/>
        <v>-2.474100487751239E-2</v>
      </c>
      <c r="AM159" s="188">
        <v>-4.9735944916104016E-2</v>
      </c>
      <c r="AN159" s="188">
        <v>-5.9044566136859447E-2</v>
      </c>
      <c r="AO159">
        <f t="shared" si="37"/>
        <v>3</v>
      </c>
      <c r="AP159" s="188">
        <f t="shared" si="38"/>
        <v>2.6539636660671228E-2</v>
      </c>
      <c r="AQ159" s="188">
        <f t="shared" si="39"/>
        <v>9.6174962103063222E-4</v>
      </c>
      <c r="AR159" s="188">
        <f t="shared" si="40"/>
        <v>0.75158460245525016</v>
      </c>
      <c r="AS159" s="128">
        <f t="shared" si="41"/>
        <v>2173.5680938626051</v>
      </c>
      <c r="AT159" s="188">
        <v>0.29449999999999998</v>
      </c>
      <c r="AU159" s="238">
        <v>5.8900000000000001E-2</v>
      </c>
      <c r="AV159">
        <v>6</v>
      </c>
      <c r="AY159" t="s">
        <v>189</v>
      </c>
      <c r="AZ159" s="129">
        <v>1567.317771604671</v>
      </c>
      <c r="BA159" t="s">
        <v>467</v>
      </c>
    </row>
    <row r="160" spans="1:55" x14ac:dyDescent="0.25">
      <c r="A160" t="s">
        <v>263</v>
      </c>
      <c r="B160">
        <v>192</v>
      </c>
      <c r="C160">
        <v>1253</v>
      </c>
      <c r="D160">
        <v>20950</v>
      </c>
      <c r="E160">
        <v>139</v>
      </c>
      <c r="F160">
        <v>0</v>
      </c>
      <c r="G160">
        <v>121</v>
      </c>
      <c r="H160">
        <v>0</v>
      </c>
      <c r="I160">
        <v>848</v>
      </c>
      <c r="J160">
        <v>0</v>
      </c>
      <c r="K160">
        <v>4491</v>
      </c>
      <c r="L160">
        <v>1472</v>
      </c>
      <c r="M160">
        <v>206</v>
      </c>
      <c r="N160">
        <v>3189</v>
      </c>
      <c r="O160">
        <v>3227</v>
      </c>
      <c r="P160">
        <v>19650</v>
      </c>
      <c r="Q160">
        <v>0</v>
      </c>
      <c r="R160">
        <v>0</v>
      </c>
      <c r="S160">
        <v>3277</v>
      </c>
      <c r="T160">
        <v>329</v>
      </c>
      <c r="U160">
        <f t="shared" si="28"/>
        <v>-1581</v>
      </c>
      <c r="V160">
        <v>-2817</v>
      </c>
      <c r="W160">
        <v>27460</v>
      </c>
      <c r="X160">
        <v>28696</v>
      </c>
      <c r="Y160">
        <f t="shared" si="29"/>
        <v>-1236</v>
      </c>
      <c r="Z160">
        <v>3536</v>
      </c>
      <c r="AA160">
        <v>2378932.9999999991</v>
      </c>
      <c r="AB160">
        <v>19601</v>
      </c>
      <c r="AC160" s="128">
        <v>18262.519712541431</v>
      </c>
      <c r="AD160">
        <v>11565</v>
      </c>
      <c r="AE160" t="s">
        <v>263</v>
      </c>
      <c r="AF160" s="188">
        <f t="shared" si="30"/>
        <v>-5.3605243991260015E-2</v>
      </c>
      <c r="AG160" s="188">
        <f t="shared" si="31"/>
        <v>0.61784413692643847</v>
      </c>
      <c r="AH160" s="188">
        <f t="shared" si="32"/>
        <v>4.4064093226511289E-3</v>
      </c>
      <c r="AI160" s="188">
        <f t="shared" si="33"/>
        <v>3.0881281864530225E-2</v>
      </c>
      <c r="AJ160" s="188">
        <f t="shared" si="34"/>
        <v>0.59675600873998547</v>
      </c>
      <c r="AK160" s="188">
        <f t="shared" si="35"/>
        <v>0.10747506066325155</v>
      </c>
      <c r="AL160" s="188">
        <f t="shared" si="36"/>
        <v>-4.5010924981791697E-2</v>
      </c>
      <c r="AM160" s="188">
        <v>-9.3776564806943755E-2</v>
      </c>
      <c r="AN160" s="188">
        <v>-5.6545986469189978E-2</v>
      </c>
      <c r="AO160">
        <f t="shared" si="37"/>
        <v>3</v>
      </c>
      <c r="AP160" s="188">
        <f t="shared" si="38"/>
        <v>3.2192279679533871E-2</v>
      </c>
      <c r="AQ160" s="188">
        <f t="shared" si="39"/>
        <v>8.6632665695557137E-2</v>
      </c>
      <c r="AR160" s="188">
        <f t="shared" si="40"/>
        <v>0.71380189366351054</v>
      </c>
      <c r="AS160" s="128">
        <f t="shared" si="41"/>
        <v>1579.1197330342786</v>
      </c>
      <c r="AT160" s="188">
        <v>0.35150000000000003</v>
      </c>
      <c r="AU160" s="238">
        <v>7.0300000000000001E-2</v>
      </c>
      <c r="AV160">
        <v>6.5</v>
      </c>
      <c r="AY160" t="s">
        <v>587</v>
      </c>
      <c r="AZ160" s="129">
        <v>1655.483572225025</v>
      </c>
      <c r="BA160" t="s">
        <v>467</v>
      </c>
    </row>
    <row r="161" spans="1:55" x14ac:dyDescent="0.25">
      <c r="A161" t="s">
        <v>302</v>
      </c>
      <c r="B161">
        <v>13582</v>
      </c>
      <c r="C161">
        <v>52630</v>
      </c>
      <c r="D161">
        <v>159527</v>
      </c>
      <c r="E161">
        <v>623</v>
      </c>
      <c r="F161">
        <v>2985</v>
      </c>
      <c r="G161">
        <v>428</v>
      </c>
      <c r="H161">
        <v>376</v>
      </c>
      <c r="I161">
        <v>86723</v>
      </c>
      <c r="J161">
        <v>0</v>
      </c>
      <c r="K161">
        <v>13675</v>
      </c>
      <c r="L161">
        <v>124750</v>
      </c>
      <c r="M161">
        <v>6070</v>
      </c>
      <c r="N161">
        <v>256420</v>
      </c>
      <c r="O161">
        <v>19867</v>
      </c>
      <c r="P161">
        <v>156318</v>
      </c>
      <c r="Q161">
        <v>50</v>
      </c>
      <c r="R161">
        <v>0</v>
      </c>
      <c r="S161">
        <v>7753</v>
      </c>
      <c r="T161">
        <v>20961</v>
      </c>
      <c r="U161">
        <f t="shared" si="28"/>
        <v>1810</v>
      </c>
      <c r="V161">
        <v>142657</v>
      </c>
      <c r="W161">
        <v>315546</v>
      </c>
      <c r="X161">
        <v>174699</v>
      </c>
      <c r="Y161">
        <f t="shared" si="29"/>
        <v>140847</v>
      </c>
      <c r="Z161">
        <v>10286</v>
      </c>
      <c r="AA161">
        <v>8382002.9999999963</v>
      </c>
      <c r="AB161">
        <v>88655</v>
      </c>
      <c r="AC161" s="128">
        <v>71544.816696324997</v>
      </c>
      <c r="AD161">
        <v>63363</v>
      </c>
      <c r="AE161" t="s">
        <v>302</v>
      </c>
      <c r="AF161" s="188">
        <f t="shared" si="30"/>
        <v>-0.39534647880182289</v>
      </c>
      <c r="AG161" s="188">
        <f t="shared" si="31"/>
        <v>0.11661691163887357</v>
      </c>
      <c r="AH161" s="188">
        <f t="shared" si="32"/>
        <v>1.0816172602409791E-2</v>
      </c>
      <c r="AI161" s="188">
        <f t="shared" si="33"/>
        <v>0.27483473091086563</v>
      </c>
      <c r="AJ161" s="188">
        <f t="shared" si="34"/>
        <v>-7.4469459286443204E-2</v>
      </c>
      <c r="AK161" s="188">
        <f t="shared" si="35"/>
        <v>0.55578073082500123</v>
      </c>
      <c r="AL161" s="188">
        <f t="shared" si="36"/>
        <v>0.44635964328497274</v>
      </c>
      <c r="AM161" s="188">
        <v>-4.2693293752530019E-3</v>
      </c>
      <c r="AN161" s="188">
        <v>4.9518807477187253E-2</v>
      </c>
      <c r="AO161">
        <f t="shared" si="37"/>
        <v>1</v>
      </c>
      <c r="AP161" s="188">
        <f t="shared" si="38"/>
        <v>8.1493664949009014E-3</v>
      </c>
      <c r="AQ161" s="188">
        <f t="shared" si="39"/>
        <v>2.6563489950752018E-2</v>
      </c>
      <c r="AR161" s="188">
        <f t="shared" si="40"/>
        <v>0.2809574515284618</v>
      </c>
      <c r="AS161" s="128">
        <f t="shared" si="41"/>
        <v>1129.1260940347679</v>
      </c>
      <c r="AT161" s="188">
        <v>0.2535</v>
      </c>
      <c r="AU161" s="238">
        <v>5.0700000000000002E-2</v>
      </c>
      <c r="AV161">
        <v>7.5</v>
      </c>
      <c r="AY161" t="s">
        <v>308</v>
      </c>
      <c r="AZ161" s="129">
        <v>1540.9777642820791</v>
      </c>
      <c r="BA161" t="s">
        <v>467</v>
      </c>
    </row>
    <row r="162" spans="1:55" x14ac:dyDescent="0.25">
      <c r="A162" t="s">
        <v>265</v>
      </c>
      <c r="B162">
        <v>0</v>
      </c>
      <c r="C162">
        <v>1111</v>
      </c>
      <c r="D162">
        <v>21532</v>
      </c>
      <c r="E162">
        <v>0</v>
      </c>
      <c r="F162">
        <v>8617</v>
      </c>
      <c r="G162">
        <v>6869</v>
      </c>
      <c r="H162">
        <v>0</v>
      </c>
      <c r="I162">
        <v>282</v>
      </c>
      <c r="J162">
        <v>0</v>
      </c>
      <c r="K162">
        <v>6037</v>
      </c>
      <c r="L162">
        <v>0</v>
      </c>
      <c r="M162">
        <v>2080</v>
      </c>
      <c r="N162">
        <v>5838</v>
      </c>
      <c r="O162">
        <v>1730</v>
      </c>
      <c r="P162">
        <v>26663</v>
      </c>
      <c r="Q162">
        <v>24</v>
      </c>
      <c r="R162">
        <v>6254</v>
      </c>
      <c r="S162">
        <v>2608</v>
      </c>
      <c r="T162">
        <v>3410</v>
      </c>
      <c r="U162">
        <f t="shared" si="28"/>
        <v>-2</v>
      </c>
      <c r="V162">
        <v>-1214</v>
      </c>
      <c r="W162">
        <v>37904</v>
      </c>
      <c r="X162">
        <v>39116</v>
      </c>
      <c r="Y162">
        <f t="shared" si="29"/>
        <v>-1212</v>
      </c>
      <c r="Z162">
        <v>77</v>
      </c>
      <c r="AA162">
        <v>3109124</v>
      </c>
      <c r="AB162">
        <v>16690</v>
      </c>
      <c r="AC162" s="128">
        <v>28807.840530478337</v>
      </c>
      <c r="AD162">
        <v>11398</v>
      </c>
      <c r="AE162" t="s">
        <v>265</v>
      </c>
      <c r="AF162" s="188">
        <f t="shared" si="30"/>
        <v>0.16499577880962432</v>
      </c>
      <c r="AG162" s="188">
        <f t="shared" si="31"/>
        <v>0.4051287463064584</v>
      </c>
      <c r="AH162" s="188">
        <f t="shared" si="32"/>
        <v>0.40855846348670327</v>
      </c>
      <c r="AI162" s="188">
        <f t="shared" si="33"/>
        <v>7.4398480371464749E-3</v>
      </c>
      <c r="AJ162" s="188">
        <f t="shared" si="34"/>
        <v>0.44894786829886024</v>
      </c>
      <c r="AK162" s="188">
        <f t="shared" si="35"/>
        <v>0.12547553033722356</v>
      </c>
      <c r="AL162" s="188">
        <f t="shared" si="36"/>
        <v>-3.197551709582102E-2</v>
      </c>
      <c r="AM162" s="188">
        <v>-5.6576321915530428E-2</v>
      </c>
      <c r="AN162" s="188">
        <v>-2.3668284498771647E-2</v>
      </c>
      <c r="AO162">
        <f t="shared" si="37"/>
        <v>3</v>
      </c>
      <c r="AP162" s="188">
        <f t="shared" si="38"/>
        <v>5.0786196707471509E-4</v>
      </c>
      <c r="AQ162" s="188">
        <f t="shared" si="39"/>
        <v>8.2026276910088639E-2</v>
      </c>
      <c r="AR162" s="188">
        <f t="shared" si="40"/>
        <v>0.44032292106373999</v>
      </c>
      <c r="AS162" s="128">
        <f t="shared" si="41"/>
        <v>2527.4469670537233</v>
      </c>
      <c r="AT162" s="188">
        <v>0.20449999999999999</v>
      </c>
      <c r="AU162" s="238">
        <v>4.0899999999999999E-2</v>
      </c>
      <c r="AV162">
        <v>5</v>
      </c>
      <c r="AY162" t="s">
        <v>378</v>
      </c>
      <c r="AZ162" s="129">
        <v>1608.9677101875061</v>
      </c>
      <c r="BA162" t="s">
        <v>467</v>
      </c>
    </row>
    <row r="163" spans="1:55" x14ac:dyDescent="0.25">
      <c r="A163" t="s">
        <v>132</v>
      </c>
      <c r="B163">
        <v>12447</v>
      </c>
      <c r="C163">
        <v>35727</v>
      </c>
      <c r="D163">
        <v>392048</v>
      </c>
      <c r="E163">
        <v>4413</v>
      </c>
      <c r="F163">
        <v>11324</v>
      </c>
      <c r="G163">
        <v>5270</v>
      </c>
      <c r="H163">
        <v>19710</v>
      </c>
      <c r="I163">
        <v>142621</v>
      </c>
      <c r="J163">
        <v>0</v>
      </c>
      <c r="K163">
        <v>52903</v>
      </c>
      <c r="L163">
        <v>7295</v>
      </c>
      <c r="M163">
        <v>19255</v>
      </c>
      <c r="N163">
        <v>82467</v>
      </c>
      <c r="O163">
        <v>53932</v>
      </c>
      <c r="P163">
        <v>454678</v>
      </c>
      <c r="Q163">
        <v>14</v>
      </c>
      <c r="R163">
        <v>0</v>
      </c>
      <c r="S163">
        <v>23505</v>
      </c>
      <c r="T163">
        <v>88420</v>
      </c>
      <c r="U163">
        <f t="shared" si="28"/>
        <v>7</v>
      </c>
      <c r="V163">
        <v>18904</v>
      </c>
      <c r="W163">
        <v>614424</v>
      </c>
      <c r="X163">
        <v>595527</v>
      </c>
      <c r="Y163">
        <f t="shared" si="29"/>
        <v>18897</v>
      </c>
      <c r="Z163">
        <v>38960</v>
      </c>
      <c r="AA163">
        <v>-3916074.0000000037</v>
      </c>
      <c r="AB163">
        <v>469070</v>
      </c>
      <c r="AC163" s="128">
        <v>261712.65086474718</v>
      </c>
      <c r="AD163">
        <v>124481</v>
      </c>
      <c r="AE163" t="s">
        <v>132</v>
      </c>
      <c r="AF163" s="188">
        <f t="shared" si="30"/>
        <v>-1.1872908610340741E-2</v>
      </c>
      <c r="AG163" s="188">
        <f t="shared" si="31"/>
        <v>0.73379295079619289</v>
      </c>
      <c r="AH163" s="188">
        <f t="shared" si="32"/>
        <v>2.7007408564769606E-2</v>
      </c>
      <c r="AI163" s="188">
        <f t="shared" si="33"/>
        <v>0.23212146660937724</v>
      </c>
      <c r="AJ163" s="188">
        <f t="shared" si="34"/>
        <v>0.57454881319740114</v>
      </c>
      <c r="AK163" s="188">
        <f t="shared" si="35"/>
        <v>0.11730458481741525</v>
      </c>
      <c r="AL163" s="188">
        <f t="shared" si="36"/>
        <v>3.0755634545525566E-2</v>
      </c>
      <c r="AM163" s="188">
        <v>5.1245216407278344E-3</v>
      </c>
      <c r="AN163" s="188">
        <v>1.8760819678731028E-2</v>
      </c>
      <c r="AO163">
        <f t="shared" si="37"/>
        <v>0</v>
      </c>
      <c r="AP163" s="188">
        <f t="shared" si="38"/>
        <v>1.5852245354999153E-2</v>
      </c>
      <c r="AQ163" s="188">
        <f t="shared" si="39"/>
        <v>-6.3735693918206384E-3</v>
      </c>
      <c r="AR163" s="188">
        <f t="shared" si="40"/>
        <v>0.76343046495579603</v>
      </c>
      <c r="AS163" s="128">
        <f t="shared" si="41"/>
        <v>2102.4304983471147</v>
      </c>
      <c r="AT163" s="188">
        <v>0.26650000000000001</v>
      </c>
      <c r="AU163" s="238">
        <v>5.33E-2</v>
      </c>
      <c r="AV163">
        <v>7</v>
      </c>
      <c r="AY163" t="s">
        <v>379</v>
      </c>
      <c r="AZ163" s="129">
        <v>1156.6419405974427</v>
      </c>
      <c r="BA163" t="s">
        <v>467</v>
      </c>
      <c r="BB163">
        <v>1</v>
      </c>
    </row>
    <row r="164" spans="1:55" x14ac:dyDescent="0.25">
      <c r="A164" t="s">
        <v>303</v>
      </c>
      <c r="B164">
        <v>6442</v>
      </c>
      <c r="C164">
        <v>219163</v>
      </c>
      <c r="D164">
        <v>600496</v>
      </c>
      <c r="E164">
        <v>11334</v>
      </c>
      <c r="F164">
        <v>1170</v>
      </c>
      <c r="G164">
        <v>6189</v>
      </c>
      <c r="H164">
        <v>0</v>
      </c>
      <c r="I164">
        <v>8590</v>
      </c>
      <c r="J164">
        <v>2930</v>
      </c>
      <c r="K164">
        <v>59904</v>
      </c>
      <c r="L164">
        <v>163</v>
      </c>
      <c r="M164">
        <v>12025</v>
      </c>
      <c r="N164">
        <v>297801</v>
      </c>
      <c r="O164">
        <v>36130</v>
      </c>
      <c r="P164">
        <v>454767</v>
      </c>
      <c r="Q164">
        <v>629</v>
      </c>
      <c r="R164">
        <v>65859</v>
      </c>
      <c r="S164">
        <v>43431</v>
      </c>
      <c r="T164">
        <v>29791</v>
      </c>
      <c r="U164">
        <f t="shared" si="28"/>
        <v>19417</v>
      </c>
      <c r="V164">
        <v>-8835</v>
      </c>
      <c r="W164">
        <v>525552</v>
      </c>
      <c r="X164">
        <v>553804</v>
      </c>
      <c r="Y164">
        <f t="shared" si="29"/>
        <v>-28252</v>
      </c>
      <c r="Z164">
        <v>181521</v>
      </c>
      <c r="AA164">
        <v>-9704791</v>
      </c>
      <c r="AB164">
        <v>368405</v>
      </c>
      <c r="AC164" s="128">
        <v>283785.24627972848</v>
      </c>
      <c r="AD164">
        <v>124093</v>
      </c>
      <c r="AE164" t="s">
        <v>303</v>
      </c>
      <c r="AF164" s="188">
        <f t="shared" si="30"/>
        <v>0.12500380552257437</v>
      </c>
      <c r="AG164" s="188">
        <f t="shared" si="31"/>
        <v>0.97997153469114384</v>
      </c>
      <c r="AH164" s="188">
        <f t="shared" si="32"/>
        <v>1.4002420312357293E-2</v>
      </c>
      <c r="AI164" s="188">
        <f t="shared" si="33"/>
        <v>2.1919810028313089E-2</v>
      </c>
      <c r="AJ164" s="188">
        <f t="shared" si="34"/>
        <v>0.96630795810880754</v>
      </c>
      <c r="AK164" s="188">
        <f t="shared" si="35"/>
        <v>0.32076522391017742</v>
      </c>
      <c r="AL164" s="188">
        <f t="shared" si="36"/>
        <v>-5.3756811885408103E-2</v>
      </c>
      <c r="AM164" s="188">
        <v>-5.2447397563676633E-2</v>
      </c>
      <c r="AN164" s="188">
        <v>-3.4907412526697094E-2</v>
      </c>
      <c r="AO164">
        <f t="shared" si="37"/>
        <v>3</v>
      </c>
      <c r="AP164" s="188">
        <f t="shared" si="38"/>
        <v>8.6347782902548173E-2</v>
      </c>
      <c r="AQ164" s="188">
        <f t="shared" si="39"/>
        <v>-1.8465900614972448E-2</v>
      </c>
      <c r="AR164" s="188">
        <f t="shared" si="40"/>
        <v>0.70098677200353154</v>
      </c>
      <c r="AS164" s="128">
        <f t="shared" si="41"/>
        <v>2286.8755391498994</v>
      </c>
      <c r="AT164" s="188">
        <v>0.28449999999999998</v>
      </c>
      <c r="AU164" s="238">
        <v>5.6899999999999999E-2</v>
      </c>
      <c r="AV164">
        <v>4</v>
      </c>
      <c r="AY164" t="s">
        <v>603</v>
      </c>
      <c r="AZ164" s="129">
        <v>1424.1539361690807</v>
      </c>
      <c r="BA164" t="s">
        <v>467</v>
      </c>
    </row>
    <row r="165" spans="1:55" x14ac:dyDescent="0.25">
      <c r="A165" t="s">
        <v>304</v>
      </c>
      <c r="B165">
        <v>175</v>
      </c>
      <c r="C165">
        <v>4300</v>
      </c>
      <c r="D165">
        <v>79042</v>
      </c>
      <c r="E165">
        <v>2137</v>
      </c>
      <c r="F165">
        <v>0</v>
      </c>
      <c r="G165">
        <v>1298</v>
      </c>
      <c r="H165">
        <v>20</v>
      </c>
      <c r="I165">
        <v>-6092</v>
      </c>
      <c r="J165">
        <v>0</v>
      </c>
      <c r="K165">
        <v>8159</v>
      </c>
      <c r="L165">
        <v>4</v>
      </c>
      <c r="M165">
        <v>1011</v>
      </c>
      <c r="N165">
        <v>41287</v>
      </c>
      <c r="O165">
        <v>11311</v>
      </c>
      <c r="P165">
        <v>23386</v>
      </c>
      <c r="Q165">
        <v>15</v>
      </c>
      <c r="R165">
        <v>4377</v>
      </c>
      <c r="S165">
        <v>5652</v>
      </c>
      <c r="T165">
        <v>4027</v>
      </c>
      <c r="U165">
        <f t="shared" si="28"/>
        <v>22</v>
      </c>
      <c r="V165">
        <v>-2411</v>
      </c>
      <c r="W165">
        <v>68358</v>
      </c>
      <c r="X165">
        <v>70791</v>
      </c>
      <c r="Y165">
        <f t="shared" si="29"/>
        <v>-2433</v>
      </c>
      <c r="Z165">
        <v>10559</v>
      </c>
      <c r="AA165">
        <v>1105153.9999999981</v>
      </c>
      <c r="AB165">
        <v>45410</v>
      </c>
      <c r="AC165" s="128">
        <v>48386.956051132314</v>
      </c>
      <c r="AD165">
        <v>27377</v>
      </c>
      <c r="AE165" t="s">
        <v>304</v>
      </c>
      <c r="AF165" s="188">
        <f t="shared" si="30"/>
        <v>6.397202960882413E-2</v>
      </c>
      <c r="AG165" s="188">
        <f t="shared" si="31"/>
        <v>0.39446736300067292</v>
      </c>
      <c r="AH165" s="188">
        <f t="shared" si="32"/>
        <v>1.8988267649726439E-2</v>
      </c>
      <c r="AI165" s="188">
        <f t="shared" si="33"/>
        <v>-8.9119049708885567E-2</v>
      </c>
      <c r="AJ165" s="188">
        <f t="shared" si="34"/>
        <v>0.45912928991485996</v>
      </c>
      <c r="AK165" s="188">
        <f t="shared" si="35"/>
        <v>0.45846427183387928</v>
      </c>
      <c r="AL165" s="188">
        <f t="shared" si="36"/>
        <v>-3.559203019397876E-2</v>
      </c>
      <c r="AM165" s="188">
        <v>3.5191775405298539E-2</v>
      </c>
      <c r="AN165" s="188">
        <v>-6.2526122210147953E-3</v>
      </c>
      <c r="AO165">
        <f t="shared" si="37"/>
        <v>2</v>
      </c>
      <c r="AP165" s="188">
        <f t="shared" si="38"/>
        <v>3.8616548172854676E-2</v>
      </c>
      <c r="AQ165" s="188">
        <f t="shared" si="39"/>
        <v>1.6167149419234004E-2</v>
      </c>
      <c r="AR165" s="188">
        <f t="shared" si="40"/>
        <v>0.66429679042687029</v>
      </c>
      <c r="AS165" s="128">
        <f t="shared" si="41"/>
        <v>1767.4309110250324</v>
      </c>
      <c r="AT165" s="188">
        <v>0.27650000000000002</v>
      </c>
      <c r="AU165" s="238">
        <v>5.5300000000000002E-2</v>
      </c>
      <c r="AV165">
        <v>6.5</v>
      </c>
      <c r="AY165" t="s">
        <v>438</v>
      </c>
      <c r="AZ165" s="129">
        <v>1523.9330929318774</v>
      </c>
      <c r="BA165" t="s">
        <v>467</v>
      </c>
    </row>
    <row r="166" spans="1:55" x14ac:dyDescent="0.25">
      <c r="A166" t="s">
        <v>305</v>
      </c>
      <c r="B166">
        <v>167</v>
      </c>
      <c r="C166">
        <v>1949</v>
      </c>
      <c r="D166">
        <v>221485</v>
      </c>
      <c r="E166">
        <v>5688</v>
      </c>
      <c r="F166">
        <v>0</v>
      </c>
      <c r="G166">
        <v>23</v>
      </c>
      <c r="H166">
        <v>62965</v>
      </c>
      <c r="I166">
        <v>44452</v>
      </c>
      <c r="J166">
        <v>0</v>
      </c>
      <c r="K166">
        <v>25864</v>
      </c>
      <c r="L166">
        <v>3382</v>
      </c>
      <c r="M166">
        <v>11371</v>
      </c>
      <c r="N166">
        <v>227227</v>
      </c>
      <c r="O166">
        <v>19393</v>
      </c>
      <c r="P166">
        <v>97007</v>
      </c>
      <c r="Q166">
        <v>0</v>
      </c>
      <c r="R166">
        <v>0</v>
      </c>
      <c r="S166">
        <v>8813</v>
      </c>
      <c r="T166">
        <v>24907</v>
      </c>
      <c r="U166">
        <f t="shared" si="28"/>
        <v>1</v>
      </c>
      <c r="V166">
        <v>137019</v>
      </c>
      <c r="W166">
        <v>365736</v>
      </c>
      <c r="X166">
        <v>228718</v>
      </c>
      <c r="Y166">
        <f t="shared" si="29"/>
        <v>137018</v>
      </c>
      <c r="Z166">
        <v>48824</v>
      </c>
      <c r="AA166">
        <v>11179303</v>
      </c>
      <c r="AB166">
        <v>160777</v>
      </c>
      <c r="AC166" s="128">
        <v>134854.54016318187</v>
      </c>
      <c r="AD166">
        <v>76433</v>
      </c>
      <c r="AE166" t="s">
        <v>305</v>
      </c>
      <c r="AF166" s="188">
        <f t="shared" si="30"/>
        <v>-9.2471072030098217E-3</v>
      </c>
      <c r="AG166" s="188">
        <f t="shared" si="31"/>
        <v>7.415731565938273E-2</v>
      </c>
      <c r="AH166" s="188">
        <f t="shared" si="32"/>
        <v>6.2886891090841476E-5</v>
      </c>
      <c r="AI166" s="188">
        <f t="shared" si="33"/>
        <v>0.12154122099000372</v>
      </c>
      <c r="AJ166" s="188">
        <f t="shared" si="34"/>
        <v>-1.091399260668896E-2</v>
      </c>
      <c r="AK166" s="188">
        <f t="shared" si="35"/>
        <v>0.6021698860730309</v>
      </c>
      <c r="AL166" s="188">
        <f t="shared" si="36"/>
        <v>0.37463634971673559</v>
      </c>
      <c r="AM166" s="188">
        <v>-4.6929154306375412E-2</v>
      </c>
      <c r="AN166" s="188">
        <v>-2.7885070258524339E-2</v>
      </c>
      <c r="AO166">
        <f t="shared" si="37"/>
        <v>2</v>
      </c>
      <c r="AP166" s="188">
        <f t="shared" si="38"/>
        <v>3.337379968064396E-2</v>
      </c>
      <c r="AQ166" s="188">
        <f t="shared" si="39"/>
        <v>3.0566591749239889E-2</v>
      </c>
      <c r="AR166" s="188">
        <f t="shared" si="40"/>
        <v>0.43959850821357482</v>
      </c>
      <c r="AS166" s="128">
        <f t="shared" si="41"/>
        <v>1764.3496940219784</v>
      </c>
      <c r="AT166" s="188">
        <v>0.27650000000000002</v>
      </c>
      <c r="AU166" s="238">
        <v>5.5300000000000002E-2</v>
      </c>
      <c r="AV166">
        <v>8.5</v>
      </c>
      <c r="AY166" t="s">
        <v>415</v>
      </c>
      <c r="AZ166" s="129">
        <v>1629.4081652570931</v>
      </c>
      <c r="BA166" t="s">
        <v>467</v>
      </c>
    </row>
    <row r="167" spans="1:55" x14ac:dyDescent="0.25">
      <c r="A167" t="s">
        <v>431</v>
      </c>
      <c r="B167">
        <v>20</v>
      </c>
      <c r="C167">
        <v>43634</v>
      </c>
      <c r="D167">
        <v>219645</v>
      </c>
      <c r="E167">
        <v>12420</v>
      </c>
      <c r="F167">
        <v>6772</v>
      </c>
      <c r="G167">
        <v>12148</v>
      </c>
      <c r="H167">
        <v>0</v>
      </c>
      <c r="I167">
        <v>76175</v>
      </c>
      <c r="J167">
        <v>0</v>
      </c>
      <c r="K167">
        <v>26649</v>
      </c>
      <c r="L167">
        <v>366</v>
      </c>
      <c r="M167">
        <v>15919</v>
      </c>
      <c r="N167">
        <v>88124</v>
      </c>
      <c r="O167">
        <v>122528</v>
      </c>
      <c r="P167">
        <v>125929</v>
      </c>
      <c r="Q167">
        <v>857</v>
      </c>
      <c r="R167">
        <v>40000</v>
      </c>
      <c r="S167">
        <v>10241</v>
      </c>
      <c r="T167">
        <v>26069</v>
      </c>
      <c r="U167">
        <f t="shared" si="28"/>
        <v>-8</v>
      </c>
      <c r="V167">
        <v>3275</v>
      </c>
      <c r="W167">
        <v>307944</v>
      </c>
      <c r="X167">
        <v>304661</v>
      </c>
      <c r="Y167">
        <f t="shared" si="29"/>
        <v>3283</v>
      </c>
      <c r="Z167">
        <v>30195</v>
      </c>
      <c r="AA167">
        <v>-3246399.0000000037</v>
      </c>
      <c r="AB167">
        <v>210649</v>
      </c>
      <c r="AC167" s="128">
        <v>173651.43900447185</v>
      </c>
      <c r="AD167">
        <v>79811</v>
      </c>
      <c r="AE167" t="s">
        <v>431</v>
      </c>
      <c r="AF167" s="188">
        <f t="shared" si="30"/>
        <v>0.12870521913075106</v>
      </c>
      <c r="AG167" s="188">
        <f t="shared" si="31"/>
        <v>0.45866131504429375</v>
      </c>
      <c r="AH167" s="188">
        <f t="shared" si="32"/>
        <v>6.1439742290806121E-2</v>
      </c>
      <c r="AI167" s="188">
        <f t="shared" si="33"/>
        <v>0.24736640428129789</v>
      </c>
      <c r="AJ167" s="188">
        <f t="shared" si="34"/>
        <v>0.29287760112228201</v>
      </c>
      <c r="AK167" s="188">
        <f t="shared" si="35"/>
        <v>0.21298954919419549</v>
      </c>
      <c r="AL167" s="188">
        <f t="shared" si="36"/>
        <v>1.0661029278050555E-2</v>
      </c>
      <c r="AM167" s="188">
        <v>-4.230462034141521E-2</v>
      </c>
      <c r="AN167" s="188">
        <v>1.5511116300015011E-2</v>
      </c>
      <c r="AO167">
        <f t="shared" si="37"/>
        <v>1</v>
      </c>
      <c r="AP167" s="188">
        <f t="shared" si="38"/>
        <v>2.4513385550619594E-2</v>
      </c>
      <c r="AQ167" s="188">
        <f t="shared" si="39"/>
        <v>-1.0542173252279647E-2</v>
      </c>
      <c r="AR167" s="188">
        <f t="shared" si="40"/>
        <v>0.68404969734756971</v>
      </c>
      <c r="AS167" s="128">
        <f t="shared" si="41"/>
        <v>2175.7832755443715</v>
      </c>
      <c r="AT167" s="188">
        <v>0.22499999999999998</v>
      </c>
      <c r="AU167" s="238">
        <v>4.4999999999999998E-2</v>
      </c>
      <c r="AV167">
        <v>8</v>
      </c>
      <c r="AY167" t="s">
        <v>191</v>
      </c>
      <c r="AZ167" s="129">
        <v>1583.5948760157432</v>
      </c>
      <c r="BA167" t="s">
        <v>467</v>
      </c>
    </row>
    <row r="168" spans="1:55" x14ac:dyDescent="0.25">
      <c r="A168" t="s">
        <v>411</v>
      </c>
      <c r="B168">
        <v>215</v>
      </c>
      <c r="C168">
        <v>5102</v>
      </c>
      <c r="D168">
        <v>99498</v>
      </c>
      <c r="E168">
        <v>3147</v>
      </c>
      <c r="F168">
        <v>3319</v>
      </c>
      <c r="G168">
        <v>1177</v>
      </c>
      <c r="H168">
        <v>7286</v>
      </c>
      <c r="I168">
        <v>4082</v>
      </c>
      <c r="J168">
        <v>0</v>
      </c>
      <c r="K168">
        <v>8724</v>
      </c>
      <c r="L168">
        <v>8593</v>
      </c>
      <c r="M168">
        <v>2771</v>
      </c>
      <c r="N168">
        <v>67306</v>
      </c>
      <c r="O168">
        <v>4168</v>
      </c>
      <c r="P168">
        <v>58313</v>
      </c>
      <c r="Q168">
        <v>0</v>
      </c>
      <c r="R168">
        <v>280</v>
      </c>
      <c r="S168">
        <v>2887</v>
      </c>
      <c r="T168">
        <v>10960</v>
      </c>
      <c r="U168">
        <f t="shared" si="28"/>
        <v>-3</v>
      </c>
      <c r="V168">
        <v>3904</v>
      </c>
      <c r="W168">
        <v>96202</v>
      </c>
      <c r="X168">
        <v>92295</v>
      </c>
      <c r="Y168">
        <f t="shared" si="29"/>
        <v>3907</v>
      </c>
      <c r="Z168">
        <v>10044</v>
      </c>
      <c r="AA168">
        <v>4153730</v>
      </c>
      <c r="AB168">
        <v>68220</v>
      </c>
      <c r="AC168" s="128">
        <v>51041.958974571811</v>
      </c>
      <c r="AD168">
        <v>36045</v>
      </c>
      <c r="AE168" t="s">
        <v>411</v>
      </c>
      <c r="AF168" s="188">
        <f t="shared" si="30"/>
        <v>-8.6411924908006074E-2</v>
      </c>
      <c r="AG168" s="188">
        <f t="shared" si="31"/>
        <v>0.42171680422444441</v>
      </c>
      <c r="AH168" s="188">
        <f t="shared" si="32"/>
        <v>4.6734995114446683E-2</v>
      </c>
      <c r="AI168" s="188">
        <f t="shared" si="33"/>
        <v>4.2431550279619965E-2</v>
      </c>
      <c r="AJ168" s="188">
        <f t="shared" si="34"/>
        <v>0.39762291844244402</v>
      </c>
      <c r="AK168" s="188">
        <f t="shared" si="35"/>
        <v>0.4676820879136151</v>
      </c>
      <c r="AL168" s="188">
        <f t="shared" si="36"/>
        <v>4.0612461279391283E-2</v>
      </c>
      <c r="AM168" s="188">
        <v>-6.8292313326345833E-2</v>
      </c>
      <c r="AN168" s="188">
        <v>-2.8581487228299843E-2</v>
      </c>
      <c r="AO168">
        <f t="shared" si="37"/>
        <v>2</v>
      </c>
      <c r="AP168" s="188">
        <f t="shared" si="38"/>
        <v>2.6101328454709881E-2</v>
      </c>
      <c r="AQ168" s="188">
        <f t="shared" si="39"/>
        <v>4.3177168873827984E-2</v>
      </c>
      <c r="AR168" s="188">
        <f t="shared" si="40"/>
        <v>0.7091328662605767</v>
      </c>
      <c r="AS168" s="128">
        <f t="shared" si="41"/>
        <v>1416.0621160929895</v>
      </c>
      <c r="AT168" s="188">
        <v>0.22249999999999998</v>
      </c>
      <c r="AU168" s="238">
        <v>4.4499999999999998E-2</v>
      </c>
      <c r="AV168">
        <v>9</v>
      </c>
      <c r="AY168" t="s">
        <v>416</v>
      </c>
      <c r="AZ168" s="129">
        <v>1543.2437150881017</v>
      </c>
      <c r="BA168" t="s">
        <v>467</v>
      </c>
    </row>
    <row r="169" spans="1:55" x14ac:dyDescent="0.25">
      <c r="A169" t="s">
        <v>223</v>
      </c>
      <c r="B169">
        <v>369</v>
      </c>
      <c r="C169">
        <v>3523</v>
      </c>
      <c r="D169">
        <v>59018</v>
      </c>
      <c r="E169">
        <v>31</v>
      </c>
      <c r="F169">
        <v>17</v>
      </c>
      <c r="G169">
        <v>1884</v>
      </c>
      <c r="H169">
        <v>0</v>
      </c>
      <c r="I169">
        <v>2385</v>
      </c>
      <c r="J169">
        <v>3</v>
      </c>
      <c r="K169">
        <v>14782</v>
      </c>
      <c r="L169">
        <v>276</v>
      </c>
      <c r="M169">
        <v>1702</v>
      </c>
      <c r="N169">
        <v>38891</v>
      </c>
      <c r="O169">
        <v>17471</v>
      </c>
      <c r="P169">
        <v>17858</v>
      </c>
      <c r="Q169">
        <v>5</v>
      </c>
      <c r="R169">
        <v>0</v>
      </c>
      <c r="S169">
        <v>3715</v>
      </c>
      <c r="T169">
        <v>6049</v>
      </c>
      <c r="U169">
        <f t="shared" si="28"/>
        <v>3</v>
      </c>
      <c r="V169">
        <v>351</v>
      </c>
      <c r="W169">
        <v>76228</v>
      </c>
      <c r="X169">
        <v>75880</v>
      </c>
      <c r="Y169">
        <f t="shared" si="29"/>
        <v>348</v>
      </c>
      <c r="Z169">
        <v>29076</v>
      </c>
      <c r="AA169">
        <v>2927739.9999999981</v>
      </c>
      <c r="AB169">
        <v>45365</v>
      </c>
      <c r="AC169" s="128">
        <v>45152.352709199891</v>
      </c>
      <c r="AD169">
        <v>30544</v>
      </c>
      <c r="AE169" t="s">
        <v>223</v>
      </c>
      <c r="AF169" s="188">
        <f t="shared" si="30"/>
        <v>-3.6207167969774887E-3</v>
      </c>
      <c r="AG169" s="188">
        <f t="shared" si="31"/>
        <v>0.11762082174529044</v>
      </c>
      <c r="AH169" s="188">
        <f t="shared" si="32"/>
        <v>2.4938342866138427E-2</v>
      </c>
      <c r="AI169" s="188">
        <f t="shared" si="33"/>
        <v>3.132707141732697E-2</v>
      </c>
      <c r="AJ169" s="188">
        <f t="shared" si="34"/>
        <v>9.8684472897098169E-2</v>
      </c>
      <c r="AK169" s="188">
        <f t="shared" si="35"/>
        <v>0.46304873257212253</v>
      </c>
      <c r="AL169" s="188">
        <f t="shared" si="36"/>
        <v>4.5652516135803118E-3</v>
      </c>
      <c r="AM169" s="188">
        <v>-3.891696750902527E-2</v>
      </c>
      <c r="AN169" s="188">
        <v>6.1753212292748822E-3</v>
      </c>
      <c r="AO169">
        <f t="shared" si="37"/>
        <v>1</v>
      </c>
      <c r="AP169" s="188">
        <f t="shared" si="38"/>
        <v>9.5358660859526684E-2</v>
      </c>
      <c r="AQ169" s="188">
        <f t="shared" si="39"/>
        <v>3.8407671721677049E-2</v>
      </c>
      <c r="AR169" s="188">
        <f t="shared" si="40"/>
        <v>0.59512252715537595</v>
      </c>
      <c r="AS169" s="128">
        <f t="shared" si="41"/>
        <v>1478.2724171424793</v>
      </c>
      <c r="AT169" s="188">
        <v>0.1905</v>
      </c>
      <c r="AU169" s="238">
        <v>3.8100000000000002E-2</v>
      </c>
      <c r="AV169">
        <v>9</v>
      </c>
      <c r="AY169" t="s">
        <v>309</v>
      </c>
      <c r="AZ169" s="129">
        <v>1588.0839019906305</v>
      </c>
      <c r="BA169" t="s">
        <v>467</v>
      </c>
    </row>
    <row r="170" spans="1:55" x14ac:dyDescent="0.25">
      <c r="A170" t="s">
        <v>187</v>
      </c>
      <c r="B170">
        <v>164</v>
      </c>
      <c r="C170">
        <v>6567</v>
      </c>
      <c r="D170">
        <v>104820</v>
      </c>
      <c r="E170">
        <v>-285</v>
      </c>
      <c r="F170">
        <v>1402</v>
      </c>
      <c r="G170">
        <v>4902</v>
      </c>
      <c r="H170">
        <v>0</v>
      </c>
      <c r="I170">
        <v>9399</v>
      </c>
      <c r="J170">
        <v>0</v>
      </c>
      <c r="K170">
        <v>3260</v>
      </c>
      <c r="L170">
        <f>2+755</f>
        <v>757</v>
      </c>
      <c r="M170">
        <v>13673</v>
      </c>
      <c r="N170">
        <v>47790</v>
      </c>
      <c r="O170">
        <v>17649</v>
      </c>
      <c r="P170">
        <v>52789</v>
      </c>
      <c r="Q170">
        <v>0</v>
      </c>
      <c r="R170" s="207">
        <f>-755+755</f>
        <v>0</v>
      </c>
      <c r="S170">
        <v>4152</v>
      </c>
      <c r="T170">
        <v>22279</v>
      </c>
      <c r="U170">
        <f t="shared" si="28"/>
        <v>0</v>
      </c>
      <c r="V170">
        <v>5506</v>
      </c>
      <c r="W170">
        <v>122166</v>
      </c>
      <c r="X170">
        <v>116660</v>
      </c>
      <c r="Y170">
        <f t="shared" si="29"/>
        <v>5506</v>
      </c>
      <c r="Z170">
        <v>10316</v>
      </c>
      <c r="AA170">
        <v>344242.99999999814</v>
      </c>
      <c r="AB170">
        <v>77620</v>
      </c>
      <c r="AC170" s="128">
        <v>77787.091426222847</v>
      </c>
      <c r="AD170">
        <v>46822</v>
      </c>
      <c r="AE170" t="s">
        <v>187</v>
      </c>
      <c r="AF170" s="188">
        <f t="shared" si="30"/>
        <v>-6.1964867475402322E-3</v>
      </c>
      <c r="AG170" s="188">
        <f t="shared" si="31"/>
        <v>0.45205703714617818</v>
      </c>
      <c r="AH170" s="188">
        <f t="shared" si="32"/>
        <v>5.1601918700784177E-2</v>
      </c>
      <c r="AI170" s="188">
        <f t="shared" si="33"/>
        <v>7.6936299788811946E-2</v>
      </c>
      <c r="AJ170" s="188">
        <f t="shared" si="34"/>
        <v>0.40439385753810392</v>
      </c>
      <c r="AK170" s="188">
        <f t="shared" si="35"/>
        <v>0.33036312984328664</v>
      </c>
      <c r="AL170" s="188">
        <f t="shared" si="36"/>
        <v>4.5069823027683642E-2</v>
      </c>
      <c r="AM170" s="188">
        <v>-4.5249919611275856E-2</v>
      </c>
      <c r="AN170" s="188">
        <v>-1.7150727173508189E-3</v>
      </c>
      <c r="AO170">
        <f t="shared" si="37"/>
        <v>2</v>
      </c>
      <c r="AP170" s="188">
        <f t="shared" si="38"/>
        <v>2.1110619976098095E-2</v>
      </c>
      <c r="AQ170" s="188">
        <f t="shared" si="39"/>
        <v>2.8178298380891419E-3</v>
      </c>
      <c r="AR170" s="188">
        <f t="shared" si="40"/>
        <v>0.63536499517050571</v>
      </c>
      <c r="AS170" s="128">
        <f t="shared" si="41"/>
        <v>1661.336368079596</v>
      </c>
      <c r="AT170" s="188">
        <v>0.20400000000000001</v>
      </c>
      <c r="AU170" s="238">
        <v>4.0800000000000003E-2</v>
      </c>
      <c r="AV170">
        <v>9</v>
      </c>
      <c r="AY170" t="s">
        <v>192</v>
      </c>
      <c r="AZ170" s="129">
        <v>1568.8419943417136</v>
      </c>
      <c r="BA170" t="s">
        <v>467</v>
      </c>
    </row>
    <row r="171" spans="1:55" x14ac:dyDescent="0.25">
      <c r="A171" t="s">
        <v>306</v>
      </c>
      <c r="B171">
        <v>58</v>
      </c>
      <c r="C171">
        <v>2204</v>
      </c>
      <c r="D171">
        <v>89897</v>
      </c>
      <c r="E171">
        <v>1322</v>
      </c>
      <c r="F171">
        <v>740</v>
      </c>
      <c r="G171">
        <v>6968</v>
      </c>
      <c r="H171">
        <v>0</v>
      </c>
      <c r="I171">
        <v>0</v>
      </c>
      <c r="J171">
        <v>0</v>
      </c>
      <c r="K171">
        <v>10854</v>
      </c>
      <c r="L171">
        <v>434</v>
      </c>
      <c r="M171">
        <v>2069</v>
      </c>
      <c r="N171">
        <v>21994</v>
      </c>
      <c r="O171">
        <v>8080</v>
      </c>
      <c r="P171">
        <v>78890</v>
      </c>
      <c r="Q171">
        <v>6</v>
      </c>
      <c r="R171">
        <v>0</v>
      </c>
      <c r="S171">
        <v>1027</v>
      </c>
      <c r="T171">
        <v>4548</v>
      </c>
      <c r="U171">
        <f t="shared" si="28"/>
        <v>70</v>
      </c>
      <c r="V171">
        <v>-1700</v>
      </c>
      <c r="W171">
        <v>59034</v>
      </c>
      <c r="X171">
        <v>60804</v>
      </c>
      <c r="Y171">
        <f t="shared" si="29"/>
        <v>-1770</v>
      </c>
      <c r="Z171">
        <v>3415</v>
      </c>
      <c r="AA171">
        <v>3089344.9999999981</v>
      </c>
      <c r="AB171">
        <v>37638</v>
      </c>
      <c r="AC171" s="128">
        <v>41655.60053209374</v>
      </c>
      <c r="AD171">
        <v>22982</v>
      </c>
      <c r="AE171" t="s">
        <v>306</v>
      </c>
      <c r="AF171" s="188">
        <f t="shared" si="30"/>
        <v>-7.3516956330250361E-3</v>
      </c>
      <c r="AG171" s="188">
        <f t="shared" si="31"/>
        <v>1.0740590168377546</v>
      </c>
      <c r="AH171" s="188">
        <f t="shared" si="32"/>
        <v>0.13056882474506218</v>
      </c>
      <c r="AI171" s="188">
        <f t="shared" si="33"/>
        <v>0</v>
      </c>
      <c r="AJ171" s="188">
        <f t="shared" si="34"/>
        <v>1.0897272758071621</v>
      </c>
      <c r="AK171" s="188">
        <f t="shared" si="35"/>
        <v>0.19201187306298834</v>
      </c>
      <c r="AL171" s="188">
        <f t="shared" si="36"/>
        <v>-2.9982721821323305E-2</v>
      </c>
      <c r="AM171" s="188">
        <v>-7.2391739104607652E-2</v>
      </c>
      <c r="AN171" s="188">
        <v>-4.1819689610235751E-2</v>
      </c>
      <c r="AO171">
        <f t="shared" si="37"/>
        <v>3</v>
      </c>
      <c r="AP171" s="188">
        <f t="shared" si="38"/>
        <v>1.4462004946302131E-2</v>
      </c>
      <c r="AQ171" s="188">
        <f t="shared" si="39"/>
        <v>5.2331622454856494E-2</v>
      </c>
      <c r="AR171" s="188">
        <f t="shared" si="40"/>
        <v>0.63756479317003756</v>
      </c>
      <c r="AS171" s="128">
        <f t="shared" si="41"/>
        <v>1812.531569580269</v>
      </c>
      <c r="AT171" s="188">
        <v>0.214</v>
      </c>
      <c r="AU171" s="238">
        <v>4.2799999999999998E-2</v>
      </c>
      <c r="AV171">
        <v>5</v>
      </c>
      <c r="AY171" t="s">
        <v>435</v>
      </c>
      <c r="AZ171" s="129">
        <v>1394.5507600151886</v>
      </c>
      <c r="BA171" t="s">
        <v>467</v>
      </c>
    </row>
    <row r="172" spans="1:55" x14ac:dyDescent="0.25">
      <c r="A172" t="s">
        <v>188</v>
      </c>
      <c r="B172">
        <v>334</v>
      </c>
      <c r="C172">
        <v>9106</v>
      </c>
      <c r="D172">
        <v>68455</v>
      </c>
      <c r="E172">
        <v>341</v>
      </c>
      <c r="F172">
        <v>143</v>
      </c>
      <c r="G172">
        <v>4252</v>
      </c>
      <c r="H172">
        <v>0</v>
      </c>
      <c r="I172">
        <v>11860</v>
      </c>
      <c r="J172">
        <v>6</v>
      </c>
      <c r="K172">
        <v>16950</v>
      </c>
      <c r="L172">
        <v>452</v>
      </c>
      <c r="M172">
        <v>8757</v>
      </c>
      <c r="N172">
        <v>61951</v>
      </c>
      <c r="O172">
        <v>22412</v>
      </c>
      <c r="P172">
        <v>20576</v>
      </c>
      <c r="Q172">
        <v>0</v>
      </c>
      <c r="R172">
        <v>0</v>
      </c>
      <c r="S172">
        <v>3658</v>
      </c>
      <c r="T172">
        <v>12058</v>
      </c>
      <c r="U172">
        <f t="shared" si="28"/>
        <v>-10</v>
      </c>
      <c r="V172">
        <v>7089</v>
      </c>
      <c r="W172">
        <v>107237</v>
      </c>
      <c r="X172">
        <v>100138</v>
      </c>
      <c r="Y172">
        <f t="shared" si="29"/>
        <v>7099</v>
      </c>
      <c r="Z172">
        <v>-2080</v>
      </c>
      <c r="AA172">
        <v>6042934.9999999981</v>
      </c>
      <c r="AB172">
        <v>63527</v>
      </c>
      <c r="AC172" s="128">
        <v>56095.276450485486</v>
      </c>
      <c r="AD172">
        <v>33948</v>
      </c>
      <c r="AE172" t="s">
        <v>188</v>
      </c>
      <c r="AF172" s="188">
        <f t="shared" si="30"/>
        <v>-4.2149631190727078E-3</v>
      </c>
      <c r="AG172" s="188">
        <f t="shared" si="31"/>
        <v>5.3507651277077871E-2</v>
      </c>
      <c r="AH172" s="188">
        <f t="shared" si="32"/>
        <v>4.0983988735231312E-2</v>
      </c>
      <c r="AI172" s="188">
        <f t="shared" si="33"/>
        <v>0.11065210701530255</v>
      </c>
      <c r="AJ172" s="188">
        <f t="shared" si="34"/>
        <v>-1.9030744985406155E-2</v>
      </c>
      <c r="AK172" s="188">
        <f t="shared" si="35"/>
        <v>0.51345572085698898</v>
      </c>
      <c r="AL172" s="188">
        <f t="shared" si="36"/>
        <v>6.6199166332515824E-2</v>
      </c>
      <c r="AM172" s="188">
        <v>4.2533051126875908E-2</v>
      </c>
      <c r="AN172" s="188">
        <v>-3.569337396188086E-2</v>
      </c>
      <c r="AO172">
        <f t="shared" si="37"/>
        <v>1</v>
      </c>
      <c r="AP172" s="188">
        <f t="shared" si="38"/>
        <v>-4.8490726148624078E-3</v>
      </c>
      <c r="AQ172" s="188">
        <f t="shared" si="39"/>
        <v>5.6351212734410683E-2</v>
      </c>
      <c r="AR172" s="188">
        <f t="shared" si="40"/>
        <v>0.59239814616223874</v>
      </c>
      <c r="AS172" s="128">
        <f t="shared" si="41"/>
        <v>1652.3882541087983</v>
      </c>
      <c r="AT172" s="188">
        <v>0.17449999999999999</v>
      </c>
      <c r="AU172" s="238">
        <v>3.49E-2</v>
      </c>
      <c r="AV172">
        <v>9</v>
      </c>
      <c r="AY172" t="s">
        <v>194</v>
      </c>
      <c r="AZ172" s="129">
        <v>1551.2164351965821</v>
      </c>
      <c r="BA172" t="s">
        <v>467</v>
      </c>
    </row>
    <row r="173" spans="1:55" x14ac:dyDescent="0.25">
      <c r="A173" t="s">
        <v>377</v>
      </c>
      <c r="B173">
        <v>446</v>
      </c>
      <c r="C173">
        <v>1861</v>
      </c>
      <c r="D173">
        <v>45601</v>
      </c>
      <c r="E173">
        <v>197</v>
      </c>
      <c r="F173">
        <v>6617</v>
      </c>
      <c r="G173">
        <v>316</v>
      </c>
      <c r="H173">
        <v>349</v>
      </c>
      <c r="I173">
        <v>295</v>
      </c>
      <c r="J173">
        <v>691</v>
      </c>
      <c r="K173">
        <v>6390</v>
      </c>
      <c r="L173">
        <f>9083+52</f>
        <v>9135</v>
      </c>
      <c r="M173">
        <v>2595</v>
      </c>
      <c r="N173">
        <v>18787</v>
      </c>
      <c r="O173">
        <v>11892</v>
      </c>
      <c r="P173">
        <v>36542</v>
      </c>
      <c r="Q173">
        <v>0</v>
      </c>
      <c r="R173" s="207">
        <f>-52+52</f>
        <v>0</v>
      </c>
      <c r="S173">
        <v>3393</v>
      </c>
      <c r="T173">
        <v>3880</v>
      </c>
      <c r="U173">
        <f t="shared" si="28"/>
        <v>-1</v>
      </c>
      <c r="V173">
        <v>2453</v>
      </c>
      <c r="W173">
        <v>65105</v>
      </c>
      <c r="X173">
        <v>62651</v>
      </c>
      <c r="Y173">
        <f t="shared" si="29"/>
        <v>2454</v>
      </c>
      <c r="Z173">
        <v>4795</v>
      </c>
      <c r="AA173">
        <v>1254430.9999999991</v>
      </c>
      <c r="AB173">
        <v>43058</v>
      </c>
      <c r="AC173" s="128">
        <v>35018.617072189445</v>
      </c>
      <c r="AD173">
        <v>23504</v>
      </c>
      <c r="AE173" t="s">
        <v>377</v>
      </c>
      <c r="AF173" s="188">
        <f t="shared" si="30"/>
        <v>-0.14031180400890869</v>
      </c>
      <c r="AG173" s="188">
        <f t="shared" si="31"/>
        <v>0.28282005990323322</v>
      </c>
      <c r="AH173" s="188">
        <f t="shared" si="32"/>
        <v>0.10648951693418324</v>
      </c>
      <c r="AI173" s="188">
        <f t="shared" si="33"/>
        <v>1.5144766146993319E-2</v>
      </c>
      <c r="AJ173" s="188">
        <f t="shared" si="34"/>
        <v>0.28499746563243988</v>
      </c>
      <c r="AK173" s="188">
        <f t="shared" si="35"/>
        <v>0.25219480763551427</v>
      </c>
      <c r="AL173" s="188">
        <f t="shared" si="36"/>
        <v>3.7692957530143616E-2</v>
      </c>
      <c r="AM173" s="188">
        <v>-4.561671311169882E-2</v>
      </c>
      <c r="AN173" s="188">
        <v>-3.7234308994673657E-2</v>
      </c>
      <c r="AO173">
        <f t="shared" si="37"/>
        <v>2</v>
      </c>
      <c r="AP173" s="188">
        <f t="shared" si="38"/>
        <v>1.8412564319176716E-2</v>
      </c>
      <c r="AQ173" s="188">
        <f t="shared" si="39"/>
        <v>1.9267813531986776E-2</v>
      </c>
      <c r="AR173" s="188">
        <f t="shared" si="40"/>
        <v>0.66136241456109357</v>
      </c>
      <c r="AS173" s="128">
        <f t="shared" si="41"/>
        <v>1489.9003179113956</v>
      </c>
      <c r="AT173" s="188">
        <v>0.19750000000000001</v>
      </c>
      <c r="AU173" s="238">
        <v>3.95E-2</v>
      </c>
      <c r="AV173">
        <v>9.5</v>
      </c>
      <c r="AY173" t="s">
        <v>311</v>
      </c>
      <c r="AZ173" s="129">
        <v>1404.1659626693922</v>
      </c>
      <c r="BA173" t="s">
        <v>467</v>
      </c>
    </row>
    <row r="174" spans="1:55" x14ac:dyDescent="0.25">
      <c r="A174" t="s">
        <v>224</v>
      </c>
      <c r="B174">
        <v>0</v>
      </c>
      <c r="C174">
        <v>0</v>
      </c>
      <c r="D174">
        <v>20676</v>
      </c>
      <c r="E174">
        <v>78</v>
      </c>
      <c r="F174">
        <v>0</v>
      </c>
      <c r="G174">
        <v>1317</v>
      </c>
      <c r="H174">
        <v>0</v>
      </c>
      <c r="I174">
        <v>0</v>
      </c>
      <c r="J174">
        <v>0</v>
      </c>
      <c r="K174">
        <v>991</v>
      </c>
      <c r="L174">
        <v>1066</v>
      </c>
      <c r="M174">
        <v>3733</v>
      </c>
      <c r="N174">
        <v>14196</v>
      </c>
      <c r="O174">
        <v>2186</v>
      </c>
      <c r="P174">
        <v>0</v>
      </c>
      <c r="Q174">
        <v>31</v>
      </c>
      <c r="R174">
        <v>0</v>
      </c>
      <c r="S174">
        <v>5027</v>
      </c>
      <c r="T174">
        <v>6420</v>
      </c>
      <c r="U174">
        <f t="shared" si="28"/>
        <v>5</v>
      </c>
      <c r="V174">
        <v>-1101</v>
      </c>
      <c r="W174">
        <v>34171</v>
      </c>
      <c r="X174">
        <v>35277</v>
      </c>
      <c r="Y174">
        <f t="shared" si="29"/>
        <v>-1106</v>
      </c>
      <c r="Z174">
        <v>5953</v>
      </c>
      <c r="AA174">
        <v>1268722</v>
      </c>
      <c r="AB174">
        <v>25163</v>
      </c>
      <c r="AC174" s="128">
        <v>22742.024699162932</v>
      </c>
      <c r="AD174">
        <v>14456</v>
      </c>
      <c r="AE174" t="s">
        <v>224</v>
      </c>
      <c r="AF174" s="188">
        <f t="shared" si="30"/>
        <v>-3.1196043428638319E-2</v>
      </c>
      <c r="AG174" s="188">
        <f t="shared" si="31"/>
        <v>0.12791548388984811</v>
      </c>
      <c r="AH174" s="188">
        <f t="shared" si="32"/>
        <v>3.8541453279096312E-2</v>
      </c>
      <c r="AI174" s="188">
        <f t="shared" si="33"/>
        <v>0</v>
      </c>
      <c r="AJ174" s="188">
        <f t="shared" si="34"/>
        <v>0.13254045828333966</v>
      </c>
      <c r="AK174" s="188">
        <f t="shared" si="35"/>
        <v>0.50954773869346737</v>
      </c>
      <c r="AL174" s="188">
        <f t="shared" si="36"/>
        <v>-3.2366626671739195E-2</v>
      </c>
      <c r="AM174" s="188">
        <v>-8.3004892633867899E-2</v>
      </c>
      <c r="AN174" s="188">
        <v>-5.2066206291789985E-2</v>
      </c>
      <c r="AO174">
        <f t="shared" si="37"/>
        <v>3</v>
      </c>
      <c r="AP174" s="188">
        <f t="shared" si="38"/>
        <v>4.3553012788621934E-2</v>
      </c>
      <c r="AQ174" s="188">
        <f t="shared" si="39"/>
        <v>3.7128617833835711E-2</v>
      </c>
      <c r="AR174" s="188">
        <f t="shared" si="40"/>
        <v>0.736384653653683</v>
      </c>
      <c r="AS174" s="128">
        <f t="shared" si="41"/>
        <v>1573.1893123383322</v>
      </c>
      <c r="AT174" s="188">
        <v>0.30099999999999999</v>
      </c>
      <c r="AU174" s="238">
        <v>6.0199999999999997E-2</v>
      </c>
      <c r="AV174">
        <v>6</v>
      </c>
      <c r="AY174" t="s">
        <v>380</v>
      </c>
      <c r="AZ174" s="129">
        <v>1509.5405866974029</v>
      </c>
      <c r="BA174" t="s">
        <v>467</v>
      </c>
    </row>
    <row r="175" spans="1:55" x14ac:dyDescent="0.25">
      <c r="A175" t="s">
        <v>152</v>
      </c>
      <c r="B175">
        <v>0</v>
      </c>
      <c r="C175">
        <v>3829</v>
      </c>
      <c r="D175">
        <v>58132</v>
      </c>
      <c r="E175">
        <v>113</v>
      </c>
      <c r="F175">
        <v>0</v>
      </c>
      <c r="G175">
        <v>4609</v>
      </c>
      <c r="H175">
        <v>0</v>
      </c>
      <c r="I175">
        <v>5329</v>
      </c>
      <c r="J175">
        <v>14</v>
      </c>
      <c r="K175">
        <v>9426</v>
      </c>
      <c r="L175">
        <v>8</v>
      </c>
      <c r="M175">
        <v>308</v>
      </c>
      <c r="N175">
        <v>28264</v>
      </c>
      <c r="O175">
        <v>8143</v>
      </c>
      <c r="P175">
        <v>25757</v>
      </c>
      <c r="Q175">
        <v>31</v>
      </c>
      <c r="R175">
        <v>10711</v>
      </c>
      <c r="S175">
        <v>3369</v>
      </c>
      <c r="T175">
        <v>5492</v>
      </c>
      <c r="U175">
        <f t="shared" si="28"/>
        <v>105</v>
      </c>
      <c r="V175">
        <v>1427</v>
      </c>
      <c r="W175">
        <v>63560</v>
      </c>
      <c r="X175">
        <v>62238</v>
      </c>
      <c r="Y175">
        <f t="shared" si="29"/>
        <v>1322</v>
      </c>
      <c r="Z175">
        <v>17674</v>
      </c>
      <c r="AA175">
        <v>662003.99999999907</v>
      </c>
      <c r="AB175">
        <v>45261</v>
      </c>
      <c r="AC175" s="128">
        <v>36336.624713404759</v>
      </c>
      <c r="AD175">
        <v>22888</v>
      </c>
      <c r="AE175" t="s">
        <v>152</v>
      </c>
      <c r="AF175" s="188">
        <f t="shared" si="30"/>
        <v>0.16839207048458149</v>
      </c>
      <c r="AG175" s="188">
        <f t="shared" si="31"/>
        <v>0.4878697293895532</v>
      </c>
      <c r="AH175" s="188">
        <f t="shared" si="32"/>
        <v>7.2514159848961618E-2</v>
      </c>
      <c r="AI175" s="188">
        <f t="shared" si="33"/>
        <v>8.4062303335431091E-2</v>
      </c>
      <c r="AJ175" s="188">
        <f t="shared" si="34"/>
        <v>0.43772781623662682</v>
      </c>
      <c r="AK175" s="188">
        <f t="shared" si="35"/>
        <v>0.34566512162608387</v>
      </c>
      <c r="AL175" s="188">
        <f t="shared" si="36"/>
        <v>2.0799244808055381E-2</v>
      </c>
      <c r="AM175" s="188">
        <v>4.8424571667363144E-2</v>
      </c>
      <c r="AN175" s="188">
        <v>3.8586212276170498E-2</v>
      </c>
      <c r="AO175">
        <f t="shared" si="37"/>
        <v>0</v>
      </c>
      <c r="AP175" s="188">
        <f t="shared" si="38"/>
        <v>6.951699181875394E-2</v>
      </c>
      <c r="AQ175" s="188">
        <f t="shared" si="39"/>
        <v>1.0415418502202629E-2</v>
      </c>
      <c r="AR175" s="188">
        <f t="shared" si="40"/>
        <v>0.71209880427942107</v>
      </c>
      <c r="AS175" s="128">
        <f t="shared" si="41"/>
        <v>1587.5840926863316</v>
      </c>
      <c r="AT175" s="188">
        <v>0.26800000000000002</v>
      </c>
      <c r="AU175" s="238">
        <v>5.3600000000000002E-2</v>
      </c>
      <c r="AV175">
        <v>7.5</v>
      </c>
      <c r="AY175" t="s">
        <v>381</v>
      </c>
      <c r="AZ175" s="129">
        <v>1563.3883118424949</v>
      </c>
      <c r="BA175" t="s">
        <v>467</v>
      </c>
    </row>
    <row r="176" spans="1:55" x14ac:dyDescent="0.25">
      <c r="A176" t="s">
        <v>189</v>
      </c>
      <c r="B176">
        <v>568</v>
      </c>
      <c r="C176">
        <v>5614</v>
      </c>
      <c r="D176">
        <v>51409</v>
      </c>
      <c r="E176">
        <v>0</v>
      </c>
      <c r="F176">
        <v>1524</v>
      </c>
      <c r="G176">
        <v>513</v>
      </c>
      <c r="H176">
        <v>0</v>
      </c>
      <c r="I176">
        <v>7419</v>
      </c>
      <c r="J176">
        <v>0</v>
      </c>
      <c r="K176">
        <v>3990</v>
      </c>
      <c r="L176">
        <v>2493</v>
      </c>
      <c r="M176">
        <v>12577</v>
      </c>
      <c r="N176">
        <v>25515</v>
      </c>
      <c r="O176">
        <v>9314</v>
      </c>
      <c r="P176">
        <v>32808</v>
      </c>
      <c r="Q176">
        <v>209</v>
      </c>
      <c r="R176">
        <v>8000</v>
      </c>
      <c r="S176">
        <v>2773</v>
      </c>
      <c r="T176">
        <v>7490</v>
      </c>
      <c r="U176">
        <f t="shared" si="28"/>
        <v>-4</v>
      </c>
      <c r="V176">
        <v>2070</v>
      </c>
      <c r="W176">
        <v>63823</v>
      </c>
      <c r="X176">
        <v>61749</v>
      </c>
      <c r="Y176">
        <f t="shared" si="29"/>
        <v>2074</v>
      </c>
      <c r="Z176">
        <v>10223</v>
      </c>
      <c r="AA176">
        <v>1739045.9999999991</v>
      </c>
      <c r="AB176">
        <v>40365</v>
      </c>
      <c r="AC176" s="128">
        <v>39891.371922882085</v>
      </c>
      <c r="AD176">
        <v>25452</v>
      </c>
      <c r="AE176" t="s">
        <v>189</v>
      </c>
      <c r="AF176" s="188">
        <f t="shared" si="30"/>
        <v>8.6285508359055518E-2</v>
      </c>
      <c r="AG176" s="188">
        <f t="shared" si="31"/>
        <v>0.47291728687150403</v>
      </c>
      <c r="AH176" s="188">
        <f t="shared" si="32"/>
        <v>3.1916393776538238E-2</v>
      </c>
      <c r="AI176" s="188">
        <f t="shared" si="33"/>
        <v>0.11624336054400451</v>
      </c>
      <c r="AJ176" s="188">
        <f t="shared" si="34"/>
        <v>0.39537690174388546</v>
      </c>
      <c r="AK176" s="188">
        <f t="shared" si="35"/>
        <v>0.29631049019266281</v>
      </c>
      <c r="AL176" s="188">
        <f t="shared" si="36"/>
        <v>3.2496122087648655E-2</v>
      </c>
      <c r="AM176" s="188">
        <v>-9.8511984317918563E-2</v>
      </c>
      <c r="AN176" s="188">
        <v>0.10584867909148171</v>
      </c>
      <c r="AO176">
        <f t="shared" si="37"/>
        <v>1</v>
      </c>
      <c r="AP176" s="188">
        <f t="shared" si="38"/>
        <v>4.0044341381633583E-2</v>
      </c>
      <c r="AQ176" s="188">
        <f t="shared" si="39"/>
        <v>2.7247951365495182E-2</v>
      </c>
      <c r="AR176" s="188">
        <f t="shared" si="40"/>
        <v>0.63245225075599709</v>
      </c>
      <c r="AS176" s="128">
        <f t="shared" si="41"/>
        <v>1567.317771604671</v>
      </c>
      <c r="AT176" s="188">
        <v>0.2205</v>
      </c>
      <c r="AU176" s="238">
        <v>4.41E-2</v>
      </c>
      <c r="AV176">
        <v>8.5</v>
      </c>
      <c r="AY176" t="s">
        <v>195</v>
      </c>
      <c r="AZ176" s="129">
        <v>2190.1800771118155</v>
      </c>
      <c r="BA176" t="s">
        <v>467</v>
      </c>
      <c r="BC176">
        <v>1</v>
      </c>
    </row>
    <row r="177" spans="1:55" x14ac:dyDescent="0.25">
      <c r="A177" t="s">
        <v>412</v>
      </c>
      <c r="B177">
        <v>1270</v>
      </c>
      <c r="C177">
        <v>632</v>
      </c>
      <c r="D177">
        <v>82525</v>
      </c>
      <c r="E177">
        <v>3081</v>
      </c>
      <c r="F177">
        <v>3344</v>
      </c>
      <c r="G177">
        <v>3395</v>
      </c>
      <c r="H177">
        <v>10928</v>
      </c>
      <c r="I177">
        <v>881</v>
      </c>
      <c r="J177">
        <v>0</v>
      </c>
      <c r="K177">
        <v>8553</v>
      </c>
      <c r="L177" s="207">
        <f>-280+280</f>
        <v>0</v>
      </c>
      <c r="M177" s="207">
        <f>-864+864</f>
        <v>0</v>
      </c>
      <c r="N177">
        <v>54370</v>
      </c>
      <c r="O177">
        <v>10621</v>
      </c>
      <c r="P177">
        <v>35039</v>
      </c>
      <c r="Q177">
        <v>3</v>
      </c>
      <c r="R177">
        <f>4900+280</f>
        <v>5180</v>
      </c>
      <c r="S177">
        <v>5956</v>
      </c>
      <c r="T177">
        <f>2576+864</f>
        <v>3440</v>
      </c>
      <c r="U177">
        <f t="shared" si="28"/>
        <v>7</v>
      </c>
      <c r="V177">
        <v>140</v>
      </c>
      <c r="W177">
        <v>60643</v>
      </c>
      <c r="X177">
        <v>60510</v>
      </c>
      <c r="Y177">
        <f t="shared" si="29"/>
        <v>133</v>
      </c>
      <c r="Z177">
        <v>20779</v>
      </c>
      <c r="AA177">
        <v>2366624</v>
      </c>
      <c r="AB177">
        <v>43472</v>
      </c>
      <c r="AC177" s="128">
        <v>37972.784302226224</v>
      </c>
      <c r="AD177">
        <v>23947</v>
      </c>
      <c r="AE177" t="s">
        <v>412</v>
      </c>
      <c r="AF177" s="188">
        <f t="shared" si="30"/>
        <v>8.541793776693106E-2</v>
      </c>
      <c r="AG177" s="188">
        <f t="shared" si="31"/>
        <v>0.38583183549626504</v>
      </c>
      <c r="AH177" s="188">
        <f t="shared" si="32"/>
        <v>0.11112576884388965</v>
      </c>
      <c r="AI177" s="188">
        <f t="shared" si="33"/>
        <v>1.4527645400128622E-2</v>
      </c>
      <c r="AJ177" s="188">
        <f t="shared" si="34"/>
        <v>0.38899757597744178</v>
      </c>
      <c r="AK177" s="188">
        <f t="shared" si="35"/>
        <v>0.47439555357781676</v>
      </c>
      <c r="AL177" s="188">
        <f t="shared" si="36"/>
        <v>2.1931632669887702E-3</v>
      </c>
      <c r="AM177" s="188">
        <v>-5.2165354330708659E-2</v>
      </c>
      <c r="AN177" s="188">
        <v>-9.7851802782246613E-3</v>
      </c>
      <c r="AO177">
        <f t="shared" si="37"/>
        <v>2</v>
      </c>
      <c r="AP177" s="188">
        <f t="shared" si="38"/>
        <v>8.5661164520224917E-2</v>
      </c>
      <c r="AQ177" s="188">
        <f t="shared" si="39"/>
        <v>3.9025509951684446E-2</v>
      </c>
      <c r="AR177" s="188">
        <f t="shared" si="40"/>
        <v>0.71685107926718661</v>
      </c>
      <c r="AS177" s="128">
        <f t="shared" si="41"/>
        <v>1585.7011025275076</v>
      </c>
      <c r="AT177" s="188">
        <v>0.26800000000000002</v>
      </c>
      <c r="AU177" s="238">
        <v>5.3600000000000002E-2</v>
      </c>
      <c r="AV177">
        <v>7</v>
      </c>
      <c r="AY177" t="s">
        <v>154</v>
      </c>
      <c r="AZ177" s="129">
        <v>1655.5014315290221</v>
      </c>
      <c r="BA177" t="s">
        <v>467</v>
      </c>
    </row>
    <row r="178" spans="1:55" x14ac:dyDescent="0.25">
      <c r="A178" t="s">
        <v>869</v>
      </c>
      <c r="B178">
        <v>783</v>
      </c>
      <c r="C178">
        <v>44635</v>
      </c>
      <c r="D178">
        <v>129429</v>
      </c>
      <c r="E178">
        <v>4048</v>
      </c>
      <c r="F178">
        <v>6161</v>
      </c>
      <c r="G178">
        <v>1400</v>
      </c>
      <c r="H178">
        <v>1188</v>
      </c>
      <c r="I178">
        <v>39139</v>
      </c>
      <c r="J178">
        <v>335</v>
      </c>
      <c r="K178">
        <v>11977</v>
      </c>
      <c r="L178" s="207">
        <v>839</v>
      </c>
      <c r="M178" s="207">
        <v>7004</v>
      </c>
      <c r="N178">
        <v>102887</v>
      </c>
      <c r="O178">
        <v>53409</v>
      </c>
      <c r="P178">
        <v>68507</v>
      </c>
      <c r="Q178">
        <v>0</v>
      </c>
      <c r="R178">
        <v>2000</v>
      </c>
      <c r="S178">
        <v>10359</v>
      </c>
      <c r="T178">
        <v>9772</v>
      </c>
      <c r="U178">
        <v>0</v>
      </c>
      <c r="V178">
        <v>3542</v>
      </c>
      <c r="W178">
        <v>163397</v>
      </c>
      <c r="X178">
        <v>159855</v>
      </c>
      <c r="Y178">
        <v>3542</v>
      </c>
      <c r="Z178">
        <v>18943</v>
      </c>
      <c r="AA178">
        <v>5735962</v>
      </c>
      <c r="AB178">
        <v>114444</v>
      </c>
      <c r="AC178" s="128">
        <v>93581.986942850548</v>
      </c>
      <c r="AD178">
        <v>58108</v>
      </c>
      <c r="AE178" t="s">
        <v>869</v>
      </c>
      <c r="AF178" s="188">
        <v>7.105393611877819E-3</v>
      </c>
      <c r="AG178" s="188">
        <v>0.37986621541399168</v>
      </c>
      <c r="AH178" s="188">
        <v>4.6273799396561746E-2</v>
      </c>
      <c r="AI178" s="188">
        <v>0.24158338280384584</v>
      </c>
      <c r="AJ178" s="188">
        <v>0.21631070337888703</v>
      </c>
      <c r="AK178" s="188">
        <v>0.41665789239229917</v>
      </c>
      <c r="AL178" s="188">
        <v>2.1677264576461013E-2</v>
      </c>
      <c r="AM178" s="188">
        <v>0.02</v>
      </c>
      <c r="AN178" s="188">
        <v>0.03</v>
      </c>
      <c r="AO178">
        <v>0</v>
      </c>
      <c r="AP178" s="188">
        <v>2.8983090264815145E-2</v>
      </c>
      <c r="AQ178" s="188">
        <v>3.5104451122113627E-2</v>
      </c>
      <c r="AR178" s="188">
        <v>0.70040453619099496</v>
      </c>
      <c r="AS178" s="128">
        <v>1610.4837017768732</v>
      </c>
      <c r="AT178" s="188">
        <f>5*AU178</f>
        <v>0.28000000000000003</v>
      </c>
      <c r="AU178" s="238">
        <v>5.6000000000000001E-2</v>
      </c>
      <c r="AV178">
        <v>9</v>
      </c>
      <c r="AY178" t="s">
        <v>155</v>
      </c>
      <c r="AZ178" s="129">
        <v>1736.2070534535101</v>
      </c>
      <c r="BA178" t="s">
        <v>467</v>
      </c>
    </row>
    <row r="179" spans="1:55" x14ac:dyDescent="0.25">
      <c r="A179" t="s">
        <v>307</v>
      </c>
      <c r="B179">
        <v>1146</v>
      </c>
      <c r="C179">
        <v>4752</v>
      </c>
      <c r="D179">
        <v>88803</v>
      </c>
      <c r="E179">
        <v>2397</v>
      </c>
      <c r="F179">
        <v>0</v>
      </c>
      <c r="G179">
        <v>2718</v>
      </c>
      <c r="H179">
        <v>0</v>
      </c>
      <c r="I179">
        <v>2774</v>
      </c>
      <c r="J179">
        <v>5</v>
      </c>
      <c r="K179">
        <v>11107</v>
      </c>
      <c r="L179" s="207">
        <f>-7639+7639</f>
        <v>0</v>
      </c>
      <c r="M179">
        <v>4670</v>
      </c>
      <c r="N179">
        <v>41767</v>
      </c>
      <c r="O179">
        <v>6320</v>
      </c>
      <c r="P179">
        <v>49700</v>
      </c>
      <c r="Q179">
        <v>0</v>
      </c>
      <c r="R179">
        <f>7639</f>
        <v>7639</v>
      </c>
      <c r="S179">
        <v>6993</v>
      </c>
      <c r="T179">
        <v>5953</v>
      </c>
      <c r="U179">
        <f t="shared" si="28"/>
        <v>1835</v>
      </c>
      <c r="V179">
        <v>6813</v>
      </c>
      <c r="W179">
        <v>111415</v>
      </c>
      <c r="X179">
        <v>106437</v>
      </c>
      <c r="Y179">
        <f t="shared" si="29"/>
        <v>4978</v>
      </c>
      <c r="Z179">
        <v>15973</v>
      </c>
      <c r="AA179">
        <v>1328104.9999999991</v>
      </c>
      <c r="AB179">
        <v>73829</v>
      </c>
      <c r="AC179" s="128">
        <v>60854.097790729196</v>
      </c>
      <c r="AD179">
        <v>33567</v>
      </c>
      <c r="AE179" t="s">
        <v>307</v>
      </c>
      <c r="AF179" s="188">
        <f t="shared" si="30"/>
        <v>6.8563478885248844E-2</v>
      </c>
      <c r="AG179" s="188">
        <f t="shared" si="31"/>
        <v>0.46483866624781223</v>
      </c>
      <c r="AH179" s="188">
        <f t="shared" si="32"/>
        <v>2.4395278912175199E-2</v>
      </c>
      <c r="AI179" s="188">
        <f t="shared" si="33"/>
        <v>2.494278149261769E-2</v>
      </c>
      <c r="AJ179" s="188">
        <f t="shared" si="34"/>
        <v>0.45030615267244084</v>
      </c>
      <c r="AK179" s="188">
        <f t="shared" si="35"/>
        <v>0.35284526746189976</v>
      </c>
      <c r="AL179" s="188">
        <f t="shared" si="36"/>
        <v>4.4679800744962528E-2</v>
      </c>
      <c r="AM179" s="188">
        <v>2.226857887874837E-2</v>
      </c>
      <c r="AN179" s="188">
        <v>-2.7149472744518215E-2</v>
      </c>
      <c r="AO179">
        <f t="shared" si="37"/>
        <v>1</v>
      </c>
      <c r="AP179" s="188">
        <f t="shared" si="38"/>
        <v>3.5841224251671681E-2</v>
      </c>
      <c r="AQ179" s="188">
        <f t="shared" si="39"/>
        <v>1.1920342862271678E-2</v>
      </c>
      <c r="AR179" s="188">
        <f t="shared" si="40"/>
        <v>0.66264865592604227</v>
      </c>
      <c r="AS179" s="128">
        <f t="shared" si="41"/>
        <v>1812.9144037515773</v>
      </c>
      <c r="AT179" s="188">
        <v>0.1875</v>
      </c>
      <c r="AU179" s="238">
        <v>3.7499999999999999E-2</v>
      </c>
      <c r="AV179">
        <v>10</v>
      </c>
      <c r="AY179" t="s">
        <v>267</v>
      </c>
      <c r="AZ179" s="129">
        <v>1576.9633212981898</v>
      </c>
      <c r="BA179" t="s">
        <v>467</v>
      </c>
    </row>
    <row r="180" spans="1:55" x14ac:dyDescent="0.25">
      <c r="A180" t="s">
        <v>413</v>
      </c>
      <c r="B180">
        <v>22971</v>
      </c>
      <c r="C180">
        <v>41623</v>
      </c>
      <c r="D180">
        <v>488403</v>
      </c>
      <c r="E180">
        <v>13613</v>
      </c>
      <c r="F180">
        <v>63891</v>
      </c>
      <c r="G180">
        <v>8617</v>
      </c>
      <c r="H180">
        <v>0</v>
      </c>
      <c r="I180">
        <v>12520</v>
      </c>
      <c r="J180">
        <v>179</v>
      </c>
      <c r="K180">
        <v>60477</v>
      </c>
      <c r="L180">
        <v>19743</v>
      </c>
      <c r="M180">
        <v>33703</v>
      </c>
      <c r="N180">
        <v>179725</v>
      </c>
      <c r="O180">
        <v>66433</v>
      </c>
      <c r="P180">
        <v>352964</v>
      </c>
      <c r="Q180">
        <v>693</v>
      </c>
      <c r="R180">
        <v>58932</v>
      </c>
      <c r="S180">
        <v>58392</v>
      </c>
      <c r="T180">
        <v>48601</v>
      </c>
      <c r="U180">
        <f t="shared" si="28"/>
        <v>3973</v>
      </c>
      <c r="V180">
        <v>412</v>
      </c>
      <c r="W180">
        <v>521493</v>
      </c>
      <c r="X180">
        <v>525054</v>
      </c>
      <c r="Y180">
        <f t="shared" si="29"/>
        <v>-3561</v>
      </c>
      <c r="Z180">
        <v>100758</v>
      </c>
      <c r="AA180">
        <v>5282214.9999999925</v>
      </c>
      <c r="AB180">
        <v>362658</v>
      </c>
      <c r="AC180" s="128">
        <v>148196.43134950867</v>
      </c>
      <c r="AD180">
        <v>120227</v>
      </c>
      <c r="AE180" t="s">
        <v>413</v>
      </c>
      <c r="AF180" s="188">
        <f t="shared" si="30"/>
        <v>7.5147700927912744E-2</v>
      </c>
      <c r="AG180" s="188">
        <f t="shared" si="31"/>
        <v>0.63884078980925918</v>
      </c>
      <c r="AH180" s="188">
        <f t="shared" si="32"/>
        <v>0.13903925843683423</v>
      </c>
      <c r="AI180" s="188">
        <f t="shared" si="33"/>
        <v>2.4351237696383268E-2</v>
      </c>
      <c r="AJ180" s="188">
        <f t="shared" si="34"/>
        <v>0.63847963443421096</v>
      </c>
      <c r="AK180" s="188">
        <f t="shared" si="35"/>
        <v>0.23470760310288089</v>
      </c>
      <c r="AL180" s="188">
        <f t="shared" si="36"/>
        <v>-6.8284713313505651E-3</v>
      </c>
      <c r="AM180" s="188">
        <v>-1.7245437667477784E-2</v>
      </c>
      <c r="AN180" s="188">
        <v>3.5452258753767667E-3</v>
      </c>
      <c r="AO180">
        <f t="shared" si="37"/>
        <v>2</v>
      </c>
      <c r="AP180" s="188">
        <f t="shared" si="38"/>
        <v>4.830266178069504E-2</v>
      </c>
      <c r="AQ180" s="188">
        <f t="shared" si="39"/>
        <v>1.0129023783636584E-2</v>
      </c>
      <c r="AR180" s="188">
        <f t="shared" si="40"/>
        <v>0.69542256559531956</v>
      </c>
      <c r="AS180" s="128">
        <f t="shared" si="41"/>
        <v>1232.6385200454863</v>
      </c>
      <c r="AT180" s="188">
        <v>0.24049999999999999</v>
      </c>
      <c r="AU180" s="238">
        <v>4.8099999999999997E-2</v>
      </c>
      <c r="AV180">
        <v>6.5</v>
      </c>
      <c r="AY180" t="s">
        <v>268</v>
      </c>
      <c r="AZ180" s="129">
        <v>1751.2838101910158</v>
      </c>
      <c r="BA180" t="s">
        <v>467</v>
      </c>
      <c r="BC180">
        <v>1</v>
      </c>
    </row>
    <row r="181" spans="1:55" x14ac:dyDescent="0.25">
      <c r="A181" t="s">
        <v>266</v>
      </c>
      <c r="B181">
        <v>808</v>
      </c>
      <c r="C181">
        <v>14710</v>
      </c>
      <c r="D181">
        <v>57828</v>
      </c>
      <c r="E181">
        <v>975</v>
      </c>
      <c r="F181">
        <v>2635</v>
      </c>
      <c r="G181">
        <v>1823</v>
      </c>
      <c r="H181">
        <v>3834</v>
      </c>
      <c r="I181">
        <v>5819</v>
      </c>
      <c r="J181">
        <v>0</v>
      </c>
      <c r="K181">
        <v>19239</v>
      </c>
      <c r="L181">
        <v>511</v>
      </c>
      <c r="M181">
        <v>5423</v>
      </c>
      <c r="N181">
        <v>42234</v>
      </c>
      <c r="O181">
        <v>22000</v>
      </c>
      <c r="P181">
        <v>21181</v>
      </c>
      <c r="Q181">
        <v>178</v>
      </c>
      <c r="R181">
        <v>10000</v>
      </c>
      <c r="S181">
        <v>4905</v>
      </c>
      <c r="T181">
        <v>13107</v>
      </c>
      <c r="U181">
        <f t="shared" si="28"/>
        <v>4</v>
      </c>
      <c r="V181">
        <v>-5202</v>
      </c>
      <c r="W181">
        <v>113616</v>
      </c>
      <c r="X181">
        <v>118822</v>
      </c>
      <c r="Y181">
        <f t="shared" si="29"/>
        <v>-5206</v>
      </c>
      <c r="Z181">
        <v>587</v>
      </c>
      <c r="AA181">
        <v>6814605.9999999981</v>
      </c>
      <c r="AB181">
        <v>81184</v>
      </c>
      <c r="AC181" s="128">
        <v>74249.618980619998</v>
      </c>
      <c r="AD181">
        <v>45165</v>
      </c>
      <c r="AE181" t="s">
        <v>266</v>
      </c>
      <c r="AF181" s="188">
        <f t="shared" si="30"/>
        <v>8.3518166455428811E-2</v>
      </c>
      <c r="AG181" s="188">
        <f t="shared" si="31"/>
        <v>0.13999788762146176</v>
      </c>
      <c r="AH181" s="188">
        <f t="shared" si="32"/>
        <v>3.9237431347697506E-2</v>
      </c>
      <c r="AI181" s="188">
        <f t="shared" si="33"/>
        <v>5.1216377974933107E-2</v>
      </c>
      <c r="AJ181" s="188">
        <f t="shared" si="34"/>
        <v>0.10885491480073228</v>
      </c>
      <c r="AK181" s="188">
        <f t="shared" si="35"/>
        <v>0.37176180625852734</v>
      </c>
      <c r="AL181" s="188">
        <f t="shared" si="36"/>
        <v>-4.5821011125193635E-2</v>
      </c>
      <c r="AM181" s="188">
        <v>-5.2789067906468999E-2</v>
      </c>
      <c r="AN181" s="188">
        <v>-2.4246640252447348E-2</v>
      </c>
      <c r="AO181">
        <f t="shared" si="37"/>
        <v>3</v>
      </c>
      <c r="AP181" s="188">
        <f t="shared" si="38"/>
        <v>1.2916314603576961E-3</v>
      </c>
      <c r="AQ181" s="188">
        <f t="shared" si="39"/>
        <v>5.9979281087170808E-2</v>
      </c>
      <c r="AR181" s="188">
        <f t="shared" si="40"/>
        <v>0.71454724686663851</v>
      </c>
      <c r="AS181" s="128">
        <f t="shared" si="41"/>
        <v>1643.963666126868</v>
      </c>
      <c r="AT181" s="188">
        <v>0.33450000000000002</v>
      </c>
      <c r="AU181" s="238">
        <v>6.6900000000000001E-2</v>
      </c>
      <c r="AV181">
        <v>6.5</v>
      </c>
      <c r="AY181" t="s">
        <v>269</v>
      </c>
      <c r="AZ181" s="129">
        <v>1820.18643570016</v>
      </c>
      <c r="BA181" t="s">
        <v>467</v>
      </c>
      <c r="BC181">
        <v>1</v>
      </c>
    </row>
    <row r="182" spans="1:55" x14ac:dyDescent="0.25">
      <c r="A182" t="s">
        <v>414</v>
      </c>
      <c r="B182">
        <v>90</v>
      </c>
      <c r="C182">
        <v>795</v>
      </c>
      <c r="D182">
        <v>54215</v>
      </c>
      <c r="E182">
        <v>513</v>
      </c>
      <c r="F182">
        <v>61278</v>
      </c>
      <c r="G182">
        <v>1409</v>
      </c>
      <c r="H182">
        <v>6680</v>
      </c>
      <c r="I182">
        <v>0</v>
      </c>
      <c r="J182">
        <v>0</v>
      </c>
      <c r="K182">
        <v>6333</v>
      </c>
      <c r="L182">
        <v>687</v>
      </c>
      <c r="M182">
        <v>1542</v>
      </c>
      <c r="N182">
        <v>41989</v>
      </c>
      <c r="O182">
        <v>13165</v>
      </c>
      <c r="P182">
        <v>65887</v>
      </c>
      <c r="Q182">
        <v>57</v>
      </c>
      <c r="R182">
        <v>5000</v>
      </c>
      <c r="S182">
        <v>1614</v>
      </c>
      <c r="T182">
        <v>5831</v>
      </c>
      <c r="U182">
        <f t="shared" si="28"/>
        <v>-1</v>
      </c>
      <c r="V182">
        <v>-2787</v>
      </c>
      <c r="W182">
        <v>49170</v>
      </c>
      <c r="X182">
        <v>51956</v>
      </c>
      <c r="Y182">
        <f t="shared" si="29"/>
        <v>-2786</v>
      </c>
      <c r="Z182">
        <v>10144</v>
      </c>
      <c r="AA182">
        <v>101450</v>
      </c>
      <c r="AB182">
        <v>33221</v>
      </c>
      <c r="AC182" s="128">
        <v>31672.573339660172</v>
      </c>
      <c r="AD182">
        <v>18661</v>
      </c>
      <c r="AE182" t="s">
        <v>414</v>
      </c>
      <c r="AF182" s="188">
        <f t="shared" si="30"/>
        <v>8.7716087044946101E-2</v>
      </c>
      <c r="AG182" s="188">
        <f t="shared" si="31"/>
        <v>9.3552979459019733E-3</v>
      </c>
      <c r="AH182" s="188">
        <f t="shared" si="32"/>
        <v>1.2749033963799064</v>
      </c>
      <c r="AI182" s="188">
        <f t="shared" si="33"/>
        <v>0</v>
      </c>
      <c r="AJ182" s="188">
        <f t="shared" si="34"/>
        <v>0.16234370551149074</v>
      </c>
      <c r="AK182" s="188">
        <f t="shared" si="35"/>
        <v>0.31442306972286083</v>
      </c>
      <c r="AL182" s="188">
        <f t="shared" si="36"/>
        <v>-5.6660565385397599E-2</v>
      </c>
      <c r="AM182" s="188">
        <v>3.4658324132008346E-2</v>
      </c>
      <c r="AN182" s="188">
        <v>-2.2079477408818726E-2</v>
      </c>
      <c r="AO182">
        <f t="shared" si="37"/>
        <v>2</v>
      </c>
      <c r="AP182" s="188">
        <f t="shared" si="38"/>
        <v>5.1576164327842178E-2</v>
      </c>
      <c r="AQ182" s="188">
        <f t="shared" si="39"/>
        <v>2.0632499491559896E-3</v>
      </c>
      <c r="AR182" s="188">
        <f t="shared" si="40"/>
        <v>0.67563555013219445</v>
      </c>
      <c r="AS182" s="128">
        <f t="shared" si="41"/>
        <v>1697.2602400546687</v>
      </c>
      <c r="AT182" s="188">
        <v>0.35099999999999998</v>
      </c>
      <c r="AU182" s="238">
        <v>7.0199999999999999E-2</v>
      </c>
      <c r="AV182">
        <v>6</v>
      </c>
      <c r="AY182" t="s">
        <v>226</v>
      </c>
      <c r="AZ182" s="129">
        <v>1618.1384024198019</v>
      </c>
      <c r="BA182" t="s">
        <v>467</v>
      </c>
    </row>
    <row r="183" spans="1:55" x14ac:dyDescent="0.25">
      <c r="A183" t="s">
        <v>587</v>
      </c>
      <c r="B183">
        <v>417</v>
      </c>
      <c r="C183">
        <v>13172</v>
      </c>
      <c r="D183">
        <v>194505</v>
      </c>
      <c r="E183">
        <v>2418</v>
      </c>
      <c r="F183">
        <v>241</v>
      </c>
      <c r="G183">
        <v>30567</v>
      </c>
      <c r="H183">
        <v>195</v>
      </c>
      <c r="I183">
        <v>119363</v>
      </c>
      <c r="J183">
        <v>0</v>
      </c>
      <c r="K183">
        <v>27063</v>
      </c>
      <c r="L183">
        <v>9407</v>
      </c>
      <c r="M183">
        <v>14927</v>
      </c>
      <c r="N183">
        <v>132483</v>
      </c>
      <c r="O183">
        <v>67191</v>
      </c>
      <c r="P183">
        <v>150612</v>
      </c>
      <c r="Q183">
        <v>84</v>
      </c>
      <c r="R183">
        <v>20000</v>
      </c>
      <c r="S183">
        <v>11852</v>
      </c>
      <c r="T183">
        <v>30052</v>
      </c>
      <c r="U183">
        <f t="shared" si="28"/>
        <v>5</v>
      </c>
      <c r="V183">
        <v>1835</v>
      </c>
      <c r="W183">
        <v>238869</v>
      </c>
      <c r="X183">
        <v>237039</v>
      </c>
      <c r="Y183">
        <f t="shared" si="29"/>
        <v>1830</v>
      </c>
      <c r="Z183">
        <v>-2473</v>
      </c>
      <c r="AA183">
        <v>7480677.9999999963</v>
      </c>
      <c r="AB183">
        <v>146008</v>
      </c>
      <c r="AC183" s="128">
        <v>135165.26722145663</v>
      </c>
      <c r="AD183">
        <v>81647</v>
      </c>
      <c r="AE183" t="s">
        <v>587</v>
      </c>
      <c r="AF183" s="188">
        <f t="shared" si="30"/>
        <v>4.4346482800195923E-2</v>
      </c>
      <c r="AG183" s="188">
        <f t="shared" si="31"/>
        <v>0.5450686359468998</v>
      </c>
      <c r="AH183" s="188">
        <f t="shared" si="32"/>
        <v>0.12897445880377947</v>
      </c>
      <c r="AI183" s="188">
        <f t="shared" si="33"/>
        <v>0.49970067275368507</v>
      </c>
      <c r="AJ183" s="188">
        <f t="shared" si="34"/>
        <v>0.2107551000757738</v>
      </c>
      <c r="AK183" s="188">
        <f t="shared" si="35"/>
        <v>0.321346968278378</v>
      </c>
      <c r="AL183" s="188">
        <f t="shared" si="36"/>
        <v>7.661102947640757E-3</v>
      </c>
      <c r="AM183" s="188">
        <v>-5.0988034454534828E-2</v>
      </c>
      <c r="AN183" s="188">
        <v>2.7284092001853326E-2</v>
      </c>
      <c r="AO183">
        <f t="shared" si="37"/>
        <v>1</v>
      </c>
      <c r="AP183" s="188">
        <f t="shared" si="38"/>
        <v>-2.5882387417371028E-3</v>
      </c>
      <c r="AQ183" s="188">
        <f t="shared" si="39"/>
        <v>3.1317073374946082E-2</v>
      </c>
      <c r="AR183" s="188">
        <f t="shared" si="40"/>
        <v>0.61124716895034514</v>
      </c>
      <c r="AS183" s="128">
        <f t="shared" si="41"/>
        <v>1655.483572225025</v>
      </c>
      <c r="AT183" s="188">
        <v>0.186</v>
      </c>
      <c r="AU183" s="238">
        <v>3.7199999999999997E-2</v>
      </c>
      <c r="AV183">
        <v>9</v>
      </c>
      <c r="AY183" t="s">
        <v>198</v>
      </c>
      <c r="AZ183" s="129">
        <v>1629.1945795383367</v>
      </c>
      <c r="BA183" t="s">
        <v>467</v>
      </c>
    </row>
    <row r="184" spans="1:55" x14ac:dyDescent="0.25">
      <c r="A184" t="s">
        <v>112</v>
      </c>
      <c r="B184">
        <v>375</v>
      </c>
      <c r="C184">
        <v>12951</v>
      </c>
      <c r="D184">
        <v>87976</v>
      </c>
      <c r="E184">
        <v>108</v>
      </c>
      <c r="F184">
        <v>5255</v>
      </c>
      <c r="G184">
        <v>3386</v>
      </c>
      <c r="H184">
        <v>1170</v>
      </c>
      <c r="I184">
        <v>20373</v>
      </c>
      <c r="J184">
        <v>320</v>
      </c>
      <c r="K184">
        <v>7166</v>
      </c>
      <c r="L184">
        <v>22</v>
      </c>
      <c r="M184">
        <v>980</v>
      </c>
      <c r="N184">
        <v>11497</v>
      </c>
      <c r="O184">
        <v>6598</v>
      </c>
      <c r="P184">
        <v>97481</v>
      </c>
      <c r="Q184">
        <v>1</v>
      </c>
      <c r="R184">
        <v>10664</v>
      </c>
      <c r="S184">
        <v>3049</v>
      </c>
      <c r="T184">
        <v>10794</v>
      </c>
      <c r="U184">
        <f t="shared" si="28"/>
        <v>-1</v>
      </c>
      <c r="V184">
        <v>-612</v>
      </c>
      <c r="W184">
        <v>109665</v>
      </c>
      <c r="X184">
        <v>110276</v>
      </c>
      <c r="Y184">
        <f t="shared" si="29"/>
        <v>-611</v>
      </c>
      <c r="Z184">
        <v>2426</v>
      </c>
      <c r="AA184">
        <v>364753.99999999814</v>
      </c>
      <c r="AB184">
        <v>79497</v>
      </c>
      <c r="AC184" s="128">
        <v>61444.635044713941</v>
      </c>
      <c r="AD184">
        <v>34386</v>
      </c>
      <c r="AE184" t="s">
        <v>112</v>
      </c>
      <c r="AF184" s="188">
        <f t="shared" si="30"/>
        <v>9.704098846487029E-2</v>
      </c>
      <c r="AG184" s="188">
        <f t="shared" si="31"/>
        <v>0.94843386677609087</v>
      </c>
      <c r="AH184" s="188">
        <f t="shared" si="32"/>
        <v>7.8794510554871661E-2</v>
      </c>
      <c r="AI184" s="188">
        <f t="shared" si="33"/>
        <v>0.18869283727716227</v>
      </c>
      <c r="AJ184" s="188">
        <f t="shared" si="34"/>
        <v>0.82580422194866188</v>
      </c>
      <c r="AK184" s="188">
        <f t="shared" si="35"/>
        <v>8.2072185260272407E-2</v>
      </c>
      <c r="AL184" s="188">
        <f t="shared" si="36"/>
        <v>-5.5715132448821408E-3</v>
      </c>
      <c r="AM184" s="188">
        <v>-9.1407845687436467E-3</v>
      </c>
      <c r="AN184" s="188">
        <v>5.0071465637318716E-3</v>
      </c>
      <c r="AO184">
        <f t="shared" si="37"/>
        <v>2</v>
      </c>
      <c r="AP184" s="188">
        <f t="shared" si="38"/>
        <v>5.5304791866137787E-3</v>
      </c>
      <c r="AQ184" s="188">
        <f t="shared" si="39"/>
        <v>3.3260748643596239E-3</v>
      </c>
      <c r="AR184" s="188">
        <f t="shared" si="40"/>
        <v>0.72490767336889617</v>
      </c>
      <c r="AS184" s="128">
        <f t="shared" si="41"/>
        <v>1786.9084814957816</v>
      </c>
      <c r="AT184" s="188">
        <v>0.23400000000000001</v>
      </c>
      <c r="AU184" s="238">
        <v>4.6800000000000001E-2</v>
      </c>
      <c r="AV184">
        <v>6.5</v>
      </c>
      <c r="AY184" t="s">
        <v>312</v>
      </c>
      <c r="AZ184" s="129">
        <v>1786.8643226198599</v>
      </c>
      <c r="BA184" t="s">
        <v>467</v>
      </c>
      <c r="BC184">
        <v>1</v>
      </c>
    </row>
    <row r="185" spans="1:55" x14ac:dyDescent="0.25">
      <c r="A185" t="s">
        <v>334</v>
      </c>
      <c r="B185">
        <v>558</v>
      </c>
      <c r="C185">
        <v>16763</v>
      </c>
      <c r="D185">
        <v>134636</v>
      </c>
      <c r="E185">
        <v>0</v>
      </c>
      <c r="F185">
        <v>6237</v>
      </c>
      <c r="G185">
        <v>7717</v>
      </c>
      <c r="H185">
        <v>0</v>
      </c>
      <c r="I185">
        <v>71229</v>
      </c>
      <c r="J185">
        <v>65</v>
      </c>
      <c r="K185">
        <v>9775</v>
      </c>
      <c r="L185" s="207">
        <f>-5378+5378</f>
        <v>0</v>
      </c>
      <c r="M185">
        <v>6508</v>
      </c>
      <c r="N185">
        <v>40419</v>
      </c>
      <c r="O185">
        <v>25100</v>
      </c>
      <c r="P185">
        <v>162627</v>
      </c>
      <c r="Q185">
        <v>100</v>
      </c>
      <c r="R185">
        <f>5000+5378</f>
        <v>10378</v>
      </c>
      <c r="S185">
        <v>600</v>
      </c>
      <c r="T185">
        <v>14261</v>
      </c>
      <c r="U185">
        <f t="shared" si="28"/>
        <v>-48</v>
      </c>
      <c r="V185">
        <v>77</v>
      </c>
      <c r="W185">
        <v>177463</v>
      </c>
      <c r="X185">
        <v>177338</v>
      </c>
      <c r="Y185">
        <f t="shared" si="29"/>
        <v>125</v>
      </c>
      <c r="Z185">
        <v>-57727</v>
      </c>
      <c r="AA185">
        <v>1184492.9999999981</v>
      </c>
      <c r="AB185">
        <v>120069</v>
      </c>
      <c r="AC185" s="128">
        <v>97841.93736653564</v>
      </c>
      <c r="AD185">
        <v>48964</v>
      </c>
      <c r="AE185" t="s">
        <v>334</v>
      </c>
      <c r="AF185" s="188">
        <f t="shared" si="30"/>
        <v>5.8479795788417867E-2</v>
      </c>
      <c r="AG185" s="188">
        <f t="shared" si="31"/>
        <v>0.88879935535858179</v>
      </c>
      <c r="AH185" s="188">
        <f t="shared" si="32"/>
        <v>7.8630475084947291E-2</v>
      </c>
      <c r="AI185" s="188">
        <f t="shared" si="33"/>
        <v>0.40174008103097547</v>
      </c>
      <c r="AJ185" s="188">
        <f t="shared" si="34"/>
        <v>0.61701695564709258</v>
      </c>
      <c r="AK185" s="188">
        <f t="shared" si="35"/>
        <v>0.159453222084147</v>
      </c>
      <c r="AL185" s="188">
        <f t="shared" si="36"/>
        <v>7.0437217898942309E-4</v>
      </c>
      <c r="AM185" s="188">
        <v>-2.1699205271476594E-2</v>
      </c>
      <c r="AN185" s="188">
        <v>2.1774096747089185E-2</v>
      </c>
      <c r="AO185">
        <f t="shared" si="37"/>
        <v>1</v>
      </c>
      <c r="AP185" s="188">
        <f t="shared" si="38"/>
        <v>-8.1322585553044863E-2</v>
      </c>
      <c r="AQ185" s="188">
        <f t="shared" si="39"/>
        <v>6.67459132326174E-3</v>
      </c>
      <c r="AR185" s="188">
        <f t="shared" si="40"/>
        <v>0.6765861052726484</v>
      </c>
      <c r="AS185" s="128">
        <f t="shared" si="41"/>
        <v>1998.242328374635</v>
      </c>
      <c r="AT185" s="188">
        <v>0.19550000000000001</v>
      </c>
      <c r="AU185" s="238">
        <v>3.9100000000000003E-2</v>
      </c>
      <c r="AV185">
        <v>8.5</v>
      </c>
      <c r="AY185" t="s">
        <v>417</v>
      </c>
      <c r="AZ185" s="129">
        <v>1504.6923434809764</v>
      </c>
      <c r="BA185" t="s">
        <v>467</v>
      </c>
    </row>
    <row r="186" spans="1:55" x14ac:dyDescent="0.25">
      <c r="A186" t="s">
        <v>308</v>
      </c>
      <c r="B186">
        <v>0</v>
      </c>
      <c r="C186">
        <v>77886</v>
      </c>
      <c r="D186">
        <v>47082</v>
      </c>
      <c r="E186">
        <v>1497</v>
      </c>
      <c r="F186">
        <v>0</v>
      </c>
      <c r="G186">
        <v>19922</v>
      </c>
      <c r="H186">
        <v>0</v>
      </c>
      <c r="I186">
        <v>11962</v>
      </c>
      <c r="J186">
        <v>0</v>
      </c>
      <c r="K186">
        <v>5690</v>
      </c>
      <c r="L186">
        <v>8659</v>
      </c>
      <c r="M186">
        <v>2285</v>
      </c>
      <c r="N186">
        <v>64350</v>
      </c>
      <c r="O186">
        <v>14472</v>
      </c>
      <c r="P186">
        <v>66015</v>
      </c>
      <c r="Q186">
        <v>1</v>
      </c>
      <c r="R186">
        <v>5000</v>
      </c>
      <c r="S186">
        <v>2193</v>
      </c>
      <c r="T186">
        <v>22954</v>
      </c>
      <c r="U186">
        <f t="shared" si="28"/>
        <v>29</v>
      </c>
      <c r="V186">
        <v>-428</v>
      </c>
      <c r="W186">
        <v>49780</v>
      </c>
      <c r="X186">
        <v>50237</v>
      </c>
      <c r="Y186">
        <f t="shared" si="29"/>
        <v>-457</v>
      </c>
      <c r="Z186">
        <v>63977</v>
      </c>
      <c r="AA186">
        <v>2052726.9999999991</v>
      </c>
      <c r="AB186">
        <v>25468</v>
      </c>
      <c r="AC186" s="128">
        <v>29916.542315772283</v>
      </c>
      <c r="AD186">
        <v>19414</v>
      </c>
      <c r="AE186" t="s">
        <v>308</v>
      </c>
      <c r="AF186" s="188">
        <f t="shared" si="30"/>
        <v>-7.3503415026114904E-2</v>
      </c>
      <c r="AG186" s="188">
        <f t="shared" si="31"/>
        <v>1.1974085978304541</v>
      </c>
      <c r="AH186" s="188">
        <f t="shared" si="32"/>
        <v>0.40020088388911207</v>
      </c>
      <c r="AI186" s="188">
        <f t="shared" si="33"/>
        <v>0.2402973081558859</v>
      </c>
      <c r="AJ186" s="188">
        <f t="shared" si="34"/>
        <v>1.0772245881880274</v>
      </c>
      <c r="AK186" s="188">
        <f t="shared" si="35"/>
        <v>0.3677458067834386</v>
      </c>
      <c r="AL186" s="188">
        <f t="shared" si="36"/>
        <v>-9.1803937324226592E-3</v>
      </c>
      <c r="AM186" s="188">
        <v>-3.8167938931297711E-2</v>
      </c>
      <c r="AN186" s="188">
        <v>-6.7723066596346554E-2</v>
      </c>
      <c r="AO186">
        <f t="shared" si="37"/>
        <v>3</v>
      </c>
      <c r="AP186" s="188">
        <f t="shared" si="38"/>
        <v>0.32129871434310969</v>
      </c>
      <c r="AQ186" s="188">
        <f t="shared" si="39"/>
        <v>4.1235978304539955E-2</v>
      </c>
      <c r="AR186" s="188">
        <f t="shared" si="40"/>
        <v>0.51161108879067896</v>
      </c>
      <c r="AS186" s="128">
        <f t="shared" si="41"/>
        <v>1540.9777642820791</v>
      </c>
      <c r="AT186" s="188">
        <v>0.20500000000000002</v>
      </c>
      <c r="AU186" s="238">
        <v>4.1000000000000002E-2</v>
      </c>
      <c r="AV186">
        <v>5.5</v>
      </c>
      <c r="AY186" t="s">
        <v>313</v>
      </c>
      <c r="AZ186" s="129">
        <v>1366.6416071460005</v>
      </c>
      <c r="BA186" t="s">
        <v>467</v>
      </c>
      <c r="BB186">
        <v>1</v>
      </c>
    </row>
    <row r="187" spans="1:55" x14ac:dyDescent="0.25">
      <c r="A187" t="s">
        <v>113</v>
      </c>
      <c r="B187">
        <v>1282</v>
      </c>
      <c r="C187">
        <v>6870</v>
      </c>
      <c r="D187">
        <v>64164</v>
      </c>
      <c r="E187">
        <v>144</v>
      </c>
      <c r="F187">
        <v>1410</v>
      </c>
      <c r="G187">
        <v>7895</v>
      </c>
      <c r="H187">
        <v>0</v>
      </c>
      <c r="I187">
        <v>5423</v>
      </c>
      <c r="J187">
        <v>0</v>
      </c>
      <c r="K187">
        <v>28588</v>
      </c>
      <c r="L187">
        <v>664</v>
      </c>
      <c r="M187">
        <v>70</v>
      </c>
      <c r="N187">
        <v>40849</v>
      </c>
      <c r="O187">
        <v>4515</v>
      </c>
      <c r="P187">
        <v>58707</v>
      </c>
      <c r="Q187">
        <v>8</v>
      </c>
      <c r="R187">
        <v>0</v>
      </c>
      <c r="S187">
        <v>7757</v>
      </c>
      <c r="T187">
        <v>4676</v>
      </c>
      <c r="U187">
        <f t="shared" si="28"/>
        <v>2</v>
      </c>
      <c r="V187">
        <v>3895</v>
      </c>
      <c r="W187">
        <v>92399</v>
      </c>
      <c r="X187">
        <v>88506</v>
      </c>
      <c r="Y187">
        <f t="shared" si="29"/>
        <v>3893</v>
      </c>
      <c r="Z187">
        <v>7882</v>
      </c>
      <c r="AA187">
        <v>2840965</v>
      </c>
      <c r="AB187">
        <v>64203</v>
      </c>
      <c r="AC187" s="128">
        <v>47930.05844608193</v>
      </c>
      <c r="AD187">
        <v>33381</v>
      </c>
      <c r="AE187" t="s">
        <v>113</v>
      </c>
      <c r="AF187" s="188">
        <f t="shared" si="30"/>
        <v>-7.1862249591445795E-3</v>
      </c>
      <c r="AG187" s="188">
        <f t="shared" si="31"/>
        <v>0.3519626835788266</v>
      </c>
      <c r="AH187" s="188">
        <f t="shared" si="32"/>
        <v>0.10070455307957879</v>
      </c>
      <c r="AI187" s="188">
        <f t="shared" si="33"/>
        <v>5.869111137566424E-2</v>
      </c>
      <c r="AJ187" s="188">
        <f t="shared" si="34"/>
        <v>0.3229634519854111</v>
      </c>
      <c r="AK187" s="188">
        <f t="shared" si="35"/>
        <v>0.35059907992309802</v>
      </c>
      <c r="AL187" s="188">
        <f t="shared" si="36"/>
        <v>4.2132490611370255E-2</v>
      </c>
      <c r="AM187" s="188">
        <v>9.4877868622806356E-3</v>
      </c>
      <c r="AN187" s="188">
        <v>9.5326237852845913E-3</v>
      </c>
      <c r="AO187">
        <f t="shared" si="37"/>
        <v>0</v>
      </c>
      <c r="AP187" s="188">
        <f t="shared" si="38"/>
        <v>2.132598837649758E-2</v>
      </c>
      <c r="AQ187" s="188">
        <f t="shared" si="39"/>
        <v>3.0746707215446055E-2</v>
      </c>
      <c r="AR187" s="188">
        <f t="shared" si="40"/>
        <v>0.69484518230716785</v>
      </c>
      <c r="AS187" s="128">
        <f t="shared" si="41"/>
        <v>1435.8484900416981</v>
      </c>
      <c r="AT187" s="188">
        <v>0.19750000000000001</v>
      </c>
      <c r="AU187" s="238">
        <v>3.95E-2</v>
      </c>
      <c r="AV187">
        <v>9</v>
      </c>
      <c r="AY187" t="s">
        <v>199</v>
      </c>
      <c r="AZ187" s="129">
        <v>1298.8108178602542</v>
      </c>
      <c r="BA187" t="s">
        <v>467</v>
      </c>
      <c r="BB187">
        <v>1</v>
      </c>
    </row>
    <row r="188" spans="1:55" x14ac:dyDescent="0.25">
      <c r="A188" t="s">
        <v>602</v>
      </c>
      <c r="B188">
        <v>3433</v>
      </c>
      <c r="C188">
        <v>15447</v>
      </c>
      <c r="D188">
        <v>158055</v>
      </c>
      <c r="E188">
        <v>539</v>
      </c>
      <c r="F188">
        <v>2699</v>
      </c>
      <c r="G188">
        <v>4328</v>
      </c>
      <c r="H188">
        <v>0</v>
      </c>
      <c r="I188">
        <v>6306</v>
      </c>
      <c r="J188">
        <v>0</v>
      </c>
      <c r="K188">
        <v>22563</v>
      </c>
      <c r="L188">
        <v>10852</v>
      </c>
      <c r="M188">
        <v>14470</v>
      </c>
      <c r="N188">
        <v>24998</v>
      </c>
      <c r="O188">
        <v>20939</v>
      </c>
      <c r="P188">
        <v>143089</v>
      </c>
      <c r="Q188">
        <v>0</v>
      </c>
      <c r="R188">
        <v>698</v>
      </c>
      <c r="S188">
        <v>11305</v>
      </c>
      <c r="T188">
        <v>37665</v>
      </c>
      <c r="U188">
        <f t="shared" si="28"/>
        <v>21</v>
      </c>
      <c r="V188">
        <v>-2339</v>
      </c>
      <c r="W188">
        <v>222122</v>
      </c>
      <c r="X188">
        <v>224482</v>
      </c>
      <c r="Y188">
        <f t="shared" si="29"/>
        <v>-2360</v>
      </c>
      <c r="Z188">
        <v>25566</v>
      </c>
      <c r="AA188">
        <v>-5959952.0000000019</v>
      </c>
      <c r="AB188">
        <v>162328</v>
      </c>
      <c r="AC188" s="128">
        <v>125908.26976853644</v>
      </c>
      <c r="AD188">
        <v>60726</v>
      </c>
      <c r="AE188" t="s">
        <v>602</v>
      </c>
      <c r="AF188" s="188">
        <f t="shared" si="30"/>
        <v>-4.5713616841195376E-2</v>
      </c>
      <c r="AG188" s="188">
        <f t="shared" si="31"/>
        <v>0.62058238265457721</v>
      </c>
      <c r="AH188" s="188">
        <f t="shared" si="32"/>
        <v>3.1635767731246794E-2</v>
      </c>
      <c r="AI188" s="188">
        <f t="shared" si="33"/>
        <v>2.8389803801514481E-2</v>
      </c>
      <c r="AJ188" s="188">
        <f t="shared" si="34"/>
        <v>0.60450581212126664</v>
      </c>
      <c r="AK188" s="188">
        <f t="shared" si="35"/>
        <v>0.1047282294485827</v>
      </c>
      <c r="AL188" s="188">
        <f t="shared" si="36"/>
        <v>-1.0624791781093273E-2</v>
      </c>
      <c r="AM188" s="188">
        <v>-2.2574682259192215E-2</v>
      </c>
      <c r="AN188" s="188">
        <v>-2.9366260334854205E-2</v>
      </c>
      <c r="AO188">
        <f t="shared" si="37"/>
        <v>3</v>
      </c>
      <c r="AP188" s="188">
        <f t="shared" si="38"/>
        <v>2.8774727402058328E-2</v>
      </c>
      <c r="AQ188" s="188">
        <f t="shared" si="39"/>
        <v>-2.6831885180216286E-2</v>
      </c>
      <c r="AR188" s="188">
        <f t="shared" si="40"/>
        <v>0.73080559332258854</v>
      </c>
      <c r="AS188" s="128">
        <f t="shared" si="41"/>
        <v>2073.3832257770382</v>
      </c>
      <c r="AT188" s="188">
        <v>0.23249999999999998</v>
      </c>
      <c r="AU188" s="238">
        <v>4.65E-2</v>
      </c>
      <c r="AV188">
        <v>5.5</v>
      </c>
      <c r="AY188" t="s">
        <v>156</v>
      </c>
      <c r="AZ188" s="129">
        <v>1467.3575630847513</v>
      </c>
      <c r="BA188" t="s">
        <v>467</v>
      </c>
    </row>
    <row r="189" spans="1:55" x14ac:dyDescent="0.25">
      <c r="A189" t="s">
        <v>379</v>
      </c>
      <c r="B189">
        <v>325</v>
      </c>
      <c r="C189">
        <v>31321</v>
      </c>
      <c r="D189">
        <v>72079</v>
      </c>
      <c r="E189">
        <v>237</v>
      </c>
      <c r="F189">
        <v>0</v>
      </c>
      <c r="G189">
        <v>11477</v>
      </c>
      <c r="H189">
        <v>0</v>
      </c>
      <c r="I189">
        <v>22137</v>
      </c>
      <c r="J189">
        <v>27</v>
      </c>
      <c r="K189">
        <v>31896</v>
      </c>
      <c r="L189">
        <v>1196</v>
      </c>
      <c r="M189">
        <v>6140</v>
      </c>
      <c r="N189">
        <v>99541</v>
      </c>
      <c r="O189">
        <v>33826</v>
      </c>
      <c r="P189">
        <v>23650</v>
      </c>
      <c r="Q189">
        <v>48</v>
      </c>
      <c r="R189">
        <v>0</v>
      </c>
      <c r="S189">
        <v>9981</v>
      </c>
      <c r="T189">
        <v>9797</v>
      </c>
      <c r="U189">
        <f t="shared" ref="U189:U251" si="42">SUM(V189,-Y189)</f>
        <v>-51</v>
      </c>
      <c r="V189">
        <v>19064</v>
      </c>
      <c r="W189">
        <v>128440</v>
      </c>
      <c r="X189">
        <v>109325</v>
      </c>
      <c r="Y189">
        <f t="shared" ref="Y189:Y251" si="43">SUM(W189,-X189)</f>
        <v>19115</v>
      </c>
      <c r="Z189">
        <v>27233</v>
      </c>
      <c r="AA189">
        <v>465674</v>
      </c>
      <c r="AB189">
        <v>66434</v>
      </c>
      <c r="AC189" s="128">
        <v>43009.730561115903</v>
      </c>
      <c r="AD189">
        <v>37185</v>
      </c>
      <c r="AE189" t="s">
        <v>379</v>
      </c>
      <c r="AF189" s="188">
        <f t="shared" ref="AF189:AF251" si="44">SUM(R189,-L189)/W189</f>
        <v>-9.3117408906882599E-3</v>
      </c>
      <c r="AG189" s="188">
        <f t="shared" ref="AG189:AG251" si="45">SUM(P189,Q189,R189,S189,T189,-F189,-G189,-H189,-K189,-L189,-M189)/W189</f>
        <v>-5.6314232326378076E-2</v>
      </c>
      <c r="AH189" s="188">
        <f t="shared" ref="AH189:AH251" si="46">SUM(F189,G189)/W189</f>
        <v>8.9356898162566173E-2</v>
      </c>
      <c r="AI189" s="188">
        <f t="shared" ref="AI189:AI251" si="47">SUM(I189,J189)/W189</f>
        <v>0.17256306446589847</v>
      </c>
      <c r="AJ189" s="188">
        <f t="shared" ref="AJ189:AJ251" si="48">SUM(AG189,0.12*AH189,-0.7*AI189)</f>
        <v>-0.16638554967299907</v>
      </c>
      <c r="AK189" s="188">
        <f t="shared" ref="AK189:AK251" si="49">N189/SUM(N189,O189,P189,Q189,R189,S189,T189)</f>
        <v>0.56287780686823907</v>
      </c>
      <c r="AL189" s="188">
        <f t="shared" ref="AL189:AL251" si="50">Y189/W189</f>
        <v>0.14882435378386796</v>
      </c>
      <c r="AM189" s="188">
        <v>5.568052405199108E-2</v>
      </c>
      <c r="AN189" s="188">
        <v>7.2093771546770852E-2</v>
      </c>
      <c r="AO189">
        <f t="shared" ref="AO189:AO251" si="51">COUNTIF(AL189:AN189,"&lt;0")</f>
        <v>0</v>
      </c>
      <c r="AP189" s="188">
        <f t="shared" ref="AP189:AP251" si="52">Z189/(4*W189)</f>
        <v>5.3007240734973531E-2</v>
      </c>
      <c r="AQ189" s="188">
        <f t="shared" ref="AQ189:AQ251" si="53">AA189/(W189*1000)</f>
        <v>3.6256150731859235E-3</v>
      </c>
      <c r="AR189" s="188">
        <f t="shared" ref="AR189:AR251" si="54">AB189/W189</f>
        <v>0.51723762067891621</v>
      </c>
      <c r="AS189" s="128">
        <f t="shared" ref="AS189:AS251" si="55">AC189*1000/AD189</f>
        <v>1156.6419405974427</v>
      </c>
      <c r="AT189" s="188">
        <v>3.5000000000000003E-2</v>
      </c>
      <c r="AU189" s="238">
        <v>7.0000000000000001E-3</v>
      </c>
      <c r="AV189">
        <v>8</v>
      </c>
      <c r="AY189" t="s">
        <v>336</v>
      </c>
      <c r="AZ189" s="129">
        <v>1736.9872626136885</v>
      </c>
      <c r="BA189" t="s">
        <v>467</v>
      </c>
    </row>
    <row r="190" spans="1:55" x14ac:dyDescent="0.25">
      <c r="A190" t="s">
        <v>603</v>
      </c>
      <c r="B190">
        <v>3564</v>
      </c>
      <c r="C190">
        <v>8309</v>
      </c>
      <c r="D190">
        <v>121546</v>
      </c>
      <c r="E190">
        <v>2319</v>
      </c>
      <c r="F190">
        <v>3731</v>
      </c>
      <c r="G190">
        <v>4856</v>
      </c>
      <c r="H190">
        <v>17629</v>
      </c>
      <c r="I190">
        <v>8311</v>
      </c>
      <c r="J190">
        <v>0</v>
      </c>
      <c r="K190">
        <v>30158</v>
      </c>
      <c r="L190">
        <v>118</v>
      </c>
      <c r="M190">
        <v>9719</v>
      </c>
      <c r="N190">
        <v>137451</v>
      </c>
      <c r="O190">
        <v>15790</v>
      </c>
      <c r="P190">
        <v>36175</v>
      </c>
      <c r="Q190">
        <v>0</v>
      </c>
      <c r="R190">
        <v>0</v>
      </c>
      <c r="S190">
        <v>7146</v>
      </c>
      <c r="T190">
        <v>13700</v>
      </c>
      <c r="U190">
        <f t="shared" si="42"/>
        <v>2</v>
      </c>
      <c r="V190">
        <v>39055</v>
      </c>
      <c r="W190">
        <v>141152</v>
      </c>
      <c r="X190">
        <v>102099</v>
      </c>
      <c r="Y190">
        <f t="shared" si="43"/>
        <v>39053</v>
      </c>
      <c r="Z190">
        <v>46337</v>
      </c>
      <c r="AA190">
        <v>4690635.9999999981</v>
      </c>
      <c r="AB190">
        <v>63773</v>
      </c>
      <c r="AC190" s="128">
        <v>62847.913203141536</v>
      </c>
      <c r="AD190">
        <v>44130</v>
      </c>
      <c r="AE190" t="s">
        <v>603</v>
      </c>
      <c r="AF190" s="188">
        <f t="shared" si="44"/>
        <v>-8.359782362276128E-4</v>
      </c>
      <c r="AG190" s="188">
        <f t="shared" si="45"/>
        <v>-6.5107118567218319E-2</v>
      </c>
      <c r="AH190" s="188">
        <f t="shared" si="46"/>
        <v>6.0835128088868734E-2</v>
      </c>
      <c r="AI190" s="188">
        <f t="shared" si="47"/>
        <v>5.8879789163455001E-2</v>
      </c>
      <c r="AJ190" s="188">
        <f t="shared" si="48"/>
        <v>-9.9022755610972568E-2</v>
      </c>
      <c r="AK190" s="188">
        <f t="shared" si="49"/>
        <v>0.65371298665474509</v>
      </c>
      <c r="AL190" s="188">
        <f t="shared" si="50"/>
        <v>0.27667337338472003</v>
      </c>
      <c r="AM190" s="188">
        <v>1.0120374948288213E-2</v>
      </c>
      <c r="AN190" s="188">
        <v>4.4682077102560953E-3</v>
      </c>
      <c r="AO190">
        <f t="shared" si="51"/>
        <v>0</v>
      </c>
      <c r="AP190" s="188">
        <f t="shared" si="52"/>
        <v>8.2069329517116305E-2</v>
      </c>
      <c r="AQ190" s="188">
        <f t="shared" si="53"/>
        <v>3.3231098390387653E-2</v>
      </c>
      <c r="AR190" s="188">
        <f t="shared" si="54"/>
        <v>0.45180372931308094</v>
      </c>
      <c r="AS190" s="128">
        <f t="shared" si="55"/>
        <v>1424.1539361690807</v>
      </c>
      <c r="AT190" s="188">
        <v>0.26150000000000001</v>
      </c>
      <c r="AU190" s="238">
        <v>5.2299999999999999E-2</v>
      </c>
      <c r="AV190">
        <v>8</v>
      </c>
      <c r="AY190" t="s">
        <v>227</v>
      </c>
      <c r="AZ190" s="129">
        <v>1319.4744420446364</v>
      </c>
      <c r="BA190" t="s">
        <v>467</v>
      </c>
      <c r="BB190">
        <v>1</v>
      </c>
    </row>
    <row r="191" spans="1:55" x14ac:dyDescent="0.25">
      <c r="A191" t="s">
        <v>190</v>
      </c>
      <c r="B191">
        <v>344</v>
      </c>
      <c r="C191">
        <v>7562</v>
      </c>
      <c r="D191">
        <v>88358</v>
      </c>
      <c r="E191">
        <v>97</v>
      </c>
      <c r="F191">
        <v>2156</v>
      </c>
      <c r="G191">
        <v>5486</v>
      </c>
      <c r="H191">
        <v>0</v>
      </c>
      <c r="I191">
        <v>4226</v>
      </c>
      <c r="J191">
        <v>11</v>
      </c>
      <c r="K191">
        <v>15133</v>
      </c>
      <c r="L191">
        <v>809</v>
      </c>
      <c r="M191">
        <v>2304</v>
      </c>
      <c r="N191">
        <v>34600</v>
      </c>
      <c r="O191">
        <v>7887</v>
      </c>
      <c r="P191">
        <v>61937</v>
      </c>
      <c r="Q191">
        <v>6</v>
      </c>
      <c r="R191">
        <v>0</v>
      </c>
      <c r="S191">
        <v>3476</v>
      </c>
      <c r="T191">
        <v>18581</v>
      </c>
      <c r="U191">
        <f t="shared" si="42"/>
        <v>-5</v>
      </c>
      <c r="V191">
        <v>3026</v>
      </c>
      <c r="W191">
        <v>100755</v>
      </c>
      <c r="X191">
        <v>97724</v>
      </c>
      <c r="Y191">
        <f t="shared" si="43"/>
        <v>3031</v>
      </c>
      <c r="Z191">
        <v>-4360</v>
      </c>
      <c r="AA191">
        <v>1522686</v>
      </c>
      <c r="AB191">
        <v>67250</v>
      </c>
      <c r="AC191" s="128">
        <v>53169.353629538986</v>
      </c>
      <c r="AD191">
        <v>36031</v>
      </c>
      <c r="AE191" t="s">
        <v>190</v>
      </c>
      <c r="AF191" s="188">
        <f t="shared" si="44"/>
        <v>-8.0293781946305393E-3</v>
      </c>
      <c r="AG191" s="188">
        <f t="shared" si="45"/>
        <v>0.57676542107091455</v>
      </c>
      <c r="AH191" s="188">
        <f t="shared" si="46"/>
        <v>7.5847352488710232E-2</v>
      </c>
      <c r="AI191" s="188">
        <f t="shared" si="47"/>
        <v>4.2052503597836334E-2</v>
      </c>
      <c r="AJ191" s="188">
        <f t="shared" si="48"/>
        <v>0.5564303508510744</v>
      </c>
      <c r="AK191" s="188">
        <f t="shared" si="49"/>
        <v>0.27354589799742268</v>
      </c>
      <c r="AL191" s="188">
        <f t="shared" si="50"/>
        <v>3.0082874299042231E-2</v>
      </c>
      <c r="AM191" s="188">
        <v>-1.1609765051395007E-2</v>
      </c>
      <c r="AN191" s="188">
        <v>1.2488264960810427E-2</v>
      </c>
      <c r="AO191">
        <f t="shared" si="51"/>
        <v>1</v>
      </c>
      <c r="AP191" s="188">
        <f t="shared" si="52"/>
        <v>-1.0818321671381073E-2</v>
      </c>
      <c r="AQ191" s="188">
        <f t="shared" si="53"/>
        <v>1.5112758672026202E-2</v>
      </c>
      <c r="AR191" s="188">
        <f t="shared" si="54"/>
        <v>0.66746067192695147</v>
      </c>
      <c r="AS191" s="128">
        <f t="shared" si="55"/>
        <v>1475.6557861158165</v>
      </c>
      <c r="AT191" s="188">
        <v>0.23050000000000001</v>
      </c>
      <c r="AU191" s="238">
        <v>4.6100000000000002E-2</v>
      </c>
      <c r="AV191">
        <v>7.5</v>
      </c>
      <c r="AY191" t="s">
        <v>384</v>
      </c>
      <c r="AZ191" s="129">
        <v>1569.1196613361783</v>
      </c>
      <c r="BA191" t="s">
        <v>467</v>
      </c>
    </row>
    <row r="192" spans="1:55" x14ac:dyDescent="0.25">
      <c r="A192" t="s">
        <v>438</v>
      </c>
      <c r="B192">
        <v>0</v>
      </c>
      <c r="C192">
        <v>757</v>
      </c>
      <c r="D192">
        <v>24076</v>
      </c>
      <c r="E192">
        <v>213</v>
      </c>
      <c r="F192">
        <v>0</v>
      </c>
      <c r="G192">
        <v>178</v>
      </c>
      <c r="H192">
        <v>0</v>
      </c>
      <c r="I192">
        <v>1409</v>
      </c>
      <c r="J192">
        <v>2</v>
      </c>
      <c r="K192">
        <v>2880</v>
      </c>
      <c r="L192">
        <v>127</v>
      </c>
      <c r="M192">
        <v>2808</v>
      </c>
      <c r="N192">
        <v>3504</v>
      </c>
      <c r="O192">
        <v>7246</v>
      </c>
      <c r="P192">
        <v>13390</v>
      </c>
      <c r="Q192">
        <v>14</v>
      </c>
      <c r="R192">
        <v>2000</v>
      </c>
      <c r="S192">
        <v>3111</v>
      </c>
      <c r="T192">
        <v>3183</v>
      </c>
      <c r="U192">
        <f t="shared" si="42"/>
        <v>2</v>
      </c>
      <c r="V192">
        <v>-2264</v>
      </c>
      <c r="W192">
        <v>27755</v>
      </c>
      <c r="X192">
        <v>30021</v>
      </c>
      <c r="Y192">
        <f t="shared" si="43"/>
        <v>-2266</v>
      </c>
      <c r="Z192">
        <v>2449</v>
      </c>
      <c r="AA192">
        <v>514691</v>
      </c>
      <c r="AB192">
        <v>19337</v>
      </c>
      <c r="AC192" s="128">
        <v>21176.57425938137</v>
      </c>
      <c r="AD192">
        <v>13896</v>
      </c>
      <c r="AE192" t="s">
        <v>438</v>
      </c>
      <c r="AF192" s="188">
        <f t="shared" si="44"/>
        <v>6.7483336335795355E-2</v>
      </c>
      <c r="AG192" s="188">
        <f t="shared" si="45"/>
        <v>0.56584399207350022</v>
      </c>
      <c r="AH192" s="188">
        <f t="shared" si="46"/>
        <v>6.4132588722752657E-3</v>
      </c>
      <c r="AI192" s="188">
        <f t="shared" si="47"/>
        <v>5.0837686903260675E-2</v>
      </c>
      <c r="AJ192" s="188">
        <f t="shared" si="48"/>
        <v>0.53102720230589073</v>
      </c>
      <c r="AK192" s="188">
        <f t="shared" si="49"/>
        <v>0.10798816568047337</v>
      </c>
      <c r="AL192" s="188">
        <f t="shared" si="50"/>
        <v>-8.1642947216717707E-2</v>
      </c>
      <c r="AM192" s="188">
        <v>-8.21196040796357E-2</v>
      </c>
      <c r="AN192" s="188">
        <v>7.741658005089423E-3</v>
      </c>
      <c r="AO192">
        <f t="shared" si="51"/>
        <v>2</v>
      </c>
      <c r="AP192" s="188">
        <f t="shared" si="52"/>
        <v>2.2059088452531076E-2</v>
      </c>
      <c r="AQ192" s="188">
        <f t="shared" si="53"/>
        <v>1.8544082147360835E-2</v>
      </c>
      <c r="AR192" s="188">
        <f t="shared" si="54"/>
        <v>0.69670329670329667</v>
      </c>
      <c r="AS192" s="128">
        <f t="shared" si="55"/>
        <v>1523.9330929318774</v>
      </c>
      <c r="AT192" s="188">
        <v>0.37949999999999995</v>
      </c>
      <c r="AU192" s="238">
        <v>7.5899999999999995E-2</v>
      </c>
      <c r="AV192">
        <v>7</v>
      </c>
      <c r="AY192" t="s">
        <v>228</v>
      </c>
      <c r="AZ192" s="129">
        <v>1550.0088976584807</v>
      </c>
      <c r="BA192" t="s">
        <v>467</v>
      </c>
    </row>
    <row r="193" spans="1:55" x14ac:dyDescent="0.25">
      <c r="A193" t="s">
        <v>415</v>
      </c>
      <c r="B193">
        <v>93</v>
      </c>
      <c r="C193">
        <v>480</v>
      </c>
      <c r="D193">
        <v>9459</v>
      </c>
      <c r="E193">
        <v>439</v>
      </c>
      <c r="F193">
        <v>428</v>
      </c>
      <c r="G193">
        <v>54</v>
      </c>
      <c r="H193">
        <v>0</v>
      </c>
      <c r="I193">
        <v>0</v>
      </c>
      <c r="J193">
        <v>0</v>
      </c>
      <c r="K193">
        <v>2375</v>
      </c>
      <c r="L193">
        <v>5139</v>
      </c>
      <c r="M193">
        <v>1341</v>
      </c>
      <c r="N193">
        <v>6305</v>
      </c>
      <c r="O193">
        <v>6962</v>
      </c>
      <c r="P193">
        <v>726</v>
      </c>
      <c r="Q193">
        <v>0</v>
      </c>
      <c r="R193">
        <v>0</v>
      </c>
      <c r="S193">
        <v>1483</v>
      </c>
      <c r="T193">
        <v>4332</v>
      </c>
      <c r="U193">
        <f t="shared" si="42"/>
        <v>-1</v>
      </c>
      <c r="V193">
        <v>-1228</v>
      </c>
      <c r="W193">
        <v>17328</v>
      </c>
      <c r="X193">
        <v>18555</v>
      </c>
      <c r="Y193">
        <f t="shared" si="43"/>
        <v>-1227</v>
      </c>
      <c r="Z193">
        <v>2848</v>
      </c>
      <c r="AA193">
        <v>450544</v>
      </c>
      <c r="AB193">
        <v>12430</v>
      </c>
      <c r="AC193" s="128">
        <v>12886.989179018348</v>
      </c>
      <c r="AD193">
        <v>7909</v>
      </c>
      <c r="AE193" t="s">
        <v>415</v>
      </c>
      <c r="AF193" s="188">
        <f t="shared" si="44"/>
        <v>-0.29657202216066481</v>
      </c>
      <c r="AG193" s="188">
        <f t="shared" si="45"/>
        <v>-0.16135734072022162</v>
      </c>
      <c r="AH193" s="188">
        <f t="shared" si="46"/>
        <v>2.7816251154201294E-2</v>
      </c>
      <c r="AI193" s="188">
        <f t="shared" si="47"/>
        <v>0</v>
      </c>
      <c r="AJ193" s="188">
        <f t="shared" si="48"/>
        <v>-0.15801939058171746</v>
      </c>
      <c r="AK193" s="188">
        <f t="shared" si="49"/>
        <v>0.3183057350565428</v>
      </c>
      <c r="AL193" s="188">
        <f t="shared" si="50"/>
        <v>-7.0810249307479228E-2</v>
      </c>
      <c r="AM193" s="188">
        <v>-0.12012787409320054</v>
      </c>
      <c r="AN193" s="188">
        <v>-5.9247253736718894E-2</v>
      </c>
      <c r="AO193">
        <f t="shared" si="51"/>
        <v>3</v>
      </c>
      <c r="AP193" s="188">
        <f t="shared" si="52"/>
        <v>4.1089566020313946E-2</v>
      </c>
      <c r="AQ193" s="188">
        <f t="shared" si="53"/>
        <v>2.6000923361034163E-2</v>
      </c>
      <c r="AR193" s="188">
        <f t="shared" si="54"/>
        <v>0.71733610341643583</v>
      </c>
      <c r="AS193" s="128">
        <f t="shared" si="55"/>
        <v>1629.4081652570931</v>
      </c>
      <c r="AT193" s="188">
        <v>0.35399999999999998</v>
      </c>
      <c r="AU193" s="238">
        <v>7.0800000000000002E-2</v>
      </c>
      <c r="AV193">
        <v>6.5</v>
      </c>
      <c r="AY193" t="s">
        <v>157</v>
      </c>
      <c r="AZ193" s="129">
        <v>1525.9850140303388</v>
      </c>
      <c r="BA193" t="s">
        <v>467</v>
      </c>
    </row>
    <row r="194" spans="1:55" x14ac:dyDescent="0.25">
      <c r="A194" t="s">
        <v>191</v>
      </c>
      <c r="B194">
        <v>214</v>
      </c>
      <c r="C194">
        <v>3787</v>
      </c>
      <c r="D194">
        <v>45181</v>
      </c>
      <c r="E194">
        <v>87</v>
      </c>
      <c r="F194">
        <v>0</v>
      </c>
      <c r="G194">
        <v>785</v>
      </c>
      <c r="H194">
        <v>0</v>
      </c>
      <c r="I194">
        <v>3401</v>
      </c>
      <c r="J194">
        <v>0</v>
      </c>
      <c r="K194">
        <v>10771</v>
      </c>
      <c r="L194">
        <f>488+19</f>
        <v>507</v>
      </c>
      <c r="M194">
        <v>1133</v>
      </c>
      <c r="N194">
        <v>27732</v>
      </c>
      <c r="O194">
        <v>4861</v>
      </c>
      <c r="P194">
        <v>20275</v>
      </c>
      <c r="Q194">
        <v>4</v>
      </c>
      <c r="R194" s="207">
        <f>-19+19</f>
        <v>0</v>
      </c>
      <c r="S194">
        <v>4320</v>
      </c>
      <c r="T194">
        <v>8673</v>
      </c>
      <c r="U194">
        <f t="shared" si="42"/>
        <v>-3</v>
      </c>
      <c r="V194">
        <v>141</v>
      </c>
      <c r="W194">
        <v>59581</v>
      </c>
      <c r="X194">
        <v>59437</v>
      </c>
      <c r="Y194">
        <f t="shared" si="43"/>
        <v>144</v>
      </c>
      <c r="Z194">
        <v>3082</v>
      </c>
      <c r="AA194">
        <v>938950</v>
      </c>
      <c r="AB194">
        <v>39610</v>
      </c>
      <c r="AC194" s="128">
        <v>39032.446504036037</v>
      </c>
      <c r="AD194">
        <v>24648</v>
      </c>
      <c r="AE194" t="s">
        <v>191</v>
      </c>
      <c r="AF194" s="188">
        <f t="shared" si="44"/>
        <v>-8.5094241452812139E-3</v>
      </c>
      <c r="AG194" s="188">
        <f t="shared" si="45"/>
        <v>0.33695305550427151</v>
      </c>
      <c r="AH194" s="188">
        <f t="shared" si="46"/>
        <v>1.3175341132240144E-2</v>
      </c>
      <c r="AI194" s="188">
        <f t="shared" si="47"/>
        <v>5.7081955657004753E-2</v>
      </c>
      <c r="AJ194" s="188">
        <f t="shared" si="48"/>
        <v>0.298576727480237</v>
      </c>
      <c r="AK194" s="188">
        <f t="shared" si="49"/>
        <v>0.42104304258711001</v>
      </c>
      <c r="AL194" s="188">
        <f t="shared" si="50"/>
        <v>2.4168778637485102E-3</v>
      </c>
      <c r="AM194" s="188">
        <v>-2.271518246621981E-2</v>
      </c>
      <c r="AN194" s="188">
        <v>4.9914346175808672E-2</v>
      </c>
      <c r="AO194">
        <f t="shared" si="51"/>
        <v>1</v>
      </c>
      <c r="AP194" s="188">
        <f t="shared" si="52"/>
        <v>1.2931974958459911E-2</v>
      </c>
      <c r="AQ194" s="188">
        <f t="shared" si="53"/>
        <v>1.5759218542824055E-2</v>
      </c>
      <c r="AR194" s="188">
        <f t="shared" si="54"/>
        <v>0.66480925127137847</v>
      </c>
      <c r="AS194" s="128">
        <f t="shared" si="55"/>
        <v>1583.5948760157432</v>
      </c>
      <c r="AT194" s="188">
        <v>0.28250000000000003</v>
      </c>
      <c r="AU194" s="238">
        <v>5.6500000000000002E-2</v>
      </c>
      <c r="AV194">
        <v>9</v>
      </c>
      <c r="AY194" t="s">
        <v>202</v>
      </c>
      <c r="AZ194" s="129">
        <v>2001.8683661416326</v>
      </c>
      <c r="BA194" t="s">
        <v>467</v>
      </c>
      <c r="BC194">
        <v>1</v>
      </c>
    </row>
    <row r="195" spans="1:55" x14ac:dyDescent="0.25">
      <c r="A195" t="s">
        <v>416</v>
      </c>
      <c r="B195">
        <v>0</v>
      </c>
      <c r="C195">
        <v>1407</v>
      </c>
      <c r="D195">
        <v>15892</v>
      </c>
      <c r="E195">
        <v>205</v>
      </c>
      <c r="F195">
        <v>595</v>
      </c>
      <c r="G195">
        <v>3</v>
      </c>
      <c r="H195">
        <v>17</v>
      </c>
      <c r="I195">
        <v>1331</v>
      </c>
      <c r="J195">
        <v>2</v>
      </c>
      <c r="K195">
        <v>5273</v>
      </c>
      <c r="L195">
        <v>32679</v>
      </c>
      <c r="M195" s="207">
        <f>-5+5</f>
        <v>0</v>
      </c>
      <c r="N195">
        <v>28912</v>
      </c>
      <c r="O195">
        <v>21153</v>
      </c>
      <c r="P195">
        <v>0</v>
      </c>
      <c r="Q195">
        <v>49</v>
      </c>
      <c r="R195">
        <v>0</v>
      </c>
      <c r="S195">
        <v>5118</v>
      </c>
      <c r="T195">
        <f>2166+5</f>
        <v>2171</v>
      </c>
      <c r="U195">
        <f t="shared" si="42"/>
        <v>-5</v>
      </c>
      <c r="V195">
        <v>731</v>
      </c>
      <c r="W195">
        <v>48321</v>
      </c>
      <c r="X195">
        <v>47585</v>
      </c>
      <c r="Y195">
        <f t="shared" si="43"/>
        <v>736</v>
      </c>
      <c r="Z195">
        <v>-1980</v>
      </c>
      <c r="AA195">
        <v>945434.99999999907</v>
      </c>
      <c r="AB195">
        <v>31839</v>
      </c>
      <c r="AC195" s="128">
        <v>26499.037831777794</v>
      </c>
      <c r="AD195">
        <v>17171</v>
      </c>
      <c r="AE195" t="s">
        <v>416</v>
      </c>
      <c r="AF195" s="188">
        <f t="shared" si="44"/>
        <v>-0.67628981188303228</v>
      </c>
      <c r="AG195" s="188">
        <f t="shared" si="45"/>
        <v>-0.64628215475673101</v>
      </c>
      <c r="AH195" s="188">
        <f t="shared" si="46"/>
        <v>1.2375571697605597E-2</v>
      </c>
      <c r="AI195" s="188">
        <f t="shared" si="47"/>
        <v>2.7586349620247926E-2</v>
      </c>
      <c r="AJ195" s="188">
        <f t="shared" si="48"/>
        <v>-0.66410753088719188</v>
      </c>
      <c r="AK195" s="188">
        <f t="shared" si="49"/>
        <v>0.50366705572879467</v>
      </c>
      <c r="AL195" s="188">
        <f t="shared" si="50"/>
        <v>1.5231472858591503E-2</v>
      </c>
      <c r="AM195" s="188">
        <v>-1.6229568750577152E-2</v>
      </c>
      <c r="AN195" s="188">
        <v>-1.7467027820671848E-3</v>
      </c>
      <c r="AO195">
        <f t="shared" si="51"/>
        <v>2</v>
      </c>
      <c r="AP195" s="188">
        <f t="shared" si="52"/>
        <v>-1.0243993294840752E-2</v>
      </c>
      <c r="AQ195" s="188">
        <f t="shared" si="53"/>
        <v>1.9565716769106581E-2</v>
      </c>
      <c r="AR195" s="188">
        <f t="shared" si="54"/>
        <v>0.65890606568572674</v>
      </c>
      <c r="AS195" s="128">
        <f t="shared" si="55"/>
        <v>1543.2437150881017</v>
      </c>
      <c r="AT195" s="188">
        <v>0.29649999999999999</v>
      </c>
      <c r="AU195" s="238">
        <v>5.9299999999999999E-2</v>
      </c>
      <c r="AV195">
        <v>7.5</v>
      </c>
      <c r="AY195" t="s">
        <v>203</v>
      </c>
      <c r="AZ195" s="129">
        <v>1815.2303302699959</v>
      </c>
      <c r="BA195" t="s">
        <v>467</v>
      </c>
      <c r="BC195">
        <v>1</v>
      </c>
    </row>
    <row r="196" spans="1:55" x14ac:dyDescent="0.25">
      <c r="A196" t="s">
        <v>225</v>
      </c>
      <c r="B196">
        <v>185</v>
      </c>
      <c r="C196">
        <v>30846</v>
      </c>
      <c r="D196">
        <v>203599</v>
      </c>
      <c r="E196">
        <v>11549</v>
      </c>
      <c r="F196">
        <v>5627</v>
      </c>
      <c r="G196">
        <v>1964</v>
      </c>
      <c r="H196">
        <v>-639</v>
      </c>
      <c r="I196">
        <v>-16630</v>
      </c>
      <c r="J196">
        <v>0</v>
      </c>
      <c r="K196">
        <v>14462</v>
      </c>
      <c r="L196">
        <v>7082</v>
      </c>
      <c r="M196">
        <v>1309</v>
      </c>
      <c r="N196">
        <v>86062</v>
      </c>
      <c r="O196">
        <v>15083</v>
      </c>
      <c r="P196">
        <v>131500</v>
      </c>
      <c r="Q196">
        <v>210</v>
      </c>
      <c r="R196">
        <v>0</v>
      </c>
      <c r="S196">
        <v>18453</v>
      </c>
      <c r="T196">
        <v>8046</v>
      </c>
      <c r="U196">
        <f t="shared" si="42"/>
        <v>38</v>
      </c>
      <c r="V196">
        <v>2884</v>
      </c>
      <c r="W196">
        <v>220812</v>
      </c>
      <c r="X196">
        <v>217966</v>
      </c>
      <c r="Y196">
        <f t="shared" si="43"/>
        <v>2846</v>
      </c>
      <c r="Z196">
        <v>-2157</v>
      </c>
      <c r="AA196">
        <v>1871668.9999999963</v>
      </c>
      <c r="AB196">
        <v>127314</v>
      </c>
      <c r="AC196" s="128">
        <v>112508.22397133353</v>
      </c>
      <c r="AD196">
        <v>63866</v>
      </c>
      <c r="AE196" t="s">
        <v>225</v>
      </c>
      <c r="AF196" s="188">
        <f t="shared" si="44"/>
        <v>-3.2072532289911783E-2</v>
      </c>
      <c r="AG196" s="188">
        <f t="shared" si="45"/>
        <v>0.58150825136315054</v>
      </c>
      <c r="AH196" s="188">
        <f t="shared" si="46"/>
        <v>3.4377660634385812E-2</v>
      </c>
      <c r="AI196" s="188">
        <f t="shared" si="47"/>
        <v>-7.5312935891165333E-2</v>
      </c>
      <c r="AJ196" s="188">
        <f t="shared" si="48"/>
        <v>0.63835262576309248</v>
      </c>
      <c r="AK196" s="188">
        <f t="shared" si="49"/>
        <v>0.33183216761646245</v>
      </c>
      <c r="AL196" s="188">
        <f t="shared" si="50"/>
        <v>1.2888792275782114E-2</v>
      </c>
      <c r="AM196" s="188">
        <v>-6.5879940668353551E-2</v>
      </c>
      <c r="AN196" s="188">
        <v>-5.9403676121942375E-2</v>
      </c>
      <c r="AO196">
        <f t="shared" si="51"/>
        <v>2</v>
      </c>
      <c r="AP196" s="188">
        <f t="shared" si="52"/>
        <v>-2.4421227107222433E-3</v>
      </c>
      <c r="AQ196" s="188">
        <f t="shared" si="53"/>
        <v>8.4763011068238869E-3</v>
      </c>
      <c r="AR196" s="188">
        <f t="shared" si="54"/>
        <v>0.57657192543883484</v>
      </c>
      <c r="AS196" s="128">
        <f t="shared" si="55"/>
        <v>1761.6294111316433</v>
      </c>
      <c r="AT196" s="188">
        <v>0.16850000000000001</v>
      </c>
      <c r="AU196" s="238">
        <v>3.3700000000000001E-2</v>
      </c>
      <c r="AV196">
        <v>8.5</v>
      </c>
      <c r="AY196" t="s">
        <v>439</v>
      </c>
      <c r="AZ196" s="129">
        <v>1880.1024922253414</v>
      </c>
      <c r="BA196" t="s">
        <v>467</v>
      </c>
      <c r="BC196">
        <v>1</v>
      </c>
    </row>
    <row r="197" spans="1:55" x14ac:dyDescent="0.25">
      <c r="A197" t="s">
        <v>309</v>
      </c>
      <c r="B197">
        <v>362</v>
      </c>
      <c r="C197">
        <v>11729</v>
      </c>
      <c r="D197">
        <v>59257</v>
      </c>
      <c r="E197">
        <v>411</v>
      </c>
      <c r="F197">
        <v>0</v>
      </c>
      <c r="G197">
        <v>1277</v>
      </c>
      <c r="H197">
        <v>0</v>
      </c>
      <c r="I197">
        <v>49256</v>
      </c>
      <c r="J197">
        <v>4</v>
      </c>
      <c r="K197">
        <v>10032</v>
      </c>
      <c r="L197">
        <v>343</v>
      </c>
      <c r="M197">
        <v>1378</v>
      </c>
      <c r="N197">
        <v>55527</v>
      </c>
      <c r="O197">
        <v>55737</v>
      </c>
      <c r="P197">
        <v>14236</v>
      </c>
      <c r="Q197">
        <v>10</v>
      </c>
      <c r="R197">
        <v>0</v>
      </c>
      <c r="S197">
        <v>2901</v>
      </c>
      <c r="T197">
        <v>5638</v>
      </c>
      <c r="U197">
        <f t="shared" si="42"/>
        <v>-10</v>
      </c>
      <c r="V197">
        <v>1878</v>
      </c>
      <c r="W197">
        <v>100066</v>
      </c>
      <c r="X197">
        <v>98178</v>
      </c>
      <c r="Y197">
        <f t="shared" si="43"/>
        <v>1888</v>
      </c>
      <c r="Z197">
        <v>28721</v>
      </c>
      <c r="AA197">
        <v>1491145</v>
      </c>
      <c r="AB197">
        <v>41726</v>
      </c>
      <c r="AC197" s="128">
        <v>46294.233826928867</v>
      </c>
      <c r="AD197">
        <v>29151</v>
      </c>
      <c r="AE197" t="s">
        <v>309</v>
      </c>
      <c r="AF197" s="188">
        <f t="shared" si="44"/>
        <v>-3.4277376931225391E-3</v>
      </c>
      <c r="AG197" s="188">
        <f t="shared" si="45"/>
        <v>9.7485659464753266E-2</v>
      </c>
      <c r="AH197" s="188">
        <f t="shared" si="46"/>
        <v>1.2761577358943097E-2</v>
      </c>
      <c r="AI197" s="188">
        <f t="shared" si="47"/>
        <v>0.49227509843503287</v>
      </c>
      <c r="AJ197" s="188">
        <f t="shared" si="48"/>
        <v>-0.24557552015669656</v>
      </c>
      <c r="AK197" s="188">
        <f t="shared" si="49"/>
        <v>0.41422912517064653</v>
      </c>
      <c r="AL197" s="188">
        <f t="shared" si="50"/>
        <v>1.8867547418703657E-2</v>
      </c>
      <c r="AM197" s="188">
        <v>3.2848728187253193E-2</v>
      </c>
      <c r="AN197" s="188">
        <v>2.3176006017299737E-2</v>
      </c>
      <c r="AO197">
        <f t="shared" si="51"/>
        <v>0</v>
      </c>
      <c r="AP197" s="188">
        <f t="shared" si="52"/>
        <v>7.1755141606539688E-2</v>
      </c>
      <c r="AQ197" s="188">
        <f t="shared" si="53"/>
        <v>1.4901614934143464E-2</v>
      </c>
      <c r="AR197" s="188">
        <f t="shared" si="54"/>
        <v>0.41698479003857453</v>
      </c>
      <c r="AS197" s="128">
        <f t="shared" si="55"/>
        <v>1588.0839019906305</v>
      </c>
      <c r="AT197" s="188">
        <v>0.26349999999999996</v>
      </c>
      <c r="AU197" s="238">
        <v>5.2699999999999997E-2</v>
      </c>
      <c r="AV197">
        <v>8</v>
      </c>
      <c r="AY197" t="s">
        <v>387</v>
      </c>
      <c r="AZ197" s="129">
        <v>1381.8484806827471</v>
      </c>
      <c r="BA197" t="s">
        <v>467</v>
      </c>
    </row>
    <row r="198" spans="1:55" x14ac:dyDescent="0.25">
      <c r="A198" t="s">
        <v>192</v>
      </c>
      <c r="B198">
        <v>562</v>
      </c>
      <c r="C198">
        <v>7430</v>
      </c>
      <c r="D198">
        <v>102303</v>
      </c>
      <c r="E198">
        <v>107</v>
      </c>
      <c r="F198">
        <v>0</v>
      </c>
      <c r="G198">
        <v>1012</v>
      </c>
      <c r="H198">
        <v>0</v>
      </c>
      <c r="I198">
        <v>25047</v>
      </c>
      <c r="J198">
        <v>29</v>
      </c>
      <c r="K198">
        <v>11242</v>
      </c>
      <c r="L198">
        <v>20</v>
      </c>
      <c r="M198">
        <v>3267</v>
      </c>
      <c r="N198">
        <v>64581</v>
      </c>
      <c r="O198">
        <v>19874</v>
      </c>
      <c r="P198">
        <v>41468</v>
      </c>
      <c r="Q198">
        <v>10</v>
      </c>
      <c r="R198">
        <v>837</v>
      </c>
      <c r="S198">
        <v>9715</v>
      </c>
      <c r="T198">
        <v>14534</v>
      </c>
      <c r="U198">
        <f t="shared" si="42"/>
        <v>-79</v>
      </c>
      <c r="V198">
        <v>-1159</v>
      </c>
      <c r="W198">
        <v>109794</v>
      </c>
      <c r="X198">
        <v>110874</v>
      </c>
      <c r="Y198">
        <f t="shared" si="43"/>
        <v>-1080</v>
      </c>
      <c r="Z198">
        <v>36471</v>
      </c>
      <c r="AA198">
        <v>5299528</v>
      </c>
      <c r="AB198">
        <v>68691</v>
      </c>
      <c r="AC198" s="128">
        <v>68401.510953298712</v>
      </c>
      <c r="AD198">
        <v>43600</v>
      </c>
      <c r="AE198" t="s">
        <v>192</v>
      </c>
      <c r="AF198" s="188">
        <f t="shared" si="44"/>
        <v>7.441208080587282E-3</v>
      </c>
      <c r="AG198" s="188">
        <f t="shared" si="45"/>
        <v>0.46471574038654206</v>
      </c>
      <c r="AH198" s="188">
        <f t="shared" si="46"/>
        <v>9.2172614168351645E-3</v>
      </c>
      <c r="AI198" s="188">
        <f t="shared" si="47"/>
        <v>0.22839135107565076</v>
      </c>
      <c r="AJ198" s="188">
        <f t="shared" si="48"/>
        <v>0.30594786600360679</v>
      </c>
      <c r="AK198" s="188">
        <f t="shared" si="49"/>
        <v>0.42763493335275693</v>
      </c>
      <c r="AL198" s="188">
        <f t="shared" si="50"/>
        <v>-9.8366030930651955E-3</v>
      </c>
      <c r="AM198" s="188">
        <v>-2.5467740541993453E-2</v>
      </c>
      <c r="AN198" s="188">
        <v>7.9795448450605239E-2</v>
      </c>
      <c r="AO198">
        <f t="shared" si="51"/>
        <v>2</v>
      </c>
      <c r="AP198" s="188">
        <f t="shared" si="52"/>
        <v>8.3044155418328866E-2</v>
      </c>
      <c r="AQ198" s="188">
        <f t="shared" si="53"/>
        <v>4.8267919922764448E-2</v>
      </c>
      <c r="AR198" s="188">
        <f t="shared" si="54"/>
        <v>0.62563528061642715</v>
      </c>
      <c r="AS198" s="128">
        <f t="shared" si="55"/>
        <v>1568.8419943417136</v>
      </c>
      <c r="AT198" s="188">
        <v>0.27900000000000003</v>
      </c>
      <c r="AU198" s="238">
        <v>5.5800000000000002E-2</v>
      </c>
      <c r="AV198">
        <v>6.5</v>
      </c>
      <c r="AY198" t="s">
        <v>388</v>
      </c>
      <c r="AZ198" s="129">
        <v>1660.578352548639</v>
      </c>
      <c r="BA198" t="s">
        <v>467</v>
      </c>
    </row>
    <row r="199" spans="1:55" x14ac:dyDescent="0.25">
      <c r="A199" t="s">
        <v>193</v>
      </c>
      <c r="B199">
        <v>20318</v>
      </c>
      <c r="C199">
        <v>51942</v>
      </c>
      <c r="D199">
        <v>357616</v>
      </c>
      <c r="E199">
        <v>9063</v>
      </c>
      <c r="F199">
        <v>24297</v>
      </c>
      <c r="G199">
        <v>34395</v>
      </c>
      <c r="H199">
        <v>-3</v>
      </c>
      <c r="I199">
        <v>287018</v>
      </c>
      <c r="J199">
        <v>174</v>
      </c>
      <c r="K199">
        <v>104264</v>
      </c>
      <c r="L199">
        <v>5027</v>
      </c>
      <c r="M199">
        <v>11211</v>
      </c>
      <c r="N199">
        <v>126322</v>
      </c>
      <c r="O199">
        <v>34812</v>
      </c>
      <c r="P199">
        <v>577541</v>
      </c>
      <c r="Q199">
        <v>186</v>
      </c>
      <c r="R199">
        <v>89000</v>
      </c>
      <c r="S199">
        <v>17524</v>
      </c>
      <c r="T199">
        <v>59937</v>
      </c>
      <c r="U199">
        <f t="shared" si="42"/>
        <v>5923</v>
      </c>
      <c r="V199">
        <v>27368</v>
      </c>
      <c r="W199">
        <v>863502</v>
      </c>
      <c r="X199">
        <v>842057</v>
      </c>
      <c r="Y199">
        <f t="shared" si="43"/>
        <v>21445</v>
      </c>
      <c r="Z199">
        <v>-280</v>
      </c>
      <c r="AA199">
        <v>-33237799.000000007</v>
      </c>
      <c r="AB199">
        <v>579631</v>
      </c>
      <c r="AC199" s="128">
        <v>365645.66588990641</v>
      </c>
      <c r="AD199">
        <v>177359</v>
      </c>
      <c r="AE199" t="s">
        <v>193</v>
      </c>
      <c r="AF199" s="188">
        <f t="shared" si="44"/>
        <v>9.7247024326521533E-2</v>
      </c>
      <c r="AG199" s="188">
        <f t="shared" si="45"/>
        <v>0.654308849313609</v>
      </c>
      <c r="AH199" s="188">
        <f t="shared" si="46"/>
        <v>6.796973255418054E-2</v>
      </c>
      <c r="AI199" s="188">
        <f t="shared" si="47"/>
        <v>0.33258984924180834</v>
      </c>
      <c r="AJ199" s="188">
        <f t="shared" si="48"/>
        <v>0.42965232275084486</v>
      </c>
      <c r="AK199" s="188">
        <f t="shared" si="49"/>
        <v>0.13953267456219998</v>
      </c>
      <c r="AL199" s="188">
        <f t="shared" si="50"/>
        <v>2.4834916421733823E-2</v>
      </c>
      <c r="AM199" s="188">
        <v>6.281446256170616E-4</v>
      </c>
      <c r="AN199" s="188">
        <v>1.6060592532423342E-3</v>
      </c>
      <c r="AO199">
        <f t="shared" si="51"/>
        <v>0</v>
      </c>
      <c r="AP199" s="188">
        <f t="shared" si="52"/>
        <v>-8.1065243624218588E-5</v>
      </c>
      <c r="AQ199" s="188">
        <f t="shared" si="53"/>
        <v>-3.8491861049540138E-2</v>
      </c>
      <c r="AR199" s="188">
        <f t="shared" si="54"/>
        <v>0.67125611753070635</v>
      </c>
      <c r="AS199" s="128">
        <f t="shared" si="55"/>
        <v>2061.6132583624535</v>
      </c>
      <c r="AT199" s="188">
        <v>0.17799999999999999</v>
      </c>
      <c r="AU199" s="238">
        <v>3.56E-2</v>
      </c>
      <c r="AV199">
        <v>7</v>
      </c>
      <c r="AY199" t="s">
        <v>389</v>
      </c>
      <c r="AZ199" s="129">
        <v>1402.5729296542911</v>
      </c>
      <c r="BA199" t="s">
        <v>467</v>
      </c>
    </row>
    <row r="200" spans="1:55" x14ac:dyDescent="0.25">
      <c r="A200" t="s">
        <v>479</v>
      </c>
      <c r="B200">
        <v>0</v>
      </c>
      <c r="C200">
        <v>69483</v>
      </c>
      <c r="D200">
        <v>215181</v>
      </c>
      <c r="E200">
        <v>7681</v>
      </c>
      <c r="F200">
        <v>2000</v>
      </c>
      <c r="G200">
        <v>30426</v>
      </c>
      <c r="H200">
        <v>0</v>
      </c>
      <c r="I200">
        <v>35224</v>
      </c>
      <c r="J200">
        <v>47</v>
      </c>
      <c r="K200">
        <v>11834</v>
      </c>
      <c r="L200">
        <v>28437</v>
      </c>
      <c r="M200">
        <v>26704</v>
      </c>
      <c r="N200">
        <v>129044</v>
      </c>
      <c r="O200">
        <v>14630</v>
      </c>
      <c r="P200">
        <v>224373</v>
      </c>
      <c r="Q200">
        <v>0</v>
      </c>
      <c r="R200">
        <v>20000</v>
      </c>
      <c r="S200">
        <v>20261</v>
      </c>
      <c r="T200">
        <v>18709</v>
      </c>
      <c r="U200">
        <f t="shared" si="42"/>
        <v>0</v>
      </c>
      <c r="V200">
        <v>85678</v>
      </c>
      <c r="W200">
        <v>405063</v>
      </c>
      <c r="X200">
        <v>319385</v>
      </c>
      <c r="Y200">
        <f t="shared" si="43"/>
        <v>85678</v>
      </c>
      <c r="Z200">
        <v>-31316</v>
      </c>
      <c r="AA200">
        <v>2964724</v>
      </c>
      <c r="AB200">
        <v>225562</v>
      </c>
      <c r="AC200" s="128">
        <v>163302.43380022887</v>
      </c>
      <c r="AD200">
        <v>85440</v>
      </c>
      <c r="AE200" t="s">
        <v>479</v>
      </c>
      <c r="AF200" s="188">
        <f t="shared" si="44"/>
        <v>-2.0828858720742204E-2</v>
      </c>
      <c r="AG200" s="188">
        <f t="shared" si="45"/>
        <v>0.4541071388895061</v>
      </c>
      <c r="AH200" s="188">
        <f t="shared" si="46"/>
        <v>8.0051745037191743E-2</v>
      </c>
      <c r="AI200" s="188">
        <f t="shared" si="47"/>
        <v>8.7075343835403385E-2</v>
      </c>
      <c r="AJ200" s="188">
        <f t="shared" si="48"/>
        <v>0.40276060760918675</v>
      </c>
      <c r="AK200" s="188">
        <f t="shared" si="49"/>
        <v>0.30219874150209475</v>
      </c>
      <c r="AL200" s="188">
        <f t="shared" si="50"/>
        <v>0.21151771452835733</v>
      </c>
      <c r="AM200" s="188">
        <v>-8.7170183283095962E-2</v>
      </c>
      <c r="AN200" s="188">
        <v>5.707522535048868E-2</v>
      </c>
      <c r="AO200">
        <f t="shared" si="51"/>
        <v>1</v>
      </c>
      <c r="AP200" s="188">
        <f t="shared" si="52"/>
        <v>-1.9327857641897681E-2</v>
      </c>
      <c r="AQ200" s="188">
        <f t="shared" si="53"/>
        <v>7.3191676356517384E-3</v>
      </c>
      <c r="AR200" s="188">
        <f t="shared" si="54"/>
        <v>0.55685658774067248</v>
      </c>
      <c r="AS200" s="128">
        <f t="shared" si="55"/>
        <v>1911.3112570251506</v>
      </c>
      <c r="AT200" s="188">
        <v>0.26849999999999996</v>
      </c>
      <c r="AU200" s="238">
        <v>5.3699999999999998E-2</v>
      </c>
      <c r="AV200">
        <v>8</v>
      </c>
      <c r="AY200" t="s">
        <v>158</v>
      </c>
      <c r="AZ200" s="129">
        <v>1467.4666410978114</v>
      </c>
      <c r="BA200" t="s">
        <v>467</v>
      </c>
    </row>
    <row r="201" spans="1:55" x14ac:dyDescent="0.25">
      <c r="A201" t="s">
        <v>604</v>
      </c>
      <c r="B201">
        <v>6153</v>
      </c>
      <c r="C201">
        <v>7948</v>
      </c>
      <c r="D201">
        <v>98532</v>
      </c>
      <c r="E201">
        <v>1386</v>
      </c>
      <c r="F201">
        <v>1246</v>
      </c>
      <c r="G201">
        <v>3795</v>
      </c>
      <c r="H201">
        <v>0</v>
      </c>
      <c r="I201">
        <v>1287</v>
      </c>
      <c r="J201">
        <v>0</v>
      </c>
      <c r="K201">
        <v>66171</v>
      </c>
      <c r="L201">
        <v>1177</v>
      </c>
      <c r="M201">
        <v>7401</v>
      </c>
      <c r="N201">
        <v>48936</v>
      </c>
      <c r="O201">
        <v>14114</v>
      </c>
      <c r="P201">
        <v>85649</v>
      </c>
      <c r="Q201">
        <v>1</v>
      </c>
      <c r="R201">
        <v>0</v>
      </c>
      <c r="S201">
        <v>13102</v>
      </c>
      <c r="T201">
        <v>33294</v>
      </c>
      <c r="U201">
        <f t="shared" si="42"/>
        <v>6</v>
      </c>
      <c r="V201">
        <v>22697</v>
      </c>
      <c r="W201">
        <v>189047</v>
      </c>
      <c r="X201">
        <v>166356</v>
      </c>
      <c r="Y201">
        <f t="shared" si="43"/>
        <v>22691</v>
      </c>
      <c r="Z201">
        <v>2972</v>
      </c>
      <c r="AA201">
        <v>485722</v>
      </c>
      <c r="AB201">
        <v>114687</v>
      </c>
      <c r="AC201" s="128">
        <v>85026.216216522691</v>
      </c>
      <c r="AD201">
        <v>45481</v>
      </c>
      <c r="AE201" t="s">
        <v>604</v>
      </c>
      <c r="AF201" s="188">
        <f t="shared" si="44"/>
        <v>-6.2259649716737107E-3</v>
      </c>
      <c r="AG201" s="188">
        <f t="shared" si="45"/>
        <v>0.2764180336106894</v>
      </c>
      <c r="AH201" s="188">
        <f t="shared" si="46"/>
        <v>2.6665326611900745E-2</v>
      </c>
      <c r="AI201" s="188">
        <f t="shared" si="47"/>
        <v>6.8078308568768611E-3</v>
      </c>
      <c r="AJ201" s="188">
        <f t="shared" si="48"/>
        <v>0.27485239120430366</v>
      </c>
      <c r="AK201" s="188">
        <f t="shared" si="49"/>
        <v>0.25083036043793827</v>
      </c>
      <c r="AL201" s="188">
        <f t="shared" si="50"/>
        <v>0.12002835273767899</v>
      </c>
      <c r="AM201" s="188">
        <v>-1.7100608687338665E-2</v>
      </c>
      <c r="AN201" s="188">
        <v>-4.9989947439469225E-2</v>
      </c>
      <c r="AO201">
        <f t="shared" si="51"/>
        <v>2</v>
      </c>
      <c r="AP201" s="188">
        <f t="shared" si="52"/>
        <v>3.9302395700540078E-3</v>
      </c>
      <c r="AQ201" s="188">
        <f t="shared" si="53"/>
        <v>2.5693187408422245E-3</v>
      </c>
      <c r="AR201" s="188">
        <f t="shared" si="54"/>
        <v>0.60665866160267023</v>
      </c>
      <c r="AS201" s="128">
        <f t="shared" si="55"/>
        <v>1869.4887143317583</v>
      </c>
      <c r="AT201" s="188">
        <v>0.224</v>
      </c>
      <c r="AU201" s="238">
        <v>4.48E-2</v>
      </c>
      <c r="AV201">
        <v>8.5</v>
      </c>
      <c r="AY201" t="s">
        <v>230</v>
      </c>
      <c r="AZ201" s="129">
        <v>1324.9681496686092</v>
      </c>
      <c r="BA201" t="s">
        <v>467</v>
      </c>
      <c r="BB201">
        <v>1</v>
      </c>
    </row>
    <row r="202" spans="1:55" x14ac:dyDescent="0.25">
      <c r="A202" t="s">
        <v>335</v>
      </c>
      <c r="B202">
        <v>4584</v>
      </c>
      <c r="C202">
        <v>1269</v>
      </c>
      <c r="D202">
        <v>23891</v>
      </c>
      <c r="E202">
        <v>92</v>
      </c>
      <c r="F202">
        <v>646</v>
      </c>
      <c r="G202">
        <v>515</v>
      </c>
      <c r="H202">
        <v>121</v>
      </c>
      <c r="I202">
        <v>4249</v>
      </c>
      <c r="J202">
        <v>0</v>
      </c>
      <c r="K202">
        <v>1645</v>
      </c>
      <c r="L202">
        <v>1510</v>
      </c>
      <c r="M202">
        <v>4001</v>
      </c>
      <c r="N202">
        <v>20334</v>
      </c>
      <c r="O202">
        <v>2388</v>
      </c>
      <c r="P202">
        <v>15545</v>
      </c>
      <c r="Q202">
        <v>0</v>
      </c>
      <c r="R202">
        <v>0</v>
      </c>
      <c r="S202">
        <v>2326</v>
      </c>
      <c r="T202">
        <v>1926</v>
      </c>
      <c r="U202">
        <f t="shared" si="42"/>
        <v>-13</v>
      </c>
      <c r="V202">
        <v>2305</v>
      </c>
      <c r="W202">
        <v>31116</v>
      </c>
      <c r="X202">
        <v>28798</v>
      </c>
      <c r="Y202">
        <f t="shared" si="43"/>
        <v>2318</v>
      </c>
      <c r="Z202">
        <v>8308</v>
      </c>
      <c r="AA202">
        <v>1206141</v>
      </c>
      <c r="AB202">
        <v>16258</v>
      </c>
      <c r="AC202" s="128">
        <v>12990.222272475858</v>
      </c>
      <c r="AD202">
        <v>7581</v>
      </c>
      <c r="AE202" t="s">
        <v>335</v>
      </c>
      <c r="AF202" s="188">
        <f t="shared" si="44"/>
        <v>-4.8528088443244632E-2</v>
      </c>
      <c r="AG202" s="188">
        <f t="shared" si="45"/>
        <v>0.36505334875948064</v>
      </c>
      <c r="AH202" s="188">
        <f t="shared" si="46"/>
        <v>3.7311993829541069E-2</v>
      </c>
      <c r="AI202" s="188">
        <f t="shared" si="47"/>
        <v>0.13655354158632216</v>
      </c>
      <c r="AJ202" s="188">
        <f t="shared" si="48"/>
        <v>0.27394330890860008</v>
      </c>
      <c r="AK202" s="188">
        <f t="shared" si="49"/>
        <v>0.47823326042475128</v>
      </c>
      <c r="AL202" s="188">
        <f t="shared" si="50"/>
        <v>7.4495436431417913E-2</v>
      </c>
      <c r="AM202" s="188">
        <v>-2.1392999929859016E-2</v>
      </c>
      <c r="AN202" s="188">
        <v>-3.033445683173451E-2</v>
      </c>
      <c r="AO202">
        <f t="shared" si="51"/>
        <v>2</v>
      </c>
      <c r="AP202" s="188">
        <f t="shared" si="52"/>
        <v>6.6750224964648414E-2</v>
      </c>
      <c r="AQ202" s="188">
        <f t="shared" si="53"/>
        <v>3.8762726571538758E-2</v>
      </c>
      <c r="AR202" s="188">
        <f t="shared" si="54"/>
        <v>0.52249646484123924</v>
      </c>
      <c r="AS202" s="128">
        <f t="shared" si="55"/>
        <v>1713.5235816483125</v>
      </c>
      <c r="AT202" s="188">
        <v>0.13650000000000001</v>
      </c>
      <c r="AU202" s="238">
        <v>2.7300000000000001E-2</v>
      </c>
      <c r="AV202">
        <v>8.5</v>
      </c>
      <c r="AY202" t="s">
        <v>137</v>
      </c>
      <c r="AZ202" s="129">
        <v>2003.8853221284462</v>
      </c>
      <c r="BA202" t="s">
        <v>467</v>
      </c>
      <c r="BC202">
        <v>1</v>
      </c>
    </row>
    <row r="203" spans="1:55" x14ac:dyDescent="0.25">
      <c r="A203" t="s">
        <v>114</v>
      </c>
      <c r="B203">
        <v>1031</v>
      </c>
      <c r="C203">
        <v>6012</v>
      </c>
      <c r="D203">
        <v>77556</v>
      </c>
      <c r="E203">
        <v>104</v>
      </c>
      <c r="F203">
        <v>235</v>
      </c>
      <c r="G203">
        <v>3569</v>
      </c>
      <c r="H203">
        <v>0</v>
      </c>
      <c r="I203">
        <v>0</v>
      </c>
      <c r="J203">
        <v>11</v>
      </c>
      <c r="K203">
        <v>10481</v>
      </c>
      <c r="L203">
        <v>456</v>
      </c>
      <c r="M203">
        <v>2085</v>
      </c>
      <c r="N203">
        <v>19673</v>
      </c>
      <c r="O203">
        <v>9332</v>
      </c>
      <c r="P203">
        <v>52137</v>
      </c>
      <c r="Q203">
        <v>0</v>
      </c>
      <c r="R203">
        <v>0</v>
      </c>
      <c r="S203">
        <v>5419</v>
      </c>
      <c r="T203">
        <v>14979</v>
      </c>
      <c r="U203">
        <f t="shared" si="42"/>
        <v>-61</v>
      </c>
      <c r="V203">
        <v>-1737</v>
      </c>
      <c r="W203">
        <v>112624</v>
      </c>
      <c r="X203">
        <v>114300</v>
      </c>
      <c r="Y203">
        <f t="shared" si="43"/>
        <v>-1676</v>
      </c>
      <c r="Z203">
        <v>1202</v>
      </c>
      <c r="AA203">
        <v>3764359.9999999981</v>
      </c>
      <c r="AB203">
        <v>75505</v>
      </c>
      <c r="AC203" s="128">
        <v>51275.866746006403</v>
      </c>
      <c r="AD203">
        <v>31214</v>
      </c>
      <c r="AE203" t="s">
        <v>114</v>
      </c>
      <c r="AF203" s="188">
        <f t="shared" si="44"/>
        <v>-4.0488705782071319E-3</v>
      </c>
      <c r="AG203" s="188">
        <f t="shared" si="45"/>
        <v>0.49464590140644976</v>
      </c>
      <c r="AH203" s="188">
        <f t="shared" si="46"/>
        <v>3.3776104560306865E-2</v>
      </c>
      <c r="AI203" s="188">
        <f t="shared" si="47"/>
        <v>9.7670123597101864E-5</v>
      </c>
      <c r="AJ203" s="188">
        <f t="shared" si="48"/>
        <v>0.49863066486716862</v>
      </c>
      <c r="AK203" s="188">
        <f t="shared" si="49"/>
        <v>0.19374630687413827</v>
      </c>
      <c r="AL203" s="188">
        <f t="shared" si="50"/>
        <v>-1.4881375195340248E-2</v>
      </c>
      <c r="AM203" s="188">
        <v>-6.6109978441338008E-2</v>
      </c>
      <c r="AN203" s="188">
        <v>-9.9433325551287217E-3</v>
      </c>
      <c r="AO203">
        <f t="shared" si="51"/>
        <v>3</v>
      </c>
      <c r="AP203" s="188">
        <f t="shared" si="52"/>
        <v>2.668170194629919E-3</v>
      </c>
      <c r="AQ203" s="188">
        <f t="shared" si="53"/>
        <v>3.3424136951271471E-2</v>
      </c>
      <c r="AR203" s="188">
        <f t="shared" si="54"/>
        <v>0.67041660747265241</v>
      </c>
      <c r="AS203" s="128">
        <f t="shared" si="55"/>
        <v>1642.7201494844107</v>
      </c>
      <c r="AT203" s="188">
        <v>0.29949999999999999</v>
      </c>
      <c r="AU203" s="238">
        <v>5.9900000000000002E-2</v>
      </c>
      <c r="AV203">
        <v>6</v>
      </c>
      <c r="AY203" t="s">
        <v>319</v>
      </c>
      <c r="AZ203" s="129">
        <v>1527.8199431679241</v>
      </c>
      <c r="BA203" t="s">
        <v>467</v>
      </c>
    </row>
    <row r="204" spans="1:55" x14ac:dyDescent="0.25">
      <c r="A204" t="s">
        <v>432</v>
      </c>
      <c r="B204">
        <v>1270</v>
      </c>
      <c r="C204">
        <v>24321</v>
      </c>
      <c r="D204">
        <v>66025</v>
      </c>
      <c r="E204">
        <v>219</v>
      </c>
      <c r="F204">
        <v>0</v>
      </c>
      <c r="G204">
        <v>4851</v>
      </c>
      <c r="H204">
        <v>0</v>
      </c>
      <c r="I204">
        <v>17288</v>
      </c>
      <c r="J204">
        <v>0</v>
      </c>
      <c r="K204">
        <v>4214</v>
      </c>
      <c r="L204">
        <v>31824</v>
      </c>
      <c r="M204">
        <v>12435</v>
      </c>
      <c r="N204">
        <v>117240</v>
      </c>
      <c r="O204">
        <v>13788</v>
      </c>
      <c r="P204">
        <v>4925</v>
      </c>
      <c r="Q204">
        <v>85</v>
      </c>
      <c r="R204">
        <v>0</v>
      </c>
      <c r="S204">
        <v>5361</v>
      </c>
      <c r="T204">
        <v>21047</v>
      </c>
      <c r="U204">
        <f t="shared" si="42"/>
        <v>2</v>
      </c>
      <c r="V204">
        <v>11173</v>
      </c>
      <c r="W204">
        <v>160474</v>
      </c>
      <c r="X204">
        <v>149303</v>
      </c>
      <c r="Y204">
        <f t="shared" si="43"/>
        <v>11171</v>
      </c>
      <c r="Z204">
        <v>20208</v>
      </c>
      <c r="AA204">
        <v>2610601</v>
      </c>
      <c r="AB204">
        <v>97732</v>
      </c>
      <c r="AC204" s="128">
        <v>83455.488338709794</v>
      </c>
      <c r="AD204">
        <v>47583</v>
      </c>
      <c r="AE204" t="s">
        <v>432</v>
      </c>
      <c r="AF204" s="188">
        <f t="shared" si="44"/>
        <v>-0.19831249922105762</v>
      </c>
      <c r="AG204" s="188">
        <f t="shared" si="45"/>
        <v>-0.13650809476924611</v>
      </c>
      <c r="AH204" s="188">
        <f t="shared" si="46"/>
        <v>3.0229196006829766E-2</v>
      </c>
      <c r="AI204" s="188">
        <f t="shared" si="47"/>
        <v>0.10773084736468212</v>
      </c>
      <c r="AJ204" s="188">
        <f t="shared" si="48"/>
        <v>-0.20829218440370403</v>
      </c>
      <c r="AK204" s="188">
        <f t="shared" si="49"/>
        <v>0.72171675510631228</v>
      </c>
      <c r="AL204" s="188">
        <f t="shared" si="50"/>
        <v>6.9612522900906068E-2</v>
      </c>
      <c r="AM204" s="188">
        <v>3.3904443721727816E-2</v>
      </c>
      <c r="AN204" s="188">
        <v>9.0011762538440829E-2</v>
      </c>
      <c r="AO204">
        <f t="shared" si="51"/>
        <v>0</v>
      </c>
      <c r="AP204" s="188">
        <f t="shared" si="52"/>
        <v>3.1481735358998966E-2</v>
      </c>
      <c r="AQ204" s="188">
        <f t="shared" si="53"/>
        <v>1.6268062115981405E-2</v>
      </c>
      <c r="AR204" s="188">
        <f t="shared" si="54"/>
        <v>0.60902077595124449</v>
      </c>
      <c r="AS204" s="128">
        <f t="shared" si="55"/>
        <v>1753.8929520776287</v>
      </c>
      <c r="AT204" s="188">
        <v>0.217</v>
      </c>
      <c r="AU204" s="238">
        <v>4.3400000000000001E-2</v>
      </c>
      <c r="AV204">
        <v>9.5</v>
      </c>
      <c r="AY204" t="s">
        <v>340</v>
      </c>
      <c r="AZ204" s="129">
        <v>1615.9665347975845</v>
      </c>
      <c r="BA204" t="s">
        <v>467</v>
      </c>
    </row>
    <row r="205" spans="1:55" x14ac:dyDescent="0.25">
      <c r="A205" t="s">
        <v>310</v>
      </c>
      <c r="B205">
        <v>2918</v>
      </c>
      <c r="C205">
        <v>23533</v>
      </c>
      <c r="D205">
        <v>145884</v>
      </c>
      <c r="E205">
        <v>481</v>
      </c>
      <c r="F205">
        <v>0</v>
      </c>
      <c r="G205">
        <v>11120</v>
      </c>
      <c r="H205">
        <v>6716</v>
      </c>
      <c r="I205">
        <v>19052</v>
      </c>
      <c r="J205">
        <v>0</v>
      </c>
      <c r="K205">
        <v>16449</v>
      </c>
      <c r="L205">
        <v>5801</v>
      </c>
      <c r="M205">
        <v>13991</v>
      </c>
      <c r="N205">
        <v>141140</v>
      </c>
      <c r="O205">
        <v>23027</v>
      </c>
      <c r="P205">
        <v>48614</v>
      </c>
      <c r="Q205">
        <v>79</v>
      </c>
      <c r="R205">
        <v>17000</v>
      </c>
      <c r="S205">
        <v>5193</v>
      </c>
      <c r="T205">
        <v>10892</v>
      </c>
      <c r="U205">
        <f t="shared" si="42"/>
        <v>0</v>
      </c>
      <c r="V205">
        <v>4756</v>
      </c>
      <c r="W205">
        <v>133634</v>
      </c>
      <c r="X205">
        <v>128878</v>
      </c>
      <c r="Y205">
        <f t="shared" si="43"/>
        <v>4756</v>
      </c>
      <c r="Z205">
        <v>26412</v>
      </c>
      <c r="AA205">
        <v>8198337</v>
      </c>
      <c r="AB205">
        <v>77057</v>
      </c>
      <c r="AC205" s="128">
        <v>70787.607003657293</v>
      </c>
      <c r="AD205">
        <v>44062</v>
      </c>
      <c r="AE205" t="s">
        <v>310</v>
      </c>
      <c r="AF205" s="188">
        <f t="shared" si="44"/>
        <v>8.3803523055509824E-2</v>
      </c>
      <c r="AG205" s="188">
        <f t="shared" si="45"/>
        <v>0.20729006091264199</v>
      </c>
      <c r="AH205" s="188">
        <f t="shared" si="46"/>
        <v>8.3212356136911261E-2</v>
      </c>
      <c r="AI205" s="188">
        <f t="shared" si="47"/>
        <v>0.14256850801442747</v>
      </c>
      <c r="AJ205" s="188">
        <f t="shared" si="48"/>
        <v>0.11747758803897211</v>
      </c>
      <c r="AK205" s="188">
        <f t="shared" si="49"/>
        <v>0.57386814125109276</v>
      </c>
      <c r="AL205" s="188">
        <f t="shared" si="50"/>
        <v>3.55897451247437E-2</v>
      </c>
      <c r="AM205" s="188">
        <v>-2.3238161966485666E-2</v>
      </c>
      <c r="AN205" s="188">
        <v>-5.3539919673315742E-2</v>
      </c>
      <c r="AO205">
        <f t="shared" si="51"/>
        <v>2</v>
      </c>
      <c r="AP205" s="188">
        <f t="shared" si="52"/>
        <v>4.9411078019067002E-2</v>
      </c>
      <c r="AQ205" s="188">
        <f t="shared" si="53"/>
        <v>6.1349185087627399E-2</v>
      </c>
      <c r="AR205" s="188">
        <f t="shared" si="54"/>
        <v>0.57662720565125647</v>
      </c>
      <c r="AS205" s="128">
        <f t="shared" si="55"/>
        <v>1606.5454814501679</v>
      </c>
      <c r="AT205" s="188">
        <v>0.123</v>
      </c>
      <c r="AU205" s="238">
        <v>2.46E-2</v>
      </c>
      <c r="AV205">
        <v>9</v>
      </c>
      <c r="AY205" t="s">
        <v>160</v>
      </c>
      <c r="AZ205" s="129">
        <v>1473.0902165888378</v>
      </c>
      <c r="BA205" t="s">
        <v>467</v>
      </c>
    </row>
    <row r="206" spans="1:55" x14ac:dyDescent="0.25">
      <c r="A206" t="s">
        <v>435</v>
      </c>
      <c r="B206">
        <v>468</v>
      </c>
      <c r="C206">
        <v>12203</v>
      </c>
      <c r="D206">
        <v>36308</v>
      </c>
      <c r="E206">
        <v>7</v>
      </c>
      <c r="F206">
        <v>2460</v>
      </c>
      <c r="G206">
        <v>883</v>
      </c>
      <c r="H206">
        <v>0</v>
      </c>
      <c r="I206">
        <v>68956</v>
      </c>
      <c r="J206">
        <v>344</v>
      </c>
      <c r="K206">
        <v>12404</v>
      </c>
      <c r="L206" s="207">
        <f>-1183+1183</f>
        <v>0</v>
      </c>
      <c r="M206">
        <v>4388</v>
      </c>
      <c r="N206">
        <v>39414</v>
      </c>
      <c r="O206">
        <v>11115</v>
      </c>
      <c r="P206">
        <v>51705</v>
      </c>
      <c r="Q206">
        <v>6</v>
      </c>
      <c r="R206">
        <f>25019+1183</f>
        <v>26202</v>
      </c>
      <c r="S206">
        <v>2248</v>
      </c>
      <c r="T206">
        <v>7729</v>
      </c>
      <c r="U206">
        <f t="shared" si="42"/>
        <v>3</v>
      </c>
      <c r="V206">
        <v>649</v>
      </c>
      <c r="W206">
        <v>60709</v>
      </c>
      <c r="X206">
        <v>60063</v>
      </c>
      <c r="Y206">
        <f t="shared" si="43"/>
        <v>646</v>
      </c>
      <c r="Z206">
        <v>12801</v>
      </c>
      <c r="AA206">
        <v>1782189.9999999991</v>
      </c>
      <c r="AB206">
        <v>36532</v>
      </c>
      <c r="AC206" s="128">
        <v>33053.64211388</v>
      </c>
      <c r="AD206">
        <v>23702</v>
      </c>
      <c r="AE206" t="s">
        <v>435</v>
      </c>
      <c r="AF206" s="188">
        <f t="shared" si="44"/>
        <v>0.431599927523102</v>
      </c>
      <c r="AG206" s="188">
        <f t="shared" si="45"/>
        <v>1.1160618689156467</v>
      </c>
      <c r="AH206" s="188">
        <f t="shared" si="46"/>
        <v>5.506597044919205E-2</v>
      </c>
      <c r="AI206" s="188">
        <f t="shared" si="47"/>
        <v>1.1415111433230658</v>
      </c>
      <c r="AJ206" s="188">
        <f t="shared" si="48"/>
        <v>0.32361198504340372</v>
      </c>
      <c r="AK206" s="188">
        <f t="shared" si="49"/>
        <v>0.28474414639608725</v>
      </c>
      <c r="AL206" s="188">
        <f t="shared" si="50"/>
        <v>1.0640926386532475E-2</v>
      </c>
      <c r="AM206" s="188">
        <v>7.0679855318520708E-3</v>
      </c>
      <c r="AN206" s="188">
        <v>5.6700616241090247E-2</v>
      </c>
      <c r="AO206">
        <f t="shared" si="51"/>
        <v>0</v>
      </c>
      <c r="AP206" s="188">
        <f t="shared" si="52"/>
        <v>5.2714589270124693E-2</v>
      </c>
      <c r="AQ206" s="188">
        <f t="shared" si="53"/>
        <v>2.9356273369681579E-2</v>
      </c>
      <c r="AR206" s="188">
        <f t="shared" si="54"/>
        <v>0.6017559175740006</v>
      </c>
      <c r="AS206" s="128">
        <f t="shared" si="55"/>
        <v>1394.5507600151886</v>
      </c>
      <c r="AT206" s="188">
        <v>0.27150000000000002</v>
      </c>
      <c r="AU206" s="238">
        <v>5.4300000000000001E-2</v>
      </c>
      <c r="AV206">
        <v>7</v>
      </c>
      <c r="AY206" t="s">
        <v>115</v>
      </c>
      <c r="AZ206" s="129">
        <v>1579.8082515326626</v>
      </c>
      <c r="BA206" t="s">
        <v>467</v>
      </c>
    </row>
    <row r="207" spans="1:55" x14ac:dyDescent="0.25">
      <c r="A207" t="s">
        <v>194</v>
      </c>
      <c r="B207">
        <v>0</v>
      </c>
      <c r="C207">
        <v>6871</v>
      </c>
      <c r="D207">
        <v>43020</v>
      </c>
      <c r="E207">
        <v>681</v>
      </c>
      <c r="F207">
        <v>0</v>
      </c>
      <c r="G207">
        <v>2131</v>
      </c>
      <c r="H207">
        <v>0</v>
      </c>
      <c r="I207">
        <v>5925</v>
      </c>
      <c r="J207">
        <v>0</v>
      </c>
      <c r="K207">
        <v>1306</v>
      </c>
      <c r="L207">
        <v>18071</v>
      </c>
      <c r="M207">
        <v>8339</v>
      </c>
      <c r="N207">
        <v>54203</v>
      </c>
      <c r="O207">
        <v>8203</v>
      </c>
      <c r="P207">
        <v>9158</v>
      </c>
      <c r="Q207">
        <v>0</v>
      </c>
      <c r="R207">
        <v>0</v>
      </c>
      <c r="S207">
        <v>4412</v>
      </c>
      <c r="T207">
        <v>10365</v>
      </c>
      <c r="U207">
        <f t="shared" si="42"/>
        <v>-4</v>
      </c>
      <c r="V207">
        <v>5320</v>
      </c>
      <c r="W207">
        <v>73163</v>
      </c>
      <c r="X207">
        <v>67839</v>
      </c>
      <c r="Y207">
        <f t="shared" si="43"/>
        <v>5324</v>
      </c>
      <c r="Z207">
        <v>11051</v>
      </c>
      <c r="AA207">
        <v>3559998.9999999991</v>
      </c>
      <c r="AB207">
        <v>49850</v>
      </c>
      <c r="AC207" s="128">
        <v>43466.635730643429</v>
      </c>
      <c r="AD207">
        <v>28021</v>
      </c>
      <c r="AE207" t="s">
        <v>194</v>
      </c>
      <c r="AF207" s="188">
        <f t="shared" si="44"/>
        <v>-0.24699643262304716</v>
      </c>
      <c r="AG207" s="188">
        <f t="shared" si="45"/>
        <v>-8.0805871820455691E-2</v>
      </c>
      <c r="AH207" s="188">
        <f t="shared" si="46"/>
        <v>2.9126744392657489E-2</v>
      </c>
      <c r="AI207" s="188">
        <f t="shared" si="47"/>
        <v>8.0983557262550743E-2</v>
      </c>
      <c r="AJ207" s="188">
        <f t="shared" si="48"/>
        <v>-0.1339991525771223</v>
      </c>
      <c r="AK207" s="188">
        <f t="shared" si="49"/>
        <v>0.62777822818823037</v>
      </c>
      <c r="AL207" s="188">
        <f t="shared" si="50"/>
        <v>7.276902259338737E-2</v>
      </c>
      <c r="AM207" s="188">
        <v>3.8694710794927312E-2</v>
      </c>
      <c r="AN207" s="188">
        <v>2.011164145295688E-2</v>
      </c>
      <c r="AO207">
        <f t="shared" si="51"/>
        <v>0</v>
      </c>
      <c r="AP207" s="188">
        <f t="shared" si="52"/>
        <v>3.7761573472930306E-2</v>
      </c>
      <c r="AQ207" s="188">
        <f t="shared" si="53"/>
        <v>4.8658461244071444E-2</v>
      </c>
      <c r="AR207" s="188">
        <f t="shared" si="54"/>
        <v>0.68135532987985725</v>
      </c>
      <c r="AS207" s="128">
        <f t="shared" si="55"/>
        <v>1551.2164351965821</v>
      </c>
      <c r="AT207" s="188">
        <v>0.25700000000000001</v>
      </c>
      <c r="AU207" s="238">
        <v>5.1400000000000001E-2</v>
      </c>
      <c r="AV207">
        <v>9</v>
      </c>
      <c r="AY207" t="s">
        <v>274</v>
      </c>
      <c r="AZ207" s="129">
        <v>1346.8876388545871</v>
      </c>
      <c r="BA207" t="s">
        <v>467</v>
      </c>
      <c r="BB207">
        <v>1</v>
      </c>
    </row>
    <row r="208" spans="1:55" x14ac:dyDescent="0.25">
      <c r="A208" t="s">
        <v>311</v>
      </c>
      <c r="B208">
        <v>74</v>
      </c>
      <c r="C208">
        <v>3480</v>
      </c>
      <c r="D208">
        <v>62455</v>
      </c>
      <c r="E208">
        <v>591</v>
      </c>
      <c r="F208">
        <v>0</v>
      </c>
      <c r="G208">
        <v>503</v>
      </c>
      <c r="H208">
        <v>0</v>
      </c>
      <c r="I208">
        <v>-3555</v>
      </c>
      <c r="J208">
        <v>0</v>
      </c>
      <c r="K208">
        <v>15154</v>
      </c>
      <c r="L208">
        <f>2+47</f>
        <v>49</v>
      </c>
      <c r="M208">
        <v>2248</v>
      </c>
      <c r="N208">
        <v>28082</v>
      </c>
      <c r="O208">
        <v>5231</v>
      </c>
      <c r="P208">
        <v>38076</v>
      </c>
      <c r="Q208">
        <v>5</v>
      </c>
      <c r="R208" s="207">
        <f>-47+47</f>
        <v>0</v>
      </c>
      <c r="S208">
        <v>7136</v>
      </c>
      <c r="T208">
        <v>2476</v>
      </c>
      <c r="U208">
        <f t="shared" si="42"/>
        <v>-6</v>
      </c>
      <c r="V208">
        <v>1257</v>
      </c>
      <c r="W208">
        <v>71080</v>
      </c>
      <c r="X208">
        <v>69817</v>
      </c>
      <c r="Y208">
        <f t="shared" si="43"/>
        <v>1263</v>
      </c>
      <c r="Z208">
        <v>120</v>
      </c>
      <c r="AA208">
        <v>3006213.9999999981</v>
      </c>
      <c r="AB208">
        <v>36499</v>
      </c>
      <c r="AC208" s="128">
        <v>35194.015688345651</v>
      </c>
      <c r="AD208">
        <v>25064</v>
      </c>
      <c r="AE208" t="s">
        <v>311</v>
      </c>
      <c r="AF208" s="188">
        <f t="shared" si="44"/>
        <v>-6.8936409679234663E-4</v>
      </c>
      <c r="AG208" s="188">
        <f t="shared" si="45"/>
        <v>0.41838773213280811</v>
      </c>
      <c r="AH208" s="188">
        <f t="shared" si="46"/>
        <v>7.0765334833989869E-3</v>
      </c>
      <c r="AI208" s="188">
        <f t="shared" si="47"/>
        <v>-5.0014068655036575E-2</v>
      </c>
      <c r="AJ208" s="188">
        <f t="shared" si="48"/>
        <v>0.45424676420934157</v>
      </c>
      <c r="AK208" s="188">
        <f t="shared" si="49"/>
        <v>0.34666567908549983</v>
      </c>
      <c r="AL208" s="188">
        <f t="shared" si="50"/>
        <v>1.776871131119865E-2</v>
      </c>
      <c r="AM208" s="188">
        <v>-8.36752755652104E-4</v>
      </c>
      <c r="AN208" s="188">
        <v>7.3705950690589911E-2</v>
      </c>
      <c r="AO208">
        <f t="shared" si="51"/>
        <v>1</v>
      </c>
      <c r="AP208" s="188">
        <f t="shared" si="52"/>
        <v>4.2205965109735509E-4</v>
      </c>
      <c r="AQ208" s="188">
        <f t="shared" si="53"/>
        <v>4.229338773213278E-2</v>
      </c>
      <c r="AR208" s="188">
        <f t="shared" si="54"/>
        <v>0.51349184018007876</v>
      </c>
      <c r="AS208" s="128">
        <f t="shared" si="55"/>
        <v>1404.1659626693922</v>
      </c>
      <c r="AT208" s="188">
        <v>0.19550000000000001</v>
      </c>
      <c r="AU208" s="238">
        <v>3.9100000000000003E-2</v>
      </c>
      <c r="AV208">
        <v>9.5</v>
      </c>
      <c r="AY208" t="s">
        <v>275</v>
      </c>
      <c r="AZ208" s="129">
        <v>1532.3849501180778</v>
      </c>
      <c r="BA208" t="s">
        <v>467</v>
      </c>
    </row>
    <row r="209" spans="1:55" x14ac:dyDescent="0.25">
      <c r="A209" t="s">
        <v>380</v>
      </c>
      <c r="B209">
        <v>342</v>
      </c>
      <c r="C209">
        <v>6621</v>
      </c>
      <c r="D209">
        <v>46105</v>
      </c>
      <c r="E209">
        <v>21</v>
      </c>
      <c r="F209">
        <v>0</v>
      </c>
      <c r="G209">
        <v>636</v>
      </c>
      <c r="H209">
        <v>0</v>
      </c>
      <c r="I209">
        <v>-194</v>
      </c>
      <c r="J209">
        <v>3</v>
      </c>
      <c r="K209">
        <v>9216</v>
      </c>
      <c r="L209">
        <v>311</v>
      </c>
      <c r="M209">
        <v>4231</v>
      </c>
      <c r="N209">
        <v>33650</v>
      </c>
      <c r="O209">
        <v>6597</v>
      </c>
      <c r="P209">
        <v>19174</v>
      </c>
      <c r="Q209">
        <v>80</v>
      </c>
      <c r="R209">
        <v>0</v>
      </c>
      <c r="S209">
        <v>1882</v>
      </c>
      <c r="T209">
        <v>5911</v>
      </c>
      <c r="U209">
        <f t="shared" si="42"/>
        <v>3</v>
      </c>
      <c r="V209">
        <v>-174</v>
      </c>
      <c r="W209">
        <v>43582</v>
      </c>
      <c r="X209">
        <v>43759</v>
      </c>
      <c r="Y209">
        <f t="shared" si="43"/>
        <v>-177</v>
      </c>
      <c r="Z209">
        <v>7310</v>
      </c>
      <c r="AA209">
        <v>953570.99999999907</v>
      </c>
      <c r="AB209">
        <v>28784</v>
      </c>
      <c r="AC209" s="128">
        <v>28442.763734552464</v>
      </c>
      <c r="AD209">
        <v>18842</v>
      </c>
      <c r="AE209" t="s">
        <v>380</v>
      </c>
      <c r="AF209" s="188">
        <f t="shared" si="44"/>
        <v>-7.1359735670689737E-3</v>
      </c>
      <c r="AG209" s="188">
        <f t="shared" si="45"/>
        <v>0.29032628149235923</v>
      </c>
      <c r="AH209" s="188">
        <f t="shared" si="46"/>
        <v>1.4593180670919187E-2</v>
      </c>
      <c r="AI209" s="188">
        <f t="shared" si="47"/>
        <v>-4.3825432518012023E-3</v>
      </c>
      <c r="AJ209" s="188">
        <f t="shared" si="48"/>
        <v>0.2951452434491304</v>
      </c>
      <c r="AK209" s="188">
        <f t="shared" si="49"/>
        <v>0.50004458049751832</v>
      </c>
      <c r="AL209" s="188">
        <f t="shared" si="50"/>
        <v>-4.0613097150199624E-3</v>
      </c>
      <c r="AM209" s="188">
        <v>-9.6315636785610677E-3</v>
      </c>
      <c r="AN209" s="188">
        <v>3.0616099002421737E-2</v>
      </c>
      <c r="AO209">
        <f t="shared" si="51"/>
        <v>2</v>
      </c>
      <c r="AP209" s="188">
        <f t="shared" si="52"/>
        <v>4.1932449176265429E-2</v>
      </c>
      <c r="AQ209" s="188">
        <f t="shared" si="53"/>
        <v>2.1879927493001678E-2</v>
      </c>
      <c r="AR209" s="188">
        <f t="shared" si="54"/>
        <v>0.66045615162222937</v>
      </c>
      <c r="AS209" s="128">
        <f t="shared" si="55"/>
        <v>1509.5405866974029</v>
      </c>
      <c r="AT209" s="188">
        <v>0.27</v>
      </c>
      <c r="AU209" s="238">
        <v>5.3999999999999999E-2</v>
      </c>
      <c r="AV209">
        <v>7</v>
      </c>
      <c r="AY209" t="s">
        <v>433</v>
      </c>
      <c r="AZ209" s="129">
        <v>1187.2983486906685</v>
      </c>
      <c r="BA209" t="s">
        <v>467</v>
      </c>
      <c r="BB209">
        <v>1</v>
      </c>
    </row>
    <row r="210" spans="1:55" x14ac:dyDescent="0.25">
      <c r="A210" t="s">
        <v>381</v>
      </c>
      <c r="B210">
        <v>12</v>
      </c>
      <c r="C210">
        <v>6405</v>
      </c>
      <c r="D210">
        <v>55609</v>
      </c>
      <c r="E210">
        <v>456</v>
      </c>
      <c r="F210">
        <v>0</v>
      </c>
      <c r="G210">
        <v>7</v>
      </c>
      <c r="H210">
        <v>0</v>
      </c>
      <c r="I210">
        <v>5922</v>
      </c>
      <c r="J210">
        <v>670</v>
      </c>
      <c r="K210">
        <v>10750</v>
      </c>
      <c r="L210">
        <v>240</v>
      </c>
      <c r="M210">
        <v>5808</v>
      </c>
      <c r="N210">
        <v>14019</v>
      </c>
      <c r="O210">
        <v>3508</v>
      </c>
      <c r="P210">
        <v>56981</v>
      </c>
      <c r="Q210">
        <v>0</v>
      </c>
      <c r="R210">
        <v>0</v>
      </c>
      <c r="S210">
        <v>3217</v>
      </c>
      <c r="T210">
        <v>8154</v>
      </c>
      <c r="U210">
        <f t="shared" si="42"/>
        <v>0</v>
      </c>
      <c r="V210">
        <v>1502</v>
      </c>
      <c r="W210">
        <v>71213</v>
      </c>
      <c r="X210">
        <v>69711</v>
      </c>
      <c r="Y210">
        <f t="shared" si="43"/>
        <v>1502</v>
      </c>
      <c r="Z210">
        <v>9685</v>
      </c>
      <c r="AA210">
        <v>2852688.9999999981</v>
      </c>
      <c r="AB210">
        <v>47333</v>
      </c>
      <c r="AC210" s="128">
        <v>41506.396291106394</v>
      </c>
      <c r="AD210">
        <v>26549</v>
      </c>
      <c r="AE210" t="s">
        <v>381</v>
      </c>
      <c r="AF210" s="188">
        <f t="shared" si="44"/>
        <v>-3.3701711766110122E-3</v>
      </c>
      <c r="AG210" s="188">
        <f t="shared" si="45"/>
        <v>0.72384255683653265</v>
      </c>
      <c r="AH210" s="188">
        <f t="shared" si="46"/>
        <v>9.8296659317821187E-5</v>
      </c>
      <c r="AI210" s="188">
        <f t="shared" si="47"/>
        <v>9.2567368317582457E-2</v>
      </c>
      <c r="AJ210" s="188">
        <f t="shared" si="48"/>
        <v>0.659057194613343</v>
      </c>
      <c r="AK210" s="188">
        <f t="shared" si="49"/>
        <v>0.16324130462627651</v>
      </c>
      <c r="AL210" s="188">
        <f t="shared" si="50"/>
        <v>2.1091654613623917E-2</v>
      </c>
      <c r="AM210" s="188">
        <v>-6.1785274784644476E-2</v>
      </c>
      <c r="AN210" s="188">
        <v>-7.1242289372999146E-2</v>
      </c>
      <c r="AO210">
        <f t="shared" si="51"/>
        <v>2</v>
      </c>
      <c r="AP210" s="188">
        <f t="shared" si="52"/>
        <v>3.4000112339039219E-2</v>
      </c>
      <c r="AQ210" s="188">
        <f t="shared" si="53"/>
        <v>4.0058542681813684E-2</v>
      </c>
      <c r="AR210" s="188">
        <f t="shared" si="54"/>
        <v>0.66466796792720428</v>
      </c>
      <c r="AS210" s="128">
        <f t="shared" si="55"/>
        <v>1563.3883118424949</v>
      </c>
      <c r="AT210" s="188">
        <v>0.16049999999999998</v>
      </c>
      <c r="AU210" s="238">
        <v>3.2099999999999997E-2</v>
      </c>
      <c r="AV210">
        <v>9</v>
      </c>
      <c r="AY210" t="s">
        <v>232</v>
      </c>
      <c r="AZ210" s="129">
        <v>1383.6118414502084</v>
      </c>
      <c r="BA210" t="s">
        <v>467</v>
      </c>
    </row>
    <row r="211" spans="1:55" x14ac:dyDescent="0.25">
      <c r="A211" t="s">
        <v>123</v>
      </c>
      <c r="B211">
        <v>15493</v>
      </c>
      <c r="C211">
        <v>5214</v>
      </c>
      <c r="D211">
        <v>103171</v>
      </c>
      <c r="E211">
        <v>2244</v>
      </c>
      <c r="F211">
        <v>10297</v>
      </c>
      <c r="G211">
        <v>622</v>
      </c>
      <c r="H211">
        <v>0</v>
      </c>
      <c r="I211">
        <v>5289</v>
      </c>
      <c r="J211">
        <v>0</v>
      </c>
      <c r="K211">
        <v>50800</v>
      </c>
      <c r="L211">
        <v>1093</v>
      </c>
      <c r="M211">
        <v>12268</v>
      </c>
      <c r="N211">
        <v>61030</v>
      </c>
      <c r="O211">
        <v>11219</v>
      </c>
      <c r="P211">
        <v>113253</v>
      </c>
      <c r="Q211">
        <v>1</v>
      </c>
      <c r="R211">
        <v>0</v>
      </c>
      <c r="S211">
        <v>7837</v>
      </c>
      <c r="T211">
        <v>13125</v>
      </c>
      <c r="U211">
        <f t="shared" si="42"/>
        <v>3</v>
      </c>
      <c r="V211">
        <v>11447</v>
      </c>
      <c r="W211">
        <v>168594</v>
      </c>
      <c r="X211">
        <v>157150</v>
      </c>
      <c r="Y211">
        <f t="shared" si="43"/>
        <v>11444</v>
      </c>
      <c r="Z211">
        <v>-1625</v>
      </c>
      <c r="AA211">
        <v>-4820467</v>
      </c>
      <c r="AB211">
        <v>126771</v>
      </c>
      <c r="AC211" s="128">
        <v>73211.927076678214</v>
      </c>
      <c r="AD211">
        <v>38277</v>
      </c>
      <c r="AE211" t="s">
        <v>123</v>
      </c>
      <c r="AF211" s="188">
        <f t="shared" si="44"/>
        <v>-6.483030238324021E-3</v>
      </c>
      <c r="AG211" s="188">
        <f t="shared" si="45"/>
        <v>0.35075981351649527</v>
      </c>
      <c r="AH211" s="188">
        <f t="shared" si="46"/>
        <v>6.4765056882214081E-2</v>
      </c>
      <c r="AI211" s="188">
        <f t="shared" si="47"/>
        <v>3.1371223175201968E-2</v>
      </c>
      <c r="AJ211" s="188">
        <f t="shared" si="48"/>
        <v>0.33657176411971956</v>
      </c>
      <c r="AK211" s="188">
        <f t="shared" si="49"/>
        <v>0.29559489501852615</v>
      </c>
      <c r="AL211" s="188">
        <f t="shared" si="50"/>
        <v>6.787904670391591E-2</v>
      </c>
      <c r="AM211" s="188">
        <v>-2.7645723144889656E-2</v>
      </c>
      <c r="AN211" s="188">
        <v>1.8049047485548746E-2</v>
      </c>
      <c r="AO211">
        <f t="shared" si="51"/>
        <v>1</v>
      </c>
      <c r="AP211" s="188">
        <f t="shared" si="52"/>
        <v>-2.4096349810788049E-3</v>
      </c>
      <c r="AQ211" s="188">
        <f t="shared" si="53"/>
        <v>-2.8592162235904005E-2</v>
      </c>
      <c r="AR211" s="188">
        <f t="shared" si="54"/>
        <v>0.7519306736894551</v>
      </c>
      <c r="AS211" s="128">
        <f t="shared" si="55"/>
        <v>1912.6871770692117</v>
      </c>
      <c r="AT211" s="188">
        <v>0.155</v>
      </c>
      <c r="AU211" s="238">
        <v>3.1E-2</v>
      </c>
      <c r="AV211">
        <v>7.5</v>
      </c>
      <c r="AY211" t="s">
        <v>341</v>
      </c>
      <c r="AZ211" s="129">
        <v>1380.0686086170281</v>
      </c>
      <c r="BA211" t="s">
        <v>467</v>
      </c>
    </row>
    <row r="212" spans="1:55" x14ac:dyDescent="0.25">
      <c r="A212" t="s">
        <v>195</v>
      </c>
      <c r="B212">
        <v>1498</v>
      </c>
      <c r="C212">
        <v>12666</v>
      </c>
      <c r="D212">
        <v>42734</v>
      </c>
      <c r="E212">
        <v>375</v>
      </c>
      <c r="F212">
        <v>5435</v>
      </c>
      <c r="G212">
        <v>-223</v>
      </c>
      <c r="H212">
        <v>0</v>
      </c>
      <c r="I212">
        <v>6162</v>
      </c>
      <c r="J212">
        <v>7</v>
      </c>
      <c r="K212">
        <v>6147</v>
      </c>
      <c r="L212">
        <v>4043</v>
      </c>
      <c r="M212">
        <v>7409</v>
      </c>
      <c r="N212">
        <v>35030</v>
      </c>
      <c r="O212">
        <v>14641</v>
      </c>
      <c r="P212">
        <v>15256</v>
      </c>
      <c r="Q212">
        <v>22</v>
      </c>
      <c r="R212">
        <v>5836</v>
      </c>
      <c r="S212">
        <v>3987</v>
      </c>
      <c r="T212">
        <v>11485</v>
      </c>
      <c r="U212">
        <f t="shared" si="42"/>
        <v>0</v>
      </c>
      <c r="V212">
        <v>-348</v>
      </c>
      <c r="W212">
        <v>83468</v>
      </c>
      <c r="X212">
        <v>83816</v>
      </c>
      <c r="Y212">
        <f t="shared" si="43"/>
        <v>-348</v>
      </c>
      <c r="Z212">
        <v>24842</v>
      </c>
      <c r="AA212">
        <v>1316118.9999999991</v>
      </c>
      <c r="AB212">
        <v>40887</v>
      </c>
      <c r="AC212" s="128">
        <v>52038.678632176743</v>
      </c>
      <c r="AD212">
        <v>23760</v>
      </c>
      <c r="AE212" t="s">
        <v>195</v>
      </c>
      <c r="AF212" s="188">
        <f t="shared" si="44"/>
        <v>2.1481286241433844E-2</v>
      </c>
      <c r="AG212" s="188">
        <f t="shared" si="45"/>
        <v>0.16503330617721762</v>
      </c>
      <c r="AH212" s="188">
        <f t="shared" si="46"/>
        <v>6.2443091963387168E-2</v>
      </c>
      <c r="AI212" s="188">
        <f t="shared" si="47"/>
        <v>7.390856376096229E-2</v>
      </c>
      <c r="AJ212" s="188">
        <f t="shared" si="48"/>
        <v>0.12079048258015047</v>
      </c>
      <c r="AK212" s="188">
        <f t="shared" si="49"/>
        <v>0.40611196772435859</v>
      </c>
      <c r="AL212" s="188">
        <f t="shared" si="50"/>
        <v>-4.1692624718454975E-3</v>
      </c>
      <c r="AM212" s="188">
        <v>-4.8452163573824793E-2</v>
      </c>
      <c r="AN212" s="188">
        <v>-1.7089569611239679E-2</v>
      </c>
      <c r="AO212">
        <f t="shared" si="51"/>
        <v>3</v>
      </c>
      <c r="AP212" s="188">
        <f t="shared" si="52"/>
        <v>7.4405760291369152E-2</v>
      </c>
      <c r="AQ212" s="188">
        <f t="shared" si="53"/>
        <v>1.5767946997651782E-2</v>
      </c>
      <c r="AR212" s="188">
        <f t="shared" si="54"/>
        <v>0.48985239852398527</v>
      </c>
      <c r="AS212" s="128">
        <f t="shared" si="55"/>
        <v>2190.1800771118155</v>
      </c>
      <c r="AT212" s="188">
        <v>0.193</v>
      </c>
      <c r="AU212" s="238">
        <v>3.8600000000000002E-2</v>
      </c>
      <c r="AV212">
        <v>6</v>
      </c>
      <c r="AY212" t="s">
        <v>394</v>
      </c>
      <c r="AZ212" s="129">
        <v>1645.692643883935</v>
      </c>
      <c r="BA212" t="s">
        <v>467</v>
      </c>
    </row>
    <row r="213" spans="1:55" x14ac:dyDescent="0.25">
      <c r="A213" t="s">
        <v>153</v>
      </c>
      <c r="B213">
        <v>40</v>
      </c>
      <c r="C213">
        <v>12815</v>
      </c>
      <c r="D213">
        <v>75040</v>
      </c>
      <c r="E213">
        <v>818</v>
      </c>
      <c r="F213">
        <v>0</v>
      </c>
      <c r="G213">
        <v>4907</v>
      </c>
      <c r="H213">
        <v>438</v>
      </c>
      <c r="I213">
        <v>576</v>
      </c>
      <c r="J213">
        <v>-7</v>
      </c>
      <c r="K213">
        <v>8654</v>
      </c>
      <c r="L213" s="207">
        <f>-2359+2359</f>
        <v>0</v>
      </c>
      <c r="M213">
        <v>865</v>
      </c>
      <c r="N213">
        <v>35901</v>
      </c>
      <c r="O213">
        <v>10637</v>
      </c>
      <c r="P213">
        <v>39888</v>
      </c>
      <c r="Q213">
        <v>0</v>
      </c>
      <c r="R213">
        <f>2359</f>
        <v>2359</v>
      </c>
      <c r="S213">
        <v>7540</v>
      </c>
      <c r="T213">
        <v>7819</v>
      </c>
      <c r="U213">
        <f t="shared" si="42"/>
        <v>1</v>
      </c>
      <c r="V213">
        <v>817</v>
      </c>
      <c r="W213">
        <v>120756</v>
      </c>
      <c r="X213">
        <v>119940</v>
      </c>
      <c r="Y213">
        <f t="shared" si="43"/>
        <v>816</v>
      </c>
      <c r="Z213">
        <v>-13295</v>
      </c>
      <c r="AA213">
        <v>1421999.9999999981</v>
      </c>
      <c r="AB213">
        <v>69514</v>
      </c>
      <c r="AC213" s="128">
        <v>69964.270079113106</v>
      </c>
      <c r="AD213">
        <v>31701</v>
      </c>
      <c r="AE213" t="s">
        <v>153</v>
      </c>
      <c r="AF213" s="188">
        <f t="shared" si="44"/>
        <v>1.953526118784988E-2</v>
      </c>
      <c r="AG213" s="188">
        <f t="shared" si="45"/>
        <v>0.35395342674484082</v>
      </c>
      <c r="AH213" s="188">
        <f t="shared" si="46"/>
        <v>4.0635661996091289E-2</v>
      </c>
      <c r="AI213" s="188">
        <f t="shared" si="47"/>
        <v>4.7119811851999071E-3</v>
      </c>
      <c r="AJ213" s="188">
        <f t="shared" si="48"/>
        <v>0.35553131935473181</v>
      </c>
      <c r="AK213" s="188">
        <f t="shared" si="49"/>
        <v>0.34472461207558763</v>
      </c>
      <c r="AL213" s="188">
        <f t="shared" si="50"/>
        <v>6.7574282023253503E-3</v>
      </c>
      <c r="AM213" s="188">
        <v>-5.3657299480106516E-2</v>
      </c>
      <c r="AN213" s="188">
        <v>-0.14865731654779571</v>
      </c>
      <c r="AO213">
        <f t="shared" si="51"/>
        <v>2</v>
      </c>
      <c r="AP213" s="188">
        <f t="shared" si="52"/>
        <v>-2.7524512239557455E-2</v>
      </c>
      <c r="AQ213" s="188">
        <f t="shared" si="53"/>
        <v>1.1775812381993427E-2</v>
      </c>
      <c r="AR213" s="188">
        <f t="shared" si="54"/>
        <v>0.5756566961476034</v>
      </c>
      <c r="AS213" s="128">
        <f t="shared" si="55"/>
        <v>2207.0051442892373</v>
      </c>
      <c r="AT213" s="188">
        <v>0.20850000000000002</v>
      </c>
      <c r="AU213" s="238">
        <v>4.1700000000000001E-2</v>
      </c>
      <c r="AV213">
        <v>7</v>
      </c>
      <c r="AY213" t="s">
        <v>605</v>
      </c>
      <c r="AZ213" s="129">
        <v>2346.1286318440275</v>
      </c>
      <c r="BA213" t="s">
        <v>467</v>
      </c>
      <c r="BC213">
        <v>1</v>
      </c>
    </row>
    <row r="214" spans="1:55" x14ac:dyDescent="0.25">
      <c r="A214" t="s">
        <v>154</v>
      </c>
      <c r="B214">
        <v>194</v>
      </c>
      <c r="C214">
        <v>4446</v>
      </c>
      <c r="D214">
        <v>32943</v>
      </c>
      <c r="E214">
        <v>74</v>
      </c>
      <c r="F214">
        <v>6593</v>
      </c>
      <c r="G214">
        <v>1962</v>
      </c>
      <c r="H214">
        <v>0</v>
      </c>
      <c r="I214">
        <v>2315</v>
      </c>
      <c r="J214">
        <v>1</v>
      </c>
      <c r="K214">
        <v>1181</v>
      </c>
      <c r="L214">
        <v>1813</v>
      </c>
      <c r="M214">
        <v>3247</v>
      </c>
      <c r="N214">
        <v>13059</v>
      </c>
      <c r="O214">
        <v>5452</v>
      </c>
      <c r="P214">
        <v>25293</v>
      </c>
      <c r="Q214">
        <v>1</v>
      </c>
      <c r="R214">
        <v>0</v>
      </c>
      <c r="S214">
        <v>3423</v>
      </c>
      <c r="T214">
        <v>7541</v>
      </c>
      <c r="U214">
        <f t="shared" si="42"/>
        <v>-1</v>
      </c>
      <c r="V214">
        <v>-2066</v>
      </c>
      <c r="W214">
        <v>48169</v>
      </c>
      <c r="X214">
        <v>50234</v>
      </c>
      <c r="Y214">
        <f t="shared" si="43"/>
        <v>-2065</v>
      </c>
      <c r="Z214">
        <v>-3544</v>
      </c>
      <c r="AA214">
        <v>459123</v>
      </c>
      <c r="AB214">
        <v>32251</v>
      </c>
      <c r="AC214" s="128">
        <v>30396.661784304371</v>
      </c>
      <c r="AD214">
        <v>18361</v>
      </c>
      <c r="AE214" t="s">
        <v>154</v>
      </c>
      <c r="AF214" s="188">
        <f t="shared" si="44"/>
        <v>-3.7638315098922542E-2</v>
      </c>
      <c r="AG214" s="188">
        <f t="shared" si="45"/>
        <v>0.44555627063048847</v>
      </c>
      <c r="AH214" s="188">
        <f t="shared" si="46"/>
        <v>0.17760385310054183</v>
      </c>
      <c r="AI214" s="188">
        <f t="shared" si="47"/>
        <v>4.8080715813074798E-2</v>
      </c>
      <c r="AJ214" s="188">
        <f t="shared" si="48"/>
        <v>0.43321223193340114</v>
      </c>
      <c r="AK214" s="188">
        <f t="shared" si="49"/>
        <v>0.23843780240647081</v>
      </c>
      <c r="AL214" s="188">
        <f t="shared" si="50"/>
        <v>-4.2869895575992856E-2</v>
      </c>
      <c r="AM214" s="188">
        <v>-3.8833904737262004E-2</v>
      </c>
      <c r="AN214" s="188">
        <v>-2.8883138681026644E-2</v>
      </c>
      <c r="AO214">
        <f t="shared" si="51"/>
        <v>3</v>
      </c>
      <c r="AP214" s="188">
        <f t="shared" si="52"/>
        <v>-1.8393572629699598E-2</v>
      </c>
      <c r="AQ214" s="188">
        <f t="shared" si="53"/>
        <v>9.5315036641823586E-3</v>
      </c>
      <c r="AR214" s="188">
        <f t="shared" si="54"/>
        <v>0.66953849986505842</v>
      </c>
      <c r="AS214" s="128">
        <f t="shared" si="55"/>
        <v>1655.5014315290221</v>
      </c>
      <c r="AT214" s="188">
        <v>0.31950000000000001</v>
      </c>
      <c r="AU214" s="238">
        <v>6.3899999999999998E-2</v>
      </c>
      <c r="AV214">
        <v>6</v>
      </c>
      <c r="AY214" t="s">
        <v>427</v>
      </c>
      <c r="AZ214" s="129">
        <v>1302.6139453786411</v>
      </c>
      <c r="BA214" t="s">
        <v>467</v>
      </c>
      <c r="BB214">
        <v>1</v>
      </c>
    </row>
    <row r="215" spans="1:55" x14ac:dyDescent="0.25">
      <c r="A215" t="s">
        <v>155</v>
      </c>
      <c r="B215">
        <v>1613</v>
      </c>
      <c r="C215">
        <v>3537</v>
      </c>
      <c r="D215">
        <v>24948</v>
      </c>
      <c r="E215">
        <v>474</v>
      </c>
      <c r="F215">
        <v>3155</v>
      </c>
      <c r="G215">
        <v>425</v>
      </c>
      <c r="H215">
        <v>0</v>
      </c>
      <c r="I215">
        <v>15036</v>
      </c>
      <c r="J215">
        <v>0</v>
      </c>
      <c r="K215">
        <v>5621</v>
      </c>
      <c r="L215">
        <v>14895</v>
      </c>
      <c r="M215">
        <v>2889</v>
      </c>
      <c r="N215">
        <v>19272</v>
      </c>
      <c r="O215">
        <v>9461</v>
      </c>
      <c r="P215">
        <v>33071</v>
      </c>
      <c r="Q215">
        <v>0</v>
      </c>
      <c r="R215">
        <v>0</v>
      </c>
      <c r="S215">
        <v>3729</v>
      </c>
      <c r="T215">
        <v>7059</v>
      </c>
      <c r="U215">
        <f t="shared" si="42"/>
        <v>-4</v>
      </c>
      <c r="V215">
        <v>2067</v>
      </c>
      <c r="W215">
        <v>61900</v>
      </c>
      <c r="X215">
        <v>59829</v>
      </c>
      <c r="Y215">
        <f t="shared" si="43"/>
        <v>2071</v>
      </c>
      <c r="Z215">
        <v>-1626</v>
      </c>
      <c r="AA215">
        <v>1596827.9999999991</v>
      </c>
      <c r="AB215">
        <v>35966</v>
      </c>
      <c r="AC215" s="128">
        <v>31763.908042931966</v>
      </c>
      <c r="AD215">
        <v>18295</v>
      </c>
      <c r="AE215" t="s">
        <v>155</v>
      </c>
      <c r="AF215" s="188">
        <f t="shared" si="44"/>
        <v>-0.24063004846526656</v>
      </c>
      <c r="AG215" s="188">
        <f t="shared" si="45"/>
        <v>0.27260096930533118</v>
      </c>
      <c r="AH215" s="188">
        <f t="shared" si="46"/>
        <v>5.7835218093699514E-2</v>
      </c>
      <c r="AI215" s="188">
        <f t="shared" si="47"/>
        <v>0.24290791599353798</v>
      </c>
      <c r="AJ215" s="188">
        <f t="shared" si="48"/>
        <v>0.10950565428109857</v>
      </c>
      <c r="AK215" s="188">
        <f t="shared" si="49"/>
        <v>0.265483799867754</v>
      </c>
      <c r="AL215" s="188">
        <f t="shared" si="50"/>
        <v>3.3457189014539583E-2</v>
      </c>
      <c r="AM215" s="188">
        <v>5.2687372140598848E-2</v>
      </c>
      <c r="AN215" s="188">
        <v>8.4445185679341783E-2</v>
      </c>
      <c r="AO215">
        <f t="shared" si="51"/>
        <v>0</v>
      </c>
      <c r="AP215" s="188">
        <f t="shared" si="52"/>
        <v>-6.5670436187399029E-3</v>
      </c>
      <c r="AQ215" s="188">
        <f t="shared" si="53"/>
        <v>2.579689822294021E-2</v>
      </c>
      <c r="AR215" s="188">
        <f t="shared" si="54"/>
        <v>0.58103392568659129</v>
      </c>
      <c r="AS215" s="128">
        <f t="shared" si="55"/>
        <v>1736.2070534535101</v>
      </c>
      <c r="AT215" s="188">
        <v>0.26650000000000001</v>
      </c>
      <c r="AU215" s="238">
        <v>5.33E-2</v>
      </c>
      <c r="AV215">
        <v>8</v>
      </c>
      <c r="AY215" t="s">
        <v>321</v>
      </c>
      <c r="AZ215" s="129">
        <v>1554.9351650288841</v>
      </c>
      <c r="BA215" t="s">
        <v>467</v>
      </c>
    </row>
    <row r="216" spans="1:55" x14ac:dyDescent="0.25">
      <c r="A216" t="s">
        <v>196</v>
      </c>
      <c r="B216">
        <v>8042</v>
      </c>
      <c r="C216">
        <v>17046</v>
      </c>
      <c r="D216">
        <v>83662</v>
      </c>
      <c r="E216">
        <v>617</v>
      </c>
      <c r="F216">
        <v>-8</v>
      </c>
      <c r="G216">
        <v>8828</v>
      </c>
      <c r="H216">
        <v>0</v>
      </c>
      <c r="I216">
        <v>960</v>
      </c>
      <c r="J216">
        <v>1495</v>
      </c>
      <c r="K216">
        <v>1260</v>
      </c>
      <c r="L216" s="207">
        <f>-2219+2219</f>
        <v>0</v>
      </c>
      <c r="M216">
        <v>10066</v>
      </c>
      <c r="N216">
        <v>43747</v>
      </c>
      <c r="O216">
        <v>12120</v>
      </c>
      <c r="P216">
        <v>64284</v>
      </c>
      <c r="Q216">
        <v>13</v>
      </c>
      <c r="R216">
        <f>2219</f>
        <v>2219</v>
      </c>
      <c r="S216">
        <v>1475</v>
      </c>
      <c r="T216">
        <v>8110</v>
      </c>
      <c r="U216">
        <f t="shared" si="42"/>
        <v>7</v>
      </c>
      <c r="V216">
        <v>-1148</v>
      </c>
      <c r="W216">
        <v>78038</v>
      </c>
      <c r="X216">
        <v>79193</v>
      </c>
      <c r="Y216">
        <f t="shared" si="43"/>
        <v>-1155</v>
      </c>
      <c r="Z216">
        <v>17237</v>
      </c>
      <c r="AA216">
        <v>2051700.9999999991</v>
      </c>
      <c r="AB216">
        <v>59002</v>
      </c>
      <c r="AC216" s="128">
        <v>43462.437694889508</v>
      </c>
      <c r="AD216">
        <v>29574</v>
      </c>
      <c r="AE216" t="s">
        <v>196</v>
      </c>
      <c r="AF216" s="188">
        <f t="shared" si="44"/>
        <v>2.8434865065737204E-2</v>
      </c>
      <c r="AG216" s="188">
        <f t="shared" si="45"/>
        <v>0.71702247622952919</v>
      </c>
      <c r="AH216" s="188">
        <f t="shared" si="46"/>
        <v>0.11302186114457059</v>
      </c>
      <c r="AI216" s="188">
        <f t="shared" si="47"/>
        <v>3.1459032778902586E-2</v>
      </c>
      <c r="AJ216" s="188">
        <f t="shared" si="48"/>
        <v>0.70856377662164582</v>
      </c>
      <c r="AK216" s="188">
        <f t="shared" si="49"/>
        <v>0.3314970295829292</v>
      </c>
      <c r="AL216" s="188">
        <f t="shared" si="50"/>
        <v>-1.4800481816550911E-2</v>
      </c>
      <c r="AM216" s="188">
        <v>-7.3357198357198353E-2</v>
      </c>
      <c r="AN216" s="188">
        <v>-2.8465639398115281E-2</v>
      </c>
      <c r="AO216">
        <f t="shared" si="51"/>
        <v>3</v>
      </c>
      <c r="AP216" s="188">
        <f t="shared" si="52"/>
        <v>5.5219892872703041E-2</v>
      </c>
      <c r="AQ216" s="188">
        <f t="shared" si="53"/>
        <v>2.6291050513852214E-2</v>
      </c>
      <c r="AR216" s="188">
        <f t="shared" si="54"/>
        <v>0.75606755683128735</v>
      </c>
      <c r="AS216" s="128">
        <f t="shared" si="55"/>
        <v>1469.616477138348</v>
      </c>
      <c r="AT216" s="188">
        <v>0.28699999999999998</v>
      </c>
      <c r="AU216" s="238">
        <v>5.74E-2</v>
      </c>
      <c r="AV216">
        <v>4.5</v>
      </c>
      <c r="AY216" t="s">
        <v>205</v>
      </c>
      <c r="AZ216" s="129">
        <v>1660.8952803770226</v>
      </c>
      <c r="BA216" t="s">
        <v>467</v>
      </c>
    </row>
    <row r="217" spans="1:55" x14ac:dyDescent="0.25">
      <c r="A217" t="s">
        <v>382</v>
      </c>
      <c r="B217">
        <v>3382</v>
      </c>
      <c r="C217">
        <v>18729</v>
      </c>
      <c r="D217">
        <v>189118</v>
      </c>
      <c r="E217">
        <v>2522</v>
      </c>
      <c r="F217">
        <v>14679</v>
      </c>
      <c r="G217">
        <v>3319</v>
      </c>
      <c r="H217">
        <v>20</v>
      </c>
      <c r="I217">
        <v>12397</v>
      </c>
      <c r="J217">
        <v>4</v>
      </c>
      <c r="K217">
        <v>9925</v>
      </c>
      <c r="L217">
        <v>4234</v>
      </c>
      <c r="M217">
        <v>14507</v>
      </c>
      <c r="N217">
        <v>154464</v>
      </c>
      <c r="O217">
        <v>7030</v>
      </c>
      <c r="P217">
        <v>70679</v>
      </c>
      <c r="Q217">
        <v>0</v>
      </c>
      <c r="R217">
        <v>15000</v>
      </c>
      <c r="S217">
        <v>12145</v>
      </c>
      <c r="T217">
        <v>13516</v>
      </c>
      <c r="U217">
        <f t="shared" si="42"/>
        <v>-2</v>
      </c>
      <c r="V217">
        <v>7528</v>
      </c>
      <c r="W217">
        <v>170589</v>
      </c>
      <c r="X217">
        <v>163059</v>
      </c>
      <c r="Y217">
        <f t="shared" si="43"/>
        <v>7530</v>
      </c>
      <c r="Z217">
        <v>20567</v>
      </c>
      <c r="AA217">
        <v>5448603</v>
      </c>
      <c r="AB217">
        <v>115997</v>
      </c>
      <c r="AC217" s="128">
        <v>82978.074940608916</v>
      </c>
      <c r="AD217">
        <v>56206</v>
      </c>
      <c r="AE217" t="s">
        <v>382</v>
      </c>
      <c r="AF217" s="188">
        <f t="shared" si="44"/>
        <v>6.3110751572492949E-2</v>
      </c>
      <c r="AG217" s="188">
        <f t="shared" si="45"/>
        <v>0.37901623199620138</v>
      </c>
      <c r="AH217" s="188">
        <f t="shared" si="46"/>
        <v>0.1055050442877325</v>
      </c>
      <c r="AI217" s="188">
        <f t="shared" si="47"/>
        <v>7.2695191366383527E-2</v>
      </c>
      <c r="AJ217" s="188">
        <f t="shared" si="48"/>
        <v>0.3407902033542608</v>
      </c>
      <c r="AK217" s="188">
        <f t="shared" si="49"/>
        <v>0.56614644802334024</v>
      </c>
      <c r="AL217" s="188">
        <f t="shared" si="50"/>
        <v>4.414118143608322E-2</v>
      </c>
      <c r="AM217" s="188">
        <v>2.2504904915173819E-3</v>
      </c>
      <c r="AN217" s="188">
        <v>-2.5909557156787014E-2</v>
      </c>
      <c r="AO217">
        <f t="shared" si="51"/>
        <v>1</v>
      </c>
      <c r="AP217" s="188">
        <f t="shared" si="52"/>
        <v>3.0141157987912469E-2</v>
      </c>
      <c r="AQ217" s="188">
        <f t="shared" si="53"/>
        <v>3.1939943372667638E-2</v>
      </c>
      <c r="AR217" s="188">
        <f t="shared" si="54"/>
        <v>0.67997936560974037</v>
      </c>
      <c r="AS217" s="128">
        <f t="shared" si="55"/>
        <v>1476.3205874925973</v>
      </c>
      <c r="AT217" s="188">
        <v>0.13500000000000001</v>
      </c>
      <c r="AU217" s="238">
        <v>2.7E-2</v>
      </c>
      <c r="AV217">
        <v>9</v>
      </c>
      <c r="AY217" t="s">
        <v>396</v>
      </c>
      <c r="AZ217" s="129">
        <v>1256.6481203242563</v>
      </c>
      <c r="BA217" t="s">
        <v>467</v>
      </c>
      <c r="BB217">
        <v>1</v>
      </c>
    </row>
    <row r="218" spans="1:55" x14ac:dyDescent="0.25">
      <c r="A218" t="s">
        <v>133</v>
      </c>
      <c r="B218">
        <v>1473</v>
      </c>
      <c r="C218">
        <v>1990</v>
      </c>
      <c r="D218">
        <v>58700</v>
      </c>
      <c r="E218">
        <v>148</v>
      </c>
      <c r="F218">
        <v>2574</v>
      </c>
      <c r="G218">
        <v>1944</v>
      </c>
      <c r="H218">
        <v>0</v>
      </c>
      <c r="I218">
        <v>2749</v>
      </c>
      <c r="J218">
        <v>0</v>
      </c>
      <c r="K218">
        <v>18352</v>
      </c>
      <c r="L218">
        <v>472</v>
      </c>
      <c r="M218" s="207">
        <f>-3345+3345</f>
        <v>0</v>
      </c>
      <c r="N218">
        <v>32074</v>
      </c>
      <c r="O218">
        <v>10817</v>
      </c>
      <c r="P218">
        <v>38874</v>
      </c>
      <c r="Q218">
        <v>0</v>
      </c>
      <c r="R218">
        <v>0</v>
      </c>
      <c r="S218">
        <v>492</v>
      </c>
      <c r="T218">
        <f>2799+3345</f>
        <v>6144</v>
      </c>
      <c r="U218">
        <f t="shared" si="42"/>
        <v>-2</v>
      </c>
      <c r="V218">
        <v>4315</v>
      </c>
      <c r="W218">
        <v>78675</v>
      </c>
      <c r="X218">
        <v>74358</v>
      </c>
      <c r="Y218">
        <f t="shared" si="43"/>
        <v>4317</v>
      </c>
      <c r="Z218">
        <v>-457</v>
      </c>
      <c r="AA218">
        <v>3194902</v>
      </c>
      <c r="AB218">
        <v>57378</v>
      </c>
      <c r="AC218" s="128">
        <v>47321.448528817826</v>
      </c>
      <c r="AD218">
        <v>25464</v>
      </c>
      <c r="AE218" t="s">
        <v>133</v>
      </c>
      <c r="AF218" s="188">
        <f t="shared" si="44"/>
        <v>-5.99936447410232E-3</v>
      </c>
      <c r="AG218" s="188">
        <f t="shared" si="45"/>
        <v>0.28176676199555134</v>
      </c>
      <c r="AH218" s="188">
        <f t="shared" si="46"/>
        <v>5.7426120114394665E-2</v>
      </c>
      <c r="AI218" s="188">
        <f t="shared" si="47"/>
        <v>3.4941213854464567E-2</v>
      </c>
      <c r="AJ218" s="188">
        <f t="shared" si="48"/>
        <v>0.26419904671115352</v>
      </c>
      <c r="AK218" s="188">
        <f t="shared" si="49"/>
        <v>0.36282394995531725</v>
      </c>
      <c r="AL218" s="188">
        <f t="shared" si="50"/>
        <v>5.4871306005719732E-2</v>
      </c>
      <c r="AM218" s="188">
        <v>-3.6744252057905193E-2</v>
      </c>
      <c r="AN218" s="188">
        <v>1.2531900029939693E-2</v>
      </c>
      <c r="AO218">
        <f t="shared" si="51"/>
        <v>1</v>
      </c>
      <c r="AP218" s="188">
        <f t="shared" si="52"/>
        <v>-1.4521766761995552E-3</v>
      </c>
      <c r="AQ218" s="188">
        <f t="shared" si="53"/>
        <v>4.0608859231013664E-2</v>
      </c>
      <c r="AR218" s="188">
        <f t="shared" si="54"/>
        <v>0.72930409914204009</v>
      </c>
      <c r="AS218" s="128">
        <f t="shared" si="55"/>
        <v>1858.3666560170368</v>
      </c>
      <c r="AT218" s="188">
        <v>0.18100000000000002</v>
      </c>
      <c r="AU218" s="238">
        <v>3.6200000000000003E-2</v>
      </c>
      <c r="AV218">
        <v>8.5</v>
      </c>
      <c r="AY218" t="s">
        <v>322</v>
      </c>
      <c r="AZ218" s="129">
        <v>1350.0086274665362</v>
      </c>
      <c r="BA218" t="s">
        <v>467</v>
      </c>
      <c r="BB218">
        <v>1</v>
      </c>
    </row>
    <row r="219" spans="1:55" x14ac:dyDescent="0.25">
      <c r="A219" t="s">
        <v>267</v>
      </c>
      <c r="B219">
        <v>835</v>
      </c>
      <c r="C219">
        <v>1326</v>
      </c>
      <c r="D219">
        <v>30588</v>
      </c>
      <c r="E219">
        <v>1213</v>
      </c>
      <c r="F219">
        <v>0</v>
      </c>
      <c r="G219">
        <v>534</v>
      </c>
      <c r="H219">
        <v>0</v>
      </c>
      <c r="I219">
        <v>28</v>
      </c>
      <c r="J219">
        <v>0</v>
      </c>
      <c r="K219">
        <v>4592</v>
      </c>
      <c r="L219">
        <v>6</v>
      </c>
      <c r="M219">
        <v>69</v>
      </c>
      <c r="N219">
        <v>3793</v>
      </c>
      <c r="O219">
        <v>2708</v>
      </c>
      <c r="P219">
        <v>26588</v>
      </c>
      <c r="Q219">
        <v>9</v>
      </c>
      <c r="R219">
        <v>2020</v>
      </c>
      <c r="S219">
        <v>1851</v>
      </c>
      <c r="T219">
        <v>2222</v>
      </c>
      <c r="U219">
        <f t="shared" si="42"/>
        <v>17</v>
      </c>
      <c r="V219">
        <v>-1632</v>
      </c>
      <c r="W219">
        <v>23946</v>
      </c>
      <c r="X219">
        <v>25595</v>
      </c>
      <c r="Y219">
        <f t="shared" si="43"/>
        <v>-1649</v>
      </c>
      <c r="Z219">
        <v>14</v>
      </c>
      <c r="AA219">
        <v>1362931.9999999995</v>
      </c>
      <c r="AB219">
        <v>16095</v>
      </c>
      <c r="AC219" s="128">
        <v>15279.197620058163</v>
      </c>
      <c r="AD219">
        <v>9689</v>
      </c>
      <c r="AE219" t="s">
        <v>267</v>
      </c>
      <c r="AF219" s="188">
        <f t="shared" si="44"/>
        <v>8.4105904952810492E-2</v>
      </c>
      <c r="AG219" s="188">
        <f t="shared" si="45"/>
        <v>1.1479579052868956</v>
      </c>
      <c r="AH219" s="188">
        <f t="shared" si="46"/>
        <v>2.2300175394637935E-2</v>
      </c>
      <c r="AI219" s="188">
        <f t="shared" si="47"/>
        <v>1.1692975862356971E-3</v>
      </c>
      <c r="AJ219" s="188">
        <f t="shared" si="48"/>
        <v>1.1498154180238873</v>
      </c>
      <c r="AK219" s="188">
        <f t="shared" si="49"/>
        <v>9.6782424536245568E-2</v>
      </c>
      <c r="AL219" s="188">
        <f t="shared" si="50"/>
        <v>-6.8863275703666585E-2</v>
      </c>
      <c r="AM219" s="188">
        <v>1.8334674894911009E-2</v>
      </c>
      <c r="AN219" s="188">
        <v>-2.3390289643675767E-2</v>
      </c>
      <c r="AO219">
        <f t="shared" si="51"/>
        <v>2</v>
      </c>
      <c r="AP219" s="188">
        <f t="shared" si="52"/>
        <v>1.4616219827946213E-4</v>
      </c>
      <c r="AQ219" s="188">
        <f t="shared" si="53"/>
        <v>5.6916896350121086E-2</v>
      </c>
      <c r="AR219" s="188">
        <f t="shared" si="54"/>
        <v>0.67213730894512658</v>
      </c>
      <c r="AS219" s="128">
        <f t="shared" si="55"/>
        <v>1576.9633212981898</v>
      </c>
      <c r="AT219" s="188">
        <v>0.27400000000000002</v>
      </c>
      <c r="AU219" s="238">
        <v>5.4800000000000001E-2</v>
      </c>
      <c r="AV219">
        <v>5.5</v>
      </c>
      <c r="AY219" t="s">
        <v>323</v>
      </c>
      <c r="AZ219" s="129">
        <v>1660.4446106844869</v>
      </c>
      <c r="BA219" t="s">
        <v>467</v>
      </c>
    </row>
    <row r="220" spans="1:55" x14ac:dyDescent="0.25">
      <c r="A220" t="s">
        <v>268</v>
      </c>
      <c r="B220">
        <v>542</v>
      </c>
      <c r="C220">
        <v>2333</v>
      </c>
      <c r="D220">
        <v>39509</v>
      </c>
      <c r="E220">
        <v>58</v>
      </c>
      <c r="F220">
        <v>145</v>
      </c>
      <c r="G220">
        <v>1284</v>
      </c>
      <c r="H220">
        <v>0</v>
      </c>
      <c r="I220">
        <v>1357</v>
      </c>
      <c r="J220">
        <v>0</v>
      </c>
      <c r="K220">
        <v>27883</v>
      </c>
      <c r="L220">
        <v>131</v>
      </c>
      <c r="M220">
        <v>2493</v>
      </c>
      <c r="N220">
        <v>48217</v>
      </c>
      <c r="O220">
        <v>6528</v>
      </c>
      <c r="P220">
        <v>16076</v>
      </c>
      <c r="Q220">
        <v>2</v>
      </c>
      <c r="R220">
        <v>0</v>
      </c>
      <c r="S220">
        <v>1122</v>
      </c>
      <c r="T220">
        <v>3788</v>
      </c>
      <c r="U220">
        <f t="shared" si="42"/>
        <v>-10</v>
      </c>
      <c r="V220">
        <v>4015</v>
      </c>
      <c r="W220">
        <v>36123</v>
      </c>
      <c r="X220">
        <v>32098</v>
      </c>
      <c r="Y220">
        <f t="shared" si="43"/>
        <v>4025</v>
      </c>
      <c r="Z220">
        <v>-420</v>
      </c>
      <c r="AA220">
        <v>1311900.9999999995</v>
      </c>
      <c r="AB220">
        <v>18248</v>
      </c>
      <c r="AC220" s="128">
        <v>21031.16727658391</v>
      </c>
      <c r="AD220">
        <v>12009</v>
      </c>
      <c r="AE220" t="s">
        <v>268</v>
      </c>
      <c r="AF220" s="188">
        <f t="shared" si="44"/>
        <v>-3.6264983528499846E-3</v>
      </c>
      <c r="AG220" s="188">
        <f t="shared" si="45"/>
        <v>-0.30307560280153917</v>
      </c>
      <c r="AH220" s="188">
        <f t="shared" si="46"/>
        <v>3.9559283558951358E-2</v>
      </c>
      <c r="AI220" s="188">
        <f t="shared" si="47"/>
        <v>3.756609362456053E-2</v>
      </c>
      <c r="AJ220" s="188">
        <f t="shared" si="48"/>
        <v>-0.32462475431165738</v>
      </c>
      <c r="AK220" s="188">
        <f t="shared" si="49"/>
        <v>0.63667093605165515</v>
      </c>
      <c r="AL220" s="188">
        <f t="shared" si="50"/>
        <v>0.11142485397115411</v>
      </c>
      <c r="AM220" s="188">
        <v>-3.0075828576297179E-2</v>
      </c>
      <c r="AN220" s="188">
        <v>5.5084375273235986E-3</v>
      </c>
      <c r="AO220">
        <f t="shared" si="51"/>
        <v>1</v>
      </c>
      <c r="AP220" s="188">
        <f t="shared" si="52"/>
        <v>-2.9067353209866289E-3</v>
      </c>
      <c r="AQ220" s="188">
        <f t="shared" si="53"/>
        <v>3.6317609279406457E-2</v>
      </c>
      <c r="AR220" s="188">
        <f t="shared" si="54"/>
        <v>0.50516291559394289</v>
      </c>
      <c r="AS220" s="128">
        <f t="shared" si="55"/>
        <v>1751.2838101910158</v>
      </c>
      <c r="AT220" s="188">
        <v>0.1215</v>
      </c>
      <c r="AU220" s="238">
        <v>2.4299999999999999E-2</v>
      </c>
      <c r="AV220">
        <v>8</v>
      </c>
      <c r="AY220" t="s">
        <v>277</v>
      </c>
      <c r="AZ220" s="129">
        <v>1878.413567586929</v>
      </c>
      <c r="BA220" t="s">
        <v>467</v>
      </c>
      <c r="BC220">
        <v>1</v>
      </c>
    </row>
    <row r="221" spans="1:55" x14ac:dyDescent="0.25">
      <c r="A221" t="s">
        <v>134</v>
      </c>
      <c r="B221">
        <v>1052</v>
      </c>
      <c r="C221">
        <v>10826</v>
      </c>
      <c r="D221">
        <v>54316</v>
      </c>
      <c r="E221">
        <v>260</v>
      </c>
      <c r="F221">
        <v>0</v>
      </c>
      <c r="G221">
        <v>232</v>
      </c>
      <c r="H221">
        <v>0</v>
      </c>
      <c r="I221">
        <v>430</v>
      </c>
      <c r="J221">
        <v>0</v>
      </c>
      <c r="K221">
        <v>25965</v>
      </c>
      <c r="L221">
        <v>621</v>
      </c>
      <c r="M221">
        <v>4464</v>
      </c>
      <c r="N221">
        <v>25364</v>
      </c>
      <c r="O221">
        <v>15995</v>
      </c>
      <c r="P221">
        <v>44400</v>
      </c>
      <c r="Q221">
        <v>0</v>
      </c>
      <c r="R221">
        <v>0</v>
      </c>
      <c r="S221">
        <v>1138</v>
      </c>
      <c r="T221">
        <v>11270</v>
      </c>
      <c r="U221">
        <f t="shared" si="42"/>
        <v>0</v>
      </c>
      <c r="V221">
        <v>2366</v>
      </c>
      <c r="W221">
        <v>85969</v>
      </c>
      <c r="X221">
        <v>83603</v>
      </c>
      <c r="Y221">
        <f t="shared" si="43"/>
        <v>2366</v>
      </c>
      <c r="Z221">
        <v>202</v>
      </c>
      <c r="AA221">
        <v>2817851</v>
      </c>
      <c r="AB221">
        <v>61083</v>
      </c>
      <c r="AC221" s="128">
        <v>51102.00165905973</v>
      </c>
      <c r="AD221">
        <v>29812</v>
      </c>
      <c r="AE221" t="s">
        <v>134</v>
      </c>
      <c r="AF221" s="188">
        <f t="shared" si="44"/>
        <v>-7.2235340646046829E-3</v>
      </c>
      <c r="AG221" s="188">
        <f t="shared" si="45"/>
        <v>0.29692098314508719</v>
      </c>
      <c r="AH221" s="188">
        <f t="shared" si="46"/>
        <v>2.6986471867766287E-3</v>
      </c>
      <c r="AI221" s="188">
        <f t="shared" si="47"/>
        <v>5.0018029754911658E-3</v>
      </c>
      <c r="AJ221" s="188">
        <f t="shared" si="48"/>
        <v>0.29374355872465657</v>
      </c>
      <c r="AK221" s="188">
        <f t="shared" si="49"/>
        <v>0.25837603267900616</v>
      </c>
      <c r="AL221" s="188">
        <f t="shared" si="50"/>
        <v>2.7521548465144412E-2</v>
      </c>
      <c r="AM221" s="188">
        <v>-2.0271307304518246E-2</v>
      </c>
      <c r="AN221" s="188">
        <v>-5.1614361601928947E-3</v>
      </c>
      <c r="AO221">
        <f t="shared" si="51"/>
        <v>2</v>
      </c>
      <c r="AP221" s="188">
        <f t="shared" si="52"/>
        <v>5.8742104712163686E-4</v>
      </c>
      <c r="AQ221" s="188">
        <f t="shared" si="53"/>
        <v>3.2777524456490133E-2</v>
      </c>
      <c r="AR221" s="188">
        <f t="shared" si="54"/>
        <v>0.7105235608184346</v>
      </c>
      <c r="AS221" s="128">
        <f t="shared" si="55"/>
        <v>1714.1420119099603</v>
      </c>
      <c r="AT221" s="188">
        <v>0.2465</v>
      </c>
      <c r="AU221" s="238">
        <v>4.9299999999999997E-2</v>
      </c>
      <c r="AV221">
        <v>8.5</v>
      </c>
      <c r="AY221" t="s">
        <v>607</v>
      </c>
      <c r="AZ221" s="129">
        <v>1654.2115547658484</v>
      </c>
      <c r="BA221" t="s">
        <v>467</v>
      </c>
    </row>
    <row r="222" spans="1:55" x14ac:dyDescent="0.25">
      <c r="A222" t="s">
        <v>383</v>
      </c>
      <c r="B222">
        <v>1208</v>
      </c>
      <c r="C222">
        <v>52191</v>
      </c>
      <c r="D222">
        <v>175206</v>
      </c>
      <c r="E222">
        <v>153</v>
      </c>
      <c r="F222">
        <v>11190</v>
      </c>
      <c r="G222">
        <v>13298</v>
      </c>
      <c r="H222">
        <v>0</v>
      </c>
      <c r="I222">
        <v>6548</v>
      </c>
      <c r="J222">
        <v>0</v>
      </c>
      <c r="K222">
        <v>81871</v>
      </c>
      <c r="L222">
        <v>304</v>
      </c>
      <c r="M222">
        <v>9756</v>
      </c>
      <c r="N222">
        <v>144165</v>
      </c>
      <c r="O222">
        <v>70750</v>
      </c>
      <c r="P222">
        <v>96452</v>
      </c>
      <c r="Q222">
        <v>2055</v>
      </c>
      <c r="R222">
        <v>0</v>
      </c>
      <c r="S222">
        <v>17535</v>
      </c>
      <c r="T222">
        <v>20768</v>
      </c>
      <c r="U222">
        <f t="shared" si="42"/>
        <v>2</v>
      </c>
      <c r="V222">
        <v>21902</v>
      </c>
      <c r="W222">
        <v>371555</v>
      </c>
      <c r="X222">
        <v>349655</v>
      </c>
      <c r="Y222">
        <f t="shared" si="43"/>
        <v>21900</v>
      </c>
      <c r="Z222">
        <v>27230</v>
      </c>
      <c r="AA222">
        <v>5867844.9999999963</v>
      </c>
      <c r="AB222">
        <v>229523</v>
      </c>
      <c r="AC222" s="128">
        <v>199369.48903631067</v>
      </c>
      <c r="AD222">
        <v>92526</v>
      </c>
      <c r="AE222" t="s">
        <v>383</v>
      </c>
      <c r="AF222" s="188">
        <f t="shared" si="44"/>
        <v>-8.1818304154162907E-4</v>
      </c>
      <c r="AG222" s="188">
        <f t="shared" si="45"/>
        <v>5.4880165789721574E-2</v>
      </c>
      <c r="AH222" s="188">
        <f t="shared" si="46"/>
        <v>6.5906797109445442E-2</v>
      </c>
      <c r="AI222" s="188">
        <f t="shared" si="47"/>
        <v>1.7623232092153249E-2</v>
      </c>
      <c r="AJ222" s="188">
        <f t="shared" si="48"/>
        <v>5.0452718978347751E-2</v>
      </c>
      <c r="AK222" s="188">
        <f t="shared" si="49"/>
        <v>0.40987987774539769</v>
      </c>
      <c r="AL222" s="188">
        <f t="shared" si="50"/>
        <v>5.8941475690005518E-2</v>
      </c>
      <c r="AM222" s="188">
        <v>-2.0123370328121032E-3</v>
      </c>
      <c r="AN222" s="188">
        <v>6.0181292027400293E-3</v>
      </c>
      <c r="AO222">
        <f t="shared" si="51"/>
        <v>1</v>
      </c>
      <c r="AP222" s="188">
        <f t="shared" si="52"/>
        <v>1.8321648208206052E-2</v>
      </c>
      <c r="AQ222" s="188">
        <f t="shared" si="53"/>
        <v>1.5792668649325124E-2</v>
      </c>
      <c r="AR222" s="188">
        <f t="shared" si="54"/>
        <v>0.61773627053868208</v>
      </c>
      <c r="AS222" s="128">
        <f t="shared" si="55"/>
        <v>2154.7401707229392</v>
      </c>
      <c r="AT222" s="188">
        <v>0.24199999999999999</v>
      </c>
      <c r="AU222" s="238">
        <v>4.8399999999999999E-2</v>
      </c>
      <c r="AV222">
        <v>9.5</v>
      </c>
      <c r="AY222" t="s">
        <v>207</v>
      </c>
      <c r="AZ222" s="129">
        <v>1404.1653278180488</v>
      </c>
      <c r="BA222" t="s">
        <v>467</v>
      </c>
    </row>
    <row r="223" spans="1:55" x14ac:dyDescent="0.25">
      <c r="A223" t="s">
        <v>197</v>
      </c>
      <c r="B223">
        <v>7084</v>
      </c>
      <c r="C223">
        <v>9477</v>
      </c>
      <c r="D223">
        <v>122229</v>
      </c>
      <c r="E223">
        <v>279</v>
      </c>
      <c r="F223">
        <v>0</v>
      </c>
      <c r="G223">
        <v>10138</v>
      </c>
      <c r="H223">
        <v>0</v>
      </c>
      <c r="I223">
        <v>7492</v>
      </c>
      <c r="J223">
        <v>0</v>
      </c>
      <c r="K223">
        <v>3283</v>
      </c>
      <c r="L223" s="207">
        <f>-757+757</f>
        <v>0</v>
      </c>
      <c r="M223">
        <v>6204</v>
      </c>
      <c r="N223">
        <v>29154</v>
      </c>
      <c r="O223">
        <v>7418</v>
      </c>
      <c r="P223">
        <v>116345</v>
      </c>
      <c r="Q223">
        <v>2</v>
      </c>
      <c r="R223">
        <f>757</f>
        <v>757</v>
      </c>
      <c r="S223">
        <v>645</v>
      </c>
      <c r="T223">
        <v>11863</v>
      </c>
      <c r="U223">
        <f t="shared" si="42"/>
        <v>209</v>
      </c>
      <c r="V223">
        <v>1154</v>
      </c>
      <c r="W223">
        <v>114451</v>
      </c>
      <c r="X223">
        <v>113506</v>
      </c>
      <c r="Y223">
        <f t="shared" si="43"/>
        <v>945</v>
      </c>
      <c r="Z223">
        <v>-5333</v>
      </c>
      <c r="AA223">
        <v>1364904</v>
      </c>
      <c r="AB223">
        <v>82134</v>
      </c>
      <c r="AC223" s="128">
        <v>66808.919581427064</v>
      </c>
      <c r="AD223">
        <v>39346</v>
      </c>
      <c r="AE223" t="s">
        <v>197</v>
      </c>
      <c r="AF223" s="188">
        <f t="shared" si="44"/>
        <v>6.6141842360486151E-3</v>
      </c>
      <c r="AG223" s="188">
        <f t="shared" si="45"/>
        <v>0.96099640894356542</v>
      </c>
      <c r="AH223" s="188">
        <f t="shared" si="46"/>
        <v>8.8579392054241549E-2</v>
      </c>
      <c r="AI223" s="188">
        <f t="shared" si="47"/>
        <v>6.5460328000629092E-2</v>
      </c>
      <c r="AJ223" s="188">
        <f t="shared" si="48"/>
        <v>0.92580370638963405</v>
      </c>
      <c r="AK223" s="188">
        <f t="shared" si="49"/>
        <v>0.17543205122033409</v>
      </c>
      <c r="AL223" s="188">
        <f t="shared" si="50"/>
        <v>8.256808590575879E-3</v>
      </c>
      <c r="AM223" s="188">
        <v>6.6092679324302852E-3</v>
      </c>
      <c r="AN223" s="188">
        <v>-2.5045412010788791E-3</v>
      </c>
      <c r="AO223">
        <f t="shared" si="51"/>
        <v>1</v>
      </c>
      <c r="AP223" s="188">
        <f t="shared" si="52"/>
        <v>-1.1649090003582319E-2</v>
      </c>
      <c r="AQ223" s="188">
        <f t="shared" si="53"/>
        <v>1.1925662510594053E-2</v>
      </c>
      <c r="AR223" s="188">
        <f t="shared" si="54"/>
        <v>0.71763462092948072</v>
      </c>
      <c r="AS223" s="128">
        <f t="shared" si="55"/>
        <v>1697.9850450217828</v>
      </c>
      <c r="AT223" s="188">
        <v>0.2205</v>
      </c>
      <c r="AU223" s="238">
        <v>4.41E-2</v>
      </c>
      <c r="AV223">
        <v>7.5</v>
      </c>
      <c r="AY223" t="s">
        <v>324</v>
      </c>
      <c r="AZ223" s="129">
        <v>1384.2149463218484</v>
      </c>
      <c r="BA223" t="s">
        <v>467</v>
      </c>
    </row>
    <row r="224" spans="1:55" x14ac:dyDescent="0.25">
      <c r="A224" t="s">
        <v>269</v>
      </c>
      <c r="B224">
        <v>3647</v>
      </c>
      <c r="C224">
        <v>97</v>
      </c>
      <c r="D224">
        <v>19004</v>
      </c>
      <c r="E224">
        <v>0</v>
      </c>
      <c r="F224">
        <v>0</v>
      </c>
      <c r="G224">
        <v>-102</v>
      </c>
      <c r="H224">
        <v>0</v>
      </c>
      <c r="I224">
        <v>0</v>
      </c>
      <c r="J224">
        <v>0</v>
      </c>
      <c r="K224">
        <v>3901</v>
      </c>
      <c r="L224">
        <v>5745</v>
      </c>
      <c r="M224">
        <v>3112</v>
      </c>
      <c r="N224">
        <v>14495</v>
      </c>
      <c r="O224">
        <v>11102</v>
      </c>
      <c r="P224">
        <v>0</v>
      </c>
      <c r="Q224">
        <v>0</v>
      </c>
      <c r="R224">
        <v>0</v>
      </c>
      <c r="S224">
        <v>8994</v>
      </c>
      <c r="T224">
        <v>812</v>
      </c>
      <c r="U224">
        <f t="shared" si="42"/>
        <v>6</v>
      </c>
      <c r="V224">
        <v>-1880</v>
      </c>
      <c r="W224">
        <v>37371</v>
      </c>
      <c r="X224">
        <v>39257</v>
      </c>
      <c r="Y224">
        <f t="shared" si="43"/>
        <v>-1886</v>
      </c>
      <c r="Z224">
        <v>-1033</v>
      </c>
      <c r="AA224">
        <v>2521332.9999999991</v>
      </c>
      <c r="AB224">
        <v>21791</v>
      </c>
      <c r="AC224" s="128">
        <v>25710.133404264758</v>
      </c>
      <c r="AD224">
        <v>14125</v>
      </c>
      <c r="AE224" t="s">
        <v>269</v>
      </c>
      <c r="AF224" s="188">
        <f t="shared" si="44"/>
        <v>-0.15372882716544914</v>
      </c>
      <c r="AG224" s="188">
        <f t="shared" si="45"/>
        <v>-7.6262342458055715E-2</v>
      </c>
      <c r="AH224" s="188">
        <f t="shared" si="46"/>
        <v>-2.7293890984988359E-3</v>
      </c>
      <c r="AI224" s="188">
        <f t="shared" si="47"/>
        <v>0</v>
      </c>
      <c r="AJ224" s="188">
        <f t="shared" si="48"/>
        <v>-7.6589869149875575E-2</v>
      </c>
      <c r="AK224" s="188">
        <f t="shared" si="49"/>
        <v>0.40942857949891254</v>
      </c>
      <c r="AL224" s="188">
        <f t="shared" si="50"/>
        <v>-5.0466939605576515E-2</v>
      </c>
      <c r="AM224" s="188">
        <v>-2.3370689389027817E-2</v>
      </c>
      <c r="AN224" s="188">
        <v>-4.3982159716118109E-2</v>
      </c>
      <c r="AO224">
        <f t="shared" si="51"/>
        <v>3</v>
      </c>
      <c r="AP224" s="188">
        <f t="shared" si="52"/>
        <v>-6.9104385753659256E-3</v>
      </c>
      <c r="AQ224" s="188">
        <f t="shared" si="53"/>
        <v>6.7467635332209439E-2</v>
      </c>
      <c r="AR224" s="188">
        <f t="shared" si="54"/>
        <v>0.58309919456262882</v>
      </c>
      <c r="AS224" s="128">
        <f t="shared" si="55"/>
        <v>1820.18643570016</v>
      </c>
      <c r="AT224" s="188">
        <v>0.308</v>
      </c>
      <c r="AU224" s="238">
        <v>6.1600000000000002E-2</v>
      </c>
      <c r="AV224">
        <v>5</v>
      </c>
      <c r="AY224" t="s">
        <v>325</v>
      </c>
      <c r="AZ224" s="129">
        <v>1810.9297347213394</v>
      </c>
      <c r="BA224" t="s">
        <v>467</v>
      </c>
      <c r="BC224">
        <v>1</v>
      </c>
    </row>
    <row r="225" spans="1:55" x14ac:dyDescent="0.25">
      <c r="A225" t="s">
        <v>226</v>
      </c>
      <c r="B225">
        <v>0</v>
      </c>
      <c r="C225">
        <v>113</v>
      </c>
      <c r="D225">
        <v>19925</v>
      </c>
      <c r="E225">
        <v>0</v>
      </c>
      <c r="F225">
        <v>72</v>
      </c>
      <c r="G225">
        <v>422</v>
      </c>
      <c r="H225">
        <v>0</v>
      </c>
      <c r="I225">
        <v>2861</v>
      </c>
      <c r="J225">
        <v>0</v>
      </c>
      <c r="K225">
        <v>4762</v>
      </c>
      <c r="L225">
        <v>126</v>
      </c>
      <c r="M225">
        <v>2284</v>
      </c>
      <c r="N225">
        <v>5227</v>
      </c>
      <c r="O225">
        <v>4019</v>
      </c>
      <c r="P225">
        <v>14400</v>
      </c>
      <c r="Q225">
        <v>48</v>
      </c>
      <c r="R225">
        <v>2000</v>
      </c>
      <c r="S225">
        <v>1354</v>
      </c>
      <c r="T225">
        <v>3515</v>
      </c>
      <c r="U225">
        <f t="shared" si="42"/>
        <v>3</v>
      </c>
      <c r="V225">
        <v>-229</v>
      </c>
      <c r="W225">
        <v>23326</v>
      </c>
      <c r="X225">
        <v>23558</v>
      </c>
      <c r="Y225">
        <f t="shared" si="43"/>
        <v>-232</v>
      </c>
      <c r="Z225">
        <v>7247</v>
      </c>
      <c r="AA225">
        <v>647337.99999999953</v>
      </c>
      <c r="AB225">
        <v>16356</v>
      </c>
      <c r="AC225" s="128">
        <v>16404.68712373195</v>
      </c>
      <c r="AD225">
        <v>10138</v>
      </c>
      <c r="AE225" t="s">
        <v>226</v>
      </c>
      <c r="AF225" s="188">
        <f t="shared" si="44"/>
        <v>8.033953528251736E-2</v>
      </c>
      <c r="AG225" s="188">
        <f t="shared" si="45"/>
        <v>0.58522678556117635</v>
      </c>
      <c r="AH225" s="188">
        <f t="shared" si="46"/>
        <v>2.1178084540855697E-2</v>
      </c>
      <c r="AI225" s="188">
        <f t="shared" si="47"/>
        <v>0.1226528337477493</v>
      </c>
      <c r="AJ225" s="188">
        <f t="shared" si="48"/>
        <v>0.50191117208265446</v>
      </c>
      <c r="AK225" s="188">
        <f t="shared" si="49"/>
        <v>0.17102378693191114</v>
      </c>
      <c r="AL225" s="188">
        <f t="shared" si="50"/>
        <v>-9.9459830232358735E-3</v>
      </c>
      <c r="AM225" s="188">
        <v>-3.248360620141573E-2</v>
      </c>
      <c r="AN225" s="188">
        <v>-1.890020366598778E-2</v>
      </c>
      <c r="AO225">
        <f t="shared" si="51"/>
        <v>3</v>
      </c>
      <c r="AP225" s="188">
        <f t="shared" si="52"/>
        <v>7.7670839406670675E-2</v>
      </c>
      <c r="AQ225" s="188">
        <f t="shared" si="53"/>
        <v>2.7751779130583878E-2</v>
      </c>
      <c r="AR225" s="188">
        <f t="shared" si="54"/>
        <v>0.70119180313812912</v>
      </c>
      <c r="AS225" s="128">
        <f t="shared" si="55"/>
        <v>1618.1384024198019</v>
      </c>
      <c r="AT225" s="188">
        <v>0.29600000000000004</v>
      </c>
      <c r="AU225" s="238">
        <v>5.9200000000000003E-2</v>
      </c>
      <c r="AV225">
        <v>5.5</v>
      </c>
      <c r="AY225" t="s">
        <v>162</v>
      </c>
      <c r="AZ225" s="129">
        <v>1398.7217686248669</v>
      </c>
      <c r="BA225" t="s">
        <v>467</v>
      </c>
    </row>
    <row r="226" spans="1:55" x14ac:dyDescent="0.25">
      <c r="A226" t="s">
        <v>198</v>
      </c>
      <c r="B226">
        <v>2339</v>
      </c>
      <c r="C226">
        <v>23492</v>
      </c>
      <c r="D226">
        <v>122043</v>
      </c>
      <c r="E226">
        <v>754</v>
      </c>
      <c r="F226">
        <v>0</v>
      </c>
      <c r="G226">
        <v>8533</v>
      </c>
      <c r="H226">
        <v>0</v>
      </c>
      <c r="I226">
        <v>10252</v>
      </c>
      <c r="J226">
        <v>0</v>
      </c>
      <c r="K226">
        <v>14076</v>
      </c>
      <c r="L226">
        <v>213</v>
      </c>
      <c r="M226">
        <v>10679</v>
      </c>
      <c r="N226">
        <v>37627</v>
      </c>
      <c r="O226">
        <v>32288</v>
      </c>
      <c r="P226">
        <v>87920</v>
      </c>
      <c r="Q226">
        <v>141</v>
      </c>
      <c r="R226">
        <v>14000</v>
      </c>
      <c r="S226">
        <v>6628</v>
      </c>
      <c r="T226">
        <v>13765</v>
      </c>
      <c r="U226">
        <f t="shared" si="42"/>
        <v>-3</v>
      </c>
      <c r="V226">
        <v>-2041</v>
      </c>
      <c r="W226">
        <v>119886</v>
      </c>
      <c r="X226">
        <v>121924</v>
      </c>
      <c r="Y226">
        <f t="shared" si="43"/>
        <v>-2038</v>
      </c>
      <c r="Z226">
        <v>29781</v>
      </c>
      <c r="AA226">
        <v>5448650</v>
      </c>
      <c r="AB226">
        <v>83804</v>
      </c>
      <c r="AC226" s="128">
        <v>78549.987457861367</v>
      </c>
      <c r="AD226">
        <v>48214</v>
      </c>
      <c r="AE226" t="s">
        <v>198</v>
      </c>
      <c r="AF226" s="188">
        <f t="shared" si="44"/>
        <v>0.11500091753832808</v>
      </c>
      <c r="AG226" s="188">
        <f t="shared" si="45"/>
        <v>0.74197988088684252</v>
      </c>
      <c r="AH226" s="188">
        <f t="shared" si="46"/>
        <v>7.1175950486295311E-2</v>
      </c>
      <c r="AI226" s="188">
        <f t="shared" si="47"/>
        <v>8.5514572176901393E-2</v>
      </c>
      <c r="AJ226" s="188">
        <f t="shared" si="48"/>
        <v>0.69066079442136696</v>
      </c>
      <c r="AK226" s="188">
        <f t="shared" si="49"/>
        <v>0.195598043343782</v>
      </c>
      <c r="AL226" s="188">
        <f t="shared" si="50"/>
        <v>-1.6999482842033266E-2</v>
      </c>
      <c r="AM226" s="188">
        <v>-1.3860001593103631E-2</v>
      </c>
      <c r="AN226" s="188">
        <v>-8.4621580443875119E-3</v>
      </c>
      <c r="AO226">
        <f t="shared" si="51"/>
        <v>3</v>
      </c>
      <c r="AP226" s="188">
        <f t="shared" si="52"/>
        <v>6.2102747610229721E-2</v>
      </c>
      <c r="AQ226" s="188">
        <f t="shared" si="53"/>
        <v>4.5448592829855028E-2</v>
      </c>
      <c r="AR226" s="188">
        <f t="shared" si="54"/>
        <v>0.69903074587524816</v>
      </c>
      <c r="AS226" s="128">
        <f t="shared" si="55"/>
        <v>1629.1945795383367</v>
      </c>
      <c r="AT226" s="188">
        <v>0.29499999999999998</v>
      </c>
      <c r="AU226" s="238">
        <v>5.8999999999999997E-2</v>
      </c>
      <c r="AV226">
        <v>5</v>
      </c>
      <c r="AY226" t="s">
        <v>279</v>
      </c>
      <c r="AZ226" s="129">
        <v>1367.2146284713272</v>
      </c>
      <c r="BA226" t="s">
        <v>467</v>
      </c>
      <c r="BB226">
        <v>1</v>
      </c>
    </row>
    <row r="227" spans="1:55" x14ac:dyDescent="0.25">
      <c r="A227" t="s">
        <v>312</v>
      </c>
      <c r="B227">
        <v>63</v>
      </c>
      <c r="C227">
        <v>28451</v>
      </c>
      <c r="D227">
        <v>94033</v>
      </c>
      <c r="E227">
        <v>5331</v>
      </c>
      <c r="F227">
        <v>1455</v>
      </c>
      <c r="G227">
        <v>17622</v>
      </c>
      <c r="H227">
        <v>0</v>
      </c>
      <c r="I227">
        <v>2077</v>
      </c>
      <c r="J227">
        <v>0</v>
      </c>
      <c r="K227">
        <v>15297</v>
      </c>
      <c r="L227">
        <v>128</v>
      </c>
      <c r="M227">
        <v>6876</v>
      </c>
      <c r="N227">
        <v>64988</v>
      </c>
      <c r="O227">
        <v>13339</v>
      </c>
      <c r="P227">
        <v>69354</v>
      </c>
      <c r="Q227">
        <v>31</v>
      </c>
      <c r="R227">
        <v>12832</v>
      </c>
      <c r="S227">
        <v>3029</v>
      </c>
      <c r="T227">
        <v>7760</v>
      </c>
      <c r="U227">
        <f t="shared" si="42"/>
        <v>-2</v>
      </c>
      <c r="V227">
        <v>23504</v>
      </c>
      <c r="W227">
        <v>129012</v>
      </c>
      <c r="X227">
        <v>105506</v>
      </c>
      <c r="Y227">
        <f t="shared" si="43"/>
        <v>23506</v>
      </c>
      <c r="Z227">
        <v>17807</v>
      </c>
      <c r="AA227">
        <v>2444238.9999999981</v>
      </c>
      <c r="AB227">
        <v>59424</v>
      </c>
      <c r="AC227" s="128">
        <v>57485.212123003512</v>
      </c>
      <c r="AD227">
        <v>32171</v>
      </c>
      <c r="AE227" t="s">
        <v>312</v>
      </c>
      <c r="AF227" s="188">
        <f t="shared" si="44"/>
        <v>9.8471460019223023E-2</v>
      </c>
      <c r="AG227" s="188">
        <f t="shared" si="45"/>
        <v>0.40017982823303261</v>
      </c>
      <c r="AH227" s="188">
        <f t="shared" si="46"/>
        <v>0.14786996558459678</v>
      </c>
      <c r="AI227" s="188">
        <f t="shared" si="47"/>
        <v>1.6099277586581095E-2</v>
      </c>
      <c r="AJ227" s="188">
        <f t="shared" si="48"/>
        <v>0.40665472979257744</v>
      </c>
      <c r="AK227" s="188">
        <f t="shared" si="49"/>
        <v>0.37930813094967109</v>
      </c>
      <c r="AL227" s="188">
        <f t="shared" si="50"/>
        <v>0.18220010541655041</v>
      </c>
      <c r="AM227" s="188">
        <v>1.8446714650568841E-2</v>
      </c>
      <c r="AN227" s="188">
        <v>3.9676537320379309E-3</v>
      </c>
      <c r="AO227">
        <f t="shared" si="51"/>
        <v>0</v>
      </c>
      <c r="AP227" s="188">
        <f t="shared" si="52"/>
        <v>3.4506480017362728E-2</v>
      </c>
      <c r="AQ227" s="188">
        <f t="shared" si="53"/>
        <v>1.8945826744798919E-2</v>
      </c>
      <c r="AR227" s="188">
        <f t="shared" si="54"/>
        <v>0.46060831550553438</v>
      </c>
      <c r="AS227" s="128">
        <f t="shared" si="55"/>
        <v>1786.8643226198599</v>
      </c>
      <c r="AT227" s="188">
        <v>0.30449999999999999</v>
      </c>
      <c r="AU227" s="238">
        <v>6.0900000000000003E-2</v>
      </c>
      <c r="AV227">
        <v>7.5</v>
      </c>
      <c r="AY227" t="s">
        <v>234</v>
      </c>
      <c r="AZ227" s="129">
        <v>1397.6872797388687</v>
      </c>
      <c r="BA227" t="s">
        <v>467</v>
      </c>
    </row>
    <row r="228" spans="1:55" x14ac:dyDescent="0.25">
      <c r="A228" t="s">
        <v>417</v>
      </c>
      <c r="B228">
        <v>6503</v>
      </c>
      <c r="C228">
        <v>19725</v>
      </c>
      <c r="D228">
        <v>119108</v>
      </c>
      <c r="E228">
        <v>1562</v>
      </c>
      <c r="F228">
        <v>6132</v>
      </c>
      <c r="G228">
        <v>1995</v>
      </c>
      <c r="H228">
        <v>0</v>
      </c>
      <c r="I228">
        <v>7291</v>
      </c>
      <c r="J228">
        <v>0</v>
      </c>
      <c r="K228">
        <v>9328</v>
      </c>
      <c r="L228">
        <v>61</v>
      </c>
      <c r="M228">
        <v>1435</v>
      </c>
      <c r="N228">
        <v>46766</v>
      </c>
      <c r="O228">
        <v>20922</v>
      </c>
      <c r="P228">
        <v>87910</v>
      </c>
      <c r="Q228">
        <v>4</v>
      </c>
      <c r="R228">
        <v>7706</v>
      </c>
      <c r="S228">
        <v>4717</v>
      </c>
      <c r="T228">
        <v>5108</v>
      </c>
      <c r="U228">
        <f t="shared" si="42"/>
        <v>28</v>
      </c>
      <c r="V228">
        <v>-2452</v>
      </c>
      <c r="W228">
        <v>107176</v>
      </c>
      <c r="X228">
        <v>109656</v>
      </c>
      <c r="Y228">
        <f t="shared" si="43"/>
        <v>-2480</v>
      </c>
      <c r="Z228">
        <v>13020</v>
      </c>
      <c r="AA228">
        <v>4850285.9999999981</v>
      </c>
      <c r="AB228">
        <v>73711</v>
      </c>
      <c r="AC228" s="128">
        <v>65694.867716379435</v>
      </c>
      <c r="AD228">
        <v>43660</v>
      </c>
      <c r="AE228" t="s">
        <v>417</v>
      </c>
      <c r="AF228" s="188">
        <f t="shared" si="44"/>
        <v>7.1331268194371869E-2</v>
      </c>
      <c r="AG228" s="188">
        <f t="shared" si="45"/>
        <v>0.80702769276703734</v>
      </c>
      <c r="AH228" s="188">
        <f t="shared" si="46"/>
        <v>7.5828543703814283E-2</v>
      </c>
      <c r="AI228" s="188">
        <f t="shared" si="47"/>
        <v>6.8028289915652754E-2</v>
      </c>
      <c r="AJ228" s="188">
        <f t="shared" si="48"/>
        <v>0.76850731507053816</v>
      </c>
      <c r="AK228" s="188">
        <f t="shared" si="49"/>
        <v>0.27011603795925676</v>
      </c>
      <c r="AL228" s="188">
        <f t="shared" si="50"/>
        <v>-2.3139508845263865E-2</v>
      </c>
      <c r="AM228" s="188">
        <v>-4.2796940845949739E-2</v>
      </c>
      <c r="AN228" s="188">
        <v>-4.7420317887477921E-2</v>
      </c>
      <c r="AO228">
        <f t="shared" si="51"/>
        <v>3</v>
      </c>
      <c r="AP228" s="188">
        <f t="shared" si="52"/>
        <v>3.0370605359408824E-2</v>
      </c>
      <c r="AQ228" s="188">
        <f t="shared" si="53"/>
        <v>4.5255337015749776E-2</v>
      </c>
      <c r="AR228" s="188">
        <f t="shared" si="54"/>
        <v>0.68775658729566325</v>
      </c>
      <c r="AS228" s="128">
        <f t="shared" si="55"/>
        <v>1504.6923434809764</v>
      </c>
      <c r="AT228" s="188">
        <v>0.28849999999999998</v>
      </c>
      <c r="AU228" s="238">
        <v>5.7700000000000001E-2</v>
      </c>
      <c r="AV228">
        <v>7</v>
      </c>
      <c r="AY228" t="s">
        <v>398</v>
      </c>
      <c r="AZ228" s="129">
        <v>1473.8492170137731</v>
      </c>
      <c r="BA228" t="s">
        <v>467</v>
      </c>
    </row>
    <row r="229" spans="1:55" x14ac:dyDescent="0.25">
      <c r="A229" t="s">
        <v>124</v>
      </c>
      <c r="B229">
        <v>21</v>
      </c>
      <c r="C229">
        <v>525</v>
      </c>
      <c r="D229">
        <v>20588</v>
      </c>
      <c r="E229">
        <v>106</v>
      </c>
      <c r="F229">
        <v>0</v>
      </c>
      <c r="G229">
        <v>123</v>
      </c>
      <c r="H229">
        <v>0</v>
      </c>
      <c r="I229">
        <v>3773</v>
      </c>
      <c r="J229">
        <v>0</v>
      </c>
      <c r="K229">
        <v>5557</v>
      </c>
      <c r="L229">
        <v>3453</v>
      </c>
      <c r="M229">
        <v>2014</v>
      </c>
      <c r="N229">
        <v>15314</v>
      </c>
      <c r="O229">
        <v>3379</v>
      </c>
      <c r="P229">
        <v>7627</v>
      </c>
      <c r="Q229">
        <v>0</v>
      </c>
      <c r="R229">
        <v>5721</v>
      </c>
      <c r="S229">
        <v>1989</v>
      </c>
      <c r="T229">
        <v>2130</v>
      </c>
      <c r="U229">
        <f t="shared" si="42"/>
        <v>90</v>
      </c>
      <c r="V229">
        <v>2496</v>
      </c>
      <c r="W229">
        <v>48044</v>
      </c>
      <c r="X229">
        <v>45638</v>
      </c>
      <c r="Y229">
        <f t="shared" si="43"/>
        <v>2406</v>
      </c>
      <c r="Z229">
        <v>959</v>
      </c>
      <c r="AA229">
        <v>-1025000.0000000002</v>
      </c>
      <c r="AB229">
        <v>38503</v>
      </c>
      <c r="AC229" s="128">
        <v>23487.180012518336</v>
      </c>
      <c r="AD229">
        <v>12176</v>
      </c>
      <c r="AE229" t="s">
        <v>124</v>
      </c>
      <c r="AF229" s="188">
        <f t="shared" si="44"/>
        <v>4.7206727166763801E-2</v>
      </c>
      <c r="AG229" s="188">
        <f t="shared" si="45"/>
        <v>0.13154608275747232</v>
      </c>
      <c r="AH229" s="188">
        <f t="shared" si="46"/>
        <v>2.5601531929065023E-3</v>
      </c>
      <c r="AI229" s="188">
        <f t="shared" si="47"/>
        <v>7.8532178836066932E-2</v>
      </c>
      <c r="AJ229" s="188">
        <f t="shared" si="48"/>
        <v>7.6880775955374264E-2</v>
      </c>
      <c r="AK229" s="188">
        <f t="shared" si="49"/>
        <v>0.42350663716814158</v>
      </c>
      <c r="AL229" s="188">
        <f t="shared" si="50"/>
        <v>5.0079094163683294E-2</v>
      </c>
      <c r="AM229" s="188">
        <v>3.2612548741581003E-2</v>
      </c>
      <c r="AN229" s="188">
        <v>1.1117728806829461E-2</v>
      </c>
      <c r="AO229">
        <f t="shared" si="51"/>
        <v>0</v>
      </c>
      <c r="AP229" s="188">
        <f t="shared" si="52"/>
        <v>4.9902173008075932E-3</v>
      </c>
      <c r="AQ229" s="188">
        <f t="shared" si="53"/>
        <v>-2.1334609940887525E-2</v>
      </c>
      <c r="AR229" s="188">
        <f t="shared" si="54"/>
        <v>0.80141120639413865</v>
      </c>
      <c r="AS229" s="128">
        <f t="shared" si="55"/>
        <v>1928.9733913040682</v>
      </c>
      <c r="AT229" s="188">
        <v>0.20850000000000002</v>
      </c>
      <c r="AU229" s="238">
        <v>4.1700000000000001E-2</v>
      </c>
      <c r="AV229">
        <v>7.5</v>
      </c>
      <c r="AY229" t="s">
        <v>235</v>
      </c>
      <c r="AZ229" s="129">
        <v>1612.0303080560207</v>
      </c>
      <c r="BA229" t="s">
        <v>467</v>
      </c>
    </row>
    <row r="230" spans="1:55" x14ac:dyDescent="0.25">
      <c r="A230" t="s">
        <v>313</v>
      </c>
      <c r="B230">
        <v>455</v>
      </c>
      <c r="C230">
        <v>24683</v>
      </c>
      <c r="D230">
        <v>124301</v>
      </c>
      <c r="E230">
        <v>559</v>
      </c>
      <c r="F230">
        <v>0</v>
      </c>
      <c r="G230">
        <v>4166</v>
      </c>
      <c r="H230">
        <v>0</v>
      </c>
      <c r="I230">
        <v>18245</v>
      </c>
      <c r="J230">
        <v>0</v>
      </c>
      <c r="K230">
        <v>18623</v>
      </c>
      <c r="L230">
        <v>145930</v>
      </c>
      <c r="M230">
        <v>5631</v>
      </c>
      <c r="N230">
        <v>176742</v>
      </c>
      <c r="O230">
        <v>20034</v>
      </c>
      <c r="P230">
        <v>106891</v>
      </c>
      <c r="Q230">
        <v>22</v>
      </c>
      <c r="R230">
        <v>0</v>
      </c>
      <c r="S230">
        <v>22240</v>
      </c>
      <c r="T230">
        <v>16664</v>
      </c>
      <c r="U230">
        <f t="shared" si="42"/>
        <v>5</v>
      </c>
      <c r="V230">
        <v>91511</v>
      </c>
      <c r="W230">
        <v>248185</v>
      </c>
      <c r="X230">
        <v>156679</v>
      </c>
      <c r="Y230">
        <f t="shared" si="43"/>
        <v>91506</v>
      </c>
      <c r="Z230">
        <v>3348</v>
      </c>
      <c r="AA230">
        <v>7269699</v>
      </c>
      <c r="AB230">
        <v>77082</v>
      </c>
      <c r="AC230" s="128">
        <v>76086.404836246438</v>
      </c>
      <c r="AD230">
        <v>55674</v>
      </c>
      <c r="AE230" t="s">
        <v>313</v>
      </c>
      <c r="AF230" s="188">
        <f t="shared" si="44"/>
        <v>-0.58798879867840526</v>
      </c>
      <c r="AG230" s="188">
        <f t="shared" si="45"/>
        <v>-0.11496665793661986</v>
      </c>
      <c r="AH230" s="188">
        <f t="shared" si="46"/>
        <v>1.6785865382678244E-2</v>
      </c>
      <c r="AI230" s="188">
        <f t="shared" si="47"/>
        <v>7.3513709531196486E-2</v>
      </c>
      <c r="AJ230" s="188">
        <f t="shared" si="48"/>
        <v>-0.16441195076253601</v>
      </c>
      <c r="AK230" s="188">
        <f t="shared" si="49"/>
        <v>0.51589495407086539</v>
      </c>
      <c r="AL230" s="188">
        <f t="shared" si="50"/>
        <v>0.36870076757257692</v>
      </c>
      <c r="AM230" s="188">
        <v>-4.1390599423181858E-3</v>
      </c>
      <c r="AN230" s="188">
        <v>5.0342096297978652E-2</v>
      </c>
      <c r="AO230">
        <f t="shared" si="51"/>
        <v>1</v>
      </c>
      <c r="AP230" s="188">
        <f t="shared" si="52"/>
        <v>3.3724842355500936E-3</v>
      </c>
      <c r="AQ230" s="188">
        <f t="shared" si="53"/>
        <v>2.9291451941092329E-2</v>
      </c>
      <c r="AR230" s="188">
        <f t="shared" si="54"/>
        <v>0.31058283135564196</v>
      </c>
      <c r="AS230" s="128">
        <f t="shared" si="55"/>
        <v>1366.6416071460005</v>
      </c>
      <c r="AT230" s="188">
        <v>0.1915</v>
      </c>
      <c r="AU230" s="238">
        <v>3.8300000000000001E-2</v>
      </c>
      <c r="AV230">
        <v>8.5</v>
      </c>
      <c r="AY230" t="s">
        <v>280</v>
      </c>
      <c r="AZ230" s="129">
        <v>1625.5228336527105</v>
      </c>
      <c r="BA230" t="s">
        <v>467</v>
      </c>
    </row>
    <row r="231" spans="1:55" x14ac:dyDescent="0.25">
      <c r="A231" t="s">
        <v>270</v>
      </c>
      <c r="B231">
        <v>553</v>
      </c>
      <c r="C231">
        <v>31057</v>
      </c>
      <c r="D231">
        <v>237739</v>
      </c>
      <c r="E231">
        <v>38541</v>
      </c>
      <c r="F231">
        <v>10535</v>
      </c>
      <c r="G231">
        <v>4985</v>
      </c>
      <c r="H231">
        <v>0</v>
      </c>
      <c r="I231">
        <v>34838</v>
      </c>
      <c r="J231">
        <v>107</v>
      </c>
      <c r="K231">
        <v>17998</v>
      </c>
      <c r="L231">
        <v>536</v>
      </c>
      <c r="M231">
        <v>12325</v>
      </c>
      <c r="N231">
        <v>56642</v>
      </c>
      <c r="O231">
        <v>12708</v>
      </c>
      <c r="P231">
        <v>274343</v>
      </c>
      <c r="Q231">
        <v>17</v>
      </c>
      <c r="R231">
        <v>22426</v>
      </c>
      <c r="S231">
        <v>5114</v>
      </c>
      <c r="T231">
        <v>17962</v>
      </c>
      <c r="U231">
        <v>0</v>
      </c>
      <c r="V231">
        <v>1247</v>
      </c>
      <c r="W231">
        <v>285745</v>
      </c>
      <c r="X231">
        <v>284498</v>
      </c>
      <c r="Y231">
        <v>1247</v>
      </c>
      <c r="Z231">
        <v>25604</v>
      </c>
      <c r="AA231">
        <v>10516027.999999996</v>
      </c>
      <c r="AB231">
        <v>202582</v>
      </c>
      <c r="AC231" s="128">
        <v>152071.60817278631</v>
      </c>
      <c r="AD231">
        <v>91793</v>
      </c>
      <c r="AE231" t="s">
        <v>270</v>
      </c>
      <c r="AF231">
        <v>7.6606764772786926E-2</v>
      </c>
      <c r="AG231">
        <v>0.95708761308159374</v>
      </c>
      <c r="AH231">
        <v>5.4314161227668023E-2</v>
      </c>
      <c r="AI231">
        <v>0.12229435335701412</v>
      </c>
      <c r="AJ231">
        <v>0.87799926507900405</v>
      </c>
      <c r="AK231">
        <v>0.1455299425505894</v>
      </c>
      <c r="AL231">
        <v>4.3640308666818318E-3</v>
      </c>
      <c r="AM231" s="188">
        <v>5.0044754171728149E-2</v>
      </c>
      <c r="AN231">
        <v>-5.7301444081915413E-4</v>
      </c>
      <c r="AO231">
        <v>1</v>
      </c>
      <c r="AP231">
        <v>2.2401091882622619E-2</v>
      </c>
      <c r="AQ231">
        <v>3.6802141769759739E-2</v>
      </c>
      <c r="AR231">
        <v>0.70896078671542806</v>
      </c>
      <c r="AS231">
        <v>1656.6797922803078</v>
      </c>
      <c r="AT231" s="188">
        <v>0.22499999999999998</v>
      </c>
      <c r="AU231">
        <v>4.4999999999999998E-2</v>
      </c>
      <c r="AV231">
        <v>7.5</v>
      </c>
      <c r="AY231" t="s">
        <v>236</v>
      </c>
      <c r="AZ231" s="129">
        <v>1480.2330342864786</v>
      </c>
      <c r="BA231" t="s">
        <v>467</v>
      </c>
    </row>
    <row r="232" spans="1:55" x14ac:dyDescent="0.25">
      <c r="A232" t="s">
        <v>199</v>
      </c>
      <c r="B232">
        <v>5267</v>
      </c>
      <c r="C232">
        <v>3908</v>
      </c>
      <c r="D232">
        <v>43126</v>
      </c>
      <c r="E232">
        <v>2056</v>
      </c>
      <c r="F232">
        <v>925</v>
      </c>
      <c r="G232">
        <v>8596</v>
      </c>
      <c r="H232">
        <v>0</v>
      </c>
      <c r="I232">
        <v>-1336</v>
      </c>
      <c r="J232">
        <v>22</v>
      </c>
      <c r="K232">
        <v>37751</v>
      </c>
      <c r="L232">
        <v>731</v>
      </c>
      <c r="M232">
        <v>1652</v>
      </c>
      <c r="N232">
        <v>58044</v>
      </c>
      <c r="O232">
        <v>14275</v>
      </c>
      <c r="P232">
        <v>18960</v>
      </c>
      <c r="Q232">
        <v>0</v>
      </c>
      <c r="R232">
        <v>0</v>
      </c>
      <c r="S232">
        <v>4665</v>
      </c>
      <c r="T232">
        <v>6753</v>
      </c>
      <c r="U232">
        <f t="shared" si="42"/>
        <v>2</v>
      </c>
      <c r="V232">
        <v>3740</v>
      </c>
      <c r="W232">
        <v>66583</v>
      </c>
      <c r="X232">
        <v>62845</v>
      </c>
      <c r="Y232">
        <f t="shared" si="43"/>
        <v>3738</v>
      </c>
      <c r="Z232">
        <v>21844</v>
      </c>
      <c r="AA232">
        <v>4037814.9999999981</v>
      </c>
      <c r="AB232">
        <v>39707</v>
      </c>
      <c r="AC232" s="128">
        <v>31645.525577165092</v>
      </c>
      <c r="AD232">
        <v>24365</v>
      </c>
      <c r="AE232" t="s">
        <v>199</v>
      </c>
      <c r="AF232" s="188">
        <f t="shared" si="44"/>
        <v>-1.0978778366850397E-2</v>
      </c>
      <c r="AG232" s="188">
        <f t="shared" si="45"/>
        <v>-0.28951834552363215</v>
      </c>
      <c r="AH232" s="188">
        <f t="shared" si="46"/>
        <v>0.14299445804484628</v>
      </c>
      <c r="AI232" s="188">
        <f t="shared" si="47"/>
        <v>-1.9734767132751602E-2</v>
      </c>
      <c r="AJ232" s="188">
        <f t="shared" si="48"/>
        <v>-0.25854467356532446</v>
      </c>
      <c r="AK232" s="188">
        <f t="shared" si="49"/>
        <v>0.56519664644536838</v>
      </c>
      <c r="AL232" s="188">
        <f t="shared" si="50"/>
        <v>5.6140456272622138E-2</v>
      </c>
      <c r="AM232" s="188">
        <v>6.1141956268421414E-2</v>
      </c>
      <c r="AN232" s="188">
        <v>-6.8333651460202325E-3</v>
      </c>
      <c r="AO232">
        <f t="shared" si="51"/>
        <v>1</v>
      </c>
      <c r="AP232" s="188">
        <f t="shared" si="52"/>
        <v>8.2017932505294142E-2</v>
      </c>
      <c r="AQ232" s="188">
        <f t="shared" si="53"/>
        <v>6.0643332382139557E-2</v>
      </c>
      <c r="AR232" s="188">
        <f t="shared" si="54"/>
        <v>0.59635342354655096</v>
      </c>
      <c r="AS232" s="128">
        <f t="shared" si="55"/>
        <v>1298.8108178602542</v>
      </c>
      <c r="AT232" s="188">
        <v>0.20500000000000002</v>
      </c>
      <c r="AU232" s="238">
        <v>4.1000000000000002E-2</v>
      </c>
      <c r="AV232">
        <v>7.5</v>
      </c>
      <c r="AY232" t="s">
        <v>211</v>
      </c>
      <c r="AZ232" s="129">
        <v>1978.1582840222461</v>
      </c>
      <c r="BA232" t="s">
        <v>467</v>
      </c>
      <c r="BC232">
        <v>1</v>
      </c>
    </row>
    <row r="233" spans="1:55" x14ac:dyDescent="0.25">
      <c r="A233" t="s">
        <v>156</v>
      </c>
      <c r="B233">
        <v>428</v>
      </c>
      <c r="C233">
        <v>13036</v>
      </c>
      <c r="D233">
        <v>103094</v>
      </c>
      <c r="E233">
        <v>299</v>
      </c>
      <c r="F233">
        <v>2632</v>
      </c>
      <c r="G233">
        <v>4308</v>
      </c>
      <c r="H233">
        <v>0</v>
      </c>
      <c r="I233">
        <v>15370</v>
      </c>
      <c r="J233">
        <v>0</v>
      </c>
      <c r="K233">
        <v>1179</v>
      </c>
      <c r="L233">
        <v>9194</v>
      </c>
      <c r="M233">
        <v>8719</v>
      </c>
      <c r="N233">
        <v>66218</v>
      </c>
      <c r="O233">
        <v>5471</v>
      </c>
      <c r="P233">
        <v>72301</v>
      </c>
      <c r="Q233">
        <v>6</v>
      </c>
      <c r="R233">
        <v>0</v>
      </c>
      <c r="S233">
        <v>3694</v>
      </c>
      <c r="T233">
        <v>10573</v>
      </c>
      <c r="U233">
        <f t="shared" si="42"/>
        <v>128</v>
      </c>
      <c r="V233">
        <v>3991</v>
      </c>
      <c r="W233">
        <v>95907</v>
      </c>
      <c r="X233">
        <v>92044</v>
      </c>
      <c r="Y233">
        <f t="shared" si="43"/>
        <v>3863</v>
      </c>
      <c r="Z233">
        <v>13572</v>
      </c>
      <c r="AA233">
        <v>2427228</v>
      </c>
      <c r="AB233">
        <v>65655</v>
      </c>
      <c r="AC233" s="128">
        <v>55628.992574106007</v>
      </c>
      <c r="AD233">
        <v>37911</v>
      </c>
      <c r="AE233" t="s">
        <v>156</v>
      </c>
      <c r="AF233" s="188">
        <f t="shared" si="44"/>
        <v>-9.5863701293961864E-2</v>
      </c>
      <c r="AG233" s="188">
        <f t="shared" si="45"/>
        <v>0.63125736390461595</v>
      </c>
      <c r="AH233" s="188">
        <f t="shared" si="46"/>
        <v>7.2361767128572466E-2</v>
      </c>
      <c r="AI233" s="188">
        <f t="shared" si="47"/>
        <v>0.16025941797783269</v>
      </c>
      <c r="AJ233" s="188">
        <f t="shared" si="48"/>
        <v>0.52775918337556171</v>
      </c>
      <c r="AK233" s="188">
        <f t="shared" si="49"/>
        <v>0.41840480718803513</v>
      </c>
      <c r="AL233" s="188">
        <f t="shared" si="50"/>
        <v>4.0278603230212602E-2</v>
      </c>
      <c r="AM233" s="188">
        <v>2.139611915579329E-2</v>
      </c>
      <c r="AN233" s="188">
        <v>4.0633600538416241E-2</v>
      </c>
      <c r="AO233">
        <f t="shared" si="51"/>
        <v>0</v>
      </c>
      <c r="AP233" s="188">
        <f t="shared" si="52"/>
        <v>3.5378022459257405E-2</v>
      </c>
      <c r="AQ233" s="188">
        <f t="shared" si="53"/>
        <v>2.5308142262817104E-2</v>
      </c>
      <c r="AR233" s="188">
        <f t="shared" si="54"/>
        <v>0.68456942663204978</v>
      </c>
      <c r="AS233" s="128">
        <f t="shared" si="55"/>
        <v>1467.3575630847513</v>
      </c>
      <c r="AT233" s="188">
        <v>0.24199999999999999</v>
      </c>
      <c r="AU233" s="238">
        <v>4.8399999999999999E-2</v>
      </c>
      <c r="AV233">
        <v>9.5</v>
      </c>
      <c r="AY233" t="s">
        <v>434</v>
      </c>
      <c r="AZ233" s="129">
        <v>1414.6058386193749</v>
      </c>
      <c r="BA233" t="s">
        <v>467</v>
      </c>
    </row>
    <row r="234" spans="1:55" x14ac:dyDescent="0.25">
      <c r="A234" t="s">
        <v>336</v>
      </c>
      <c r="B234">
        <v>145</v>
      </c>
      <c r="C234">
        <v>19915</v>
      </c>
      <c r="D234">
        <v>51510</v>
      </c>
      <c r="E234">
        <v>950</v>
      </c>
      <c r="F234">
        <v>0</v>
      </c>
      <c r="G234">
        <v>744</v>
      </c>
      <c r="H234">
        <v>0</v>
      </c>
      <c r="I234">
        <v>1297</v>
      </c>
      <c r="J234">
        <v>5</v>
      </c>
      <c r="K234">
        <v>7282</v>
      </c>
      <c r="L234">
        <v>18</v>
      </c>
      <c r="M234">
        <v>4667</v>
      </c>
      <c r="N234">
        <v>35823</v>
      </c>
      <c r="O234">
        <v>8179</v>
      </c>
      <c r="P234">
        <v>26583</v>
      </c>
      <c r="Q234">
        <v>2</v>
      </c>
      <c r="R234">
        <v>3000</v>
      </c>
      <c r="S234">
        <v>4458</v>
      </c>
      <c r="T234">
        <v>8485</v>
      </c>
      <c r="U234">
        <f t="shared" si="42"/>
        <v>511</v>
      </c>
      <c r="V234">
        <v>2086</v>
      </c>
      <c r="W234">
        <v>64896</v>
      </c>
      <c r="X234">
        <v>63321</v>
      </c>
      <c r="Y234">
        <f t="shared" si="43"/>
        <v>1575</v>
      </c>
      <c r="Z234">
        <v>11317</v>
      </c>
      <c r="AA234">
        <v>1900353.9999999991</v>
      </c>
      <c r="AB234">
        <v>40889</v>
      </c>
      <c r="AC234" s="128">
        <v>39770.060364803008</v>
      </c>
      <c r="AD234">
        <v>22896</v>
      </c>
      <c r="AE234" t="s">
        <v>336</v>
      </c>
      <c r="AF234" s="188">
        <f t="shared" si="44"/>
        <v>4.5950443786982251E-2</v>
      </c>
      <c r="AG234" s="188">
        <f t="shared" si="45"/>
        <v>0.45945821005917159</v>
      </c>
      <c r="AH234" s="188">
        <f t="shared" si="46"/>
        <v>1.1464497041420118E-2</v>
      </c>
      <c r="AI234" s="188">
        <f t="shared" si="47"/>
        <v>2.0062869822485205E-2</v>
      </c>
      <c r="AJ234" s="188">
        <f t="shared" si="48"/>
        <v>0.44678994082840234</v>
      </c>
      <c r="AK234" s="188">
        <f t="shared" si="49"/>
        <v>0.41399514619207212</v>
      </c>
      <c r="AL234" s="188">
        <f t="shared" si="50"/>
        <v>2.4269600591715977E-2</v>
      </c>
      <c r="AM234" s="188">
        <v>-2.1898454746136866E-3</v>
      </c>
      <c r="AN234" s="188">
        <v>2.2158764301210852E-2</v>
      </c>
      <c r="AO234">
        <f t="shared" si="51"/>
        <v>1</v>
      </c>
      <c r="AP234" s="188">
        <f t="shared" si="52"/>
        <v>4.359667776134122E-2</v>
      </c>
      <c r="AQ234" s="188">
        <f t="shared" si="53"/>
        <v>2.9283068293885588E-2</v>
      </c>
      <c r="AR234" s="188">
        <f t="shared" si="54"/>
        <v>0.6300696499013807</v>
      </c>
      <c r="AS234" s="128">
        <f t="shared" si="55"/>
        <v>1736.9872626136885</v>
      </c>
      <c r="AT234" s="188">
        <v>0.26250000000000001</v>
      </c>
      <c r="AU234" s="238">
        <v>5.2499999999999998E-2</v>
      </c>
      <c r="AV234">
        <v>8.5</v>
      </c>
      <c r="AY234" t="s">
        <v>327</v>
      </c>
      <c r="AZ234" s="129">
        <v>1596.4704590306044</v>
      </c>
      <c r="BA234" t="s">
        <v>467</v>
      </c>
    </row>
    <row r="235" spans="1:55" x14ac:dyDescent="0.25">
      <c r="A235" t="s">
        <v>200</v>
      </c>
      <c r="B235">
        <v>12104</v>
      </c>
      <c r="C235">
        <v>3252</v>
      </c>
      <c r="D235">
        <v>42093</v>
      </c>
      <c r="E235">
        <v>928</v>
      </c>
      <c r="F235">
        <v>0</v>
      </c>
      <c r="G235">
        <v>4605</v>
      </c>
      <c r="H235">
        <v>0</v>
      </c>
      <c r="I235">
        <v>66</v>
      </c>
      <c r="J235">
        <v>0</v>
      </c>
      <c r="K235">
        <v>20049</v>
      </c>
      <c r="L235">
        <v>507</v>
      </c>
      <c r="M235">
        <v>1348</v>
      </c>
      <c r="N235">
        <v>19318</v>
      </c>
      <c r="O235">
        <v>14470</v>
      </c>
      <c r="P235">
        <v>40064</v>
      </c>
      <c r="Q235">
        <v>0</v>
      </c>
      <c r="R235">
        <v>0</v>
      </c>
      <c r="S235">
        <v>7478</v>
      </c>
      <c r="T235">
        <v>3624</v>
      </c>
      <c r="U235">
        <f t="shared" si="42"/>
        <v>-3</v>
      </c>
      <c r="V235">
        <v>-611</v>
      </c>
      <c r="W235">
        <v>89328</v>
      </c>
      <c r="X235">
        <v>89936</v>
      </c>
      <c r="Y235">
        <f t="shared" si="43"/>
        <v>-608</v>
      </c>
      <c r="Z235">
        <v>9727</v>
      </c>
      <c r="AA235">
        <v>2380545.9999999981</v>
      </c>
      <c r="AB235">
        <v>64696</v>
      </c>
      <c r="AC235" s="128">
        <v>49915.988734198414</v>
      </c>
      <c r="AD235">
        <v>31417</v>
      </c>
      <c r="AE235" t="s">
        <v>200</v>
      </c>
      <c r="AF235" s="188">
        <f t="shared" si="44"/>
        <v>-5.6757119828049433E-3</v>
      </c>
      <c r="AG235" s="188">
        <f t="shared" si="45"/>
        <v>0.27602767329392802</v>
      </c>
      <c r="AH235" s="188">
        <f t="shared" si="46"/>
        <v>5.1551585169263836E-2</v>
      </c>
      <c r="AI235" s="188">
        <f t="shared" si="47"/>
        <v>7.3885008060182696E-4</v>
      </c>
      <c r="AJ235" s="188">
        <f t="shared" si="48"/>
        <v>0.28169666845781838</v>
      </c>
      <c r="AK235" s="188">
        <f t="shared" si="49"/>
        <v>0.22739364832733008</v>
      </c>
      <c r="AL235" s="188">
        <f t="shared" si="50"/>
        <v>-6.8063765000895577E-3</v>
      </c>
      <c r="AM235" s="188">
        <v>-2.5574923805278819E-2</v>
      </c>
      <c r="AN235" s="188">
        <v>3.0401050660310821E-3</v>
      </c>
      <c r="AO235">
        <f t="shared" si="51"/>
        <v>2</v>
      </c>
      <c r="AP235" s="188">
        <f t="shared" si="52"/>
        <v>2.7222707325810495E-2</v>
      </c>
      <c r="AQ235" s="188">
        <f t="shared" si="53"/>
        <v>2.6649493999641748E-2</v>
      </c>
      <c r="AR235" s="188">
        <f t="shared" si="54"/>
        <v>0.72425219416084541</v>
      </c>
      <c r="AS235" s="128">
        <f t="shared" si="55"/>
        <v>1588.8209801762871</v>
      </c>
      <c r="AT235" s="188">
        <v>0.26550000000000001</v>
      </c>
      <c r="AU235" s="238">
        <v>5.3100000000000001E-2</v>
      </c>
      <c r="AV235">
        <v>7.5</v>
      </c>
      <c r="AY235" t="s">
        <v>328</v>
      </c>
      <c r="AZ235" s="129">
        <v>1433.9045847084267</v>
      </c>
      <c r="BA235" t="s">
        <v>467</v>
      </c>
    </row>
    <row r="236" spans="1:55" x14ac:dyDescent="0.25">
      <c r="A236" t="s">
        <v>227</v>
      </c>
      <c r="B236">
        <v>114</v>
      </c>
      <c r="C236">
        <v>0</v>
      </c>
      <c r="D236">
        <v>37288</v>
      </c>
      <c r="E236">
        <v>246</v>
      </c>
      <c r="F236">
        <v>0</v>
      </c>
      <c r="G236">
        <v>1313</v>
      </c>
      <c r="H236">
        <v>50</v>
      </c>
      <c r="I236">
        <v>492</v>
      </c>
      <c r="J236">
        <v>2</v>
      </c>
      <c r="K236">
        <v>1492</v>
      </c>
      <c r="L236">
        <v>657</v>
      </c>
      <c r="M236">
        <v>1045</v>
      </c>
      <c r="N236">
        <v>17615</v>
      </c>
      <c r="O236">
        <v>1576</v>
      </c>
      <c r="P236">
        <v>16108</v>
      </c>
      <c r="Q236">
        <v>35</v>
      </c>
      <c r="R236">
        <v>1500</v>
      </c>
      <c r="S236">
        <v>2410</v>
      </c>
      <c r="T236">
        <v>3452</v>
      </c>
      <c r="U236">
        <f t="shared" si="42"/>
        <v>-82</v>
      </c>
      <c r="V236">
        <v>898</v>
      </c>
      <c r="W236" s="207">
        <v>14810</v>
      </c>
      <c r="X236" s="207">
        <v>13830</v>
      </c>
      <c r="Y236">
        <f t="shared" si="43"/>
        <v>980</v>
      </c>
      <c r="Z236">
        <v>18256</v>
      </c>
      <c r="AA236">
        <v>1919707.9999999998</v>
      </c>
      <c r="AB236" s="207">
        <v>6978</v>
      </c>
      <c r="AC236" s="242">
        <v>7331</v>
      </c>
      <c r="AD236">
        <v>5556</v>
      </c>
      <c r="AE236" t="s">
        <v>227</v>
      </c>
      <c r="AF236" s="188">
        <f t="shared" si="44"/>
        <v>5.6920999324780557E-2</v>
      </c>
      <c r="AG236" s="188">
        <f t="shared" si="45"/>
        <v>1.2794058068872383</v>
      </c>
      <c r="AH236" s="188">
        <f t="shared" si="46"/>
        <v>8.8656313301823095E-2</v>
      </c>
      <c r="AI236" s="188">
        <f t="shared" si="47"/>
        <v>3.335584064821067E-2</v>
      </c>
      <c r="AJ236" s="188">
        <f t="shared" si="48"/>
        <v>1.2666954760297096</v>
      </c>
      <c r="AK236" s="188">
        <f t="shared" si="49"/>
        <v>0.41256792205358817</v>
      </c>
      <c r="AL236" s="188">
        <f t="shared" si="50"/>
        <v>6.6171505739365297E-2</v>
      </c>
      <c r="AM236" s="188">
        <v>5.5394399196697537E-2</v>
      </c>
      <c r="AN236" s="188">
        <v>6.626447876447876E-2</v>
      </c>
      <c r="AO236">
        <f t="shared" si="51"/>
        <v>0</v>
      </c>
      <c r="AP236" s="188">
        <f t="shared" si="52"/>
        <v>0.30817015530047265</v>
      </c>
      <c r="AQ236" s="188">
        <f t="shared" si="53"/>
        <v>0.1296224172856178</v>
      </c>
      <c r="AR236" s="188">
        <f t="shared" si="54"/>
        <v>0.47116812964213367</v>
      </c>
      <c r="AS236" s="128">
        <f t="shared" si="55"/>
        <v>1319.4744420446364</v>
      </c>
      <c r="AT236" s="188">
        <v>0.14000000000000001</v>
      </c>
      <c r="AU236" s="300">
        <v>2.8000000000000001E-2</v>
      </c>
      <c r="AV236">
        <v>6.5</v>
      </c>
      <c r="AY236" t="s">
        <v>399</v>
      </c>
      <c r="AZ236" s="129">
        <v>1946.5965290161198</v>
      </c>
      <c r="BA236" t="s">
        <v>467</v>
      </c>
      <c r="BC236">
        <v>1</v>
      </c>
    </row>
    <row r="237" spans="1:55" x14ac:dyDescent="0.25">
      <c r="A237" t="s">
        <v>384</v>
      </c>
      <c r="B237">
        <v>756</v>
      </c>
      <c r="C237">
        <v>1798</v>
      </c>
      <c r="D237">
        <v>28513</v>
      </c>
      <c r="E237">
        <v>12</v>
      </c>
      <c r="F237">
        <v>0</v>
      </c>
      <c r="G237">
        <v>294</v>
      </c>
      <c r="H237">
        <v>0</v>
      </c>
      <c r="I237">
        <v>24784</v>
      </c>
      <c r="J237">
        <v>0</v>
      </c>
      <c r="K237">
        <v>4810</v>
      </c>
      <c r="L237">
        <v>7</v>
      </c>
      <c r="M237">
        <v>2085</v>
      </c>
      <c r="N237">
        <v>20373</v>
      </c>
      <c r="O237">
        <v>19791</v>
      </c>
      <c r="P237">
        <v>14991</v>
      </c>
      <c r="Q237">
        <v>0</v>
      </c>
      <c r="R237">
        <v>303</v>
      </c>
      <c r="S237">
        <v>2872</v>
      </c>
      <c r="T237">
        <v>4729</v>
      </c>
      <c r="U237">
        <f t="shared" si="42"/>
        <v>-6</v>
      </c>
      <c r="V237">
        <v>1267</v>
      </c>
      <c r="W237">
        <v>35666</v>
      </c>
      <c r="X237">
        <v>34393</v>
      </c>
      <c r="Y237">
        <f t="shared" si="43"/>
        <v>1273</v>
      </c>
      <c r="Z237">
        <v>7183</v>
      </c>
      <c r="AA237">
        <v>1185862.9999999991</v>
      </c>
      <c r="AB237">
        <v>23337</v>
      </c>
      <c r="AC237" s="128">
        <v>20597.833794360013</v>
      </c>
      <c r="AD237">
        <v>13127</v>
      </c>
      <c r="AE237" t="s">
        <v>384</v>
      </c>
      <c r="AF237" s="188">
        <f t="shared" si="44"/>
        <v>8.2992205461784336E-3</v>
      </c>
      <c r="AG237" s="188">
        <f t="shared" si="45"/>
        <v>0.44016710592721359</v>
      </c>
      <c r="AH237" s="188">
        <f t="shared" si="46"/>
        <v>8.2431447316772283E-3</v>
      </c>
      <c r="AI237" s="188">
        <f t="shared" si="47"/>
        <v>0.69489149329894018</v>
      </c>
      <c r="AJ237" s="188">
        <f t="shared" si="48"/>
        <v>-4.5267762014243262E-2</v>
      </c>
      <c r="AK237" s="188">
        <f t="shared" si="49"/>
        <v>0.32307838690749935</v>
      </c>
      <c r="AL237" s="188">
        <f t="shared" si="50"/>
        <v>3.5692255930017382E-2</v>
      </c>
      <c r="AM237" s="188">
        <v>7.7740184121488712E-2</v>
      </c>
      <c r="AN237" s="188">
        <v>0.2102594397676365</v>
      </c>
      <c r="AO237">
        <f t="shared" si="51"/>
        <v>0</v>
      </c>
      <c r="AP237" s="188">
        <f t="shared" si="52"/>
        <v>5.0349071945270003E-2</v>
      </c>
      <c r="AQ237" s="188">
        <f t="shared" si="53"/>
        <v>3.3249116805921582E-2</v>
      </c>
      <c r="AR237" s="188">
        <f t="shared" si="54"/>
        <v>0.65432064150731795</v>
      </c>
      <c r="AS237" s="128">
        <f t="shared" si="55"/>
        <v>1569.1196613361783</v>
      </c>
      <c r="AT237" s="188">
        <v>0.27550000000000002</v>
      </c>
      <c r="AU237" s="238">
        <v>5.5100000000000003E-2</v>
      </c>
      <c r="AV237">
        <v>8</v>
      </c>
      <c r="AY237" t="s">
        <v>163</v>
      </c>
      <c r="AZ237" s="129">
        <v>1476.2291960640305</v>
      </c>
      <c r="BA237" t="s">
        <v>467</v>
      </c>
      <c r="BB237">
        <f>_xlfn.QUARTILE.INC(AZ72:AZ237,1)</f>
        <v>1447.5014277075804</v>
      </c>
      <c r="BC237">
        <f>SUM(BB237,-0.05*BB237)</f>
        <v>1375.1263563222014</v>
      </c>
    </row>
    <row r="238" spans="1:55" x14ac:dyDescent="0.25">
      <c r="A238" t="s">
        <v>201</v>
      </c>
      <c r="B238">
        <v>372</v>
      </c>
      <c r="C238">
        <v>4923</v>
      </c>
      <c r="D238">
        <v>112057</v>
      </c>
      <c r="E238">
        <v>609</v>
      </c>
      <c r="F238">
        <v>1949</v>
      </c>
      <c r="G238">
        <v>2524</v>
      </c>
      <c r="H238">
        <v>0</v>
      </c>
      <c r="I238">
        <v>369</v>
      </c>
      <c r="J238">
        <v>0</v>
      </c>
      <c r="K238">
        <v>12461</v>
      </c>
      <c r="L238">
        <v>972</v>
      </c>
      <c r="M238">
        <v>1125</v>
      </c>
      <c r="N238">
        <v>25611</v>
      </c>
      <c r="O238">
        <v>4546</v>
      </c>
      <c r="P238">
        <v>80500</v>
      </c>
      <c r="Q238">
        <v>172</v>
      </c>
      <c r="R238">
        <v>9000</v>
      </c>
      <c r="S238">
        <v>11920</v>
      </c>
      <c r="T238">
        <v>5612</v>
      </c>
      <c r="U238">
        <f t="shared" si="42"/>
        <v>-65</v>
      </c>
      <c r="V238">
        <v>-1308</v>
      </c>
      <c r="W238">
        <v>127878</v>
      </c>
      <c r="X238">
        <v>129121</v>
      </c>
      <c r="Y238">
        <f t="shared" si="43"/>
        <v>-1243</v>
      </c>
      <c r="Z238">
        <v>10028</v>
      </c>
      <c r="AA238">
        <v>2563735</v>
      </c>
      <c r="AB238">
        <v>98836</v>
      </c>
      <c r="AC238" s="128">
        <v>80416.091822909482</v>
      </c>
      <c r="AD238">
        <v>43525</v>
      </c>
      <c r="AE238" t="s">
        <v>201</v>
      </c>
      <c r="AF238" s="188">
        <f t="shared" si="44"/>
        <v>6.2778585839628392E-2</v>
      </c>
      <c r="AG238" s="188">
        <f t="shared" si="45"/>
        <v>0.68950875052784688</v>
      </c>
      <c r="AH238" s="188">
        <f t="shared" si="46"/>
        <v>3.4978651527236899E-2</v>
      </c>
      <c r="AI238" s="188">
        <f t="shared" si="47"/>
        <v>2.8855628020456998E-3</v>
      </c>
      <c r="AJ238" s="188">
        <f t="shared" si="48"/>
        <v>0.69168629474968335</v>
      </c>
      <c r="AK238" s="188">
        <f t="shared" si="49"/>
        <v>0.18645030248760566</v>
      </c>
      <c r="AL238" s="188">
        <f t="shared" si="50"/>
        <v>-9.7202020675956763E-3</v>
      </c>
      <c r="AM238" s="188">
        <v>-7.2849744621024726E-2</v>
      </c>
      <c r="AN238" s="188">
        <v>-5.7004597577774201E-2</v>
      </c>
      <c r="AO238">
        <f t="shared" si="51"/>
        <v>3</v>
      </c>
      <c r="AP238" s="188">
        <f t="shared" si="52"/>
        <v>1.9604623156445986E-2</v>
      </c>
      <c r="AQ238" s="188">
        <f t="shared" si="53"/>
        <v>2.0048288212202257E-2</v>
      </c>
      <c r="AR238" s="188">
        <f t="shared" si="54"/>
        <v>0.7728929135582352</v>
      </c>
      <c r="AS238" s="128">
        <f t="shared" si="55"/>
        <v>1847.5839591708095</v>
      </c>
      <c r="AT238" s="188">
        <v>0.27849999999999997</v>
      </c>
      <c r="AU238" s="238">
        <v>5.57E-2</v>
      </c>
      <c r="AV238">
        <v>6</v>
      </c>
      <c r="AY238" t="s">
        <v>106</v>
      </c>
      <c r="AZ238" s="129">
        <v>1805.6039808470266</v>
      </c>
      <c r="BA238" t="s">
        <v>118</v>
      </c>
      <c r="BB238">
        <f>_xlfn.QUARTILE.INC(AZ72:AZ237,3)</f>
        <v>1655.4969667030227</v>
      </c>
      <c r="BC238">
        <f>SUM(BB238,0.05*BB238)</f>
        <v>1738.2718150381738</v>
      </c>
    </row>
    <row r="239" spans="1:55" x14ac:dyDescent="0.25">
      <c r="A239" t="s">
        <v>228</v>
      </c>
      <c r="B239">
        <v>210</v>
      </c>
      <c r="C239">
        <v>6432</v>
      </c>
      <c r="D239">
        <v>53596</v>
      </c>
      <c r="E239">
        <v>167</v>
      </c>
      <c r="F239">
        <v>0</v>
      </c>
      <c r="G239">
        <v>5949</v>
      </c>
      <c r="H239">
        <v>0</v>
      </c>
      <c r="I239">
        <v>159</v>
      </c>
      <c r="J239">
        <v>0</v>
      </c>
      <c r="K239">
        <v>4407</v>
      </c>
      <c r="L239">
        <v>1450</v>
      </c>
      <c r="M239">
        <v>2675</v>
      </c>
      <c r="N239">
        <v>26775</v>
      </c>
      <c r="O239">
        <v>3931</v>
      </c>
      <c r="P239">
        <v>35188</v>
      </c>
      <c r="Q239">
        <v>0</v>
      </c>
      <c r="R239">
        <v>0</v>
      </c>
      <c r="S239">
        <v>3268</v>
      </c>
      <c r="T239">
        <v>5885</v>
      </c>
      <c r="U239">
        <f t="shared" si="42"/>
        <v>-3</v>
      </c>
      <c r="V239">
        <v>-1946</v>
      </c>
      <c r="W239">
        <v>48459</v>
      </c>
      <c r="X239">
        <v>50402</v>
      </c>
      <c r="Y239">
        <f t="shared" si="43"/>
        <v>-1943</v>
      </c>
      <c r="Z239">
        <v>10732</v>
      </c>
      <c r="AA239">
        <v>1340509</v>
      </c>
      <c r="AB239">
        <v>33607</v>
      </c>
      <c r="AC239" s="128">
        <v>31314.829759394284</v>
      </c>
      <c r="AD239">
        <v>20203</v>
      </c>
      <c r="AE239" t="s">
        <v>228</v>
      </c>
      <c r="AF239" s="188">
        <f t="shared" si="44"/>
        <v>-2.9922202274087373E-2</v>
      </c>
      <c r="AG239" s="188">
        <f t="shared" si="45"/>
        <v>0.61619100683051653</v>
      </c>
      <c r="AH239" s="188">
        <f t="shared" si="46"/>
        <v>0.12276357333003157</v>
      </c>
      <c r="AI239" s="188">
        <f t="shared" si="47"/>
        <v>3.2811242493654431E-3</v>
      </c>
      <c r="AJ239" s="188">
        <f t="shared" si="48"/>
        <v>0.62862584865556448</v>
      </c>
      <c r="AK239" s="188">
        <f t="shared" si="49"/>
        <v>0.35677642011006439</v>
      </c>
      <c r="AL239" s="188">
        <f t="shared" si="50"/>
        <v>-4.0095751047277077E-2</v>
      </c>
      <c r="AM239" s="188">
        <v>-2.6139574203021067E-2</v>
      </c>
      <c r="AN239" s="188">
        <v>7.7375047691720711E-2</v>
      </c>
      <c r="AO239">
        <f t="shared" si="51"/>
        <v>2</v>
      </c>
      <c r="AP239" s="188">
        <f t="shared" si="52"/>
        <v>5.536639220784581E-2</v>
      </c>
      <c r="AQ239" s="188">
        <f t="shared" si="53"/>
        <v>2.7662745826368684E-2</v>
      </c>
      <c r="AR239" s="188">
        <f t="shared" si="54"/>
        <v>0.69351410470707198</v>
      </c>
      <c r="AS239" s="128">
        <f t="shared" si="55"/>
        <v>1550.0088976584807</v>
      </c>
      <c r="AT239" s="188">
        <v>0.28150000000000003</v>
      </c>
      <c r="AU239" s="238">
        <v>5.6300000000000003E-2</v>
      </c>
      <c r="AV239">
        <v>6.5</v>
      </c>
      <c r="AY239" t="s">
        <v>165</v>
      </c>
      <c r="AZ239" s="129">
        <v>1622.3966752205913</v>
      </c>
      <c r="BA239" t="s">
        <v>118</v>
      </c>
    </row>
    <row r="240" spans="1:55" x14ac:dyDescent="0.25">
      <c r="A240" t="s">
        <v>314</v>
      </c>
      <c r="B240">
        <v>48</v>
      </c>
      <c r="C240">
        <v>24410</v>
      </c>
      <c r="D240">
        <v>84898</v>
      </c>
      <c r="E240">
        <v>1256</v>
      </c>
      <c r="F240">
        <v>0</v>
      </c>
      <c r="G240">
        <v>1354</v>
      </c>
      <c r="H240">
        <v>0</v>
      </c>
      <c r="I240">
        <v>661</v>
      </c>
      <c r="J240">
        <v>0</v>
      </c>
      <c r="K240">
        <v>5266</v>
      </c>
      <c r="L240">
        <v>31885</v>
      </c>
      <c r="M240">
        <v>17452</v>
      </c>
      <c r="N240">
        <v>95594</v>
      </c>
      <c r="O240">
        <v>15364</v>
      </c>
      <c r="P240">
        <v>39598</v>
      </c>
      <c r="Q240">
        <v>13</v>
      </c>
      <c r="R240">
        <v>0</v>
      </c>
      <c r="S240">
        <v>7348</v>
      </c>
      <c r="T240">
        <v>9312</v>
      </c>
      <c r="U240">
        <f t="shared" si="42"/>
        <v>-247</v>
      </c>
      <c r="V240">
        <v>40746</v>
      </c>
      <c r="W240">
        <v>178144</v>
      </c>
      <c r="X240">
        <v>137151</v>
      </c>
      <c r="Y240">
        <f t="shared" si="43"/>
        <v>40993</v>
      </c>
      <c r="Z240">
        <v>18838</v>
      </c>
      <c r="AA240">
        <v>2774726</v>
      </c>
      <c r="AB240">
        <v>89086</v>
      </c>
      <c r="AC240" s="128">
        <v>87912.651365573984</v>
      </c>
      <c r="AD240">
        <v>46671</v>
      </c>
      <c r="AE240" t="s">
        <v>314</v>
      </c>
      <c r="AF240" s="188">
        <f t="shared" si="44"/>
        <v>-0.1789844171007724</v>
      </c>
      <c r="AG240" s="188">
        <f t="shared" si="45"/>
        <v>1.7626190048500091E-3</v>
      </c>
      <c r="AH240" s="188">
        <f t="shared" si="46"/>
        <v>7.6005927788755168E-3</v>
      </c>
      <c r="AI240" s="188">
        <f t="shared" si="47"/>
        <v>3.7104814082989041E-3</v>
      </c>
      <c r="AJ240" s="188">
        <f t="shared" si="48"/>
        <v>7.735315250583831E-5</v>
      </c>
      <c r="AK240" s="188">
        <f t="shared" si="49"/>
        <v>0.57163530248940075</v>
      </c>
      <c r="AL240" s="188">
        <f t="shared" si="50"/>
        <v>0.23011159511406504</v>
      </c>
      <c r="AM240" s="188">
        <v>-2.6555347674650773E-2</v>
      </c>
      <c r="AN240" s="188">
        <v>-3.6983300617336631E-4</v>
      </c>
      <c r="AO240">
        <f t="shared" si="51"/>
        <v>2</v>
      </c>
      <c r="AP240" s="188">
        <f t="shared" si="52"/>
        <v>2.6436478354589545E-2</v>
      </c>
      <c r="AQ240" s="188">
        <f t="shared" si="53"/>
        <v>1.5575747709717981E-2</v>
      </c>
      <c r="AR240" s="188">
        <f t="shared" si="54"/>
        <v>0.50007858810849648</v>
      </c>
      <c r="AS240" s="128">
        <f t="shared" si="55"/>
        <v>1883.6676172692676</v>
      </c>
      <c r="AT240" s="188">
        <v>0.28449999999999998</v>
      </c>
      <c r="AU240" s="238">
        <v>5.6899999999999999E-2</v>
      </c>
      <c r="AV240">
        <v>8.5</v>
      </c>
      <c r="AY240" t="s">
        <v>127</v>
      </c>
      <c r="AZ240" s="129">
        <v>1854.1186916430433</v>
      </c>
      <c r="BA240" t="s">
        <v>118</v>
      </c>
    </row>
    <row r="241" spans="1:55" x14ac:dyDescent="0.25">
      <c r="A241" t="s">
        <v>157</v>
      </c>
      <c r="B241">
        <v>6757</v>
      </c>
      <c r="C241">
        <v>13944</v>
      </c>
      <c r="D241">
        <v>86681</v>
      </c>
      <c r="E241">
        <v>1899</v>
      </c>
      <c r="F241">
        <v>0</v>
      </c>
      <c r="G241">
        <v>5724</v>
      </c>
      <c r="H241">
        <v>0</v>
      </c>
      <c r="I241">
        <v>20456</v>
      </c>
      <c r="J241">
        <v>18</v>
      </c>
      <c r="K241">
        <v>4387</v>
      </c>
      <c r="L241">
        <v>4506</v>
      </c>
      <c r="M241">
        <v>1838</v>
      </c>
      <c r="N241">
        <v>62627</v>
      </c>
      <c r="O241">
        <v>21904</v>
      </c>
      <c r="P241">
        <v>39336</v>
      </c>
      <c r="Q241">
        <v>14</v>
      </c>
      <c r="R241">
        <v>9000</v>
      </c>
      <c r="S241">
        <v>6163</v>
      </c>
      <c r="T241">
        <v>7167</v>
      </c>
      <c r="U241">
        <f t="shared" si="42"/>
        <v>-240</v>
      </c>
      <c r="V241">
        <v>625</v>
      </c>
      <c r="W241">
        <v>108859</v>
      </c>
      <c r="X241">
        <v>107994</v>
      </c>
      <c r="Y241">
        <f t="shared" si="43"/>
        <v>865</v>
      </c>
      <c r="Z241">
        <v>10876</v>
      </c>
      <c r="AA241">
        <v>3413529</v>
      </c>
      <c r="AB241">
        <v>71083</v>
      </c>
      <c r="AC241" s="128">
        <v>58298.731476015062</v>
      </c>
      <c r="AD241">
        <v>38204</v>
      </c>
      <c r="AE241" t="s">
        <v>157</v>
      </c>
      <c r="AF241" s="188">
        <f t="shared" si="44"/>
        <v>4.1282760267869444E-2</v>
      </c>
      <c r="AG241" s="188">
        <f t="shared" si="45"/>
        <v>0.41544566824975426</v>
      </c>
      <c r="AH241" s="188">
        <f t="shared" si="46"/>
        <v>5.2581780100864423E-2</v>
      </c>
      <c r="AI241" s="188">
        <f t="shared" si="47"/>
        <v>0.18807815614694237</v>
      </c>
      <c r="AJ241" s="188">
        <f t="shared" si="48"/>
        <v>0.29010077255899835</v>
      </c>
      <c r="AK241" s="188">
        <f t="shared" si="49"/>
        <v>0.42833302555895247</v>
      </c>
      <c r="AL241" s="188">
        <f t="shared" si="50"/>
        <v>7.9460586630411816E-3</v>
      </c>
      <c r="AM241" s="188">
        <v>-1.2992464575313294E-2</v>
      </c>
      <c r="AN241" s="188">
        <v>-2.6662291901453659E-2</v>
      </c>
      <c r="AO241">
        <f t="shared" si="51"/>
        <v>2</v>
      </c>
      <c r="AP241" s="188">
        <f t="shared" si="52"/>
        <v>2.4977264167409217E-2</v>
      </c>
      <c r="AQ241" s="188">
        <f t="shared" si="53"/>
        <v>3.1357342984962198E-2</v>
      </c>
      <c r="AR241" s="188">
        <f t="shared" si="54"/>
        <v>0.65298229820226161</v>
      </c>
      <c r="AS241" s="128">
        <f t="shared" si="55"/>
        <v>1525.9850140303388</v>
      </c>
      <c r="AT241" s="188">
        <v>0.24400000000000002</v>
      </c>
      <c r="AU241" s="238">
        <v>4.8800000000000003E-2</v>
      </c>
      <c r="AV241">
        <v>9</v>
      </c>
      <c r="AY241" t="s">
        <v>215</v>
      </c>
      <c r="AZ241" s="129">
        <v>1657.6682221755502</v>
      </c>
      <c r="BA241" t="s">
        <v>118</v>
      </c>
    </row>
    <row r="242" spans="1:55" x14ac:dyDescent="0.25">
      <c r="A242" t="s">
        <v>315</v>
      </c>
      <c r="B242">
        <v>642</v>
      </c>
      <c r="C242">
        <v>18822</v>
      </c>
      <c r="D242">
        <v>165023</v>
      </c>
      <c r="E242">
        <v>3215</v>
      </c>
      <c r="F242">
        <v>639</v>
      </c>
      <c r="G242">
        <v>2693</v>
      </c>
      <c r="H242">
        <v>0</v>
      </c>
      <c r="I242">
        <v>124994</v>
      </c>
      <c r="J242">
        <v>0</v>
      </c>
      <c r="K242">
        <v>168732</v>
      </c>
      <c r="L242">
        <v>4218</v>
      </c>
      <c r="M242">
        <v>0</v>
      </c>
      <c r="N242">
        <v>101359</v>
      </c>
      <c r="O242">
        <v>9215</v>
      </c>
      <c r="P242">
        <v>326940</v>
      </c>
      <c r="Q242">
        <v>0</v>
      </c>
      <c r="R242">
        <v>10002</v>
      </c>
      <c r="S242">
        <v>6150</v>
      </c>
      <c r="T242">
        <v>35313</v>
      </c>
      <c r="U242">
        <f t="shared" si="42"/>
        <v>140</v>
      </c>
      <c r="V242">
        <v>72703</v>
      </c>
      <c r="W242">
        <v>282222</v>
      </c>
      <c r="X242">
        <v>209659</v>
      </c>
      <c r="Y242">
        <f t="shared" si="43"/>
        <v>72563</v>
      </c>
      <c r="Z242">
        <v>36856</v>
      </c>
      <c r="AA242">
        <v>4637451</v>
      </c>
      <c r="AB242">
        <v>121980</v>
      </c>
      <c r="AC242" s="128">
        <v>97460.29275612552</v>
      </c>
      <c r="AD242">
        <v>55220</v>
      </c>
      <c r="AE242" t="s">
        <v>315</v>
      </c>
      <c r="AF242" s="188">
        <f t="shared" si="44"/>
        <v>2.049450432638136E-2</v>
      </c>
      <c r="AG242" s="188">
        <f t="shared" si="45"/>
        <v>0.71618442219245837</v>
      </c>
      <c r="AH242" s="188">
        <f t="shared" si="46"/>
        <v>1.1806308508904339E-2</v>
      </c>
      <c r="AI242" s="188">
        <f t="shared" si="47"/>
        <v>0.44289247471848403</v>
      </c>
      <c r="AJ242" s="188">
        <f t="shared" si="48"/>
        <v>0.40757644691058803</v>
      </c>
      <c r="AK242" s="188">
        <f t="shared" si="49"/>
        <v>0.2072870205059931</v>
      </c>
      <c r="AL242" s="188">
        <f t="shared" si="50"/>
        <v>0.25711319457731857</v>
      </c>
      <c r="AM242" s="188">
        <v>-3.021763788458812E-2</v>
      </c>
      <c r="AN242" s="188">
        <v>-4.498474623278173E-2</v>
      </c>
      <c r="AO242">
        <f t="shared" si="51"/>
        <v>2</v>
      </c>
      <c r="AP242" s="188">
        <f t="shared" si="52"/>
        <v>3.264805720319465E-2</v>
      </c>
      <c r="AQ242" s="188">
        <f t="shared" si="53"/>
        <v>1.6431925930650338E-2</v>
      </c>
      <c r="AR242" s="188">
        <f t="shared" si="54"/>
        <v>0.4322129387503455</v>
      </c>
      <c r="AS242" s="128">
        <f t="shared" si="55"/>
        <v>1764.9455406759421</v>
      </c>
      <c r="AT242" s="188">
        <v>0.16699999999999998</v>
      </c>
      <c r="AU242" s="238">
        <v>3.3399999999999999E-2</v>
      </c>
      <c r="AV242">
        <v>9.5</v>
      </c>
      <c r="AY242" t="s">
        <v>400</v>
      </c>
      <c r="AZ242" s="129">
        <v>2072.9680027913855</v>
      </c>
      <c r="BA242" t="s">
        <v>118</v>
      </c>
      <c r="BC242">
        <v>1</v>
      </c>
    </row>
    <row r="243" spans="1:55" x14ac:dyDescent="0.25">
      <c r="A243" t="s">
        <v>418</v>
      </c>
      <c r="B243">
        <v>361</v>
      </c>
      <c r="C243">
        <v>2264</v>
      </c>
      <c r="D243">
        <v>39993</v>
      </c>
      <c r="E243">
        <v>977</v>
      </c>
      <c r="F243">
        <v>1930</v>
      </c>
      <c r="G243">
        <v>995</v>
      </c>
      <c r="H243">
        <v>10818</v>
      </c>
      <c r="I243">
        <v>-659</v>
      </c>
      <c r="J243">
        <v>24</v>
      </c>
      <c r="K243">
        <v>5218</v>
      </c>
      <c r="L243">
        <v>843</v>
      </c>
      <c r="M243">
        <v>1827</v>
      </c>
      <c r="N243">
        <v>28595</v>
      </c>
      <c r="O243">
        <v>10790</v>
      </c>
      <c r="P243">
        <v>13800</v>
      </c>
      <c r="Q243">
        <v>0</v>
      </c>
      <c r="R243">
        <v>3000</v>
      </c>
      <c r="S243">
        <v>5530</v>
      </c>
      <c r="T243">
        <v>2876</v>
      </c>
      <c r="U243">
        <f t="shared" si="42"/>
        <v>-1</v>
      </c>
      <c r="V243">
        <v>-3568</v>
      </c>
      <c r="W243">
        <v>58300</v>
      </c>
      <c r="X243">
        <v>61867</v>
      </c>
      <c r="Y243">
        <f t="shared" si="43"/>
        <v>-3567</v>
      </c>
      <c r="Z243">
        <v>3421</v>
      </c>
      <c r="AA243">
        <v>1816278</v>
      </c>
      <c r="AB243">
        <v>38981</v>
      </c>
      <c r="AC243" s="128">
        <v>37268.990091606349</v>
      </c>
      <c r="AD243">
        <v>20580</v>
      </c>
      <c r="AE243" t="s">
        <v>418</v>
      </c>
      <c r="AF243" s="188">
        <f t="shared" si="44"/>
        <v>3.6998284734133788E-2</v>
      </c>
      <c r="AG243" s="188">
        <f t="shared" si="45"/>
        <v>6.1320754716981132E-2</v>
      </c>
      <c r="AH243" s="188">
        <f t="shared" si="46"/>
        <v>5.0171526586620926E-2</v>
      </c>
      <c r="AI243" s="188">
        <f t="shared" si="47"/>
        <v>-1.0891938250428817E-2</v>
      </c>
      <c r="AJ243" s="188">
        <f t="shared" si="48"/>
        <v>7.4965694682675818E-2</v>
      </c>
      <c r="AK243" s="188">
        <f t="shared" si="49"/>
        <v>0.44270873651127868</v>
      </c>
      <c r="AL243" s="188">
        <f t="shared" si="50"/>
        <v>-6.1183533447684388E-2</v>
      </c>
      <c r="AM243" s="188">
        <v>-7.4696235309740386E-2</v>
      </c>
      <c r="AN243" s="188">
        <v>-1.1872021318392238E-2</v>
      </c>
      <c r="AO243">
        <f t="shared" si="51"/>
        <v>3</v>
      </c>
      <c r="AP243" s="188">
        <f t="shared" si="52"/>
        <v>1.4669811320754718E-2</v>
      </c>
      <c r="AQ243" s="188">
        <f t="shared" si="53"/>
        <v>3.1153996569468267E-2</v>
      </c>
      <c r="AR243" s="188">
        <f t="shared" si="54"/>
        <v>0.66862778730703254</v>
      </c>
      <c r="AS243" s="128">
        <f t="shared" si="55"/>
        <v>1810.9324631489965</v>
      </c>
      <c r="AT243" s="188">
        <v>0.251</v>
      </c>
      <c r="AU243" s="238">
        <v>5.0200000000000002E-2</v>
      </c>
      <c r="AV243">
        <v>7</v>
      </c>
      <c r="AY243" t="s">
        <v>599</v>
      </c>
      <c r="AZ243" s="129">
        <v>1618.8934875203527</v>
      </c>
      <c r="BA243" t="s">
        <v>118</v>
      </c>
    </row>
    <row r="244" spans="1:55" x14ac:dyDescent="0.25">
      <c r="A244" t="s">
        <v>419</v>
      </c>
      <c r="B244">
        <v>900</v>
      </c>
      <c r="C244">
        <v>12899</v>
      </c>
      <c r="D244">
        <v>163801</v>
      </c>
      <c r="E244">
        <v>130</v>
      </c>
      <c r="F244">
        <v>582</v>
      </c>
      <c r="G244">
        <v>3071</v>
      </c>
      <c r="H244">
        <v>619</v>
      </c>
      <c r="I244">
        <v>3165</v>
      </c>
      <c r="J244">
        <v>18</v>
      </c>
      <c r="K244">
        <v>40357</v>
      </c>
      <c r="L244">
        <v>10275</v>
      </c>
      <c r="M244" s="207">
        <f>-1457+1457</f>
        <v>0</v>
      </c>
      <c r="N244">
        <v>55810</v>
      </c>
      <c r="O244">
        <v>18721</v>
      </c>
      <c r="P244">
        <v>108709</v>
      </c>
      <c r="Q244">
        <v>164</v>
      </c>
      <c r="R244">
        <v>18000</v>
      </c>
      <c r="S244">
        <v>7199</v>
      </c>
      <c r="T244">
        <f>25757+1457</f>
        <v>27214</v>
      </c>
      <c r="U244">
        <f t="shared" si="42"/>
        <v>31</v>
      </c>
      <c r="V244">
        <v>-1058</v>
      </c>
      <c r="W244">
        <v>206205</v>
      </c>
      <c r="X244">
        <v>207294</v>
      </c>
      <c r="Y244">
        <f t="shared" si="43"/>
        <v>-1089</v>
      </c>
      <c r="Z244">
        <v>6771</v>
      </c>
      <c r="AA244">
        <v>3783175.9999999963</v>
      </c>
      <c r="AB244">
        <v>154207</v>
      </c>
      <c r="AC244" s="128">
        <v>117472.17281683307</v>
      </c>
      <c r="AD244">
        <v>58763</v>
      </c>
      <c r="AE244" t="s">
        <v>419</v>
      </c>
      <c r="AF244" s="188">
        <f t="shared" si="44"/>
        <v>3.7462719138721179E-2</v>
      </c>
      <c r="AG244" s="188">
        <f t="shared" si="45"/>
        <v>0.5159040760408331</v>
      </c>
      <c r="AH244" s="188">
        <f t="shared" si="46"/>
        <v>1.7715380325404331E-2</v>
      </c>
      <c r="AI244" s="188">
        <f t="shared" si="47"/>
        <v>1.5436095148032299E-2</v>
      </c>
      <c r="AJ244" s="188">
        <f t="shared" si="48"/>
        <v>0.50722465507625902</v>
      </c>
      <c r="AK244" s="188">
        <f t="shared" si="49"/>
        <v>0.23666656771988448</v>
      </c>
      <c r="AL244" s="188">
        <f t="shared" si="50"/>
        <v>-5.2811522514003058E-3</v>
      </c>
      <c r="AM244" s="188">
        <v>-9.6094857584740293E-3</v>
      </c>
      <c r="AN244" s="188">
        <v>-2.871096163454771E-2</v>
      </c>
      <c r="AO244">
        <f t="shared" si="51"/>
        <v>3</v>
      </c>
      <c r="AP244" s="188">
        <f t="shared" si="52"/>
        <v>8.2090637957372512E-3</v>
      </c>
      <c r="AQ244" s="188">
        <f t="shared" si="53"/>
        <v>1.8346674425935336E-2</v>
      </c>
      <c r="AR244" s="188">
        <f t="shared" si="54"/>
        <v>0.74783346669576389</v>
      </c>
      <c r="AS244" s="128">
        <f t="shared" si="55"/>
        <v>1999.0839953173438</v>
      </c>
      <c r="AT244" s="188">
        <v>0.23849999999999999</v>
      </c>
      <c r="AU244" s="238">
        <v>4.7699999999999999E-2</v>
      </c>
      <c r="AV244">
        <v>6.5</v>
      </c>
      <c r="AY244" t="s">
        <v>401</v>
      </c>
      <c r="AZ244" s="129">
        <v>1854.3237667204842</v>
      </c>
      <c r="BA244" t="s">
        <v>118</v>
      </c>
    </row>
    <row r="245" spans="1:55" x14ac:dyDescent="0.25">
      <c r="A245" t="s">
        <v>385</v>
      </c>
      <c r="B245">
        <v>449</v>
      </c>
      <c r="C245">
        <v>10859</v>
      </c>
      <c r="D245">
        <v>141823</v>
      </c>
      <c r="E245">
        <v>7424</v>
      </c>
      <c r="F245">
        <v>600</v>
      </c>
      <c r="G245">
        <v>14989</v>
      </c>
      <c r="H245">
        <v>0</v>
      </c>
      <c r="I245">
        <v>45181</v>
      </c>
      <c r="J245">
        <v>0</v>
      </c>
      <c r="K245">
        <v>21370</v>
      </c>
      <c r="L245">
        <f>24+1297</f>
        <v>1321</v>
      </c>
      <c r="M245">
        <v>26768</v>
      </c>
      <c r="N245">
        <v>86740</v>
      </c>
      <c r="O245">
        <v>23193</v>
      </c>
      <c r="P245">
        <v>128500</v>
      </c>
      <c r="Q245">
        <v>0</v>
      </c>
      <c r="R245" s="207">
        <f>-1297+1297</f>
        <v>0</v>
      </c>
      <c r="S245">
        <v>23080</v>
      </c>
      <c r="T245">
        <v>9272</v>
      </c>
      <c r="U245">
        <f t="shared" si="42"/>
        <v>-12</v>
      </c>
      <c r="V245">
        <v>20478</v>
      </c>
      <c r="W245">
        <v>273700</v>
      </c>
      <c r="X245">
        <v>253210</v>
      </c>
      <c r="Y245">
        <f t="shared" si="43"/>
        <v>20490</v>
      </c>
      <c r="Z245">
        <v>7435</v>
      </c>
      <c r="AA245">
        <v>8600901</v>
      </c>
      <c r="AB245">
        <v>183845</v>
      </c>
      <c r="AC245" s="128">
        <v>140139.96076650266</v>
      </c>
      <c r="AD245">
        <v>77200</v>
      </c>
      <c r="AE245" t="s">
        <v>385</v>
      </c>
      <c r="AF245" s="188">
        <f t="shared" si="44"/>
        <v>-4.8264523200584582E-3</v>
      </c>
      <c r="AG245" s="188">
        <f t="shared" si="45"/>
        <v>0.35003288271830474</v>
      </c>
      <c r="AH245" s="188">
        <f t="shared" si="46"/>
        <v>5.6956521739130433E-2</v>
      </c>
      <c r="AI245" s="188">
        <f t="shared" si="47"/>
        <v>0.16507489952502741</v>
      </c>
      <c r="AJ245" s="188">
        <f t="shared" si="48"/>
        <v>0.24131523565948121</v>
      </c>
      <c r="AK245" s="188">
        <f t="shared" si="49"/>
        <v>0.32032793544694133</v>
      </c>
      <c r="AL245" s="188">
        <f t="shared" si="50"/>
        <v>7.4862988673730368E-2</v>
      </c>
      <c r="AM245" s="188">
        <v>-2.3827371105596913E-2</v>
      </c>
      <c r="AN245" s="188">
        <v>1.1889006722350281E-2</v>
      </c>
      <c r="AO245">
        <f t="shared" si="51"/>
        <v>1</v>
      </c>
      <c r="AP245" s="188">
        <f t="shared" si="52"/>
        <v>6.7911947387650712E-3</v>
      </c>
      <c r="AQ245" s="188">
        <f t="shared" si="53"/>
        <v>3.1424556083302885E-2</v>
      </c>
      <c r="AR245" s="188">
        <f t="shared" si="54"/>
        <v>0.67170259408111066</v>
      </c>
      <c r="AS245" s="128">
        <f t="shared" si="55"/>
        <v>1815.28446588734</v>
      </c>
      <c r="AT245" s="188">
        <v>0.154</v>
      </c>
      <c r="AU245" s="238">
        <v>3.0800000000000001E-2</v>
      </c>
      <c r="AV245">
        <v>9.5</v>
      </c>
      <c r="AY245" t="s">
        <v>527</v>
      </c>
      <c r="AZ245" s="129">
        <v>1720.6711419196565</v>
      </c>
      <c r="BA245" t="s">
        <v>118</v>
      </c>
    </row>
    <row r="246" spans="1:55" x14ac:dyDescent="0.25">
      <c r="A246" t="s">
        <v>316</v>
      </c>
      <c r="B246">
        <v>43207</v>
      </c>
      <c r="C246">
        <v>200409</v>
      </c>
      <c r="D246">
        <v>2546764</v>
      </c>
      <c r="E246">
        <v>397858</v>
      </c>
      <c r="F246">
        <v>163903</v>
      </c>
      <c r="G246">
        <v>14814</v>
      </c>
      <c r="H246">
        <v>224</v>
      </c>
      <c r="I246">
        <v>-131683</v>
      </c>
      <c r="J246">
        <v>47462</v>
      </c>
      <c r="K246">
        <v>392821</v>
      </c>
      <c r="L246">
        <v>2331</v>
      </c>
      <c r="M246">
        <v>294096</v>
      </c>
      <c r="N246">
        <v>2406294</v>
      </c>
      <c r="O246">
        <v>109763</v>
      </c>
      <c r="P246">
        <v>878091</v>
      </c>
      <c r="Q246">
        <v>2220</v>
      </c>
      <c r="R246">
        <v>5612</v>
      </c>
      <c r="S246">
        <v>153705</v>
      </c>
      <c r="T246">
        <v>416523</v>
      </c>
      <c r="U246">
        <f t="shared" si="42"/>
        <v>7371</v>
      </c>
      <c r="V246">
        <v>1290890</v>
      </c>
      <c r="W246">
        <v>5238540</v>
      </c>
      <c r="X246">
        <v>3955021</v>
      </c>
      <c r="Y246">
        <f t="shared" si="43"/>
        <v>1283519</v>
      </c>
      <c r="Z246">
        <v>256718</v>
      </c>
      <c r="AA246">
        <v>-14413667.00000003</v>
      </c>
      <c r="AB246">
        <v>2744461</v>
      </c>
      <c r="AC246" s="128">
        <v>2056505.4620978823</v>
      </c>
      <c r="AD246">
        <v>651631</v>
      </c>
      <c r="AE246" t="s">
        <v>316</v>
      </c>
      <c r="AF246" s="188">
        <f t="shared" si="44"/>
        <v>6.2631954704936877E-4</v>
      </c>
      <c r="AG246" s="188">
        <f t="shared" si="45"/>
        <v>0.11223776090284697</v>
      </c>
      <c r="AH246" s="188">
        <f t="shared" si="46"/>
        <v>3.4115803258159716E-2</v>
      </c>
      <c r="AI246" s="188">
        <f t="shared" si="47"/>
        <v>-1.6077189445914318E-2</v>
      </c>
      <c r="AJ246" s="188">
        <f t="shared" si="48"/>
        <v>0.12758568990596617</v>
      </c>
      <c r="AK246" s="188">
        <f t="shared" si="49"/>
        <v>0.60578247664774854</v>
      </c>
      <c r="AL246" s="188">
        <f t="shared" si="50"/>
        <v>0.24501464148407762</v>
      </c>
      <c r="AM246" s="188">
        <v>7.3808987498592184E-3</v>
      </c>
      <c r="AN246" s="188">
        <v>-9.9391923526556316E-3</v>
      </c>
      <c r="AO246">
        <f t="shared" si="51"/>
        <v>1</v>
      </c>
      <c r="AP246" s="188">
        <f t="shared" si="52"/>
        <v>1.2251409743936287E-2</v>
      </c>
      <c r="AQ246" s="188">
        <f t="shared" si="53"/>
        <v>-2.7514664391223567E-3</v>
      </c>
      <c r="AR246" s="188">
        <f t="shared" si="54"/>
        <v>0.52389807083653084</v>
      </c>
      <c r="AS246" s="128">
        <f t="shared" si="55"/>
        <v>3155.9355863945734</v>
      </c>
      <c r="AT246" s="188">
        <v>0.245</v>
      </c>
      <c r="AU246" s="238">
        <v>4.9000000000000002E-2</v>
      </c>
      <c r="AV246">
        <v>8.5</v>
      </c>
      <c r="AY246" t="s">
        <v>436</v>
      </c>
      <c r="AZ246" s="129">
        <v>2109.6654715636532</v>
      </c>
      <c r="BA246" t="s">
        <v>118</v>
      </c>
      <c r="BC246">
        <v>1</v>
      </c>
    </row>
    <row r="247" spans="1:55" x14ac:dyDescent="0.25">
      <c r="A247" t="s">
        <v>202</v>
      </c>
      <c r="B247">
        <v>0</v>
      </c>
      <c r="C247">
        <v>189</v>
      </c>
      <c r="D247">
        <v>5308</v>
      </c>
      <c r="E247">
        <v>0</v>
      </c>
      <c r="F247">
        <v>0</v>
      </c>
      <c r="G247">
        <v>143</v>
      </c>
      <c r="H247">
        <v>1441</v>
      </c>
      <c r="I247">
        <v>-174</v>
      </c>
      <c r="J247">
        <v>0</v>
      </c>
      <c r="K247">
        <v>223</v>
      </c>
      <c r="L247">
        <v>5417</v>
      </c>
      <c r="M247" s="207">
        <f>-2+283</f>
        <v>281</v>
      </c>
      <c r="N247">
        <v>10183</v>
      </c>
      <c r="O247">
        <v>1222</v>
      </c>
      <c r="P247">
        <v>0</v>
      </c>
      <c r="Q247">
        <v>0</v>
      </c>
      <c r="R247">
        <v>0</v>
      </c>
      <c r="S247">
        <v>1411</v>
      </c>
      <c r="T247" s="207">
        <f>-283+283</f>
        <v>0</v>
      </c>
      <c r="U247">
        <f t="shared" si="42"/>
        <v>-1</v>
      </c>
      <c r="V247">
        <v>37</v>
      </c>
      <c r="W247">
        <v>5577</v>
      </c>
      <c r="X247">
        <v>5539</v>
      </c>
      <c r="Y247">
        <f t="shared" si="43"/>
        <v>38</v>
      </c>
      <c r="Z247">
        <v>5003</v>
      </c>
      <c r="AA247">
        <v>379671.99999999988</v>
      </c>
      <c r="AB247">
        <v>3188</v>
      </c>
      <c r="AC247" s="128">
        <v>3455.2247999604579</v>
      </c>
      <c r="AD247">
        <v>1726</v>
      </c>
      <c r="AE247" t="s">
        <v>202</v>
      </c>
      <c r="AF247" s="188">
        <f t="shared" si="44"/>
        <v>-0.97131074054150979</v>
      </c>
      <c r="AG247" s="188">
        <f t="shared" si="45"/>
        <v>-1.0927021696252466</v>
      </c>
      <c r="AH247" s="188">
        <f t="shared" si="46"/>
        <v>2.564102564102564E-2</v>
      </c>
      <c r="AI247" s="188">
        <f t="shared" si="47"/>
        <v>-3.1199569661108123E-2</v>
      </c>
      <c r="AJ247" s="188">
        <f t="shared" si="48"/>
        <v>-1.067785547785548</v>
      </c>
      <c r="AK247" s="188">
        <f t="shared" si="49"/>
        <v>0.79455368289637951</v>
      </c>
      <c r="AL247" s="188">
        <f t="shared" si="50"/>
        <v>6.8136991213914293E-3</v>
      </c>
      <c r="AM247" s="188">
        <v>0.10867070971971808</v>
      </c>
      <c r="AN247" s="188">
        <v>0.10867070971971808</v>
      </c>
      <c r="AO247">
        <f t="shared" si="51"/>
        <v>0</v>
      </c>
      <c r="AP247" s="188">
        <f t="shared" si="52"/>
        <v>0.22426932042316658</v>
      </c>
      <c r="AQ247" s="188">
        <f t="shared" si="53"/>
        <v>6.8078178232024361E-2</v>
      </c>
      <c r="AR247" s="188">
        <f t="shared" si="54"/>
        <v>0.5716334947104178</v>
      </c>
      <c r="AS247" s="128">
        <f t="shared" si="55"/>
        <v>2001.8683661416326</v>
      </c>
      <c r="AT247" s="188">
        <v>0.31</v>
      </c>
      <c r="AU247" s="238">
        <v>6.2E-2</v>
      </c>
      <c r="AV247">
        <v>7</v>
      </c>
      <c r="AY247" t="s">
        <v>169</v>
      </c>
      <c r="AZ247" s="129">
        <v>1710.7730413418526</v>
      </c>
      <c r="BA247" t="s">
        <v>118</v>
      </c>
    </row>
    <row r="248" spans="1:55" x14ac:dyDescent="0.25">
      <c r="A248" t="s">
        <v>386</v>
      </c>
      <c r="B248">
        <v>3830</v>
      </c>
      <c r="C248">
        <v>6036</v>
      </c>
      <c r="D248">
        <v>64924</v>
      </c>
      <c r="E248">
        <v>153</v>
      </c>
      <c r="F248">
        <v>0</v>
      </c>
      <c r="G248">
        <v>341</v>
      </c>
      <c r="H248">
        <v>0</v>
      </c>
      <c r="I248">
        <v>9264</v>
      </c>
      <c r="J248">
        <v>10</v>
      </c>
      <c r="K248">
        <v>12952</v>
      </c>
      <c r="L248">
        <v>404</v>
      </c>
      <c r="M248">
        <v>199</v>
      </c>
      <c r="N248">
        <v>53023</v>
      </c>
      <c r="O248">
        <v>3728</v>
      </c>
      <c r="P248">
        <v>25665</v>
      </c>
      <c r="Q248">
        <v>19</v>
      </c>
      <c r="R248">
        <v>5000</v>
      </c>
      <c r="S248">
        <v>7054</v>
      </c>
      <c r="T248">
        <v>3626</v>
      </c>
      <c r="U248">
        <f t="shared" si="42"/>
        <v>7</v>
      </c>
      <c r="V248">
        <v>902</v>
      </c>
      <c r="W248">
        <v>64304</v>
      </c>
      <c r="X248">
        <v>63409</v>
      </c>
      <c r="Y248">
        <f t="shared" si="43"/>
        <v>895</v>
      </c>
      <c r="Z248">
        <v>9373</v>
      </c>
      <c r="AA248">
        <v>2706555.9999999991</v>
      </c>
      <c r="AB248">
        <v>46240</v>
      </c>
      <c r="AC248" s="128">
        <v>30238.46767101562</v>
      </c>
      <c r="AD248">
        <v>23080</v>
      </c>
      <c r="AE248" t="s">
        <v>386</v>
      </c>
      <c r="AF248" s="188">
        <f t="shared" si="44"/>
        <v>7.1473003234635485E-2</v>
      </c>
      <c r="AG248" s="188">
        <f t="shared" si="45"/>
        <v>0.42715849713859166</v>
      </c>
      <c r="AH248" s="188">
        <f t="shared" si="46"/>
        <v>5.302936053744713E-3</v>
      </c>
      <c r="AI248" s="188">
        <f t="shared" si="47"/>
        <v>0.14422119930330929</v>
      </c>
      <c r="AJ248" s="188">
        <f t="shared" si="48"/>
        <v>0.32684000995272455</v>
      </c>
      <c r="AK248" s="188">
        <f t="shared" si="49"/>
        <v>0.54041685776894466</v>
      </c>
      <c r="AL248" s="188">
        <f t="shared" si="50"/>
        <v>1.3918263249564569E-2</v>
      </c>
      <c r="AM248" s="188">
        <v>-3.6566673965403987E-2</v>
      </c>
      <c r="AN248" s="188">
        <v>1.9810307802433785E-2</v>
      </c>
      <c r="AO248">
        <f t="shared" si="51"/>
        <v>1</v>
      </c>
      <c r="AP248" s="188">
        <f t="shared" si="52"/>
        <v>3.644019034585718E-2</v>
      </c>
      <c r="AQ248" s="188">
        <f t="shared" si="53"/>
        <v>4.2090009952724543E-2</v>
      </c>
      <c r="AR248" s="188">
        <f t="shared" si="54"/>
        <v>0.71908434934063203</v>
      </c>
      <c r="AS248" s="128">
        <f t="shared" si="55"/>
        <v>1310.1589112225138</v>
      </c>
      <c r="AT248" s="188">
        <v>0.25</v>
      </c>
      <c r="AU248" s="238">
        <v>0.05</v>
      </c>
      <c r="AV248">
        <v>8.5</v>
      </c>
      <c r="AY248" t="s">
        <v>243</v>
      </c>
      <c r="AZ248" s="129">
        <v>1651.3424003000832</v>
      </c>
      <c r="BA248" t="s">
        <v>118</v>
      </c>
    </row>
    <row r="249" spans="1:55" x14ac:dyDescent="0.25">
      <c r="A249" t="s">
        <v>271</v>
      </c>
      <c r="B249">
        <v>7253</v>
      </c>
      <c r="C249">
        <v>10844</v>
      </c>
      <c r="D249">
        <v>87595</v>
      </c>
      <c r="E249">
        <v>326</v>
      </c>
      <c r="F249">
        <v>0</v>
      </c>
      <c r="G249">
        <v>3805</v>
      </c>
      <c r="H249">
        <v>0</v>
      </c>
      <c r="I249">
        <v>3297</v>
      </c>
      <c r="J249">
        <v>5</v>
      </c>
      <c r="K249">
        <v>21544</v>
      </c>
      <c r="L249">
        <v>9166</v>
      </c>
      <c r="M249">
        <v>-2056</v>
      </c>
      <c r="N249">
        <v>62376</v>
      </c>
      <c r="O249">
        <v>7054</v>
      </c>
      <c r="P249">
        <v>57375</v>
      </c>
      <c r="Q249">
        <v>14</v>
      </c>
      <c r="R249">
        <v>0</v>
      </c>
      <c r="S249">
        <v>14826</v>
      </c>
      <c r="T249">
        <v>150</v>
      </c>
      <c r="U249">
        <f t="shared" si="42"/>
        <v>-20</v>
      </c>
      <c r="V249">
        <v>1479</v>
      </c>
      <c r="W249">
        <v>127446</v>
      </c>
      <c r="X249">
        <v>125947</v>
      </c>
      <c r="Y249">
        <f t="shared" si="43"/>
        <v>1499</v>
      </c>
      <c r="Z249">
        <v>6126</v>
      </c>
      <c r="AA249">
        <v>3263137.9999999981</v>
      </c>
      <c r="AB249">
        <v>86582</v>
      </c>
      <c r="AC249" s="128">
        <v>69845.41012599392</v>
      </c>
      <c r="AD249">
        <v>46532</v>
      </c>
      <c r="AE249" t="s">
        <v>271</v>
      </c>
      <c r="AF249" s="188">
        <f t="shared" si="44"/>
        <v>-7.1920656591811433E-2</v>
      </c>
      <c r="AG249" s="188">
        <f t="shared" si="45"/>
        <v>0.31312085118403088</v>
      </c>
      <c r="AH249" s="188">
        <f t="shared" si="46"/>
        <v>2.9855782056714218E-2</v>
      </c>
      <c r="AI249" s="188">
        <f t="shared" si="47"/>
        <v>2.5909012444486294E-2</v>
      </c>
      <c r="AJ249" s="188">
        <f t="shared" si="48"/>
        <v>0.29856723631969617</v>
      </c>
      <c r="AK249" s="188">
        <f t="shared" si="49"/>
        <v>0.43990267639902675</v>
      </c>
      <c r="AL249" s="188">
        <f t="shared" si="50"/>
        <v>1.1761844232066915E-2</v>
      </c>
      <c r="AM249" s="188">
        <v>5.9420759462420342E-2</v>
      </c>
      <c r="AN249" s="188">
        <v>-3.4230575720549127E-3</v>
      </c>
      <c r="AO249">
        <f t="shared" si="51"/>
        <v>1</v>
      </c>
      <c r="AP249" s="188">
        <f t="shared" si="52"/>
        <v>1.2016854197071701E-2</v>
      </c>
      <c r="AQ249" s="188">
        <f t="shared" si="53"/>
        <v>2.5604083298024247E-2</v>
      </c>
      <c r="AR249" s="188">
        <f t="shared" si="54"/>
        <v>0.67936223969367415</v>
      </c>
      <c r="AS249" s="128">
        <f t="shared" si="55"/>
        <v>1501.0188714431772</v>
      </c>
      <c r="AT249" s="188">
        <v>0.23249999999999998</v>
      </c>
      <c r="AU249" s="238">
        <v>4.65E-2</v>
      </c>
      <c r="AV249">
        <v>8.5</v>
      </c>
      <c r="AY249" t="s">
        <v>108</v>
      </c>
      <c r="AZ249" s="129">
        <v>1599.3727062718317</v>
      </c>
      <c r="BA249" t="s">
        <v>118</v>
      </c>
    </row>
    <row r="250" spans="1:55" x14ac:dyDescent="0.25">
      <c r="A250" t="s">
        <v>203</v>
      </c>
      <c r="B250">
        <v>0</v>
      </c>
      <c r="C250">
        <v>3382</v>
      </c>
      <c r="D250">
        <v>17758</v>
      </c>
      <c r="E250">
        <v>0</v>
      </c>
      <c r="F250">
        <v>0</v>
      </c>
      <c r="G250">
        <v>4687</v>
      </c>
      <c r="H250">
        <v>17</v>
      </c>
      <c r="I250">
        <v>-71</v>
      </c>
      <c r="J250">
        <v>0</v>
      </c>
      <c r="K250">
        <v>2932</v>
      </c>
      <c r="L250">
        <v>3374</v>
      </c>
      <c r="M250">
        <v>926</v>
      </c>
      <c r="N250">
        <v>18899</v>
      </c>
      <c r="O250">
        <v>9419</v>
      </c>
      <c r="P250">
        <v>0</v>
      </c>
      <c r="Q250">
        <v>42</v>
      </c>
      <c r="R250">
        <v>0</v>
      </c>
      <c r="S250">
        <v>2124</v>
      </c>
      <c r="T250">
        <v>2521</v>
      </c>
      <c r="U250">
        <f t="shared" si="42"/>
        <v>-430</v>
      </c>
      <c r="V250">
        <v>-510</v>
      </c>
      <c r="W250">
        <v>30502</v>
      </c>
      <c r="X250">
        <v>30582</v>
      </c>
      <c r="Y250">
        <f t="shared" si="43"/>
        <v>-80</v>
      </c>
      <c r="Z250">
        <v>477</v>
      </c>
      <c r="AA250">
        <v>964943</v>
      </c>
      <c r="AB250">
        <v>13394</v>
      </c>
      <c r="AC250" s="128">
        <v>18384.652784974518</v>
      </c>
      <c r="AD250">
        <v>10128</v>
      </c>
      <c r="AE250" t="s">
        <v>203</v>
      </c>
      <c r="AF250" s="188">
        <f t="shared" si="44"/>
        <v>-0.11061569733132254</v>
      </c>
      <c r="AG250" s="188">
        <f t="shared" si="45"/>
        <v>-0.23765654711166481</v>
      </c>
      <c r="AH250" s="188">
        <f t="shared" si="46"/>
        <v>0.15366205494721658</v>
      </c>
      <c r="AI250" s="188">
        <f t="shared" si="47"/>
        <v>-2.3277162153301422E-3</v>
      </c>
      <c r="AJ250" s="188">
        <f t="shared" si="48"/>
        <v>-0.21758769916726772</v>
      </c>
      <c r="AK250" s="188">
        <f t="shared" si="49"/>
        <v>0.5726102105741554</v>
      </c>
      <c r="AL250" s="188">
        <f t="shared" si="50"/>
        <v>-2.6227788341748083E-3</v>
      </c>
      <c r="AM250" s="188">
        <v>1.3270279399700815E-2</v>
      </c>
      <c r="AN250" s="188">
        <v>-1.6127364829939005E-2</v>
      </c>
      <c r="AO250">
        <f t="shared" si="51"/>
        <v>2</v>
      </c>
      <c r="AP250" s="188">
        <f t="shared" si="52"/>
        <v>3.9095796996918234E-3</v>
      </c>
      <c r="AQ250" s="188">
        <f t="shared" si="53"/>
        <v>3.1635400957314277E-2</v>
      </c>
      <c r="AR250" s="188">
        <f t="shared" si="54"/>
        <v>0.43911874631171727</v>
      </c>
      <c r="AS250" s="128">
        <f t="shared" si="55"/>
        <v>1815.2303302699959</v>
      </c>
      <c r="AT250" s="188">
        <v>0.48199999999999998</v>
      </c>
      <c r="AU250" s="238">
        <v>9.64E-2</v>
      </c>
      <c r="AV250">
        <v>6</v>
      </c>
      <c r="AY250" t="s">
        <v>142</v>
      </c>
      <c r="AZ250" s="129">
        <v>1730.7193463413621</v>
      </c>
      <c r="BA250" t="s">
        <v>118</v>
      </c>
    </row>
    <row r="251" spans="1:55" x14ac:dyDescent="0.25">
      <c r="A251" t="s">
        <v>317</v>
      </c>
      <c r="B251">
        <v>0</v>
      </c>
      <c r="C251">
        <v>305436</v>
      </c>
      <c r="D251">
        <v>276805</v>
      </c>
      <c r="E251">
        <v>11227</v>
      </c>
      <c r="F251">
        <v>1807</v>
      </c>
      <c r="G251">
        <v>23323</v>
      </c>
      <c r="H251">
        <v>212</v>
      </c>
      <c r="I251">
        <v>14161</v>
      </c>
      <c r="J251">
        <v>0</v>
      </c>
      <c r="K251">
        <v>27447</v>
      </c>
      <c r="L251">
        <v>3566</v>
      </c>
      <c r="M251">
        <v>18566</v>
      </c>
      <c r="N251">
        <v>139027</v>
      </c>
      <c r="O251">
        <v>40089</v>
      </c>
      <c r="P251">
        <v>347273</v>
      </c>
      <c r="Q251">
        <v>108465</v>
      </c>
      <c r="R251">
        <v>0</v>
      </c>
      <c r="S251">
        <v>10556</v>
      </c>
      <c r="T251">
        <v>37140</v>
      </c>
      <c r="U251">
        <f t="shared" si="42"/>
        <v>626</v>
      </c>
      <c r="V251">
        <v>46546</v>
      </c>
      <c r="W251">
        <v>371851</v>
      </c>
      <c r="X251">
        <v>325931</v>
      </c>
      <c r="Y251">
        <f t="shared" si="43"/>
        <v>45920</v>
      </c>
      <c r="Z251">
        <v>36529</v>
      </c>
      <c r="AA251">
        <v>4015384</v>
      </c>
      <c r="AB251">
        <v>215273</v>
      </c>
      <c r="AC251" s="128">
        <v>174214.09688978211</v>
      </c>
      <c r="AD251">
        <v>79279</v>
      </c>
      <c r="AE251" t="s">
        <v>317</v>
      </c>
      <c r="AF251" s="188">
        <f t="shared" si="44"/>
        <v>-9.589862606258959E-3</v>
      </c>
      <c r="AG251" s="188">
        <f t="shared" si="45"/>
        <v>1.1523782375198668</v>
      </c>
      <c r="AH251" s="188">
        <f t="shared" si="46"/>
        <v>6.7580832107483918E-2</v>
      </c>
      <c r="AI251" s="188">
        <f t="shared" si="47"/>
        <v>3.808245775861837E-2</v>
      </c>
      <c r="AJ251" s="188">
        <f t="shared" si="48"/>
        <v>1.133830216941732</v>
      </c>
      <c r="AK251" s="188">
        <f t="shared" si="49"/>
        <v>0.20368764193099406</v>
      </c>
      <c r="AL251" s="188">
        <f t="shared" si="50"/>
        <v>0.12349032273679511</v>
      </c>
      <c r="AM251" s="188">
        <v>-1.4143289305640716E-2</v>
      </c>
      <c r="AN251" s="188">
        <v>-3.9289225872502609E-2</v>
      </c>
      <c r="AO251">
        <f t="shared" si="51"/>
        <v>2</v>
      </c>
      <c r="AP251" s="188">
        <f t="shared" si="52"/>
        <v>2.4558895901853162E-2</v>
      </c>
      <c r="AQ251" s="188">
        <f t="shared" si="53"/>
        <v>1.0798368163592406E-2</v>
      </c>
      <c r="AR251" s="188">
        <f t="shared" si="54"/>
        <v>0.57892274056006299</v>
      </c>
      <c r="AS251" s="128">
        <f t="shared" si="55"/>
        <v>2197.4810087133051</v>
      </c>
      <c r="AT251" s="188">
        <v>0.16949999999999998</v>
      </c>
      <c r="AU251" s="238">
        <v>3.39E-2</v>
      </c>
      <c r="AV251">
        <v>8.5</v>
      </c>
      <c r="AY251" t="s">
        <v>352</v>
      </c>
      <c r="AZ251" s="129">
        <v>1328.8698241794955</v>
      </c>
      <c r="BA251" t="s">
        <v>118</v>
      </c>
      <c r="BB251">
        <v>1</v>
      </c>
    </row>
    <row r="252" spans="1:55" x14ac:dyDescent="0.25">
      <c r="A252" t="s">
        <v>135</v>
      </c>
      <c r="B252">
        <v>14</v>
      </c>
      <c r="C252">
        <v>819</v>
      </c>
      <c r="D252">
        <v>7155</v>
      </c>
      <c r="E252">
        <v>41</v>
      </c>
      <c r="F252">
        <v>0</v>
      </c>
      <c r="G252">
        <v>357</v>
      </c>
      <c r="H252">
        <v>0</v>
      </c>
      <c r="I252">
        <v>244</v>
      </c>
      <c r="J252">
        <v>0</v>
      </c>
      <c r="K252">
        <v>1025</v>
      </c>
      <c r="L252">
        <v>63</v>
      </c>
      <c r="M252">
        <v>689</v>
      </c>
      <c r="N252">
        <v>3646</v>
      </c>
      <c r="O252">
        <v>835</v>
      </c>
      <c r="P252">
        <v>5061</v>
      </c>
      <c r="Q252">
        <v>11</v>
      </c>
      <c r="R252">
        <v>0</v>
      </c>
      <c r="S252">
        <v>425</v>
      </c>
      <c r="T252">
        <v>427</v>
      </c>
      <c r="U252">
        <f t="shared" ref="U252:U313" si="56">SUM(V252,-Y252)</f>
        <v>0</v>
      </c>
      <c r="V252">
        <v>885</v>
      </c>
      <c r="W252">
        <v>9663</v>
      </c>
      <c r="X252">
        <v>8778</v>
      </c>
      <c r="Y252">
        <f t="shared" ref="Y252:Y313" si="57">SUM(W252,-X252)</f>
        <v>885</v>
      </c>
      <c r="Z252">
        <v>-518</v>
      </c>
      <c r="AA252">
        <v>293409</v>
      </c>
      <c r="AB252">
        <v>4122</v>
      </c>
      <c r="AC252" s="128">
        <v>4524.8662157145445</v>
      </c>
      <c r="AD252">
        <v>931</v>
      </c>
      <c r="AE252" t="s">
        <v>135</v>
      </c>
      <c r="AF252" s="188">
        <f t="shared" ref="AF252:AF313" si="58">SUM(R252,-L252)/W252</f>
        <v>-6.5197143744178824E-3</v>
      </c>
      <c r="AG252" s="188">
        <f t="shared" ref="AG252:AG313" si="59">SUM(P252,Q252,R252,S252,T252,-F252,-G252,-H252,-K252,-L252,-M252)/W252</f>
        <v>0.39221773776259961</v>
      </c>
      <c r="AH252" s="188">
        <f t="shared" ref="AH252:AH313" si="60">SUM(F252,G252)/W252</f>
        <v>3.6945048121701338E-2</v>
      </c>
      <c r="AI252" s="188">
        <f t="shared" ref="AI252:AI313" si="61">SUM(I252,J252)/W252</f>
        <v>2.5250957259650212E-2</v>
      </c>
      <c r="AJ252" s="188">
        <f t="shared" ref="AJ252:AJ313" si="62">SUM(AG252,0.12*AH252,-0.7*AI252)</f>
        <v>0.37897547345544863</v>
      </c>
      <c r="AK252" s="188">
        <f t="shared" ref="AK252:AK313" si="63">N252/SUM(N252,O252,P252,Q252,R252,S252,T252)</f>
        <v>0.35040845747236904</v>
      </c>
      <c r="AL252" s="188">
        <f t="shared" ref="AL252:AL313" si="64">Y252/W252</f>
        <v>9.1586463831108356E-2</v>
      </c>
      <c r="AM252" s="188">
        <v>4.9148819330038437E-2</v>
      </c>
      <c r="AN252" s="188">
        <v>-1.1764705882352941E-2</v>
      </c>
      <c r="AO252">
        <f t="shared" ref="AO252:AO313" si="65">COUNTIF(AL252:AN252,"&lt;0")</f>
        <v>1</v>
      </c>
      <c r="AP252" s="188">
        <f t="shared" ref="AP252:AP313" si="66">Z252/(4*W252)</f>
        <v>-1.3401635102970093E-2</v>
      </c>
      <c r="AQ252" s="188">
        <f t="shared" ref="AQ252:AQ313" si="67">AA252/(W252*1000)</f>
        <v>3.0364172617199627E-2</v>
      </c>
      <c r="AR252" s="188">
        <f t="shared" ref="AR252:AR313" si="68">AB252/W252</f>
        <v>0.42657559764048431</v>
      </c>
      <c r="AS252" s="128">
        <f t="shared" ref="AS252:AS313" si="69">AC252*1000/AD252</f>
        <v>4860.2214991563305</v>
      </c>
      <c r="AT252" s="188">
        <v>7.3499999999999996E-2</v>
      </c>
      <c r="AU252" s="238">
        <v>1.47E-2</v>
      </c>
      <c r="AV252">
        <v>9</v>
      </c>
      <c r="AY252" t="s">
        <v>353</v>
      </c>
      <c r="AZ252" s="129">
        <v>1876.8080585272983</v>
      </c>
      <c r="BA252" t="s">
        <v>118</v>
      </c>
    </row>
    <row r="253" spans="1:55" x14ac:dyDescent="0.25">
      <c r="A253" t="s">
        <v>337</v>
      </c>
      <c r="B253">
        <v>464</v>
      </c>
      <c r="C253">
        <v>15878</v>
      </c>
      <c r="D253">
        <v>95040</v>
      </c>
      <c r="E253">
        <v>371</v>
      </c>
      <c r="F253">
        <v>0</v>
      </c>
      <c r="G253">
        <v>4787</v>
      </c>
      <c r="H253">
        <v>327</v>
      </c>
      <c r="I253">
        <v>5359</v>
      </c>
      <c r="J253">
        <v>1274</v>
      </c>
      <c r="K253">
        <v>18276</v>
      </c>
      <c r="L253">
        <v>65</v>
      </c>
      <c r="M253">
        <v>9577</v>
      </c>
      <c r="N253">
        <v>42087</v>
      </c>
      <c r="O253">
        <v>20949</v>
      </c>
      <c r="P253">
        <v>67598</v>
      </c>
      <c r="Q253">
        <v>960</v>
      </c>
      <c r="R253">
        <v>0</v>
      </c>
      <c r="S253">
        <v>7407</v>
      </c>
      <c r="T253">
        <v>12417</v>
      </c>
      <c r="U253">
        <f t="shared" si="56"/>
        <v>-7</v>
      </c>
      <c r="V253">
        <v>3953</v>
      </c>
      <c r="W253">
        <v>122604</v>
      </c>
      <c r="X253">
        <v>118644</v>
      </c>
      <c r="Y253">
        <f t="shared" si="57"/>
        <v>3960</v>
      </c>
      <c r="Z253">
        <v>16790</v>
      </c>
      <c r="AA253">
        <v>3603654</v>
      </c>
      <c r="AB253">
        <v>70800</v>
      </c>
      <c r="AC253" s="128">
        <v>61198.005026069382</v>
      </c>
      <c r="AD253">
        <v>34065</v>
      </c>
      <c r="AE253" t="s">
        <v>337</v>
      </c>
      <c r="AF253" s="188">
        <f t="shared" si="58"/>
        <v>-5.3016214805389709E-4</v>
      </c>
      <c r="AG253" s="188">
        <f t="shared" si="59"/>
        <v>0.45145345991974162</v>
      </c>
      <c r="AH253" s="188">
        <f t="shared" si="60"/>
        <v>3.9044403118984695E-2</v>
      </c>
      <c r="AI253" s="188">
        <f t="shared" si="61"/>
        <v>5.4101008123715377E-2</v>
      </c>
      <c r="AJ253" s="188">
        <f t="shared" si="62"/>
        <v>0.41826808260741899</v>
      </c>
      <c r="AK253" s="188">
        <f t="shared" si="63"/>
        <v>0.27795242309368767</v>
      </c>
      <c r="AL253" s="188">
        <f t="shared" si="64"/>
        <v>3.2299109327591266E-2</v>
      </c>
      <c r="AM253" s="188">
        <v>-2.8335311760921373E-2</v>
      </c>
      <c r="AN253" s="188">
        <v>-4.5907612479850438E-2</v>
      </c>
      <c r="AO253">
        <f t="shared" si="65"/>
        <v>2</v>
      </c>
      <c r="AP253" s="188">
        <f t="shared" si="66"/>
        <v>3.4236240253172817E-2</v>
      </c>
      <c r="AQ253" s="188">
        <f t="shared" si="67"/>
        <v>2.9392629930507976E-2</v>
      </c>
      <c r="AR253" s="188">
        <f t="shared" si="68"/>
        <v>0.57746892434178332</v>
      </c>
      <c r="AS253" s="128">
        <f t="shared" si="69"/>
        <v>1796.5068259524257</v>
      </c>
      <c r="AT253" s="188">
        <v>0.14300000000000002</v>
      </c>
      <c r="AU253" s="238">
        <v>2.86E-2</v>
      </c>
      <c r="AV253">
        <v>9.5</v>
      </c>
      <c r="AY253" t="s">
        <v>172</v>
      </c>
      <c r="AZ253" s="129">
        <v>1449.2138125639819</v>
      </c>
      <c r="BA253" t="s">
        <v>118</v>
      </c>
      <c r="BB253">
        <v>1</v>
      </c>
    </row>
    <row r="254" spans="1:55" x14ac:dyDescent="0.25">
      <c r="A254" t="s">
        <v>443</v>
      </c>
      <c r="B254">
        <v>290</v>
      </c>
      <c r="C254">
        <v>467297</v>
      </c>
      <c r="D254">
        <v>1414182</v>
      </c>
      <c r="E254">
        <v>96427</v>
      </c>
      <c r="F254">
        <v>100225</v>
      </c>
      <c r="G254">
        <v>74628</v>
      </c>
      <c r="H254">
        <v>187664</v>
      </c>
      <c r="I254">
        <v>22244</v>
      </c>
      <c r="J254">
        <v>22135</v>
      </c>
      <c r="K254">
        <v>308148</v>
      </c>
      <c r="L254">
        <v>167755</v>
      </c>
      <c r="M254">
        <v>199214</v>
      </c>
      <c r="N254">
        <v>1185653</v>
      </c>
      <c r="O254">
        <v>97199</v>
      </c>
      <c r="P254">
        <v>1335690</v>
      </c>
      <c r="Q254">
        <v>11796</v>
      </c>
      <c r="R254">
        <v>0</v>
      </c>
      <c r="S254">
        <v>255558</v>
      </c>
      <c r="T254">
        <v>174313</v>
      </c>
      <c r="U254">
        <f t="shared" si="56"/>
        <v>4</v>
      </c>
      <c r="V254">
        <v>684394</v>
      </c>
      <c r="W254">
        <v>3402499</v>
      </c>
      <c r="X254">
        <v>2718109</v>
      </c>
      <c r="Y254">
        <f t="shared" si="57"/>
        <v>684390</v>
      </c>
      <c r="Z254">
        <v>401885</v>
      </c>
      <c r="AA254">
        <v>78951078</v>
      </c>
      <c r="AB254">
        <v>2056215</v>
      </c>
      <c r="AC254" s="128">
        <v>1376939.968264272</v>
      </c>
      <c r="AD254">
        <v>548320</v>
      </c>
      <c r="AE254" t="s">
        <v>443</v>
      </c>
      <c r="AF254" s="188">
        <f t="shared" si="58"/>
        <v>-4.9303467833495325E-2</v>
      </c>
      <c r="AG254" s="188">
        <f t="shared" si="59"/>
        <v>0.21740579497598678</v>
      </c>
      <c r="AH254" s="188">
        <f t="shared" si="60"/>
        <v>5.1389581598701425E-2</v>
      </c>
      <c r="AI254" s="188">
        <f t="shared" si="61"/>
        <v>1.3043060409422604E-2</v>
      </c>
      <c r="AJ254" s="188">
        <f t="shared" si="62"/>
        <v>0.21444240248123514</v>
      </c>
      <c r="AK254" s="188">
        <f t="shared" si="63"/>
        <v>0.38744183812282101</v>
      </c>
      <c r="AL254" s="188">
        <f t="shared" si="64"/>
        <v>0.2011433361185411</v>
      </c>
      <c r="AM254" s="188">
        <v>-2.9200985180086257E-2</v>
      </c>
      <c r="AN254" s="188">
        <v>-6.73084162455789E-2</v>
      </c>
      <c r="AO254">
        <f t="shared" si="65"/>
        <v>2</v>
      </c>
      <c r="AP254" s="188">
        <f t="shared" si="66"/>
        <v>2.9528664078960789E-2</v>
      </c>
      <c r="AQ254" s="188">
        <f t="shared" si="67"/>
        <v>2.3203850464026586E-2</v>
      </c>
      <c r="AR254" s="188">
        <f t="shared" si="68"/>
        <v>0.60432493881702831</v>
      </c>
      <c r="AS254" s="128">
        <f t="shared" si="69"/>
        <v>2511.1977827988621</v>
      </c>
      <c r="AT254" s="188">
        <v>0.20100000000000001</v>
      </c>
      <c r="AU254" s="238">
        <v>4.02E-2</v>
      </c>
      <c r="AV254">
        <v>9</v>
      </c>
      <c r="AY254" t="s">
        <v>402</v>
      </c>
      <c r="AZ254" s="129">
        <v>1998.217702272771</v>
      </c>
      <c r="BA254" t="s">
        <v>118</v>
      </c>
      <c r="BC254">
        <v>1</v>
      </c>
    </row>
    <row r="255" spans="1:55" x14ac:dyDescent="0.25">
      <c r="A255" t="s">
        <v>480</v>
      </c>
      <c r="B255">
        <v>5882</v>
      </c>
      <c r="C255">
        <v>116801</v>
      </c>
      <c r="D255">
        <v>687207</v>
      </c>
      <c r="E255">
        <v>5092</v>
      </c>
      <c r="F255">
        <v>50386</v>
      </c>
      <c r="G255">
        <v>124585</v>
      </c>
      <c r="H255">
        <v>6615</v>
      </c>
      <c r="I255">
        <v>38374</v>
      </c>
      <c r="J255">
        <v>600</v>
      </c>
      <c r="K255">
        <v>29575</v>
      </c>
      <c r="L255">
        <v>17436</v>
      </c>
      <c r="M255">
        <v>34498</v>
      </c>
      <c r="N255">
        <v>622802</v>
      </c>
      <c r="O255">
        <v>56471</v>
      </c>
      <c r="P255">
        <v>314710</v>
      </c>
      <c r="Q255">
        <v>1917</v>
      </c>
      <c r="R255">
        <v>6043</v>
      </c>
      <c r="S255">
        <v>18280</v>
      </c>
      <c r="T255">
        <v>96828</v>
      </c>
      <c r="U255">
        <f t="shared" si="56"/>
        <v>43</v>
      </c>
      <c r="V255">
        <v>39214</v>
      </c>
      <c r="W255">
        <v>886168</v>
      </c>
      <c r="X255">
        <v>846997</v>
      </c>
      <c r="Y255">
        <f t="shared" si="57"/>
        <v>39171</v>
      </c>
      <c r="Z255">
        <v>32729</v>
      </c>
      <c r="AA255">
        <v>15042176.999999993</v>
      </c>
      <c r="AB255">
        <v>407230</v>
      </c>
      <c r="AC255" s="128">
        <v>286330.31360173691</v>
      </c>
      <c r="AD255">
        <v>155490</v>
      </c>
      <c r="AE255" t="s">
        <v>480</v>
      </c>
      <c r="AF255" s="188">
        <f t="shared" si="58"/>
        <v>-1.2856478681243285E-2</v>
      </c>
      <c r="AG255" s="188">
        <f t="shared" si="59"/>
        <v>0.19712176472181347</v>
      </c>
      <c r="AH255" s="188">
        <f t="shared" si="60"/>
        <v>0.19744675953092417</v>
      </c>
      <c r="AI255" s="188">
        <f t="shared" si="61"/>
        <v>4.3980373924583149E-2</v>
      </c>
      <c r="AJ255" s="188">
        <f t="shared" si="62"/>
        <v>0.19002911411831619</v>
      </c>
      <c r="AK255" s="188">
        <f t="shared" si="63"/>
        <v>0.55754124028356811</v>
      </c>
      <c r="AL255" s="188">
        <f t="shared" si="64"/>
        <v>4.4202679401648445E-2</v>
      </c>
      <c r="AM255" s="188">
        <v>6.3138118484069178E-4</v>
      </c>
      <c r="AN255" s="188">
        <v>-8.0778304206372833E-4</v>
      </c>
      <c r="AO255">
        <f t="shared" si="65"/>
        <v>1</v>
      </c>
      <c r="AP255" s="188">
        <f t="shared" si="66"/>
        <v>9.2332943640483518E-3</v>
      </c>
      <c r="AQ255" s="188">
        <f t="shared" si="67"/>
        <v>1.6974407787236724E-2</v>
      </c>
      <c r="AR255" s="188">
        <f t="shared" si="68"/>
        <v>0.45954040317411599</v>
      </c>
      <c r="AS255" s="128">
        <f t="shared" si="69"/>
        <v>1841.470921613846</v>
      </c>
      <c r="AT255" s="188">
        <v>0.22550000000000001</v>
      </c>
      <c r="AU255" s="238">
        <v>4.5100000000000001E-2</v>
      </c>
      <c r="AV255">
        <v>9</v>
      </c>
      <c r="AY255" t="s">
        <v>289</v>
      </c>
      <c r="AZ255" s="129">
        <v>1939.8862043802565</v>
      </c>
      <c r="BA255" t="s">
        <v>118</v>
      </c>
    </row>
    <row r="256" spans="1:55" x14ac:dyDescent="0.25">
      <c r="A256" t="s">
        <v>420</v>
      </c>
      <c r="B256">
        <v>0</v>
      </c>
      <c r="C256">
        <v>620</v>
      </c>
      <c r="D256">
        <v>21643</v>
      </c>
      <c r="E256">
        <v>96</v>
      </c>
      <c r="F256">
        <v>476</v>
      </c>
      <c r="G256">
        <v>1465</v>
      </c>
      <c r="H256">
        <v>0</v>
      </c>
      <c r="I256">
        <v>0</v>
      </c>
      <c r="J256">
        <v>0</v>
      </c>
      <c r="K256">
        <v>1728</v>
      </c>
      <c r="L256">
        <v>12039</v>
      </c>
      <c r="M256">
        <v>523</v>
      </c>
      <c r="N256">
        <v>13670</v>
      </c>
      <c r="O256">
        <v>3135</v>
      </c>
      <c r="P256">
        <v>18255</v>
      </c>
      <c r="Q256">
        <v>16</v>
      </c>
      <c r="R256">
        <v>2</v>
      </c>
      <c r="S256">
        <v>1197</v>
      </c>
      <c r="T256">
        <v>2315</v>
      </c>
      <c r="U256">
        <f t="shared" si="56"/>
        <v>-1</v>
      </c>
      <c r="V256">
        <v>-305</v>
      </c>
      <c r="W256">
        <v>28116</v>
      </c>
      <c r="X256">
        <v>28420</v>
      </c>
      <c r="Y256">
        <f t="shared" si="57"/>
        <v>-304</v>
      </c>
      <c r="Z256">
        <v>1898</v>
      </c>
      <c r="AA256">
        <v>-37166.000000000466</v>
      </c>
      <c r="AB256">
        <v>22230</v>
      </c>
      <c r="AC256" s="128">
        <v>16432.793181262532</v>
      </c>
      <c r="AD256">
        <v>10477</v>
      </c>
      <c r="AE256" t="s">
        <v>420</v>
      </c>
      <c r="AF256" s="188">
        <f t="shared" si="58"/>
        <v>-0.42811922037274153</v>
      </c>
      <c r="AG256" s="188">
        <f t="shared" si="59"/>
        <v>0.19753876796130318</v>
      </c>
      <c r="AH256" s="188">
        <f t="shared" si="60"/>
        <v>6.9035424669227491E-2</v>
      </c>
      <c r="AI256" s="188">
        <f t="shared" si="61"/>
        <v>0</v>
      </c>
      <c r="AJ256" s="188">
        <f t="shared" si="62"/>
        <v>0.20582301892161048</v>
      </c>
      <c r="AK256" s="188">
        <f t="shared" si="63"/>
        <v>0.35423684892459184</v>
      </c>
      <c r="AL256" s="188">
        <f t="shared" si="64"/>
        <v>-1.0812348840517854E-2</v>
      </c>
      <c r="AM256" s="188">
        <v>2.0895982728043796E-2</v>
      </c>
      <c r="AN256" s="188">
        <v>-2.4306378942376097E-2</v>
      </c>
      <c r="AO256">
        <f t="shared" si="65"/>
        <v>2</v>
      </c>
      <c r="AP256" s="188">
        <f t="shared" si="66"/>
        <v>1.6876511594821453E-2</v>
      </c>
      <c r="AQ256" s="188">
        <f t="shared" si="67"/>
        <v>-1.3218807796272752E-3</v>
      </c>
      <c r="AR256" s="188">
        <f t="shared" si="68"/>
        <v>0.79065300896286816</v>
      </c>
      <c r="AS256" s="128">
        <f t="shared" si="69"/>
        <v>1568.4636042056441</v>
      </c>
      <c r="AT256" s="188">
        <v>0.33</v>
      </c>
      <c r="AU256" s="238">
        <v>6.6000000000000003E-2</v>
      </c>
      <c r="AV256">
        <v>6</v>
      </c>
      <c r="AY256" t="s">
        <v>109</v>
      </c>
      <c r="AZ256" s="129">
        <v>1699.393982430835</v>
      </c>
      <c r="BA256" t="s">
        <v>118</v>
      </c>
    </row>
    <row r="257" spans="1:55" x14ac:dyDescent="0.25">
      <c r="A257" t="s">
        <v>387</v>
      </c>
      <c r="B257">
        <v>4</v>
      </c>
      <c r="C257">
        <v>2673</v>
      </c>
      <c r="D257">
        <v>28718</v>
      </c>
      <c r="E257">
        <v>55</v>
      </c>
      <c r="F257">
        <v>1255</v>
      </c>
      <c r="G257">
        <v>843</v>
      </c>
      <c r="H257">
        <v>0</v>
      </c>
      <c r="I257">
        <v>-917</v>
      </c>
      <c r="J257">
        <v>0</v>
      </c>
      <c r="K257">
        <v>16394</v>
      </c>
      <c r="L257">
        <v>435</v>
      </c>
      <c r="M257">
        <v>1500</v>
      </c>
      <c r="N257">
        <v>19257</v>
      </c>
      <c r="O257">
        <v>15331</v>
      </c>
      <c r="P257">
        <v>2705</v>
      </c>
      <c r="Q257">
        <v>0</v>
      </c>
      <c r="R257">
        <v>0</v>
      </c>
      <c r="S257">
        <v>12254</v>
      </c>
      <c r="T257">
        <v>1410</v>
      </c>
      <c r="U257">
        <f t="shared" si="56"/>
        <v>4</v>
      </c>
      <c r="V257">
        <v>2669</v>
      </c>
      <c r="W257">
        <v>74236</v>
      </c>
      <c r="X257">
        <v>71571</v>
      </c>
      <c r="Y257">
        <f t="shared" si="57"/>
        <v>2665</v>
      </c>
      <c r="Z257">
        <v>2829</v>
      </c>
      <c r="AA257">
        <v>2441486.9999999981</v>
      </c>
      <c r="AB257">
        <v>47501</v>
      </c>
      <c r="AC257" s="128">
        <v>40761.766483179672</v>
      </c>
      <c r="AD257">
        <v>29498</v>
      </c>
      <c r="AE257" t="s">
        <v>387</v>
      </c>
      <c r="AF257" s="188">
        <f t="shared" si="58"/>
        <v>-5.8596907160946175E-3</v>
      </c>
      <c r="AG257" s="188">
        <f t="shared" si="59"/>
        <v>-5.4663505576809095E-2</v>
      </c>
      <c r="AH257" s="188">
        <f t="shared" si="60"/>
        <v>2.8261220970957488E-2</v>
      </c>
      <c r="AI257" s="188">
        <f t="shared" si="61"/>
        <v>-1.235249744059486E-2</v>
      </c>
      <c r="AJ257" s="188">
        <f t="shared" si="62"/>
        <v>-4.2625410851877793E-2</v>
      </c>
      <c r="AK257" s="188">
        <f t="shared" si="63"/>
        <v>0.37790686264890005</v>
      </c>
      <c r="AL257" s="188">
        <f t="shared" si="64"/>
        <v>3.5899024731935986E-2</v>
      </c>
      <c r="AM257" s="188">
        <v>-8.888123600958002E-2</v>
      </c>
      <c r="AN257" s="188">
        <v>-5.1882335986164711E-3</v>
      </c>
      <c r="AO257">
        <f t="shared" si="65"/>
        <v>2</v>
      </c>
      <c r="AP257" s="188">
        <f t="shared" si="66"/>
        <v>9.5270488711676274E-3</v>
      </c>
      <c r="AQ257" s="188">
        <f t="shared" si="67"/>
        <v>3.2888180936472847E-2</v>
      </c>
      <c r="AR257" s="188">
        <f t="shared" si="68"/>
        <v>0.6398647556441619</v>
      </c>
      <c r="AS257" s="128">
        <f t="shared" si="69"/>
        <v>1381.8484806827471</v>
      </c>
      <c r="AT257" s="188">
        <v>0.23400000000000001</v>
      </c>
      <c r="AU257" s="238">
        <v>4.6800000000000001E-2</v>
      </c>
      <c r="AV257">
        <v>8.5</v>
      </c>
      <c r="AY257" t="s">
        <v>356</v>
      </c>
      <c r="AZ257" s="129">
        <v>1614.5324409743887</v>
      </c>
      <c r="BA257" t="s">
        <v>118</v>
      </c>
    </row>
    <row r="258" spans="1:55" x14ac:dyDescent="0.25">
      <c r="A258" t="s">
        <v>421</v>
      </c>
      <c r="B258">
        <v>24414</v>
      </c>
      <c r="C258">
        <v>17163</v>
      </c>
      <c r="D258">
        <v>339696</v>
      </c>
      <c r="E258">
        <v>4020</v>
      </c>
      <c r="F258">
        <v>419</v>
      </c>
      <c r="G258">
        <v>7755</v>
      </c>
      <c r="H258">
        <v>0</v>
      </c>
      <c r="I258">
        <v>7000</v>
      </c>
      <c r="J258">
        <v>21124</v>
      </c>
      <c r="K258">
        <v>41955</v>
      </c>
      <c r="L258">
        <v>6503</v>
      </c>
      <c r="M258">
        <v>14868</v>
      </c>
      <c r="N258">
        <v>62884</v>
      </c>
      <c r="O258">
        <v>9826</v>
      </c>
      <c r="P258">
        <v>349157</v>
      </c>
      <c r="Q258">
        <v>56</v>
      </c>
      <c r="R258">
        <v>5660</v>
      </c>
      <c r="S258">
        <v>27252</v>
      </c>
      <c r="T258">
        <v>30074</v>
      </c>
      <c r="U258">
        <f t="shared" si="56"/>
        <v>70</v>
      </c>
      <c r="V258">
        <v>4951</v>
      </c>
      <c r="W258">
        <v>366423</v>
      </c>
      <c r="X258">
        <v>361542</v>
      </c>
      <c r="Y258">
        <f t="shared" si="57"/>
        <v>4881</v>
      </c>
      <c r="Z258">
        <v>13869</v>
      </c>
      <c r="AA258">
        <v>-21819732.000000004</v>
      </c>
      <c r="AB258">
        <v>235006</v>
      </c>
      <c r="AC258" s="128">
        <v>216745.37882782059</v>
      </c>
      <c r="AD258">
        <v>91743</v>
      </c>
      <c r="AE258" t="s">
        <v>421</v>
      </c>
      <c r="AF258" s="188">
        <f t="shared" si="58"/>
        <v>-2.3006197755053586E-3</v>
      </c>
      <c r="AG258" s="188">
        <f t="shared" si="59"/>
        <v>0.92979698326797167</v>
      </c>
      <c r="AH258" s="188">
        <f t="shared" si="60"/>
        <v>2.2307551654781495E-2</v>
      </c>
      <c r="AI258" s="188">
        <f t="shared" si="61"/>
        <v>7.6752823922079133E-2</v>
      </c>
      <c r="AJ258" s="188">
        <f t="shared" si="62"/>
        <v>0.87874691272109007</v>
      </c>
      <c r="AK258" s="188">
        <f t="shared" si="63"/>
        <v>0.12968206405737984</v>
      </c>
      <c r="AL258" s="188">
        <f t="shared" si="64"/>
        <v>1.3320670372765901E-2</v>
      </c>
      <c r="AM258" s="188">
        <v>1.2418510141632096E-2</v>
      </c>
      <c r="AN258" s="188">
        <v>-3.3153244693374308E-2</v>
      </c>
      <c r="AO258">
        <f t="shared" si="65"/>
        <v>1</v>
      </c>
      <c r="AP258" s="188">
        <f t="shared" si="66"/>
        <v>9.4624245748765774E-3</v>
      </c>
      <c r="AQ258" s="188">
        <f t="shared" si="67"/>
        <v>-5.9547932307742704E-2</v>
      </c>
      <c r="AR258" s="188">
        <f t="shared" si="68"/>
        <v>0.64135166187712012</v>
      </c>
      <c r="AS258" s="128">
        <f t="shared" si="69"/>
        <v>2362.5277005092553</v>
      </c>
      <c r="AT258" s="188">
        <v>0.1535</v>
      </c>
      <c r="AU258" s="238">
        <v>3.0700000000000002E-2</v>
      </c>
      <c r="AV258">
        <v>7</v>
      </c>
      <c r="AY258" t="s">
        <v>174</v>
      </c>
      <c r="AZ258" s="129">
        <v>1611.5123918796885</v>
      </c>
      <c r="BA258" t="s">
        <v>118</v>
      </c>
    </row>
    <row r="259" spans="1:55" x14ac:dyDescent="0.25">
      <c r="A259" t="s">
        <v>318</v>
      </c>
      <c r="B259">
        <v>2741</v>
      </c>
      <c r="C259">
        <v>6719</v>
      </c>
      <c r="D259">
        <v>61260</v>
      </c>
      <c r="E259">
        <v>1166</v>
      </c>
      <c r="F259">
        <v>0</v>
      </c>
      <c r="G259">
        <v>1369</v>
      </c>
      <c r="H259">
        <v>0</v>
      </c>
      <c r="I259">
        <v>2375</v>
      </c>
      <c r="J259">
        <v>0</v>
      </c>
      <c r="K259">
        <v>22140</v>
      </c>
      <c r="L259">
        <v>5</v>
      </c>
      <c r="M259">
        <v>5508</v>
      </c>
      <c r="N259">
        <v>50121</v>
      </c>
      <c r="O259">
        <v>7626</v>
      </c>
      <c r="P259">
        <v>28760</v>
      </c>
      <c r="Q259">
        <v>0</v>
      </c>
      <c r="R259">
        <v>421</v>
      </c>
      <c r="S259">
        <v>4904</v>
      </c>
      <c r="T259">
        <v>11449</v>
      </c>
      <c r="U259">
        <f t="shared" si="56"/>
        <v>-1</v>
      </c>
      <c r="V259">
        <v>21584</v>
      </c>
      <c r="W259">
        <v>94336</v>
      </c>
      <c r="X259">
        <v>72751</v>
      </c>
      <c r="Y259">
        <f t="shared" si="57"/>
        <v>21585</v>
      </c>
      <c r="Z259">
        <v>11604</v>
      </c>
      <c r="AA259">
        <v>2978954.9999999991</v>
      </c>
      <c r="AB259">
        <v>51388</v>
      </c>
      <c r="AC259" s="128">
        <v>49858.048915983316</v>
      </c>
      <c r="AD259">
        <v>25597</v>
      </c>
      <c r="AE259" t="s">
        <v>318</v>
      </c>
      <c r="AF259" s="188">
        <f t="shared" si="58"/>
        <v>4.4097693351424693E-3</v>
      </c>
      <c r="AG259" s="188">
        <f t="shared" si="59"/>
        <v>0.17503392130257803</v>
      </c>
      <c r="AH259" s="188">
        <f t="shared" si="60"/>
        <v>1.4511957259158752E-2</v>
      </c>
      <c r="AI259" s="188">
        <f t="shared" si="61"/>
        <v>2.5175966757123473E-2</v>
      </c>
      <c r="AJ259" s="188">
        <f t="shared" si="62"/>
        <v>0.15915217944369064</v>
      </c>
      <c r="AK259" s="188">
        <f t="shared" si="63"/>
        <v>0.48528771022743777</v>
      </c>
      <c r="AL259" s="188">
        <f t="shared" si="64"/>
        <v>0.22880978629579377</v>
      </c>
      <c r="AM259" s="188">
        <v>-6.3348022729908388E-3</v>
      </c>
      <c r="AN259" s="188">
        <v>-7.9149344419571482E-3</v>
      </c>
      <c r="AO259">
        <f t="shared" si="65"/>
        <v>2</v>
      </c>
      <c r="AP259" s="188">
        <f t="shared" si="66"/>
        <v>3.0751780868385346E-2</v>
      </c>
      <c r="AQ259" s="188">
        <f t="shared" si="67"/>
        <v>3.1578135600407044E-2</v>
      </c>
      <c r="AR259" s="188">
        <f t="shared" si="68"/>
        <v>0.54473371777476254</v>
      </c>
      <c r="AS259" s="128">
        <f t="shared" si="69"/>
        <v>1947.8082945651176</v>
      </c>
      <c r="AT259" s="188">
        <v>0.29349999999999998</v>
      </c>
      <c r="AU259" s="238">
        <v>5.8700000000000002E-2</v>
      </c>
      <c r="AV259">
        <v>7.5</v>
      </c>
      <c r="AY259" t="s">
        <v>129</v>
      </c>
      <c r="AZ259" s="129">
        <v>1700.5683976679707</v>
      </c>
      <c r="BA259" t="s">
        <v>118</v>
      </c>
    </row>
    <row r="260" spans="1:55" x14ac:dyDescent="0.25">
      <c r="A260" t="s">
        <v>338</v>
      </c>
      <c r="B260">
        <v>186</v>
      </c>
      <c r="C260">
        <v>1768</v>
      </c>
      <c r="D260">
        <v>96905</v>
      </c>
      <c r="E260">
        <v>1275</v>
      </c>
      <c r="F260">
        <v>0</v>
      </c>
      <c r="G260">
        <v>1407</v>
      </c>
      <c r="H260">
        <v>0</v>
      </c>
      <c r="I260">
        <v>1733</v>
      </c>
      <c r="J260">
        <v>0</v>
      </c>
      <c r="K260">
        <v>10390</v>
      </c>
      <c r="L260">
        <v>2667</v>
      </c>
      <c r="M260">
        <v>5381</v>
      </c>
      <c r="N260">
        <v>30577</v>
      </c>
      <c r="O260">
        <v>15522</v>
      </c>
      <c r="P260">
        <v>56287</v>
      </c>
      <c r="Q260">
        <v>0</v>
      </c>
      <c r="R260">
        <v>8000</v>
      </c>
      <c r="S260">
        <v>2138</v>
      </c>
      <c r="T260">
        <v>9188</v>
      </c>
      <c r="U260">
        <f t="shared" si="56"/>
        <v>196</v>
      </c>
      <c r="V260">
        <v>4354</v>
      </c>
      <c r="W260">
        <v>80530</v>
      </c>
      <c r="X260">
        <v>76372</v>
      </c>
      <c r="Y260">
        <f t="shared" si="57"/>
        <v>4158</v>
      </c>
      <c r="Z260">
        <v>2788</v>
      </c>
      <c r="AA260">
        <v>3521059</v>
      </c>
      <c r="AB260">
        <v>49608</v>
      </c>
      <c r="AC260" s="128">
        <v>35835.795709410995</v>
      </c>
      <c r="AD260">
        <v>23166</v>
      </c>
      <c r="AE260" t="s">
        <v>338</v>
      </c>
      <c r="AF260" s="188">
        <f t="shared" si="58"/>
        <v>6.622376754004719E-2</v>
      </c>
      <c r="AG260" s="188">
        <f t="shared" si="59"/>
        <v>0.69251210728920898</v>
      </c>
      <c r="AH260" s="188">
        <f t="shared" si="60"/>
        <v>1.7471749658512354E-2</v>
      </c>
      <c r="AI260" s="188">
        <f t="shared" si="61"/>
        <v>2.1519930460697875E-2</v>
      </c>
      <c r="AJ260" s="188">
        <f t="shared" si="62"/>
        <v>0.67954476592574198</v>
      </c>
      <c r="AK260" s="188">
        <f t="shared" si="63"/>
        <v>0.25122420139345342</v>
      </c>
      <c r="AL260" s="188">
        <f t="shared" si="64"/>
        <v>5.1632931826648451E-2</v>
      </c>
      <c r="AM260" s="188">
        <v>2.1250569327867785E-2</v>
      </c>
      <c r="AN260" s="188">
        <v>1.0402874976357102E-2</v>
      </c>
      <c r="AO260">
        <f t="shared" si="65"/>
        <v>0</v>
      </c>
      <c r="AP260" s="188">
        <f t="shared" si="66"/>
        <v>8.6551595678629085E-3</v>
      </c>
      <c r="AQ260" s="188">
        <f t="shared" si="67"/>
        <v>4.3723568856326833E-2</v>
      </c>
      <c r="AR260" s="188">
        <f t="shared" si="68"/>
        <v>0.61601887495343355</v>
      </c>
      <c r="AS260" s="128">
        <f t="shared" si="69"/>
        <v>1546.913395036303</v>
      </c>
      <c r="AT260" s="188">
        <v>8.3999999999999991E-2</v>
      </c>
      <c r="AU260" s="238">
        <v>1.6799999999999999E-2</v>
      </c>
      <c r="AV260">
        <v>9.5</v>
      </c>
      <c r="AY260" t="s">
        <v>529</v>
      </c>
      <c r="AZ260" s="129">
        <v>1711.6508035248789</v>
      </c>
      <c r="BA260" t="s">
        <v>118</v>
      </c>
    </row>
    <row r="261" spans="1:55" x14ac:dyDescent="0.25">
      <c r="A261" t="s">
        <v>136</v>
      </c>
      <c r="B261">
        <v>0</v>
      </c>
      <c r="C261">
        <v>11462</v>
      </c>
      <c r="D261">
        <v>172753</v>
      </c>
      <c r="E261">
        <v>450</v>
      </c>
      <c r="F261">
        <v>4817</v>
      </c>
      <c r="G261">
        <v>1849</v>
      </c>
      <c r="H261">
        <v>0</v>
      </c>
      <c r="I261">
        <v>-3331</v>
      </c>
      <c r="J261">
        <v>87</v>
      </c>
      <c r="K261">
        <v>17951</v>
      </c>
      <c r="L261">
        <v>32</v>
      </c>
      <c r="M261">
        <v>5174</v>
      </c>
      <c r="N261">
        <v>60288</v>
      </c>
      <c r="O261">
        <v>10469</v>
      </c>
      <c r="P261">
        <v>76050</v>
      </c>
      <c r="Q261">
        <v>62</v>
      </c>
      <c r="R261">
        <v>41882</v>
      </c>
      <c r="S261">
        <v>5704</v>
      </c>
      <c r="T261">
        <v>16789</v>
      </c>
      <c r="U261">
        <f t="shared" si="56"/>
        <v>-14</v>
      </c>
      <c r="V261">
        <v>-2719</v>
      </c>
      <c r="W261">
        <v>198460</v>
      </c>
      <c r="X261">
        <v>201165</v>
      </c>
      <c r="Y261">
        <f t="shared" si="57"/>
        <v>-2705</v>
      </c>
      <c r="Z261">
        <v>2767</v>
      </c>
      <c r="AA261">
        <v>-260152</v>
      </c>
      <c r="AB261">
        <v>152916</v>
      </c>
      <c r="AC261" s="128">
        <v>112662.33787966648</v>
      </c>
      <c r="AD261">
        <v>56040</v>
      </c>
      <c r="AE261" t="s">
        <v>136</v>
      </c>
      <c r="AF261" s="188">
        <f t="shared" si="58"/>
        <v>0.21087372770331553</v>
      </c>
      <c r="AG261" s="188">
        <f t="shared" si="59"/>
        <v>0.55761362491182098</v>
      </c>
      <c r="AH261" s="188">
        <f t="shared" si="60"/>
        <v>3.3588632470019149E-2</v>
      </c>
      <c r="AI261" s="188">
        <f t="shared" si="61"/>
        <v>-1.634586314622594E-2</v>
      </c>
      <c r="AJ261" s="188">
        <f t="shared" si="62"/>
        <v>0.57308636501058141</v>
      </c>
      <c r="AK261" s="188">
        <f t="shared" si="63"/>
        <v>0.28539508814451536</v>
      </c>
      <c r="AL261" s="188">
        <f t="shared" si="64"/>
        <v>-1.3629950619772246E-2</v>
      </c>
      <c r="AM261" s="188">
        <v>-6.0650895475352393E-2</v>
      </c>
      <c r="AN261" s="188">
        <v>-6.8647962874344798E-2</v>
      </c>
      <c r="AO261">
        <f t="shared" si="65"/>
        <v>3</v>
      </c>
      <c r="AP261" s="188">
        <f t="shared" si="66"/>
        <v>3.4855890355739191E-3</v>
      </c>
      <c r="AQ261" s="188">
        <f t="shared" si="67"/>
        <v>-1.310853572508314E-3</v>
      </c>
      <c r="AR261" s="188">
        <f t="shared" si="68"/>
        <v>0.7705129497127885</v>
      </c>
      <c r="AS261" s="128">
        <f t="shared" si="69"/>
        <v>2010.3914682310221</v>
      </c>
      <c r="AT261" s="188">
        <v>0.29899999999999999</v>
      </c>
      <c r="AU261" s="238">
        <v>5.9799999999999999E-2</v>
      </c>
      <c r="AV261">
        <v>4.5</v>
      </c>
      <c r="AY261" t="s">
        <v>290</v>
      </c>
      <c r="AZ261" s="129">
        <v>2334.1973760502055</v>
      </c>
      <c r="BA261" t="s">
        <v>118</v>
      </c>
      <c r="BC261">
        <v>1</v>
      </c>
    </row>
    <row r="262" spans="1:55" x14ac:dyDescent="0.25">
      <c r="A262" t="s">
        <v>229</v>
      </c>
      <c r="B262">
        <v>495</v>
      </c>
      <c r="C262">
        <v>6932</v>
      </c>
      <c r="D262">
        <v>78443</v>
      </c>
      <c r="E262">
        <v>0</v>
      </c>
      <c r="F262">
        <v>364</v>
      </c>
      <c r="G262">
        <v>2950</v>
      </c>
      <c r="H262">
        <v>80</v>
      </c>
      <c r="I262">
        <v>832</v>
      </c>
      <c r="J262">
        <v>8</v>
      </c>
      <c r="K262">
        <v>30172</v>
      </c>
      <c r="L262">
        <v>295</v>
      </c>
      <c r="M262">
        <v>3198</v>
      </c>
      <c r="N262">
        <v>47292</v>
      </c>
      <c r="O262">
        <v>8999</v>
      </c>
      <c r="P262">
        <v>42583</v>
      </c>
      <c r="Q262">
        <v>2</v>
      </c>
      <c r="R262">
        <v>10500</v>
      </c>
      <c r="S262">
        <v>2169</v>
      </c>
      <c r="T262">
        <v>12215</v>
      </c>
      <c r="U262">
        <f t="shared" si="56"/>
        <v>-5</v>
      </c>
      <c r="V262">
        <v>-573</v>
      </c>
      <c r="W262">
        <v>127996</v>
      </c>
      <c r="X262">
        <v>128564</v>
      </c>
      <c r="Y262">
        <f t="shared" si="57"/>
        <v>-568</v>
      </c>
      <c r="Z262">
        <v>7493</v>
      </c>
      <c r="AA262">
        <v>7077896.9999999963</v>
      </c>
      <c r="AB262">
        <v>84819</v>
      </c>
      <c r="AC262" s="128">
        <v>72794.215734308935</v>
      </c>
      <c r="AD262">
        <v>46906</v>
      </c>
      <c r="AE262" t="s">
        <v>229</v>
      </c>
      <c r="AF262" s="188">
        <f t="shared" si="58"/>
        <v>7.9729054032938534E-2</v>
      </c>
      <c r="AG262" s="188">
        <f t="shared" si="59"/>
        <v>0.2375855495484234</v>
      </c>
      <c r="AH262" s="188">
        <f t="shared" si="60"/>
        <v>2.5891434107315852E-2</v>
      </c>
      <c r="AI262" s="188">
        <f t="shared" si="61"/>
        <v>6.5627050845338914E-3</v>
      </c>
      <c r="AJ262" s="188">
        <f t="shared" si="62"/>
        <v>0.23609862808212759</v>
      </c>
      <c r="AK262" s="188">
        <f t="shared" si="63"/>
        <v>0.38212669683257916</v>
      </c>
      <c r="AL262" s="188">
        <f t="shared" si="64"/>
        <v>-4.4376386762086314E-3</v>
      </c>
      <c r="AM262" s="188">
        <v>-3.6337182533104959E-2</v>
      </c>
      <c r="AN262" s="188">
        <v>-1.6829191569675998E-2</v>
      </c>
      <c r="AO262">
        <f t="shared" si="65"/>
        <v>3</v>
      </c>
      <c r="AP262" s="188">
        <f t="shared" si="66"/>
        <v>1.4635222975717991E-2</v>
      </c>
      <c r="AQ262" s="188">
        <f t="shared" si="67"/>
        <v>5.529779836869899E-2</v>
      </c>
      <c r="AR262" s="188">
        <f t="shared" si="68"/>
        <v>0.66266914591080972</v>
      </c>
      <c r="AS262" s="128">
        <f t="shared" si="69"/>
        <v>1551.9169345991756</v>
      </c>
      <c r="AT262" s="188">
        <v>0.21850000000000003</v>
      </c>
      <c r="AU262" s="238">
        <v>4.3700000000000003E-2</v>
      </c>
      <c r="AV262">
        <v>7.5</v>
      </c>
      <c r="AY262" t="s">
        <v>357</v>
      </c>
      <c r="AZ262" s="129">
        <v>1633.9493031291581</v>
      </c>
      <c r="BA262" t="s">
        <v>118</v>
      </c>
    </row>
    <row r="263" spans="1:55" x14ac:dyDescent="0.25">
      <c r="A263" t="s">
        <v>388</v>
      </c>
      <c r="B263">
        <v>0</v>
      </c>
      <c r="C263">
        <v>7490</v>
      </c>
      <c r="D263">
        <v>31505</v>
      </c>
      <c r="E263">
        <v>37</v>
      </c>
      <c r="F263">
        <v>0</v>
      </c>
      <c r="G263">
        <v>5778</v>
      </c>
      <c r="H263">
        <v>14900</v>
      </c>
      <c r="I263">
        <v>2141</v>
      </c>
      <c r="J263">
        <v>0</v>
      </c>
      <c r="K263">
        <v>16637</v>
      </c>
      <c r="L263">
        <v>6</v>
      </c>
      <c r="M263">
        <v>3628</v>
      </c>
      <c r="N263">
        <v>54854</v>
      </c>
      <c r="O263">
        <v>5640</v>
      </c>
      <c r="P263">
        <v>10000</v>
      </c>
      <c r="Q263">
        <v>386</v>
      </c>
      <c r="R263">
        <v>1287</v>
      </c>
      <c r="S263">
        <v>5354</v>
      </c>
      <c r="T263">
        <v>4601</v>
      </c>
      <c r="U263">
        <f t="shared" si="56"/>
        <v>-5</v>
      </c>
      <c r="V263">
        <v>-822</v>
      </c>
      <c r="W263">
        <v>55841</v>
      </c>
      <c r="X263">
        <v>56658</v>
      </c>
      <c r="Y263">
        <f t="shared" si="57"/>
        <v>-817</v>
      </c>
      <c r="Z263">
        <v>5845</v>
      </c>
      <c r="AA263">
        <v>2028584.9999999991</v>
      </c>
      <c r="AB263">
        <v>35088</v>
      </c>
      <c r="AC263" s="128">
        <v>32261.716233314961</v>
      </c>
      <c r="AD263">
        <v>19428</v>
      </c>
      <c r="AE263" t="s">
        <v>388</v>
      </c>
      <c r="AF263" s="188">
        <f t="shared" si="58"/>
        <v>2.2940133593596104E-2</v>
      </c>
      <c r="AG263" s="188">
        <f t="shared" si="59"/>
        <v>-0.34600025071184254</v>
      </c>
      <c r="AH263" s="188">
        <f t="shared" si="60"/>
        <v>0.10347235901935854</v>
      </c>
      <c r="AI263" s="188">
        <f t="shared" si="61"/>
        <v>3.834100392184954E-2</v>
      </c>
      <c r="AJ263" s="188">
        <f t="shared" si="62"/>
        <v>-0.36042227037481417</v>
      </c>
      <c r="AK263" s="188">
        <f t="shared" si="63"/>
        <v>0.66795742919071621</v>
      </c>
      <c r="AL263" s="188">
        <f t="shared" si="64"/>
        <v>-1.4630826811840763E-2</v>
      </c>
      <c r="AM263" s="188">
        <v>-0.13219154591443025</v>
      </c>
      <c r="AN263" s="188">
        <v>5.0775407384082497E-3</v>
      </c>
      <c r="AO263">
        <f t="shared" si="65"/>
        <v>2</v>
      </c>
      <c r="AP263" s="188">
        <f t="shared" si="66"/>
        <v>2.6168048566465499E-2</v>
      </c>
      <c r="AQ263" s="188">
        <f t="shared" si="67"/>
        <v>3.6327877366092998E-2</v>
      </c>
      <c r="AR263" s="188">
        <f t="shared" si="68"/>
        <v>0.6283555093927401</v>
      </c>
      <c r="AS263" s="128">
        <f t="shared" si="69"/>
        <v>1660.578352548639</v>
      </c>
      <c r="AT263" s="188">
        <v>0.3085</v>
      </c>
      <c r="AU263" s="238">
        <v>6.1699999999999998E-2</v>
      </c>
      <c r="AV263">
        <v>7.5</v>
      </c>
      <c r="AY263" t="s">
        <v>248</v>
      </c>
      <c r="AZ263" s="129">
        <v>1572.7928372538754</v>
      </c>
      <c r="BA263" t="s">
        <v>118</v>
      </c>
    </row>
    <row r="264" spans="1:55" x14ac:dyDescent="0.25">
      <c r="A264" t="s">
        <v>389</v>
      </c>
      <c r="B264">
        <v>2663</v>
      </c>
      <c r="C264">
        <v>2104</v>
      </c>
      <c r="D264">
        <v>43566</v>
      </c>
      <c r="E264">
        <v>70</v>
      </c>
      <c r="F264">
        <v>52</v>
      </c>
      <c r="G264">
        <v>1436</v>
      </c>
      <c r="H264">
        <v>0</v>
      </c>
      <c r="I264">
        <v>-6604</v>
      </c>
      <c r="J264">
        <v>11</v>
      </c>
      <c r="K264">
        <v>9384</v>
      </c>
      <c r="L264">
        <v>814</v>
      </c>
      <c r="M264">
        <v>599</v>
      </c>
      <c r="N264">
        <v>38619</v>
      </c>
      <c r="O264">
        <v>4854</v>
      </c>
      <c r="P264">
        <v>2500</v>
      </c>
      <c r="Q264">
        <v>12</v>
      </c>
      <c r="R264">
        <v>14</v>
      </c>
      <c r="S264">
        <v>3029</v>
      </c>
      <c r="T264">
        <v>5064</v>
      </c>
      <c r="U264">
        <f t="shared" si="56"/>
        <v>2</v>
      </c>
      <c r="V264">
        <v>-370</v>
      </c>
      <c r="W264">
        <v>49612</v>
      </c>
      <c r="X264">
        <v>49984</v>
      </c>
      <c r="Y264">
        <f t="shared" si="57"/>
        <v>-372</v>
      </c>
      <c r="Z264">
        <v>17224</v>
      </c>
      <c r="AA264">
        <v>3013316.9999999991</v>
      </c>
      <c r="AB264">
        <v>26038</v>
      </c>
      <c r="AC264" s="128">
        <v>24617.96006129212</v>
      </c>
      <c r="AD264">
        <v>17552</v>
      </c>
      <c r="AE264" t="s">
        <v>389</v>
      </c>
      <c r="AF264" s="188">
        <f t="shared" si="58"/>
        <v>-1.6125131016689512E-2</v>
      </c>
      <c r="AG264" s="188">
        <f t="shared" si="59"/>
        <v>-3.3580585342255907E-2</v>
      </c>
      <c r="AH264" s="188">
        <f t="shared" si="60"/>
        <v>2.9992743691042489E-2</v>
      </c>
      <c r="AI264" s="188">
        <f t="shared" si="61"/>
        <v>-0.13289123599129243</v>
      </c>
      <c r="AJ264" s="188">
        <f t="shared" si="62"/>
        <v>6.3042409094573884E-2</v>
      </c>
      <c r="AK264" s="188">
        <f t="shared" si="63"/>
        <v>0.71395030688456707</v>
      </c>
      <c r="AL264" s="188">
        <f t="shared" si="64"/>
        <v>-7.4981859227606223E-3</v>
      </c>
      <c r="AM264" s="188">
        <v>-3.2056730699176722E-2</v>
      </c>
      <c r="AN264" s="188">
        <v>1.3880454584887654E-2</v>
      </c>
      <c r="AO264">
        <f t="shared" si="65"/>
        <v>2</v>
      </c>
      <c r="AP264" s="188">
        <f t="shared" si="66"/>
        <v>8.6793517697331291E-2</v>
      </c>
      <c r="AQ264" s="188">
        <f t="shared" si="67"/>
        <v>6.0737664274772216E-2</v>
      </c>
      <c r="AR264" s="188">
        <f t="shared" si="68"/>
        <v>0.52483270176570185</v>
      </c>
      <c r="AS264" s="128">
        <f t="shared" si="69"/>
        <v>1402.5729296542911</v>
      </c>
      <c r="AT264" s="188">
        <v>0.31899999999999995</v>
      </c>
      <c r="AU264" s="238">
        <v>6.3799999999999996E-2</v>
      </c>
      <c r="AV264">
        <v>6.5</v>
      </c>
      <c r="AY264" t="s">
        <v>177</v>
      </c>
      <c r="AZ264" s="129">
        <v>1472.8128403927421</v>
      </c>
      <c r="BA264" t="s">
        <v>118</v>
      </c>
      <c r="BB264">
        <v>1</v>
      </c>
    </row>
    <row r="265" spans="1:55" x14ac:dyDescent="0.25">
      <c r="A265" t="s">
        <v>125</v>
      </c>
      <c r="B265">
        <v>2831</v>
      </c>
      <c r="C265">
        <v>2834</v>
      </c>
      <c r="D265">
        <v>84064</v>
      </c>
      <c r="E265">
        <v>651</v>
      </c>
      <c r="F265">
        <v>1899</v>
      </c>
      <c r="G265">
        <v>3430</v>
      </c>
      <c r="H265">
        <v>3</v>
      </c>
      <c r="I265">
        <v>265</v>
      </c>
      <c r="J265">
        <v>237</v>
      </c>
      <c r="K265">
        <v>12203</v>
      </c>
      <c r="L265">
        <v>798</v>
      </c>
      <c r="M265">
        <v>5528</v>
      </c>
      <c r="N265">
        <v>39871</v>
      </c>
      <c r="O265">
        <v>6459</v>
      </c>
      <c r="P265">
        <v>50200</v>
      </c>
      <c r="Q265">
        <v>2</v>
      </c>
      <c r="R265">
        <v>2257</v>
      </c>
      <c r="S265">
        <v>8178</v>
      </c>
      <c r="T265">
        <v>7776</v>
      </c>
      <c r="U265">
        <f t="shared" si="56"/>
        <v>-3</v>
      </c>
      <c r="V265">
        <v>-893</v>
      </c>
      <c r="W265">
        <v>121088</v>
      </c>
      <c r="X265">
        <v>121978</v>
      </c>
      <c r="Y265">
        <f t="shared" si="57"/>
        <v>-890</v>
      </c>
      <c r="Z265">
        <v>5405</v>
      </c>
      <c r="AA265">
        <v>-1298299</v>
      </c>
      <c r="AB265">
        <v>98415</v>
      </c>
      <c r="AC265" s="128">
        <v>65969.145112085098</v>
      </c>
      <c r="AD265">
        <v>31754</v>
      </c>
      <c r="AE265" t="s">
        <v>125</v>
      </c>
      <c r="AF265" s="188">
        <f t="shared" si="58"/>
        <v>1.2049088266384778E-2</v>
      </c>
      <c r="AG265" s="188">
        <f t="shared" si="59"/>
        <v>0.36793076109936573</v>
      </c>
      <c r="AH265" s="188">
        <f t="shared" si="60"/>
        <v>4.4009315539112054E-2</v>
      </c>
      <c r="AI265" s="188">
        <f t="shared" si="61"/>
        <v>4.1457452431289642E-3</v>
      </c>
      <c r="AJ265" s="188">
        <f t="shared" si="62"/>
        <v>0.37030985729386889</v>
      </c>
      <c r="AK265" s="188">
        <f t="shared" si="63"/>
        <v>0.34748089208056265</v>
      </c>
      <c r="AL265" s="188">
        <f t="shared" si="64"/>
        <v>-7.3500264270613107E-3</v>
      </c>
      <c r="AM265" s="188">
        <v>-6.4477211796246645E-2</v>
      </c>
      <c r="AN265" s="188">
        <v>-4.1963854775567112E-2</v>
      </c>
      <c r="AO265">
        <f t="shared" si="65"/>
        <v>3</v>
      </c>
      <c r="AP265" s="188">
        <f t="shared" si="66"/>
        <v>1.1159239561310782E-2</v>
      </c>
      <c r="AQ265" s="188">
        <f t="shared" si="67"/>
        <v>-1.0721946022727273E-2</v>
      </c>
      <c r="AR265" s="188">
        <f t="shared" si="68"/>
        <v>0.81275601215644822</v>
      </c>
      <c r="AS265" s="128">
        <f t="shared" si="69"/>
        <v>2077.5066168698463</v>
      </c>
      <c r="AT265" s="188">
        <v>0.32200000000000001</v>
      </c>
      <c r="AU265" s="238">
        <v>6.4399999999999999E-2</v>
      </c>
      <c r="AV265">
        <v>5.5</v>
      </c>
      <c r="AY265" t="s">
        <v>403</v>
      </c>
      <c r="AZ265" s="129">
        <v>1637.6197890036187</v>
      </c>
      <c r="BA265" t="s">
        <v>118</v>
      </c>
    </row>
    <row r="266" spans="1:55" x14ac:dyDescent="0.25">
      <c r="A266" t="s">
        <v>158</v>
      </c>
      <c r="B266">
        <v>0</v>
      </c>
      <c r="C266">
        <v>5829</v>
      </c>
      <c r="D266">
        <v>23702</v>
      </c>
      <c r="E266">
        <v>184</v>
      </c>
      <c r="F266">
        <v>573</v>
      </c>
      <c r="G266">
        <v>1208</v>
      </c>
      <c r="H266">
        <v>0</v>
      </c>
      <c r="I266">
        <v>1019</v>
      </c>
      <c r="J266">
        <v>0</v>
      </c>
      <c r="K266">
        <v>23657</v>
      </c>
      <c r="L266">
        <v>10</v>
      </c>
      <c r="M266">
        <v>2270</v>
      </c>
      <c r="N266">
        <v>48995</v>
      </c>
      <c r="O266">
        <v>2060</v>
      </c>
      <c r="P266">
        <v>99</v>
      </c>
      <c r="Q266">
        <v>0</v>
      </c>
      <c r="R266">
        <v>0</v>
      </c>
      <c r="S266">
        <v>1835</v>
      </c>
      <c r="T266">
        <v>5463</v>
      </c>
      <c r="U266">
        <f t="shared" si="56"/>
        <v>0</v>
      </c>
      <c r="V266">
        <v>-906</v>
      </c>
      <c r="W266">
        <v>37767</v>
      </c>
      <c r="X266">
        <v>38673</v>
      </c>
      <c r="Y266">
        <f t="shared" si="57"/>
        <v>-906</v>
      </c>
      <c r="Z266">
        <v>651</v>
      </c>
      <c r="AA266">
        <v>1475944.9999999991</v>
      </c>
      <c r="AB266">
        <v>26203</v>
      </c>
      <c r="AC266" s="128">
        <v>25329.941691989323</v>
      </c>
      <c r="AD266">
        <v>17261</v>
      </c>
      <c r="AE266" t="s">
        <v>158</v>
      </c>
      <c r="AF266" s="188">
        <f t="shared" si="58"/>
        <v>-2.6478142293536686E-4</v>
      </c>
      <c r="AG266" s="188">
        <f t="shared" si="59"/>
        <v>-0.53806232954695898</v>
      </c>
      <c r="AH266" s="188">
        <f t="shared" si="60"/>
        <v>4.7157571424788838E-2</v>
      </c>
      <c r="AI266" s="188">
        <f t="shared" si="61"/>
        <v>2.6981226997113882E-2</v>
      </c>
      <c r="AJ266" s="188">
        <f t="shared" si="62"/>
        <v>-0.55129027987396406</v>
      </c>
      <c r="AK266" s="188">
        <f t="shared" si="63"/>
        <v>0.83820912885786625</v>
      </c>
      <c r="AL266" s="188">
        <f t="shared" si="64"/>
        <v>-2.3989196917944235E-2</v>
      </c>
      <c r="AM266" s="188">
        <v>-9.4772344013490731E-2</v>
      </c>
      <c r="AN266" s="188">
        <v>-3.3876891435287201E-2</v>
      </c>
      <c r="AO266">
        <f t="shared" si="65"/>
        <v>3</v>
      </c>
      <c r="AP266" s="188">
        <f t="shared" si="66"/>
        <v>4.3093176582730958E-3</v>
      </c>
      <c r="AQ266" s="188">
        <f t="shared" si="67"/>
        <v>3.9080281727433976E-2</v>
      </c>
      <c r="AR266" s="188">
        <f t="shared" si="68"/>
        <v>0.69380676251754181</v>
      </c>
      <c r="AS266" s="128">
        <f t="shared" si="69"/>
        <v>1467.4666410978114</v>
      </c>
      <c r="AT266" s="188">
        <v>0.35549999999999998</v>
      </c>
      <c r="AU266" s="238">
        <v>7.1099999999999997E-2</v>
      </c>
      <c r="AV266">
        <v>6.5</v>
      </c>
      <c r="AY266" t="s">
        <v>251</v>
      </c>
      <c r="AZ266" s="129">
        <v>2045.5056595152423</v>
      </c>
      <c r="BA266" t="s">
        <v>118</v>
      </c>
      <c r="BC266">
        <v>1</v>
      </c>
    </row>
    <row r="267" spans="1:55" x14ac:dyDescent="0.25">
      <c r="A267" t="s">
        <v>272</v>
      </c>
      <c r="B267">
        <v>304</v>
      </c>
      <c r="C267">
        <v>8707</v>
      </c>
      <c r="D267">
        <v>37281</v>
      </c>
      <c r="E267">
        <v>116</v>
      </c>
      <c r="F267">
        <v>9462</v>
      </c>
      <c r="G267">
        <v>11060</v>
      </c>
      <c r="H267">
        <v>0</v>
      </c>
      <c r="I267">
        <v>0</v>
      </c>
      <c r="J267">
        <v>7</v>
      </c>
      <c r="K267">
        <v>2766</v>
      </c>
      <c r="L267">
        <v>6896</v>
      </c>
      <c r="M267">
        <v>5263</v>
      </c>
      <c r="N267">
        <v>16834</v>
      </c>
      <c r="O267">
        <v>7714</v>
      </c>
      <c r="P267">
        <v>49241</v>
      </c>
      <c r="Q267">
        <v>0</v>
      </c>
      <c r="R267">
        <v>0</v>
      </c>
      <c r="S267">
        <v>3362</v>
      </c>
      <c r="T267">
        <v>4712</v>
      </c>
      <c r="U267">
        <f t="shared" si="56"/>
        <v>0</v>
      </c>
      <c r="V267">
        <v>300</v>
      </c>
      <c r="W267">
        <v>62931</v>
      </c>
      <c r="X267">
        <v>62631</v>
      </c>
      <c r="Y267">
        <f t="shared" si="57"/>
        <v>300</v>
      </c>
      <c r="Z267">
        <v>-1224</v>
      </c>
      <c r="AA267">
        <v>790807.99999999907</v>
      </c>
      <c r="AB267">
        <v>40677</v>
      </c>
      <c r="AC267" s="128">
        <v>34134.163174178932</v>
      </c>
      <c r="AD267">
        <v>21743</v>
      </c>
      <c r="AE267" t="s">
        <v>272</v>
      </c>
      <c r="AF267" s="188">
        <f t="shared" si="58"/>
        <v>-0.10958033401662137</v>
      </c>
      <c r="AG267" s="188">
        <f t="shared" si="59"/>
        <v>0.34749169725572454</v>
      </c>
      <c r="AH267" s="188">
        <f t="shared" si="60"/>
        <v>0.32610319238531088</v>
      </c>
      <c r="AI267" s="188">
        <f t="shared" si="61"/>
        <v>1.1123293766188365E-4</v>
      </c>
      <c r="AJ267" s="188">
        <f t="shared" si="62"/>
        <v>0.38654621728559851</v>
      </c>
      <c r="AK267" s="188">
        <f t="shared" si="63"/>
        <v>0.20563624592306659</v>
      </c>
      <c r="AL267" s="188">
        <f t="shared" si="64"/>
        <v>4.7671258997950133E-3</v>
      </c>
      <c r="AM267" s="188">
        <v>-6.8389177284882807E-2</v>
      </c>
      <c r="AN267" s="188">
        <v>-0.18903647480497576</v>
      </c>
      <c r="AO267">
        <f t="shared" si="65"/>
        <v>2</v>
      </c>
      <c r="AP267" s="188">
        <f t="shared" si="66"/>
        <v>-4.8624684177909138E-3</v>
      </c>
      <c r="AQ267" s="188">
        <f t="shared" si="67"/>
        <v>1.2566270995216969E-2</v>
      </c>
      <c r="AR267" s="188">
        <f t="shared" si="68"/>
        <v>0.64637460075320585</v>
      </c>
      <c r="AS267" s="128">
        <f t="shared" si="69"/>
        <v>1569.8920652246206</v>
      </c>
      <c r="AT267" s="188">
        <v>0.27849999999999997</v>
      </c>
      <c r="AU267" s="238">
        <v>5.57E-2</v>
      </c>
      <c r="AV267">
        <v>7.5</v>
      </c>
      <c r="AY267" t="s">
        <v>181</v>
      </c>
      <c r="AZ267" s="129">
        <v>1471.5906977049117</v>
      </c>
      <c r="BA267" t="s">
        <v>118</v>
      </c>
      <c r="BB267">
        <v>1</v>
      </c>
    </row>
    <row r="268" spans="1:55" x14ac:dyDescent="0.25">
      <c r="A268" t="s">
        <v>390</v>
      </c>
      <c r="B268">
        <v>0</v>
      </c>
      <c r="C268">
        <v>6228</v>
      </c>
      <c r="D268">
        <v>42167</v>
      </c>
      <c r="E268">
        <v>135</v>
      </c>
      <c r="F268">
        <v>0</v>
      </c>
      <c r="G268">
        <v>3216</v>
      </c>
      <c r="H268">
        <v>0</v>
      </c>
      <c r="I268">
        <v>-1999</v>
      </c>
      <c r="J268">
        <v>57</v>
      </c>
      <c r="K268">
        <v>11022</v>
      </c>
      <c r="L268">
        <v>3709</v>
      </c>
      <c r="M268">
        <v>293</v>
      </c>
      <c r="N268">
        <v>34739</v>
      </c>
      <c r="O268">
        <v>18283</v>
      </c>
      <c r="P268">
        <v>0</v>
      </c>
      <c r="Q268">
        <v>82</v>
      </c>
      <c r="R268">
        <v>8772</v>
      </c>
      <c r="S268">
        <v>63</v>
      </c>
      <c r="T268">
        <v>2891</v>
      </c>
      <c r="U268">
        <f t="shared" si="56"/>
        <v>42</v>
      </c>
      <c r="V268">
        <v>-2253</v>
      </c>
      <c r="W268">
        <v>65163</v>
      </c>
      <c r="X268">
        <v>67458</v>
      </c>
      <c r="Y268">
        <f t="shared" si="57"/>
        <v>-2295</v>
      </c>
      <c r="Z268">
        <v>5589</v>
      </c>
      <c r="AA268">
        <v>2177397.9999999991</v>
      </c>
      <c r="AB268">
        <v>45791</v>
      </c>
      <c r="AC268" s="128">
        <v>43321.188852639723</v>
      </c>
      <c r="AD268">
        <v>24310</v>
      </c>
      <c r="AE268" t="s">
        <v>390</v>
      </c>
      <c r="AF268" s="188">
        <f t="shared" si="58"/>
        <v>7.7697466353605568E-2</v>
      </c>
      <c r="AG268" s="188">
        <f t="shared" si="59"/>
        <v>-9.8706321071773864E-2</v>
      </c>
      <c r="AH268" s="188">
        <f t="shared" si="60"/>
        <v>4.9353160535886932E-2</v>
      </c>
      <c r="AI268" s="188">
        <f t="shared" si="61"/>
        <v>-2.9802188358424259E-2</v>
      </c>
      <c r="AJ268" s="188">
        <f t="shared" si="62"/>
        <v>-7.1922409956570454E-2</v>
      </c>
      <c r="AK268" s="188">
        <f t="shared" si="63"/>
        <v>0.53584760141909604</v>
      </c>
      <c r="AL268" s="188">
        <f t="shared" si="64"/>
        <v>-3.5219372957046177E-2</v>
      </c>
      <c r="AM268" s="188">
        <v>-3.6720470758407571E-2</v>
      </c>
      <c r="AN268" s="188">
        <v>-3.2886885028510809E-2</v>
      </c>
      <c r="AO268">
        <f t="shared" si="65"/>
        <v>3</v>
      </c>
      <c r="AP268" s="188">
        <f t="shared" si="66"/>
        <v>2.1442382947378113E-2</v>
      </c>
      <c r="AQ268" s="188">
        <f t="shared" si="67"/>
        <v>3.3414637140708671E-2</v>
      </c>
      <c r="AR268" s="188">
        <f t="shared" si="68"/>
        <v>0.70271473075211388</v>
      </c>
      <c r="AS268" s="128">
        <f t="shared" si="69"/>
        <v>1782.031627011095</v>
      </c>
      <c r="AT268" s="188">
        <v>0.32500000000000001</v>
      </c>
      <c r="AU268" s="238">
        <v>6.5000000000000002E-2</v>
      </c>
      <c r="AV268">
        <v>7</v>
      </c>
      <c r="AY268" t="s">
        <v>182</v>
      </c>
      <c r="AZ268" s="129">
        <v>1929.9520627150957</v>
      </c>
      <c r="BA268" t="s">
        <v>118</v>
      </c>
    </row>
    <row r="269" spans="1:55" x14ac:dyDescent="0.25">
      <c r="A269" t="s">
        <v>159</v>
      </c>
      <c r="B269">
        <v>0</v>
      </c>
      <c r="C269">
        <v>4448</v>
      </c>
      <c r="D269">
        <v>93734</v>
      </c>
      <c r="E269">
        <v>1246</v>
      </c>
      <c r="F269">
        <v>7319</v>
      </c>
      <c r="G269">
        <v>2752</v>
      </c>
      <c r="H269">
        <v>0</v>
      </c>
      <c r="I269">
        <v>11524</v>
      </c>
      <c r="J269">
        <v>754</v>
      </c>
      <c r="K269">
        <v>11476</v>
      </c>
      <c r="L269">
        <v>475</v>
      </c>
      <c r="M269">
        <v>6064</v>
      </c>
      <c r="N269">
        <v>44079</v>
      </c>
      <c r="O269">
        <v>11789</v>
      </c>
      <c r="P269">
        <v>61598</v>
      </c>
      <c r="Q269">
        <v>481</v>
      </c>
      <c r="R269">
        <v>8514</v>
      </c>
      <c r="S269">
        <v>5007</v>
      </c>
      <c r="T269">
        <v>8328</v>
      </c>
      <c r="U269">
        <f t="shared" si="56"/>
        <v>-4</v>
      </c>
      <c r="V269">
        <v>-1714</v>
      </c>
      <c r="W269">
        <v>142089</v>
      </c>
      <c r="X269">
        <v>143799</v>
      </c>
      <c r="Y269">
        <f t="shared" si="57"/>
        <v>-1710</v>
      </c>
      <c r="Z269">
        <v>6842</v>
      </c>
      <c r="AA269">
        <v>4377399</v>
      </c>
      <c r="AB269">
        <v>101046</v>
      </c>
      <c r="AC269" s="128">
        <v>82655.244863520042</v>
      </c>
      <c r="AD269">
        <v>44341</v>
      </c>
      <c r="AE269" t="s">
        <v>159</v>
      </c>
      <c r="AF269" s="188">
        <f t="shared" si="58"/>
        <v>5.6577215688758453E-2</v>
      </c>
      <c r="AG269" s="188">
        <f t="shared" si="59"/>
        <v>0.39300719971285603</v>
      </c>
      <c r="AH269" s="188">
        <f t="shared" si="60"/>
        <v>7.0878111606106034E-2</v>
      </c>
      <c r="AI269" s="188">
        <f t="shared" si="61"/>
        <v>8.6410629957280299E-2</v>
      </c>
      <c r="AJ269" s="188">
        <f t="shared" si="62"/>
        <v>0.34102513213549251</v>
      </c>
      <c r="AK269" s="188">
        <f t="shared" si="63"/>
        <v>0.31530945091418927</v>
      </c>
      <c r="AL269" s="188">
        <f t="shared" si="64"/>
        <v>-1.2034710639106475E-2</v>
      </c>
      <c r="AM269" s="188">
        <v>-3.1923110612105142E-2</v>
      </c>
      <c r="AN269" s="188">
        <v>-4.4681409384765856E-2</v>
      </c>
      <c r="AO269">
        <f t="shared" si="65"/>
        <v>3</v>
      </c>
      <c r="AP269" s="188">
        <f t="shared" si="66"/>
        <v>1.2038229560345981E-2</v>
      </c>
      <c r="AQ269" s="188">
        <f t="shared" si="67"/>
        <v>3.0807444629774295E-2</v>
      </c>
      <c r="AR269" s="188">
        <f t="shared" si="68"/>
        <v>0.71114583113400753</v>
      </c>
      <c r="AS269" s="128">
        <f t="shared" si="69"/>
        <v>1864.0816594916678</v>
      </c>
      <c r="AT269" s="188">
        <v>0.26349999999999996</v>
      </c>
      <c r="AU269" s="238">
        <v>5.2699999999999997E-2</v>
      </c>
      <c r="AV269">
        <v>7</v>
      </c>
      <c r="AY269" t="s">
        <v>362</v>
      </c>
      <c r="AZ269" s="129">
        <v>1599.1287876399342</v>
      </c>
      <c r="BA269" t="s">
        <v>118</v>
      </c>
    </row>
    <row r="270" spans="1:55" x14ac:dyDescent="0.25">
      <c r="A270" t="s">
        <v>422</v>
      </c>
      <c r="B270">
        <v>110</v>
      </c>
      <c r="C270">
        <v>6401</v>
      </c>
      <c r="D270">
        <v>86682</v>
      </c>
      <c r="E270">
        <v>668</v>
      </c>
      <c r="F270">
        <v>2951</v>
      </c>
      <c r="G270">
        <v>2019</v>
      </c>
      <c r="H270">
        <v>0</v>
      </c>
      <c r="I270">
        <v>0</v>
      </c>
      <c r="J270">
        <v>3</v>
      </c>
      <c r="K270">
        <v>7392</v>
      </c>
      <c r="L270">
        <v>248</v>
      </c>
      <c r="M270">
        <v>1530</v>
      </c>
      <c r="N270">
        <v>26373</v>
      </c>
      <c r="O270">
        <v>5412</v>
      </c>
      <c r="P270">
        <v>62026</v>
      </c>
      <c r="Q270">
        <v>45</v>
      </c>
      <c r="R270">
        <v>5058</v>
      </c>
      <c r="S270">
        <v>3979</v>
      </c>
      <c r="T270">
        <v>5111</v>
      </c>
      <c r="U270">
        <f t="shared" si="56"/>
        <v>12</v>
      </c>
      <c r="V270">
        <v>-1358</v>
      </c>
      <c r="W270">
        <v>65173</v>
      </c>
      <c r="X270">
        <v>66543</v>
      </c>
      <c r="Y270">
        <f t="shared" si="57"/>
        <v>-1370</v>
      </c>
      <c r="Z270">
        <v>19462</v>
      </c>
      <c r="AA270">
        <v>445487.99999999907</v>
      </c>
      <c r="AB270">
        <v>47331</v>
      </c>
      <c r="AC270" s="128">
        <v>38480.818839806707</v>
      </c>
      <c r="AD270">
        <v>24875</v>
      </c>
      <c r="AE270" t="s">
        <v>422</v>
      </c>
      <c r="AF270" s="188">
        <f t="shared" si="58"/>
        <v>7.3803568962607216E-2</v>
      </c>
      <c r="AG270" s="188">
        <f t="shared" si="59"/>
        <v>0.95252635293756616</v>
      </c>
      <c r="AH270" s="188">
        <f t="shared" si="60"/>
        <v>7.6258573335583751E-2</v>
      </c>
      <c r="AI270" s="188">
        <f t="shared" si="61"/>
        <v>4.6031331993310115E-5</v>
      </c>
      <c r="AJ270" s="188">
        <f t="shared" si="62"/>
        <v>0.96164515980544096</v>
      </c>
      <c r="AK270" s="188">
        <f t="shared" si="63"/>
        <v>0.24418540054072072</v>
      </c>
      <c r="AL270" s="188">
        <f t="shared" si="64"/>
        <v>-2.1020974943611617E-2</v>
      </c>
      <c r="AM270" s="188">
        <v>-7.341513292433538E-2</v>
      </c>
      <c r="AN270" s="188">
        <v>-1.2176402614649627E-2</v>
      </c>
      <c r="AO270">
        <f t="shared" si="65"/>
        <v>3</v>
      </c>
      <c r="AP270" s="188">
        <f t="shared" si="66"/>
        <v>7.4655148604483454E-2</v>
      </c>
      <c r="AQ270" s="188">
        <f t="shared" si="67"/>
        <v>6.8354686756785642E-3</v>
      </c>
      <c r="AR270" s="188">
        <f t="shared" si="68"/>
        <v>0.72623632485845369</v>
      </c>
      <c r="AS270" s="128">
        <f t="shared" si="69"/>
        <v>1546.9675915500184</v>
      </c>
      <c r="AT270" s="188">
        <v>0.27799999999999997</v>
      </c>
      <c r="AU270" s="238">
        <v>5.5599999999999997E-2</v>
      </c>
      <c r="AV270">
        <v>5</v>
      </c>
      <c r="AY270" t="s">
        <v>363</v>
      </c>
      <c r="AZ270" s="129">
        <v>1670.5362632157517</v>
      </c>
      <c r="BA270" t="s">
        <v>118</v>
      </c>
    </row>
    <row r="271" spans="1:55" x14ac:dyDescent="0.25">
      <c r="A271" t="s">
        <v>230</v>
      </c>
      <c r="B271">
        <v>0</v>
      </c>
      <c r="C271">
        <v>6908</v>
      </c>
      <c r="D271">
        <v>159514</v>
      </c>
      <c r="E271">
        <v>127</v>
      </c>
      <c r="F271">
        <v>1297</v>
      </c>
      <c r="G271">
        <v>1173</v>
      </c>
      <c r="H271">
        <v>0</v>
      </c>
      <c r="I271">
        <v>482</v>
      </c>
      <c r="J271">
        <v>0</v>
      </c>
      <c r="K271">
        <v>12974</v>
      </c>
      <c r="L271">
        <v>15763</v>
      </c>
      <c r="M271">
        <v>764</v>
      </c>
      <c r="N271">
        <v>53282</v>
      </c>
      <c r="O271">
        <v>22378</v>
      </c>
      <c r="P271">
        <v>92943</v>
      </c>
      <c r="Q271">
        <v>88</v>
      </c>
      <c r="R271">
        <v>9514</v>
      </c>
      <c r="S271">
        <v>9576</v>
      </c>
      <c r="T271">
        <v>11222</v>
      </c>
      <c r="U271">
        <f t="shared" si="56"/>
        <v>-6</v>
      </c>
      <c r="V271">
        <v>3212</v>
      </c>
      <c r="W271">
        <v>146601</v>
      </c>
      <c r="X271">
        <v>143383</v>
      </c>
      <c r="Y271">
        <f t="shared" si="57"/>
        <v>3218</v>
      </c>
      <c r="Z271">
        <v>25109</v>
      </c>
      <c r="AA271">
        <v>8735669</v>
      </c>
      <c r="AB271">
        <v>104055</v>
      </c>
      <c r="AC271" s="128">
        <v>86266.026288623805</v>
      </c>
      <c r="AD271">
        <v>65108</v>
      </c>
      <c r="AE271" t="s">
        <v>230</v>
      </c>
      <c r="AF271" s="188">
        <f t="shared" si="58"/>
        <v>-4.2625902961098493E-2</v>
      </c>
      <c r="AG271" s="188">
        <f t="shared" si="59"/>
        <v>0.62326996405208701</v>
      </c>
      <c r="AH271" s="188">
        <f t="shared" si="60"/>
        <v>1.6848452602642547E-2</v>
      </c>
      <c r="AI271" s="188">
        <f t="shared" si="61"/>
        <v>3.2878356900703271E-3</v>
      </c>
      <c r="AJ271" s="188">
        <f t="shared" si="62"/>
        <v>0.62299029338135481</v>
      </c>
      <c r="AK271" s="188">
        <f t="shared" si="63"/>
        <v>0.26774470736622064</v>
      </c>
      <c r="AL271" s="188">
        <f t="shared" si="64"/>
        <v>2.1950737034535917E-2</v>
      </c>
      <c r="AM271" s="188">
        <v>3.345450902377238E-2</v>
      </c>
      <c r="AN271" s="188">
        <v>2.0133228022592136E-2</v>
      </c>
      <c r="AO271">
        <f t="shared" si="65"/>
        <v>0</v>
      </c>
      <c r="AP271" s="188">
        <f t="shared" si="66"/>
        <v>4.2818602874468793E-2</v>
      </c>
      <c r="AQ271" s="188">
        <f t="shared" si="67"/>
        <v>5.9588058744483328E-2</v>
      </c>
      <c r="AR271" s="188">
        <f t="shared" si="68"/>
        <v>0.70978369861051427</v>
      </c>
      <c r="AS271" s="128">
        <f t="shared" si="69"/>
        <v>1324.9681496686092</v>
      </c>
      <c r="AT271" s="188">
        <v>0.20750000000000002</v>
      </c>
      <c r="AU271" s="238">
        <v>4.1500000000000002E-2</v>
      </c>
      <c r="AV271">
        <v>8</v>
      </c>
      <c r="AY271" t="s">
        <v>364</v>
      </c>
      <c r="AZ271" s="129">
        <v>1479.1123823962732</v>
      </c>
      <c r="BA271" t="s">
        <v>118</v>
      </c>
      <c r="BB271">
        <v>1</v>
      </c>
    </row>
    <row r="272" spans="1:55" x14ac:dyDescent="0.25">
      <c r="A272" t="s">
        <v>440</v>
      </c>
      <c r="B272">
        <v>550</v>
      </c>
      <c r="C272">
        <v>19182</v>
      </c>
      <c r="D272">
        <v>199665</v>
      </c>
      <c r="E272">
        <v>1456</v>
      </c>
      <c r="F272">
        <v>24739</v>
      </c>
      <c r="G272">
        <v>4161</v>
      </c>
      <c r="H272">
        <v>0</v>
      </c>
      <c r="I272">
        <v>1507</v>
      </c>
      <c r="J272">
        <v>28</v>
      </c>
      <c r="K272">
        <v>20622</v>
      </c>
      <c r="L272">
        <v>10237</v>
      </c>
      <c r="M272">
        <v>5568</v>
      </c>
      <c r="N272">
        <v>47991</v>
      </c>
      <c r="O272">
        <v>25643</v>
      </c>
      <c r="P272">
        <v>177531</v>
      </c>
      <c r="Q272">
        <v>0</v>
      </c>
      <c r="R272">
        <v>1069</v>
      </c>
      <c r="S272">
        <v>12331</v>
      </c>
      <c r="T272">
        <v>23149</v>
      </c>
      <c r="U272">
        <f t="shared" si="56"/>
        <v>-1</v>
      </c>
      <c r="V272">
        <v>214</v>
      </c>
      <c r="W272">
        <v>292038</v>
      </c>
      <c r="X272">
        <v>291823</v>
      </c>
      <c r="Y272">
        <f t="shared" si="57"/>
        <v>215</v>
      </c>
      <c r="Z272">
        <v>10226</v>
      </c>
      <c r="AA272">
        <v>3298128.9999999963</v>
      </c>
      <c r="AB272">
        <v>212900</v>
      </c>
      <c r="AC272" s="128">
        <v>168289.65049948054</v>
      </c>
      <c r="AD272">
        <v>89999</v>
      </c>
      <c r="AE272" t="s">
        <v>440</v>
      </c>
      <c r="AF272" s="188">
        <f t="shared" si="58"/>
        <v>-3.1393174860805784E-2</v>
      </c>
      <c r="AG272" s="188">
        <f t="shared" si="59"/>
        <v>0.50936179538279269</v>
      </c>
      <c r="AH272" s="188">
        <f t="shared" si="60"/>
        <v>9.8959724419424869E-2</v>
      </c>
      <c r="AI272" s="188">
        <f t="shared" si="61"/>
        <v>5.2561652935576878E-3</v>
      </c>
      <c r="AJ272" s="188">
        <f t="shared" si="62"/>
        <v>0.51755764660763326</v>
      </c>
      <c r="AK272" s="188">
        <f t="shared" si="63"/>
        <v>0.16680105938536186</v>
      </c>
      <c r="AL272" s="188">
        <f t="shared" si="64"/>
        <v>7.3620556228983901E-4</v>
      </c>
      <c r="AM272" s="188">
        <v>-4.9012009418572894E-2</v>
      </c>
      <c r="AN272" s="188">
        <v>2.4776164627544593E-2</v>
      </c>
      <c r="AO272">
        <f t="shared" si="65"/>
        <v>1</v>
      </c>
      <c r="AP272" s="188">
        <f t="shared" si="66"/>
        <v>8.7539977674138299E-3</v>
      </c>
      <c r="AQ272" s="188">
        <f t="shared" si="67"/>
        <v>1.1293492627671729E-2</v>
      </c>
      <c r="AR272" s="188">
        <f t="shared" si="68"/>
        <v>0.72901471726282197</v>
      </c>
      <c r="AS272" s="128">
        <f t="shared" si="69"/>
        <v>1869.9057822806981</v>
      </c>
      <c r="AT272" s="188">
        <v>0.22599999999999998</v>
      </c>
      <c r="AU272" s="238">
        <v>4.5199999999999997E-2</v>
      </c>
      <c r="AV272">
        <v>8</v>
      </c>
      <c r="AY272" t="s">
        <v>365</v>
      </c>
      <c r="AZ272" s="129">
        <v>1557.7044577669963</v>
      </c>
      <c r="BA272" t="s">
        <v>118</v>
      </c>
    </row>
    <row r="273" spans="1:55" x14ac:dyDescent="0.25">
      <c r="A273" t="s">
        <v>339</v>
      </c>
      <c r="B273">
        <v>1552</v>
      </c>
      <c r="C273">
        <v>9110</v>
      </c>
      <c r="D273">
        <v>187981</v>
      </c>
      <c r="E273">
        <v>0</v>
      </c>
      <c r="F273">
        <v>0</v>
      </c>
      <c r="G273">
        <v>1116</v>
      </c>
      <c r="H273">
        <v>668</v>
      </c>
      <c r="I273">
        <v>9041</v>
      </c>
      <c r="J273">
        <v>0</v>
      </c>
      <c r="K273">
        <v>10781</v>
      </c>
      <c r="L273">
        <v>8037</v>
      </c>
      <c r="M273">
        <v>5777</v>
      </c>
      <c r="N273">
        <v>55021</v>
      </c>
      <c r="O273">
        <v>14303</v>
      </c>
      <c r="P273">
        <v>140049</v>
      </c>
      <c r="Q273">
        <v>0</v>
      </c>
      <c r="R273">
        <v>0</v>
      </c>
      <c r="S273">
        <v>10057</v>
      </c>
      <c r="T273">
        <v>14635</v>
      </c>
      <c r="U273">
        <f t="shared" si="56"/>
        <v>0</v>
      </c>
      <c r="V273">
        <v>8173</v>
      </c>
      <c r="W273">
        <v>176526</v>
      </c>
      <c r="X273">
        <v>168353</v>
      </c>
      <c r="Y273">
        <f t="shared" si="57"/>
        <v>8173</v>
      </c>
      <c r="Z273">
        <v>-2686</v>
      </c>
      <c r="AA273">
        <v>-734435.00000000373</v>
      </c>
      <c r="AB273">
        <v>123218</v>
      </c>
      <c r="AC273" s="128">
        <v>89190.587545300092</v>
      </c>
      <c r="AD273">
        <v>54463</v>
      </c>
      <c r="AE273" t="s">
        <v>339</v>
      </c>
      <c r="AF273" s="188">
        <f t="shared" si="58"/>
        <v>-4.5528703986948096E-2</v>
      </c>
      <c r="AG273" s="188">
        <f t="shared" si="59"/>
        <v>0.78380521849472595</v>
      </c>
      <c r="AH273" s="188">
        <f t="shared" si="60"/>
        <v>6.3220148873253798E-3</v>
      </c>
      <c r="AI273" s="188">
        <f t="shared" si="61"/>
        <v>5.1216251430384191E-2</v>
      </c>
      <c r="AJ273" s="188">
        <f t="shared" si="62"/>
        <v>0.74871248427993597</v>
      </c>
      <c r="AK273" s="188">
        <f t="shared" si="63"/>
        <v>0.23506718219298059</v>
      </c>
      <c r="AL273" s="188">
        <f t="shared" si="64"/>
        <v>4.6299128740242231E-2</v>
      </c>
      <c r="AM273" s="188">
        <v>-5.3681453150172791E-3</v>
      </c>
      <c r="AN273" s="188">
        <v>2.3974554971108751E-2</v>
      </c>
      <c r="AO273">
        <f t="shared" si="65"/>
        <v>1</v>
      </c>
      <c r="AP273" s="188">
        <f t="shared" si="66"/>
        <v>-3.8039722193897781E-3</v>
      </c>
      <c r="AQ273" s="188">
        <f t="shared" si="67"/>
        <v>-4.1604919388645509E-3</v>
      </c>
      <c r="AR273" s="188">
        <f t="shared" si="68"/>
        <v>0.69801615626026758</v>
      </c>
      <c r="AS273" s="128">
        <f t="shared" si="69"/>
        <v>1637.6363319189193</v>
      </c>
      <c r="AT273" s="188">
        <v>0.14349999999999999</v>
      </c>
      <c r="AU273" s="238">
        <v>2.87E-2</v>
      </c>
      <c r="AV273">
        <v>8</v>
      </c>
      <c r="AY273" t="s">
        <v>405</v>
      </c>
      <c r="AZ273" s="129">
        <v>1769.1545784719115</v>
      </c>
      <c r="BA273" t="s">
        <v>118</v>
      </c>
    </row>
    <row r="274" spans="1:55" x14ac:dyDescent="0.25">
      <c r="A274" t="s">
        <v>137</v>
      </c>
      <c r="B274">
        <v>0</v>
      </c>
      <c r="C274">
        <v>1133</v>
      </c>
      <c r="D274">
        <v>18333</v>
      </c>
      <c r="E274">
        <v>71</v>
      </c>
      <c r="F274">
        <v>253</v>
      </c>
      <c r="G274">
        <v>451</v>
      </c>
      <c r="H274">
        <v>97</v>
      </c>
      <c r="I274">
        <v>5432</v>
      </c>
      <c r="J274">
        <v>5</v>
      </c>
      <c r="K274">
        <v>2636</v>
      </c>
      <c r="L274">
        <v>369</v>
      </c>
      <c r="M274">
        <v>2496</v>
      </c>
      <c r="N274">
        <v>9825</v>
      </c>
      <c r="O274">
        <v>4900</v>
      </c>
      <c r="P274">
        <v>12489</v>
      </c>
      <c r="Q274">
        <v>0</v>
      </c>
      <c r="R274">
        <v>1078</v>
      </c>
      <c r="S274">
        <v>656</v>
      </c>
      <c r="T274">
        <v>2328</v>
      </c>
      <c r="U274">
        <f t="shared" si="56"/>
        <v>-27</v>
      </c>
      <c r="V274">
        <v>798</v>
      </c>
      <c r="W274">
        <v>22961</v>
      </c>
      <c r="X274">
        <v>22136</v>
      </c>
      <c r="Y274">
        <f t="shared" si="57"/>
        <v>825</v>
      </c>
      <c r="Z274">
        <v>-387</v>
      </c>
      <c r="AA274">
        <v>766178.99999999953</v>
      </c>
      <c r="AB274">
        <v>13621</v>
      </c>
      <c r="AC274" s="128">
        <v>9758.9215187655336</v>
      </c>
      <c r="AD274">
        <v>4870</v>
      </c>
      <c r="AE274" t="s">
        <v>137</v>
      </c>
      <c r="AF274" s="188">
        <f t="shared" si="58"/>
        <v>3.0878446060711641E-2</v>
      </c>
      <c r="AG274" s="188">
        <f t="shared" si="59"/>
        <v>0.44636557641217717</v>
      </c>
      <c r="AH274" s="188">
        <f t="shared" si="60"/>
        <v>3.0660685510212969E-2</v>
      </c>
      <c r="AI274" s="188">
        <f t="shared" si="61"/>
        <v>0.23679282261225557</v>
      </c>
      <c r="AJ274" s="188">
        <f t="shared" si="62"/>
        <v>0.28428988284482382</v>
      </c>
      <c r="AK274" s="188">
        <f t="shared" si="63"/>
        <v>0.31413863665430364</v>
      </c>
      <c r="AL274" s="188">
        <f t="shared" si="64"/>
        <v>3.5930490832280823E-2</v>
      </c>
      <c r="AM274" s="188">
        <v>3.4638017118402281E-2</v>
      </c>
      <c r="AN274" s="188">
        <v>-1.1013215859030838E-2</v>
      </c>
      <c r="AO274">
        <f t="shared" si="65"/>
        <v>1</v>
      </c>
      <c r="AP274" s="188">
        <f t="shared" si="66"/>
        <v>-4.2136666521492968E-3</v>
      </c>
      <c r="AQ274" s="188">
        <f t="shared" si="67"/>
        <v>3.3368712164104329E-2</v>
      </c>
      <c r="AR274" s="188">
        <f t="shared" si="68"/>
        <v>0.59322329166848131</v>
      </c>
      <c r="AS274" s="128">
        <f t="shared" si="69"/>
        <v>2003.8853221284462</v>
      </c>
      <c r="AT274" s="188">
        <v>0.14849999999999999</v>
      </c>
      <c r="AU274" s="238">
        <v>2.9700000000000001E-2</v>
      </c>
      <c r="AV274">
        <v>9</v>
      </c>
      <c r="AY274" t="s">
        <v>366</v>
      </c>
      <c r="AZ274" s="129">
        <v>1775.236938299591</v>
      </c>
      <c r="BA274" t="s">
        <v>118</v>
      </c>
    </row>
    <row r="275" spans="1:55" x14ac:dyDescent="0.25">
      <c r="A275" t="s">
        <v>273</v>
      </c>
      <c r="B275">
        <v>862</v>
      </c>
      <c r="C275">
        <v>818</v>
      </c>
      <c r="D275">
        <v>62044</v>
      </c>
      <c r="E275">
        <v>2137</v>
      </c>
      <c r="F275">
        <v>1893</v>
      </c>
      <c r="G275">
        <v>335</v>
      </c>
      <c r="H275">
        <v>626</v>
      </c>
      <c r="I275">
        <v>4637</v>
      </c>
      <c r="J275">
        <v>0</v>
      </c>
      <c r="K275">
        <v>8080</v>
      </c>
      <c r="L275">
        <v>637</v>
      </c>
      <c r="M275">
        <v>12349</v>
      </c>
      <c r="N275">
        <v>23174</v>
      </c>
      <c r="O275">
        <v>12572</v>
      </c>
      <c r="P275">
        <v>45348</v>
      </c>
      <c r="Q275">
        <v>0</v>
      </c>
      <c r="R275">
        <v>0</v>
      </c>
      <c r="S275">
        <v>4833</v>
      </c>
      <c r="T275">
        <v>8490</v>
      </c>
      <c r="U275">
        <f t="shared" si="56"/>
        <v>-6</v>
      </c>
      <c r="V275">
        <v>3842</v>
      </c>
      <c r="W275">
        <v>61574</v>
      </c>
      <c r="X275">
        <v>57726</v>
      </c>
      <c r="Y275">
        <f t="shared" si="57"/>
        <v>3848</v>
      </c>
      <c r="Z275">
        <v>17397</v>
      </c>
      <c r="AA275">
        <v>5830774</v>
      </c>
      <c r="AB275">
        <v>34960</v>
      </c>
      <c r="AC275" s="128">
        <v>21251.405618724159</v>
      </c>
      <c r="AD275">
        <v>13656</v>
      </c>
      <c r="AE275" t="s">
        <v>273</v>
      </c>
      <c r="AF275" s="188">
        <f t="shared" si="58"/>
        <v>-1.0345275603339072E-2</v>
      </c>
      <c r="AG275" s="188">
        <f t="shared" si="59"/>
        <v>0.56437782180790597</v>
      </c>
      <c r="AH275" s="188">
        <f t="shared" si="60"/>
        <v>3.618410368012473E-2</v>
      </c>
      <c r="AI275" s="188">
        <f t="shared" si="61"/>
        <v>7.5307759768733551E-2</v>
      </c>
      <c r="AJ275" s="188">
        <f t="shared" si="62"/>
        <v>0.51600448241140751</v>
      </c>
      <c r="AK275" s="188">
        <f t="shared" si="63"/>
        <v>0.24544308757956723</v>
      </c>
      <c r="AL275" s="188">
        <f t="shared" si="64"/>
        <v>6.2493909767109494E-2</v>
      </c>
      <c r="AM275" s="188">
        <v>2.328241458194967E-2</v>
      </c>
      <c r="AN275" s="188">
        <v>3.2859190649465214E-2</v>
      </c>
      <c r="AO275">
        <f t="shared" si="65"/>
        <v>0</v>
      </c>
      <c r="AP275" s="188">
        <f t="shared" si="66"/>
        <v>7.0634521064085493E-2</v>
      </c>
      <c r="AQ275" s="188">
        <f t="shared" si="67"/>
        <v>9.4695390911748459E-2</v>
      </c>
      <c r="AR275" s="188">
        <f t="shared" si="68"/>
        <v>0.56777211160554775</v>
      </c>
      <c r="AS275" s="128">
        <f t="shared" si="69"/>
        <v>1556.1954905334037</v>
      </c>
      <c r="AT275" s="188">
        <v>6.3E-2</v>
      </c>
      <c r="AU275" s="238">
        <v>1.26E-2</v>
      </c>
      <c r="AV275">
        <v>9</v>
      </c>
      <c r="AY275" t="s">
        <v>368</v>
      </c>
      <c r="AZ275" s="129">
        <v>1636.5128062031861</v>
      </c>
      <c r="BA275" t="s">
        <v>118</v>
      </c>
    </row>
    <row r="276" spans="1:55" x14ac:dyDescent="0.25">
      <c r="A276" t="s">
        <v>319</v>
      </c>
      <c r="B276">
        <v>464</v>
      </c>
      <c r="C276">
        <v>11978</v>
      </c>
      <c r="D276">
        <v>73236</v>
      </c>
      <c r="E276">
        <v>277</v>
      </c>
      <c r="F276">
        <v>28819</v>
      </c>
      <c r="G276">
        <v>7150</v>
      </c>
      <c r="H276">
        <v>0</v>
      </c>
      <c r="I276">
        <v>2508</v>
      </c>
      <c r="J276">
        <v>0</v>
      </c>
      <c r="K276">
        <v>15748</v>
      </c>
      <c r="L276">
        <v>417</v>
      </c>
      <c r="M276">
        <v>3299</v>
      </c>
      <c r="N276">
        <v>85127</v>
      </c>
      <c r="O276">
        <v>13009</v>
      </c>
      <c r="P276">
        <v>24220</v>
      </c>
      <c r="Q276">
        <v>32</v>
      </c>
      <c r="R276">
        <v>8000</v>
      </c>
      <c r="S276">
        <v>1309</v>
      </c>
      <c r="T276">
        <v>12200</v>
      </c>
      <c r="U276">
        <f t="shared" si="56"/>
        <v>-6</v>
      </c>
      <c r="V276">
        <v>-2431</v>
      </c>
      <c r="W276">
        <v>85373</v>
      </c>
      <c r="X276">
        <v>87798</v>
      </c>
      <c r="Y276">
        <f t="shared" si="57"/>
        <v>-2425</v>
      </c>
      <c r="Z276">
        <v>10042</v>
      </c>
      <c r="AA276">
        <v>7496160.9999999981</v>
      </c>
      <c r="AB276">
        <v>56611</v>
      </c>
      <c r="AC276" s="128">
        <v>57737.843472259017</v>
      </c>
      <c r="AD276">
        <v>37791</v>
      </c>
      <c r="AE276" t="s">
        <v>319</v>
      </c>
      <c r="AF276" s="188">
        <f t="shared" si="58"/>
        <v>8.8821992901737076E-2</v>
      </c>
      <c r="AG276" s="188">
        <f t="shared" si="59"/>
        <v>-0.11329108734611645</v>
      </c>
      <c r="AH276" s="188">
        <f t="shared" si="60"/>
        <v>0.4213158726997997</v>
      </c>
      <c r="AI276" s="188">
        <f t="shared" si="61"/>
        <v>2.9376969299427218E-2</v>
      </c>
      <c r="AJ276" s="188">
        <f t="shared" si="62"/>
        <v>-8.3297061131739542E-2</v>
      </c>
      <c r="AK276" s="188">
        <f t="shared" si="63"/>
        <v>0.59158286830163243</v>
      </c>
      <c r="AL276" s="188">
        <f t="shared" si="64"/>
        <v>-2.84047649725323E-2</v>
      </c>
      <c r="AM276" s="188">
        <v>-3.0190792571944965E-2</v>
      </c>
      <c r="AN276" s="188">
        <v>-3.2575477717701584E-2</v>
      </c>
      <c r="AO276">
        <f t="shared" si="65"/>
        <v>3</v>
      </c>
      <c r="AP276" s="188">
        <f t="shared" si="66"/>
        <v>2.94062525622855E-2</v>
      </c>
      <c r="AQ276" s="188">
        <f t="shared" si="67"/>
        <v>8.7804821196396959E-2</v>
      </c>
      <c r="AR276" s="188">
        <f t="shared" si="68"/>
        <v>0.66310191746805192</v>
      </c>
      <c r="AS276" s="128">
        <f t="shared" si="69"/>
        <v>1527.8199431679241</v>
      </c>
      <c r="AT276" s="188">
        <v>0.28449999999999998</v>
      </c>
      <c r="AU276" s="238">
        <v>5.6899999999999999E-2</v>
      </c>
      <c r="AV276">
        <v>6.5</v>
      </c>
      <c r="AY276" t="s">
        <v>406</v>
      </c>
      <c r="AZ276" s="129">
        <v>1732.9081328237457</v>
      </c>
      <c r="BA276" t="s">
        <v>118</v>
      </c>
    </row>
    <row r="277" spans="1:55" x14ac:dyDescent="0.25">
      <c r="A277" t="s">
        <v>340</v>
      </c>
      <c r="B277">
        <v>1066</v>
      </c>
      <c r="C277">
        <v>8100</v>
      </c>
      <c r="D277">
        <v>42062</v>
      </c>
      <c r="E277">
        <v>271</v>
      </c>
      <c r="F277">
        <v>8480</v>
      </c>
      <c r="G277">
        <v>1043</v>
      </c>
      <c r="H277">
        <v>2573</v>
      </c>
      <c r="I277">
        <v>15743</v>
      </c>
      <c r="J277">
        <v>0</v>
      </c>
      <c r="K277">
        <v>4683</v>
      </c>
      <c r="L277">
        <v>11000</v>
      </c>
      <c r="M277">
        <v>2913</v>
      </c>
      <c r="N277">
        <v>23014</v>
      </c>
      <c r="O277">
        <v>10949</v>
      </c>
      <c r="P277">
        <v>53990</v>
      </c>
      <c r="Q277">
        <v>0</v>
      </c>
      <c r="R277">
        <v>0</v>
      </c>
      <c r="S277">
        <v>2653</v>
      </c>
      <c r="T277">
        <v>7328</v>
      </c>
      <c r="U277">
        <f t="shared" si="56"/>
        <v>0</v>
      </c>
      <c r="V277">
        <v>1723</v>
      </c>
      <c r="W277">
        <v>73037</v>
      </c>
      <c r="X277">
        <v>71314</v>
      </c>
      <c r="Y277">
        <f t="shared" si="57"/>
        <v>1723</v>
      </c>
      <c r="Z277">
        <v>8130</v>
      </c>
      <c r="AA277">
        <v>1239426</v>
      </c>
      <c r="AB277">
        <v>48926</v>
      </c>
      <c r="AC277" s="128">
        <v>42152.487060194995</v>
      </c>
      <c r="AD277">
        <v>26085</v>
      </c>
      <c r="AE277" t="s">
        <v>340</v>
      </c>
      <c r="AF277" s="188">
        <f t="shared" si="58"/>
        <v>-0.15060859564330409</v>
      </c>
      <c r="AG277" s="188">
        <f t="shared" si="59"/>
        <v>0.45564576858304695</v>
      </c>
      <c r="AH277" s="188">
        <f t="shared" si="60"/>
        <v>0.13038596875556224</v>
      </c>
      <c r="AI277" s="188">
        <f t="shared" si="61"/>
        <v>0.21554828374659418</v>
      </c>
      <c r="AJ277" s="188">
        <f t="shared" si="62"/>
        <v>0.32040828621109851</v>
      </c>
      <c r="AK277" s="188">
        <f t="shared" si="63"/>
        <v>0.23499499663038373</v>
      </c>
      <c r="AL277" s="188">
        <f t="shared" si="64"/>
        <v>2.3590782753946628E-2</v>
      </c>
      <c r="AM277" s="188">
        <v>8.931269601432254E-2</v>
      </c>
      <c r="AN277" s="188">
        <v>4.1619557915089549E-3</v>
      </c>
      <c r="AO277">
        <f t="shared" si="65"/>
        <v>0</v>
      </c>
      <c r="AP277" s="188">
        <f t="shared" si="66"/>
        <v>2.7828360967728685E-2</v>
      </c>
      <c r="AQ277" s="188">
        <f t="shared" si="67"/>
        <v>1.6969837205799799E-2</v>
      </c>
      <c r="AR277" s="188">
        <f t="shared" si="68"/>
        <v>0.66987965004039052</v>
      </c>
      <c r="AS277" s="128">
        <f t="shared" si="69"/>
        <v>1615.9665347975845</v>
      </c>
      <c r="AT277" s="188">
        <v>0.245</v>
      </c>
      <c r="AU277" s="238">
        <v>4.9000000000000002E-2</v>
      </c>
      <c r="AV277">
        <v>9.5</v>
      </c>
      <c r="AY277" t="s">
        <v>147</v>
      </c>
      <c r="AZ277" s="129">
        <v>1490.5990092497009</v>
      </c>
      <c r="BA277" t="s">
        <v>118</v>
      </c>
      <c r="BB277">
        <v>1</v>
      </c>
    </row>
    <row r="278" spans="1:55" x14ac:dyDescent="0.25">
      <c r="A278" t="s">
        <v>204</v>
      </c>
      <c r="B278">
        <v>54</v>
      </c>
      <c r="C278">
        <v>5971</v>
      </c>
      <c r="D278">
        <v>151400</v>
      </c>
      <c r="E278">
        <v>135</v>
      </c>
      <c r="F278">
        <v>7935</v>
      </c>
      <c r="G278">
        <v>2475</v>
      </c>
      <c r="H278">
        <v>0</v>
      </c>
      <c r="I278">
        <v>1535</v>
      </c>
      <c r="J278">
        <v>9</v>
      </c>
      <c r="K278">
        <v>26450</v>
      </c>
      <c r="L278">
        <v>587</v>
      </c>
      <c r="M278">
        <v>3207</v>
      </c>
      <c r="N278">
        <v>40546</v>
      </c>
      <c r="O278">
        <v>7933</v>
      </c>
      <c r="P278">
        <v>119069</v>
      </c>
      <c r="Q278">
        <v>19</v>
      </c>
      <c r="R278">
        <v>16543</v>
      </c>
      <c r="S278">
        <v>12412</v>
      </c>
      <c r="T278">
        <v>3236</v>
      </c>
      <c r="U278">
        <f t="shared" si="56"/>
        <v>138</v>
      </c>
      <c r="V278">
        <v>1686</v>
      </c>
      <c r="W278">
        <v>144403</v>
      </c>
      <c r="X278">
        <v>142855</v>
      </c>
      <c r="Y278">
        <f t="shared" si="57"/>
        <v>1548</v>
      </c>
      <c r="Z278">
        <v>37220</v>
      </c>
      <c r="AA278">
        <v>854339.99999999814</v>
      </c>
      <c r="AB278">
        <v>106512</v>
      </c>
      <c r="AC278" s="128">
        <v>78934.434080638865</v>
      </c>
      <c r="AD278">
        <v>41920</v>
      </c>
      <c r="AE278" t="s">
        <v>204</v>
      </c>
      <c r="AF278" s="188">
        <f t="shared" si="58"/>
        <v>0.11049631932854581</v>
      </c>
      <c r="AG278" s="188">
        <f t="shared" si="59"/>
        <v>0.76608519213589743</v>
      </c>
      <c r="AH278" s="188">
        <f t="shared" si="60"/>
        <v>7.2089915029466142E-2</v>
      </c>
      <c r="AI278" s="188">
        <f t="shared" si="61"/>
        <v>1.0692298636454921E-2</v>
      </c>
      <c r="AJ278" s="188">
        <f t="shared" si="62"/>
        <v>0.76725137289391498</v>
      </c>
      <c r="AK278" s="188">
        <f t="shared" si="63"/>
        <v>0.20297560047657665</v>
      </c>
      <c r="AL278" s="188">
        <f t="shared" si="64"/>
        <v>1.0719998891989779E-2</v>
      </c>
      <c r="AM278" s="188">
        <v>-7.5603481798330891E-3</v>
      </c>
      <c r="AN278" s="188">
        <v>3.9215374335804512E-3</v>
      </c>
      <c r="AO278">
        <f t="shared" si="65"/>
        <v>1</v>
      </c>
      <c r="AP278" s="188">
        <f t="shared" si="66"/>
        <v>6.443771943796181E-2</v>
      </c>
      <c r="AQ278" s="188">
        <f t="shared" si="67"/>
        <v>5.9163590784124852E-3</v>
      </c>
      <c r="AR278" s="188">
        <f t="shared" si="68"/>
        <v>0.73760240438218039</v>
      </c>
      <c r="AS278" s="128">
        <f t="shared" si="69"/>
        <v>1882.9779122289806</v>
      </c>
      <c r="AT278" s="188">
        <v>0.19750000000000001</v>
      </c>
      <c r="AU278" s="238">
        <v>3.95E-2</v>
      </c>
      <c r="AV278">
        <v>8</v>
      </c>
      <c r="AY278" t="s">
        <v>370</v>
      </c>
      <c r="AZ278" s="129">
        <v>1542.8783014844935</v>
      </c>
      <c r="BA278" t="s">
        <v>118</v>
      </c>
    </row>
    <row r="279" spans="1:55" x14ac:dyDescent="0.25">
      <c r="A279" t="s">
        <v>391</v>
      </c>
      <c r="B279">
        <v>2837</v>
      </c>
      <c r="C279">
        <v>95391</v>
      </c>
      <c r="D279">
        <v>872024</v>
      </c>
      <c r="E279">
        <v>8399</v>
      </c>
      <c r="F279">
        <v>30311</v>
      </c>
      <c r="G279">
        <v>8120</v>
      </c>
      <c r="H279">
        <v>28067</v>
      </c>
      <c r="I279">
        <v>21722</v>
      </c>
      <c r="J279">
        <v>430</v>
      </c>
      <c r="K279">
        <v>115024</v>
      </c>
      <c r="L279">
        <v>5894</v>
      </c>
      <c r="M279">
        <v>48672</v>
      </c>
      <c r="N279">
        <v>828992</v>
      </c>
      <c r="O279">
        <v>27629</v>
      </c>
      <c r="P279">
        <v>171329</v>
      </c>
      <c r="Q279">
        <v>2888</v>
      </c>
      <c r="R279">
        <v>80000</v>
      </c>
      <c r="S279">
        <v>45708</v>
      </c>
      <c r="T279">
        <v>80345</v>
      </c>
      <c r="U279">
        <f t="shared" si="56"/>
        <v>57</v>
      </c>
      <c r="V279">
        <v>-22892</v>
      </c>
      <c r="W279">
        <v>872712</v>
      </c>
      <c r="X279">
        <v>895661</v>
      </c>
      <c r="Y279">
        <f t="shared" si="57"/>
        <v>-22949</v>
      </c>
      <c r="Z279">
        <v>186211</v>
      </c>
      <c r="AA279">
        <v>20693993</v>
      </c>
      <c r="AB279">
        <v>654611</v>
      </c>
      <c r="AC279" s="128">
        <v>451544.36569014646</v>
      </c>
      <c r="AD279">
        <v>220505</v>
      </c>
      <c r="AE279" t="s">
        <v>391</v>
      </c>
      <c r="AF279" s="188">
        <f t="shared" si="58"/>
        <v>8.49146110056926E-2</v>
      </c>
      <c r="AG279" s="188">
        <f t="shared" si="59"/>
        <v>0.16521143286674184</v>
      </c>
      <c r="AH279" s="188">
        <f t="shared" si="60"/>
        <v>4.4036291468434033E-2</v>
      </c>
      <c r="AI279" s="188">
        <f t="shared" si="61"/>
        <v>2.5382944201523528E-2</v>
      </c>
      <c r="AJ279" s="188">
        <f t="shared" si="62"/>
        <v>0.15272772690188743</v>
      </c>
      <c r="AK279" s="188">
        <f t="shared" si="63"/>
        <v>0.6702223558906969</v>
      </c>
      <c r="AL279" s="188">
        <f t="shared" si="64"/>
        <v>-2.6296189349980292E-2</v>
      </c>
      <c r="AM279" s="188">
        <v>-1.0555424734786047E-2</v>
      </c>
      <c r="AN279" s="188">
        <v>-2.7001740359325316E-2</v>
      </c>
      <c r="AO279">
        <f t="shared" si="65"/>
        <v>3</v>
      </c>
      <c r="AP279" s="188">
        <f t="shared" si="66"/>
        <v>5.3342626204291907E-2</v>
      </c>
      <c r="AQ279" s="188">
        <f t="shared" si="67"/>
        <v>2.3712281944100688E-2</v>
      </c>
      <c r="AR279" s="188">
        <f t="shared" si="68"/>
        <v>0.75008823071070407</v>
      </c>
      <c r="AS279" s="128">
        <f t="shared" si="69"/>
        <v>2047.7738177825738</v>
      </c>
      <c r="AT279" s="188">
        <v>0.33849999999999997</v>
      </c>
      <c r="AU279" s="238">
        <v>6.7699999999999996E-2</v>
      </c>
      <c r="AV279">
        <v>5.5</v>
      </c>
      <c r="AY279" t="s">
        <v>148</v>
      </c>
      <c r="AZ279" s="129">
        <v>1566.0580137806112</v>
      </c>
      <c r="BA279" t="s">
        <v>118</v>
      </c>
    </row>
    <row r="280" spans="1:55" x14ac:dyDescent="0.25">
      <c r="A280" t="s">
        <v>160</v>
      </c>
      <c r="B280">
        <v>180</v>
      </c>
      <c r="C280">
        <v>4322</v>
      </c>
      <c r="D280">
        <v>24912</v>
      </c>
      <c r="E280">
        <v>696</v>
      </c>
      <c r="F280">
        <v>203</v>
      </c>
      <c r="G280">
        <v>1575</v>
      </c>
      <c r="H280">
        <v>0</v>
      </c>
      <c r="I280">
        <v>-394</v>
      </c>
      <c r="J280">
        <v>0</v>
      </c>
      <c r="K280">
        <v>8096</v>
      </c>
      <c r="L280">
        <v>1395</v>
      </c>
      <c r="M280">
        <v>2148</v>
      </c>
      <c r="N280">
        <v>25816</v>
      </c>
      <c r="O280">
        <v>4443</v>
      </c>
      <c r="P280">
        <v>4609</v>
      </c>
      <c r="Q280">
        <v>0</v>
      </c>
      <c r="R280">
        <v>0</v>
      </c>
      <c r="S280">
        <v>3282</v>
      </c>
      <c r="T280">
        <v>4983</v>
      </c>
      <c r="U280">
        <f t="shared" si="56"/>
        <v>-2</v>
      </c>
      <c r="V280">
        <v>132</v>
      </c>
      <c r="W280">
        <v>48298</v>
      </c>
      <c r="X280">
        <v>48164</v>
      </c>
      <c r="Y280">
        <f t="shared" si="57"/>
        <v>134</v>
      </c>
      <c r="Z280">
        <v>476</v>
      </c>
      <c r="AA280">
        <v>2356825</v>
      </c>
      <c r="AB280">
        <v>33134</v>
      </c>
      <c r="AC280" s="128">
        <v>31398.917966591078</v>
      </c>
      <c r="AD280">
        <v>21315</v>
      </c>
      <c r="AE280" t="s">
        <v>160</v>
      </c>
      <c r="AF280" s="188">
        <f t="shared" si="58"/>
        <v>-2.8883183568677792E-2</v>
      </c>
      <c r="AG280" s="188">
        <f t="shared" si="59"/>
        <v>-1.1242701561141249E-2</v>
      </c>
      <c r="AH280" s="188">
        <f t="shared" si="60"/>
        <v>3.6813118555633774E-2</v>
      </c>
      <c r="AI280" s="188">
        <f t="shared" si="61"/>
        <v>-8.1576876889312179E-3</v>
      </c>
      <c r="AJ280" s="188">
        <f t="shared" si="62"/>
        <v>-1.1147459522133441E-3</v>
      </c>
      <c r="AK280" s="188">
        <f t="shared" si="63"/>
        <v>0.59852085410242739</v>
      </c>
      <c r="AL280" s="188">
        <f t="shared" si="64"/>
        <v>2.7744420058801607E-3</v>
      </c>
      <c r="AM280" s="188">
        <v>-2.8654588118499132E-3</v>
      </c>
      <c r="AN280" s="188">
        <v>-6.9398089538496952E-2</v>
      </c>
      <c r="AO280">
        <f t="shared" si="65"/>
        <v>2</v>
      </c>
      <c r="AP280" s="188">
        <f t="shared" si="66"/>
        <v>2.4638701395502918E-3</v>
      </c>
      <c r="AQ280" s="188">
        <f t="shared" si="67"/>
        <v>4.8797569257526194E-2</v>
      </c>
      <c r="AR280" s="188">
        <f t="shared" si="68"/>
        <v>0.68603254793159141</v>
      </c>
      <c r="AS280" s="128">
        <f t="shared" si="69"/>
        <v>1473.0902165888378</v>
      </c>
      <c r="AT280" s="188">
        <v>0.312</v>
      </c>
      <c r="AU280" s="238">
        <v>6.2399999999999997E-2</v>
      </c>
      <c r="AV280">
        <v>8</v>
      </c>
      <c r="AY280" t="s">
        <v>254</v>
      </c>
      <c r="AZ280" s="129">
        <v>1544.6898011253679</v>
      </c>
      <c r="BA280" t="s">
        <v>118</v>
      </c>
    </row>
    <row r="281" spans="1:55" x14ac:dyDescent="0.25">
      <c r="A281" t="s">
        <v>161</v>
      </c>
      <c r="B281">
        <v>4</v>
      </c>
      <c r="C281">
        <v>9823</v>
      </c>
      <c r="D281">
        <v>55053</v>
      </c>
      <c r="E281">
        <v>229</v>
      </c>
      <c r="F281">
        <v>12296</v>
      </c>
      <c r="G281">
        <v>3654</v>
      </c>
      <c r="H281">
        <v>182</v>
      </c>
      <c r="I281">
        <v>8146</v>
      </c>
      <c r="J281">
        <v>0</v>
      </c>
      <c r="K281">
        <v>10912</v>
      </c>
      <c r="L281">
        <v>1412</v>
      </c>
      <c r="M281">
        <v>17544</v>
      </c>
      <c r="N281">
        <v>28368</v>
      </c>
      <c r="O281">
        <v>16476</v>
      </c>
      <c r="P281">
        <v>37821</v>
      </c>
      <c r="Q281">
        <v>0</v>
      </c>
      <c r="R281">
        <v>16000</v>
      </c>
      <c r="S281">
        <v>8678</v>
      </c>
      <c r="T281">
        <v>11908</v>
      </c>
      <c r="U281">
        <f t="shared" si="56"/>
        <v>87</v>
      </c>
      <c r="V281">
        <v>-429</v>
      </c>
      <c r="W281">
        <v>102143</v>
      </c>
      <c r="X281">
        <v>102659</v>
      </c>
      <c r="Y281">
        <f t="shared" si="57"/>
        <v>-516</v>
      </c>
      <c r="Z281">
        <v>852</v>
      </c>
      <c r="AA281">
        <v>658632.99999999907</v>
      </c>
      <c r="AB281">
        <v>66424</v>
      </c>
      <c r="AC281" s="128">
        <v>67812.133628475189</v>
      </c>
      <c r="AD281">
        <v>33699</v>
      </c>
      <c r="AE281" t="s">
        <v>161</v>
      </c>
      <c r="AF281" s="188">
        <f t="shared" si="58"/>
        <v>0.14281938067219485</v>
      </c>
      <c r="AG281" s="188">
        <f t="shared" si="59"/>
        <v>0.27811010054531393</v>
      </c>
      <c r="AH281" s="188">
        <f t="shared" si="60"/>
        <v>0.15615362775716399</v>
      </c>
      <c r="AI281" s="188">
        <f t="shared" si="61"/>
        <v>7.9750937411276354E-2</v>
      </c>
      <c r="AJ281" s="188">
        <f t="shared" si="62"/>
        <v>0.24102287968828015</v>
      </c>
      <c r="AK281" s="188">
        <f t="shared" si="63"/>
        <v>0.23788479761176007</v>
      </c>
      <c r="AL281" s="188">
        <f t="shared" si="64"/>
        <v>-5.0517411863759635E-3</v>
      </c>
      <c r="AM281" s="188">
        <v>-4.3024942673966962E-2</v>
      </c>
      <c r="AN281" s="188">
        <v>9.661013100833277E-3</v>
      </c>
      <c r="AO281">
        <f t="shared" si="65"/>
        <v>2</v>
      </c>
      <c r="AP281" s="188">
        <f t="shared" si="66"/>
        <v>2.0853117687947291E-3</v>
      </c>
      <c r="AQ281" s="188">
        <f t="shared" si="67"/>
        <v>6.4481462263689055E-3</v>
      </c>
      <c r="AR281" s="188">
        <f t="shared" si="68"/>
        <v>0.65030398558883129</v>
      </c>
      <c r="AS281" s="128">
        <f t="shared" si="69"/>
        <v>2012.2891963700758</v>
      </c>
      <c r="AT281" s="188">
        <v>0.32050000000000001</v>
      </c>
      <c r="AU281" s="238">
        <v>6.4100000000000004E-2</v>
      </c>
      <c r="AV281">
        <v>5.5</v>
      </c>
      <c r="AY281" t="s">
        <v>256</v>
      </c>
      <c r="AZ281" s="129">
        <v>1720.5422465221036</v>
      </c>
      <c r="BA281" t="s">
        <v>118</v>
      </c>
    </row>
    <row r="282" spans="1:55" x14ac:dyDescent="0.25">
      <c r="A282" t="s">
        <v>115</v>
      </c>
      <c r="B282">
        <v>1014</v>
      </c>
      <c r="C282">
        <v>21057</v>
      </c>
      <c r="D282">
        <v>87412</v>
      </c>
      <c r="E282">
        <v>50</v>
      </c>
      <c r="F282">
        <v>6192</v>
      </c>
      <c r="G282">
        <v>1935</v>
      </c>
      <c r="H282">
        <v>0</v>
      </c>
      <c r="I282">
        <v>11819</v>
      </c>
      <c r="J282">
        <v>7166</v>
      </c>
      <c r="K282">
        <v>5481</v>
      </c>
      <c r="L282">
        <v>3449</v>
      </c>
      <c r="M282">
        <v>3422</v>
      </c>
      <c r="N282">
        <v>59166</v>
      </c>
      <c r="O282">
        <v>24091</v>
      </c>
      <c r="P282">
        <v>53962</v>
      </c>
      <c r="Q282">
        <v>0</v>
      </c>
      <c r="R282">
        <v>5000</v>
      </c>
      <c r="S282">
        <v>3688</v>
      </c>
      <c r="T282">
        <v>3090</v>
      </c>
      <c r="U282">
        <f t="shared" si="56"/>
        <v>0</v>
      </c>
      <c r="V282">
        <v>1389</v>
      </c>
      <c r="W282">
        <v>94856</v>
      </c>
      <c r="X282">
        <v>93467</v>
      </c>
      <c r="Y282">
        <f t="shared" si="57"/>
        <v>1389</v>
      </c>
      <c r="Z282">
        <v>28810</v>
      </c>
      <c r="AA282">
        <v>3995133.9999999981</v>
      </c>
      <c r="AB282">
        <v>59846</v>
      </c>
      <c r="AC282" s="128">
        <v>53678.724770576802</v>
      </c>
      <c r="AD282">
        <v>33978</v>
      </c>
      <c r="AE282" t="s">
        <v>115</v>
      </c>
      <c r="AF282" s="188">
        <f t="shared" si="58"/>
        <v>1.6351100615670067E-2</v>
      </c>
      <c r="AG282" s="188">
        <f t="shared" si="59"/>
        <v>0.47715484523909929</v>
      </c>
      <c r="AH282" s="188">
        <f t="shared" si="60"/>
        <v>8.567723707514549E-2</v>
      </c>
      <c r="AI282" s="188">
        <f t="shared" si="61"/>
        <v>0.20014548368052626</v>
      </c>
      <c r="AJ282" s="188">
        <f t="shared" si="62"/>
        <v>0.34733427511174836</v>
      </c>
      <c r="AK282" s="188">
        <f t="shared" si="63"/>
        <v>0.3970952435283932</v>
      </c>
      <c r="AL282" s="188">
        <f t="shared" si="64"/>
        <v>1.4643248713839926E-2</v>
      </c>
      <c r="AM282" s="188">
        <v>2.4713792476830821E-3</v>
      </c>
      <c r="AN282" s="188">
        <v>-7.5870396458039849E-2</v>
      </c>
      <c r="AO282">
        <f t="shared" si="65"/>
        <v>1</v>
      </c>
      <c r="AP282" s="188">
        <f t="shared" si="66"/>
        <v>7.5930884709454333E-2</v>
      </c>
      <c r="AQ282" s="188">
        <f t="shared" si="67"/>
        <v>4.2117883950409024E-2</v>
      </c>
      <c r="AR282" s="188">
        <f t="shared" si="68"/>
        <v>0.63091422788226359</v>
      </c>
      <c r="AS282" s="128">
        <f t="shared" si="69"/>
        <v>1579.8082515326626</v>
      </c>
      <c r="AT282" s="188">
        <v>0.25850000000000001</v>
      </c>
      <c r="AU282" s="238">
        <v>5.1700000000000003E-2</v>
      </c>
      <c r="AV282">
        <v>8</v>
      </c>
      <c r="AY282" t="s">
        <v>149</v>
      </c>
      <c r="AZ282" s="129">
        <v>1557.356818145503</v>
      </c>
      <c r="BA282" t="s">
        <v>118</v>
      </c>
    </row>
    <row r="283" spans="1:55" x14ac:dyDescent="0.25">
      <c r="A283" t="s">
        <v>138</v>
      </c>
      <c r="B283">
        <v>0</v>
      </c>
      <c r="C283">
        <v>5829</v>
      </c>
      <c r="D283">
        <v>55906</v>
      </c>
      <c r="E283">
        <v>0</v>
      </c>
      <c r="F283">
        <v>0</v>
      </c>
      <c r="G283">
        <v>0</v>
      </c>
      <c r="H283">
        <v>-187</v>
      </c>
      <c r="I283">
        <v>625</v>
      </c>
      <c r="J283">
        <v>3</v>
      </c>
      <c r="K283">
        <v>7493</v>
      </c>
      <c r="L283">
        <v>2888</v>
      </c>
      <c r="M283">
        <v>9020</v>
      </c>
      <c r="N283">
        <v>28564</v>
      </c>
      <c r="O283">
        <v>11143</v>
      </c>
      <c r="P283">
        <v>23133</v>
      </c>
      <c r="Q283">
        <v>14</v>
      </c>
      <c r="R283">
        <v>5000</v>
      </c>
      <c r="S283">
        <v>12172</v>
      </c>
      <c r="T283">
        <v>1550</v>
      </c>
      <c r="U283">
        <f t="shared" si="56"/>
        <v>46</v>
      </c>
      <c r="V283">
        <v>1176</v>
      </c>
      <c r="W283">
        <v>90587</v>
      </c>
      <c r="X283">
        <v>89457</v>
      </c>
      <c r="Y283">
        <f t="shared" si="57"/>
        <v>1130</v>
      </c>
      <c r="Z283">
        <v>4248</v>
      </c>
      <c r="AA283">
        <v>-739126.00000000093</v>
      </c>
      <c r="AB283">
        <v>66794</v>
      </c>
      <c r="AC283" s="128">
        <v>54882.599752196766</v>
      </c>
      <c r="AD283">
        <v>32060</v>
      </c>
      <c r="AE283" t="s">
        <v>138</v>
      </c>
      <c r="AF283" s="188">
        <f t="shared" si="58"/>
        <v>2.3314603640698997E-2</v>
      </c>
      <c r="AG283" s="188">
        <f t="shared" si="59"/>
        <v>0.25009107267047148</v>
      </c>
      <c r="AH283" s="188">
        <f t="shared" si="60"/>
        <v>0</v>
      </c>
      <c r="AI283" s="188">
        <f t="shared" si="61"/>
        <v>6.932562067404815E-3</v>
      </c>
      <c r="AJ283" s="188">
        <f t="shared" si="62"/>
        <v>0.24523827922328811</v>
      </c>
      <c r="AK283" s="188">
        <f t="shared" si="63"/>
        <v>0.3501520054918113</v>
      </c>
      <c r="AL283" s="188">
        <f t="shared" si="64"/>
        <v>1.2474196076699747E-2</v>
      </c>
      <c r="AM283" s="188">
        <v>0.12811193512468749</v>
      </c>
      <c r="AN283" s="188">
        <v>-6.9872423945044157E-2</v>
      </c>
      <c r="AO283">
        <f t="shared" si="65"/>
        <v>1</v>
      </c>
      <c r="AP283" s="188">
        <f t="shared" si="66"/>
        <v>1.1723536489783302E-2</v>
      </c>
      <c r="AQ283" s="188">
        <f t="shared" si="67"/>
        <v>-8.1592943799883091E-3</v>
      </c>
      <c r="AR283" s="188">
        <f t="shared" si="68"/>
        <v>0.73734641836025039</v>
      </c>
      <c r="AS283" s="128">
        <f t="shared" si="69"/>
        <v>1711.8714832251019</v>
      </c>
      <c r="AT283" s="188">
        <v>0.25950000000000001</v>
      </c>
      <c r="AU283" s="238">
        <v>5.1900000000000002E-2</v>
      </c>
      <c r="AV283">
        <v>7.5</v>
      </c>
      <c r="AY283" t="s">
        <v>296</v>
      </c>
      <c r="AZ283" s="129">
        <v>1673.4886208048702</v>
      </c>
      <c r="BA283" t="s">
        <v>118</v>
      </c>
    </row>
    <row r="284" spans="1:55" x14ac:dyDescent="0.25">
      <c r="A284" t="s">
        <v>274</v>
      </c>
      <c r="B284">
        <v>66</v>
      </c>
      <c r="C284">
        <v>1862</v>
      </c>
      <c r="D284">
        <v>17550</v>
      </c>
      <c r="E284">
        <v>9</v>
      </c>
      <c r="F284">
        <v>0</v>
      </c>
      <c r="G284">
        <v>206</v>
      </c>
      <c r="H284">
        <v>664</v>
      </c>
      <c r="I284">
        <v>127</v>
      </c>
      <c r="J284">
        <v>0</v>
      </c>
      <c r="K284">
        <v>5629</v>
      </c>
      <c r="L284">
        <v>1828</v>
      </c>
      <c r="M284">
        <v>585</v>
      </c>
      <c r="N284">
        <v>10372</v>
      </c>
      <c r="O284">
        <v>4326</v>
      </c>
      <c r="P284">
        <v>9588</v>
      </c>
      <c r="Q284">
        <v>2</v>
      </c>
      <c r="R284">
        <v>0</v>
      </c>
      <c r="S284">
        <v>1312</v>
      </c>
      <c r="T284">
        <v>2926</v>
      </c>
      <c r="U284">
        <f t="shared" si="56"/>
        <v>0</v>
      </c>
      <c r="V284">
        <v>2234</v>
      </c>
      <c r="W284">
        <v>29415</v>
      </c>
      <c r="X284">
        <v>27181</v>
      </c>
      <c r="Y284">
        <f t="shared" si="57"/>
        <v>2234</v>
      </c>
      <c r="Z284">
        <v>2819</v>
      </c>
      <c r="AA284">
        <v>898802.99999999953</v>
      </c>
      <c r="AB284">
        <v>19445</v>
      </c>
      <c r="AC284" s="128">
        <v>18360.772292865731</v>
      </c>
      <c r="AD284">
        <v>13632</v>
      </c>
      <c r="AE284" t="s">
        <v>274</v>
      </c>
      <c r="AF284" s="188">
        <f t="shared" si="58"/>
        <v>-6.2145164031956482E-2</v>
      </c>
      <c r="AG284" s="188">
        <f t="shared" si="59"/>
        <v>0.16712561618221997</v>
      </c>
      <c r="AH284" s="188">
        <f t="shared" si="60"/>
        <v>7.0032296447390787E-3</v>
      </c>
      <c r="AI284" s="188">
        <f t="shared" si="61"/>
        <v>4.3175250722420535E-3</v>
      </c>
      <c r="AJ284" s="188">
        <f t="shared" si="62"/>
        <v>0.1649437361890192</v>
      </c>
      <c r="AK284" s="188">
        <f t="shared" si="63"/>
        <v>0.36359812101240974</v>
      </c>
      <c r="AL284" s="188">
        <f t="shared" si="64"/>
        <v>7.5947645758966509E-2</v>
      </c>
      <c r="AM284" s="188">
        <v>-3.7975198211018503E-2</v>
      </c>
      <c r="AN284" s="188">
        <v>-0.13873866015352407</v>
      </c>
      <c r="AO284">
        <f t="shared" si="65"/>
        <v>2</v>
      </c>
      <c r="AP284" s="188">
        <f t="shared" si="66"/>
        <v>2.395886452490226E-2</v>
      </c>
      <c r="AQ284" s="188">
        <f t="shared" si="67"/>
        <v>3.0555940846506868E-2</v>
      </c>
      <c r="AR284" s="188">
        <f t="shared" si="68"/>
        <v>0.66105728369879313</v>
      </c>
      <c r="AS284" s="128">
        <f t="shared" si="69"/>
        <v>1346.8876388545871</v>
      </c>
      <c r="AT284" s="188">
        <v>0.19800000000000001</v>
      </c>
      <c r="AU284" s="238">
        <v>3.9600000000000003E-2</v>
      </c>
      <c r="AV284">
        <v>8.5</v>
      </c>
      <c r="AY284" t="s">
        <v>600</v>
      </c>
      <c r="AZ284" s="129">
        <v>2134.4052825161943</v>
      </c>
      <c r="BA284" t="s">
        <v>118</v>
      </c>
      <c r="BC284">
        <v>1</v>
      </c>
    </row>
    <row r="285" spans="1:55" x14ac:dyDescent="0.25">
      <c r="A285" t="s">
        <v>275</v>
      </c>
      <c r="B285">
        <v>2264</v>
      </c>
      <c r="C285">
        <v>3518</v>
      </c>
      <c r="D285">
        <v>79283</v>
      </c>
      <c r="E285">
        <v>-252</v>
      </c>
      <c r="F285">
        <v>0</v>
      </c>
      <c r="G285">
        <v>18770</v>
      </c>
      <c r="H285">
        <v>0</v>
      </c>
      <c r="I285">
        <v>-2419</v>
      </c>
      <c r="J285">
        <v>0</v>
      </c>
      <c r="K285">
        <v>7307</v>
      </c>
      <c r="L285">
        <v>29653</v>
      </c>
      <c r="M285">
        <v>2295</v>
      </c>
      <c r="N285">
        <v>56749</v>
      </c>
      <c r="O285">
        <v>3498</v>
      </c>
      <c r="P285">
        <v>0</v>
      </c>
      <c r="Q285">
        <v>56017</v>
      </c>
      <c r="R285">
        <v>0</v>
      </c>
      <c r="S285">
        <v>8493</v>
      </c>
      <c r="T285">
        <v>15663</v>
      </c>
      <c r="U285">
        <f t="shared" si="56"/>
        <v>5</v>
      </c>
      <c r="V285">
        <v>24872</v>
      </c>
      <c r="W285">
        <v>103694</v>
      </c>
      <c r="X285">
        <v>78827</v>
      </c>
      <c r="Y285">
        <f t="shared" si="57"/>
        <v>24867</v>
      </c>
      <c r="Z285">
        <v>-5528</v>
      </c>
      <c r="AA285">
        <v>3146242.9999999981</v>
      </c>
      <c r="AB285">
        <v>50112</v>
      </c>
      <c r="AC285" s="128">
        <v>46287.219803266657</v>
      </c>
      <c r="AD285">
        <v>30206</v>
      </c>
      <c r="AE285" t="s">
        <v>275</v>
      </c>
      <c r="AF285" s="188">
        <f t="shared" si="58"/>
        <v>-0.28596640114182115</v>
      </c>
      <c r="AG285" s="188">
        <f t="shared" si="59"/>
        <v>0.21358998592011111</v>
      </c>
      <c r="AH285" s="188">
        <f t="shared" si="60"/>
        <v>0.18101336625069916</v>
      </c>
      <c r="AI285" s="188">
        <f t="shared" si="61"/>
        <v>-2.3328254286651109E-2</v>
      </c>
      <c r="AJ285" s="188">
        <f t="shared" si="62"/>
        <v>0.25164136787085079</v>
      </c>
      <c r="AK285" s="188">
        <f t="shared" si="63"/>
        <v>0.40413758723828513</v>
      </c>
      <c r="AL285" s="188">
        <f t="shared" si="64"/>
        <v>0.23981136806372597</v>
      </c>
      <c r="AM285" s="188">
        <v>3.6878946248255967E-2</v>
      </c>
      <c r="AN285" s="188">
        <v>-5.3722079513893418E-3</v>
      </c>
      <c r="AO285">
        <f t="shared" si="65"/>
        <v>1</v>
      </c>
      <c r="AP285" s="188">
        <f t="shared" si="66"/>
        <v>-1.3327675661079716E-2</v>
      </c>
      <c r="AQ285" s="188">
        <f t="shared" si="67"/>
        <v>3.0341610893590741E-2</v>
      </c>
      <c r="AR285" s="188">
        <f t="shared" si="68"/>
        <v>0.48326807722722626</v>
      </c>
      <c r="AS285" s="128">
        <f t="shared" si="69"/>
        <v>1532.3849501180778</v>
      </c>
      <c r="AT285" s="188">
        <v>0.26600000000000001</v>
      </c>
      <c r="AU285" s="238">
        <v>5.3199999999999997E-2</v>
      </c>
      <c r="AV285">
        <v>8</v>
      </c>
      <c r="AY285" t="s">
        <v>298</v>
      </c>
      <c r="AZ285" s="129">
        <v>1650.7423331848395</v>
      </c>
      <c r="BA285" t="s">
        <v>118</v>
      </c>
    </row>
    <row r="286" spans="1:55" x14ac:dyDescent="0.25">
      <c r="A286" t="s">
        <v>433</v>
      </c>
      <c r="B286">
        <v>32</v>
      </c>
      <c r="C286">
        <v>4053</v>
      </c>
      <c r="D286">
        <v>53009</v>
      </c>
      <c r="E286">
        <v>4880</v>
      </c>
      <c r="F286">
        <v>3118</v>
      </c>
      <c r="G286">
        <v>261</v>
      </c>
      <c r="H286">
        <v>0</v>
      </c>
      <c r="I286">
        <v>33557</v>
      </c>
      <c r="J286">
        <v>16</v>
      </c>
      <c r="K286">
        <v>4275</v>
      </c>
      <c r="L286">
        <f>13250+267</f>
        <v>13517</v>
      </c>
      <c r="M286" s="207">
        <f>-16+16</f>
        <v>0</v>
      </c>
      <c r="N286">
        <v>42074</v>
      </c>
      <c r="O286">
        <v>9695</v>
      </c>
      <c r="P286">
        <v>55908</v>
      </c>
      <c r="Q286">
        <v>0</v>
      </c>
      <c r="R286" s="207">
        <f>-267+267</f>
        <v>0</v>
      </c>
      <c r="S286">
        <v>6981</v>
      </c>
      <c r="T286">
        <f>2042+16</f>
        <v>2058</v>
      </c>
      <c r="U286">
        <f t="shared" si="56"/>
        <v>-5</v>
      </c>
      <c r="V286">
        <v>4224</v>
      </c>
      <c r="W286">
        <v>67736</v>
      </c>
      <c r="X286">
        <v>63507</v>
      </c>
      <c r="Y286">
        <f t="shared" si="57"/>
        <v>4229</v>
      </c>
      <c r="Z286">
        <v>692</v>
      </c>
      <c r="AA286">
        <v>-281353</v>
      </c>
      <c r="AB286">
        <v>37798</v>
      </c>
      <c r="AC286" s="128">
        <v>25202.782047656819</v>
      </c>
      <c r="AD286">
        <v>21227</v>
      </c>
      <c r="AE286" t="s">
        <v>433</v>
      </c>
      <c r="AF286" s="188">
        <f t="shared" si="58"/>
        <v>-0.19955415141136176</v>
      </c>
      <c r="AG286" s="188">
        <f t="shared" si="59"/>
        <v>0.64627376874926179</v>
      </c>
      <c r="AH286" s="188">
        <f t="shared" si="60"/>
        <v>4.9884847053265617E-2</v>
      </c>
      <c r="AI286" s="188">
        <f t="shared" si="61"/>
        <v>0.49564485650171253</v>
      </c>
      <c r="AJ286" s="188">
        <f t="shared" si="62"/>
        <v>0.30530855084445491</v>
      </c>
      <c r="AK286" s="188">
        <f t="shared" si="63"/>
        <v>0.36048185338771033</v>
      </c>
      <c r="AL286" s="188">
        <f t="shared" si="64"/>
        <v>6.2433565607653244E-2</v>
      </c>
      <c r="AM286" s="188">
        <v>-5.1903384663487843E-3</v>
      </c>
      <c r="AN286" s="188">
        <v>7.5979942518192385E-3</v>
      </c>
      <c r="AO286">
        <f t="shared" si="65"/>
        <v>1</v>
      </c>
      <c r="AP286" s="188">
        <f t="shared" si="66"/>
        <v>2.5540333057753632E-3</v>
      </c>
      <c r="AQ286" s="188">
        <f t="shared" si="67"/>
        <v>-4.1536701310972007E-3</v>
      </c>
      <c r="AR286" s="188">
        <f t="shared" si="68"/>
        <v>0.55801936931616869</v>
      </c>
      <c r="AS286" s="128">
        <f t="shared" si="69"/>
        <v>1187.2983486906685</v>
      </c>
      <c r="AT286" s="188">
        <v>0.18049999999999999</v>
      </c>
      <c r="AU286" s="238">
        <v>3.61E-2</v>
      </c>
      <c r="AV286">
        <v>7.5</v>
      </c>
      <c r="AY286" t="s">
        <v>261</v>
      </c>
      <c r="AZ286" s="129">
        <v>1641.6929768823006</v>
      </c>
      <c r="BA286" t="s">
        <v>118</v>
      </c>
    </row>
    <row r="287" spans="1:55" x14ac:dyDescent="0.25">
      <c r="A287" t="s">
        <v>231</v>
      </c>
      <c r="B287">
        <v>6336</v>
      </c>
      <c r="C287">
        <v>376373</v>
      </c>
      <c r="D287">
        <v>1304973</v>
      </c>
      <c r="E287">
        <v>10322</v>
      </c>
      <c r="F287">
        <v>0</v>
      </c>
      <c r="G287">
        <v>35859</v>
      </c>
      <c r="H287">
        <v>206</v>
      </c>
      <c r="I287">
        <v>69919</v>
      </c>
      <c r="J287">
        <v>1563</v>
      </c>
      <c r="K287">
        <v>132506</v>
      </c>
      <c r="L287">
        <v>3025</v>
      </c>
      <c r="M287">
        <v>70904</v>
      </c>
      <c r="N287">
        <v>822548</v>
      </c>
      <c r="O287">
        <v>78182</v>
      </c>
      <c r="P287">
        <v>823000</v>
      </c>
      <c r="Q287">
        <v>13922</v>
      </c>
      <c r="R287">
        <v>29500</v>
      </c>
      <c r="S287">
        <v>47347</v>
      </c>
      <c r="T287">
        <v>197487</v>
      </c>
      <c r="U287">
        <f t="shared" si="56"/>
        <v>425</v>
      </c>
      <c r="V287">
        <v>160125</v>
      </c>
      <c r="W287">
        <v>1639697</v>
      </c>
      <c r="X287">
        <v>1479997</v>
      </c>
      <c r="Y287">
        <f t="shared" si="57"/>
        <v>159700</v>
      </c>
      <c r="Z287">
        <v>127762</v>
      </c>
      <c r="AA287">
        <v>31291218.99999997</v>
      </c>
      <c r="AB287">
        <v>1054099</v>
      </c>
      <c r="AC287" s="128">
        <v>758363.31160302379</v>
      </c>
      <c r="AD287">
        <v>359370</v>
      </c>
      <c r="AE287" t="s">
        <v>231</v>
      </c>
      <c r="AF287" s="188">
        <f t="shared" si="58"/>
        <v>1.6146275805834859E-2</v>
      </c>
      <c r="AG287" s="188">
        <f t="shared" si="59"/>
        <v>0.52982715709060879</v>
      </c>
      <c r="AH287" s="188">
        <f t="shared" si="60"/>
        <v>2.1869284386078647E-2</v>
      </c>
      <c r="AI287" s="188">
        <f t="shared" si="61"/>
        <v>4.3594639741366847E-2</v>
      </c>
      <c r="AJ287" s="188">
        <f t="shared" si="62"/>
        <v>0.50193522339798147</v>
      </c>
      <c r="AK287" s="188">
        <f t="shared" si="63"/>
        <v>0.4088239182578805</v>
      </c>
      <c r="AL287" s="188">
        <f t="shared" si="64"/>
        <v>9.739604329336457E-2</v>
      </c>
      <c r="AM287" s="188">
        <v>2.0018061815753257E-2</v>
      </c>
      <c r="AN287" s="188">
        <v>-1.1972535402466384E-2</v>
      </c>
      <c r="AO287">
        <f t="shared" si="65"/>
        <v>1</v>
      </c>
      <c r="AP287" s="188">
        <f t="shared" si="66"/>
        <v>1.9479513593060181E-2</v>
      </c>
      <c r="AQ287" s="188">
        <f t="shared" si="67"/>
        <v>1.9083537385260797E-2</v>
      </c>
      <c r="AR287" s="188">
        <f t="shared" si="68"/>
        <v>0.6428620653693945</v>
      </c>
      <c r="AS287" s="128">
        <f t="shared" si="69"/>
        <v>2110.2577054373592</v>
      </c>
      <c r="AT287" s="188">
        <v>0.27300000000000002</v>
      </c>
      <c r="AU287" s="238">
        <v>5.4600000000000003E-2</v>
      </c>
      <c r="AV287">
        <v>9</v>
      </c>
      <c r="AY287" t="s">
        <v>332</v>
      </c>
      <c r="AZ287" s="129">
        <v>1559.2403123854815</v>
      </c>
      <c r="BA287" t="s">
        <v>118</v>
      </c>
    </row>
    <row r="288" spans="1:55" x14ac:dyDescent="0.25">
      <c r="A288" t="s">
        <v>232</v>
      </c>
      <c r="B288">
        <v>1326</v>
      </c>
      <c r="C288">
        <v>10639</v>
      </c>
      <c r="D288">
        <v>138776</v>
      </c>
      <c r="E288">
        <v>741</v>
      </c>
      <c r="F288">
        <v>2110</v>
      </c>
      <c r="G288">
        <v>3892</v>
      </c>
      <c r="H288">
        <v>69</v>
      </c>
      <c r="I288">
        <v>5568</v>
      </c>
      <c r="J288">
        <v>15</v>
      </c>
      <c r="K288">
        <v>11518</v>
      </c>
      <c r="L288">
        <v>5964</v>
      </c>
      <c r="M288">
        <v>3210</v>
      </c>
      <c r="N288">
        <v>12379</v>
      </c>
      <c r="O288">
        <v>11279</v>
      </c>
      <c r="P288">
        <v>144627</v>
      </c>
      <c r="Q288">
        <v>38</v>
      </c>
      <c r="R288">
        <v>0</v>
      </c>
      <c r="S288">
        <v>5020</v>
      </c>
      <c r="T288">
        <v>10483</v>
      </c>
      <c r="U288">
        <f t="shared" si="56"/>
        <v>-4</v>
      </c>
      <c r="V288">
        <v>3413</v>
      </c>
      <c r="W288">
        <v>130269</v>
      </c>
      <c r="X288">
        <v>126852</v>
      </c>
      <c r="Y288">
        <f t="shared" si="57"/>
        <v>3417</v>
      </c>
      <c r="Z288">
        <v>2984</v>
      </c>
      <c r="AA288">
        <v>5976391.9999999963</v>
      </c>
      <c r="AB288">
        <v>88081</v>
      </c>
      <c r="AC288" s="128">
        <v>69105.877033072116</v>
      </c>
      <c r="AD288">
        <v>49946</v>
      </c>
      <c r="AE288" t="s">
        <v>232</v>
      </c>
      <c r="AF288" s="188">
        <f t="shared" si="58"/>
        <v>-4.5782189162425442E-2</v>
      </c>
      <c r="AG288" s="188">
        <f t="shared" si="59"/>
        <v>1.0240732637849372</v>
      </c>
      <c r="AH288" s="188">
        <f t="shared" si="60"/>
        <v>4.6073893251656187E-2</v>
      </c>
      <c r="AI288" s="188">
        <f t="shared" si="61"/>
        <v>4.2857471846717177E-2</v>
      </c>
      <c r="AJ288" s="188">
        <f t="shared" si="62"/>
        <v>0.99960190068243393</v>
      </c>
      <c r="AK288" s="188">
        <f t="shared" si="63"/>
        <v>6.7340854938909622E-2</v>
      </c>
      <c r="AL288" s="188">
        <f t="shared" si="64"/>
        <v>2.6230338760564676E-2</v>
      </c>
      <c r="AM288" s="188">
        <v>-3.6599763872491142E-2</v>
      </c>
      <c r="AN288" s="188">
        <v>-5.9037810518285418E-2</v>
      </c>
      <c r="AO288">
        <f t="shared" si="65"/>
        <v>2</v>
      </c>
      <c r="AP288" s="188">
        <f t="shared" si="66"/>
        <v>5.7266118570035848E-3</v>
      </c>
      <c r="AQ288" s="188">
        <f t="shared" si="67"/>
        <v>4.5877315401208242E-2</v>
      </c>
      <c r="AR288" s="188">
        <f t="shared" si="68"/>
        <v>0.67614704956666594</v>
      </c>
      <c r="AS288" s="128">
        <f t="shared" si="69"/>
        <v>1383.6118414502084</v>
      </c>
      <c r="AT288" s="188">
        <v>0.191</v>
      </c>
      <c r="AU288" s="238">
        <v>3.8199999999999998E-2</v>
      </c>
      <c r="AV288">
        <v>7.5</v>
      </c>
      <c r="AY288" t="s">
        <v>305</v>
      </c>
      <c r="AZ288" s="129">
        <v>1764.3496940219784</v>
      </c>
      <c r="BA288" t="s">
        <v>118</v>
      </c>
    </row>
    <row r="289" spans="1:55" x14ac:dyDescent="0.25">
      <c r="A289" t="s">
        <v>423</v>
      </c>
      <c r="B289">
        <v>110</v>
      </c>
      <c r="C289">
        <v>15237</v>
      </c>
      <c r="D289">
        <v>13124</v>
      </c>
      <c r="E289">
        <v>100</v>
      </c>
      <c r="F289">
        <v>0</v>
      </c>
      <c r="G289">
        <v>6</v>
      </c>
      <c r="H289">
        <v>0</v>
      </c>
      <c r="I289">
        <v>5027</v>
      </c>
      <c r="J289">
        <v>0</v>
      </c>
      <c r="K289">
        <v>3787</v>
      </c>
      <c r="L289">
        <v>8</v>
      </c>
      <c r="M289">
        <v>292</v>
      </c>
      <c r="N289">
        <v>6137</v>
      </c>
      <c r="O289">
        <v>2230</v>
      </c>
      <c r="P289">
        <v>24380</v>
      </c>
      <c r="Q289">
        <v>12</v>
      </c>
      <c r="R289">
        <v>591</v>
      </c>
      <c r="S289">
        <v>3195</v>
      </c>
      <c r="T289">
        <v>1146</v>
      </c>
      <c r="U289">
        <f t="shared" si="56"/>
        <v>-5</v>
      </c>
      <c r="V289">
        <v>-664</v>
      </c>
      <c r="W289">
        <v>32784</v>
      </c>
      <c r="X289">
        <v>33443</v>
      </c>
      <c r="Y289">
        <f t="shared" si="57"/>
        <v>-659</v>
      </c>
      <c r="Z289">
        <v>-3656</v>
      </c>
      <c r="AA289">
        <v>175780</v>
      </c>
      <c r="AB289">
        <v>24711</v>
      </c>
      <c r="AC289" s="128">
        <v>16447.643358049154</v>
      </c>
      <c r="AD289">
        <v>10084</v>
      </c>
      <c r="AE289" t="s">
        <v>423</v>
      </c>
      <c r="AF289" s="188">
        <f t="shared" si="58"/>
        <v>1.7783064909712053E-2</v>
      </c>
      <c r="AG289" s="188">
        <f t="shared" si="59"/>
        <v>0.76961322596388482</v>
      </c>
      <c r="AH289" s="188">
        <f t="shared" si="60"/>
        <v>1.8301610541727673E-4</v>
      </c>
      <c r="AI289" s="188">
        <f t="shared" si="61"/>
        <v>0.15333699365544168</v>
      </c>
      <c r="AJ289" s="188">
        <f t="shared" si="62"/>
        <v>0.66229929233772566</v>
      </c>
      <c r="AK289" s="188">
        <f t="shared" si="63"/>
        <v>0.16282401634342417</v>
      </c>
      <c r="AL289" s="188">
        <f t="shared" si="64"/>
        <v>-2.0101268911664225E-2</v>
      </c>
      <c r="AM289" s="188">
        <v>-3.664322487297688E-2</v>
      </c>
      <c r="AN289" s="188">
        <v>-3.9307197676830531E-2</v>
      </c>
      <c r="AO289">
        <f t="shared" si="65"/>
        <v>3</v>
      </c>
      <c r="AP289" s="188">
        <f t="shared" si="66"/>
        <v>-2.7879453391898488E-2</v>
      </c>
      <c r="AQ289" s="188">
        <f t="shared" si="67"/>
        <v>5.3617618350414835E-3</v>
      </c>
      <c r="AR289" s="188">
        <f t="shared" si="68"/>
        <v>0.75375183016105418</v>
      </c>
      <c r="AS289" s="128">
        <f t="shared" si="69"/>
        <v>1631.0634032178853</v>
      </c>
      <c r="AT289" s="188">
        <v>0.19949999999999998</v>
      </c>
      <c r="AU289" s="238">
        <v>3.9899999999999998E-2</v>
      </c>
      <c r="AV289">
        <v>5</v>
      </c>
      <c r="AY289" t="s">
        <v>122</v>
      </c>
      <c r="AZ289" s="129">
        <v>2317.5820409550429</v>
      </c>
      <c r="BA289" t="s">
        <v>118</v>
      </c>
      <c r="BC289">
        <v>1</v>
      </c>
    </row>
    <row r="290" spans="1:55" x14ac:dyDescent="0.25">
      <c r="A290" t="s">
        <v>424</v>
      </c>
      <c r="B290">
        <v>910</v>
      </c>
      <c r="C290">
        <v>914</v>
      </c>
      <c r="D290">
        <v>51117</v>
      </c>
      <c r="E290">
        <v>229</v>
      </c>
      <c r="F290">
        <v>1042</v>
      </c>
      <c r="G290">
        <v>0</v>
      </c>
      <c r="H290">
        <v>0</v>
      </c>
      <c r="I290">
        <v>424</v>
      </c>
      <c r="J290">
        <v>0</v>
      </c>
      <c r="K290">
        <v>7260</v>
      </c>
      <c r="L290">
        <v>12915</v>
      </c>
      <c r="M290">
        <v>1516</v>
      </c>
      <c r="N290">
        <v>47797</v>
      </c>
      <c r="O290">
        <v>13675</v>
      </c>
      <c r="P290">
        <v>7637</v>
      </c>
      <c r="Q290">
        <v>4</v>
      </c>
      <c r="R290">
        <v>0</v>
      </c>
      <c r="S290">
        <v>2912</v>
      </c>
      <c r="T290">
        <v>4302</v>
      </c>
      <c r="U290">
        <f t="shared" si="56"/>
        <v>-1</v>
      </c>
      <c r="V290">
        <v>394</v>
      </c>
      <c r="W290">
        <v>56601</v>
      </c>
      <c r="X290">
        <v>56206</v>
      </c>
      <c r="Y290">
        <f t="shared" si="57"/>
        <v>395</v>
      </c>
      <c r="Z290">
        <v>-1527</v>
      </c>
      <c r="AA290">
        <v>-517171</v>
      </c>
      <c r="AB290">
        <v>36250</v>
      </c>
      <c r="AC290" s="128">
        <v>27653.617866628847</v>
      </c>
      <c r="AD290">
        <v>16365</v>
      </c>
      <c r="AE290" t="s">
        <v>424</v>
      </c>
      <c r="AF290" s="188">
        <f t="shared" si="58"/>
        <v>-0.228176180632851</v>
      </c>
      <c r="AG290" s="188">
        <f t="shared" si="59"/>
        <v>-0.13918482005618274</v>
      </c>
      <c r="AH290" s="188">
        <f t="shared" si="60"/>
        <v>1.8409568735534707E-2</v>
      </c>
      <c r="AI290" s="188">
        <f t="shared" si="61"/>
        <v>7.4910337273193057E-3</v>
      </c>
      <c r="AJ290" s="188">
        <f t="shared" si="62"/>
        <v>-0.14221939541704209</v>
      </c>
      <c r="AK290" s="188">
        <f t="shared" si="63"/>
        <v>0.62621352863338009</v>
      </c>
      <c r="AL290" s="188">
        <f t="shared" si="64"/>
        <v>6.9786752884224658E-3</v>
      </c>
      <c r="AM290" s="188">
        <v>7.1305695759844231E-2</v>
      </c>
      <c r="AN290" s="188">
        <v>2.5562888536751007E-2</v>
      </c>
      <c r="AO290">
        <f t="shared" si="65"/>
        <v>0</v>
      </c>
      <c r="AP290" s="188">
        <f t="shared" si="66"/>
        <v>-6.7445804844437377E-3</v>
      </c>
      <c r="AQ290" s="188">
        <f t="shared" si="67"/>
        <v>-9.137135386300595E-3</v>
      </c>
      <c r="AR290" s="188">
        <f t="shared" si="68"/>
        <v>0.64044804862104909</v>
      </c>
      <c r="AS290" s="128">
        <f t="shared" si="69"/>
        <v>1689.8024971969965</v>
      </c>
      <c r="AT290" s="188">
        <v>0.155</v>
      </c>
      <c r="AU290" s="238">
        <v>3.1E-2</v>
      </c>
      <c r="AV290">
        <v>8</v>
      </c>
      <c r="AY290" t="s">
        <v>152</v>
      </c>
      <c r="AZ290" s="129">
        <v>1587.5840926863316</v>
      </c>
      <c r="BA290" t="s">
        <v>118</v>
      </c>
    </row>
    <row r="291" spans="1:55" x14ac:dyDescent="0.25">
      <c r="A291" t="s">
        <v>393</v>
      </c>
      <c r="B291">
        <v>1346</v>
      </c>
      <c r="C291">
        <v>9320</v>
      </c>
      <c r="D291">
        <v>78582</v>
      </c>
      <c r="E291">
        <v>32</v>
      </c>
      <c r="F291">
        <v>0</v>
      </c>
      <c r="G291">
        <v>1121</v>
      </c>
      <c r="H291">
        <v>0</v>
      </c>
      <c r="I291">
        <v>6358</v>
      </c>
      <c r="J291">
        <v>49</v>
      </c>
      <c r="K291">
        <v>8382</v>
      </c>
      <c r="L291">
        <v>348</v>
      </c>
      <c r="M291">
        <v>3237</v>
      </c>
      <c r="N291">
        <v>21110</v>
      </c>
      <c r="O291">
        <v>12998</v>
      </c>
      <c r="P291">
        <v>62296</v>
      </c>
      <c r="Q291">
        <v>0</v>
      </c>
      <c r="R291">
        <v>1946</v>
      </c>
      <c r="S291">
        <v>7230</v>
      </c>
      <c r="T291">
        <v>3195</v>
      </c>
      <c r="U291">
        <f t="shared" si="56"/>
        <v>-4</v>
      </c>
      <c r="V291">
        <v>-660</v>
      </c>
      <c r="W291">
        <v>86674</v>
      </c>
      <c r="X291">
        <v>87330</v>
      </c>
      <c r="Y291">
        <f t="shared" si="57"/>
        <v>-656</v>
      </c>
      <c r="Z291">
        <v>13011</v>
      </c>
      <c r="AA291">
        <v>2152526.9999999981</v>
      </c>
      <c r="AB291">
        <v>60829</v>
      </c>
      <c r="AC291" s="128">
        <v>52110.539948377074</v>
      </c>
      <c r="AD291">
        <v>31221</v>
      </c>
      <c r="AE291" t="s">
        <v>393</v>
      </c>
      <c r="AF291" s="188">
        <f t="shared" si="58"/>
        <v>1.8436901492950596E-2</v>
      </c>
      <c r="AG291" s="188">
        <f t="shared" si="59"/>
        <v>0.71046680665482154</v>
      </c>
      <c r="AH291" s="188">
        <f t="shared" si="60"/>
        <v>1.2933521009760713E-2</v>
      </c>
      <c r="AI291" s="188">
        <f t="shared" si="61"/>
        <v>7.3920668251147986E-2</v>
      </c>
      <c r="AJ291" s="188">
        <f t="shared" si="62"/>
        <v>0.66027436140018925</v>
      </c>
      <c r="AK291" s="188">
        <f t="shared" si="63"/>
        <v>0.19407032866007815</v>
      </c>
      <c r="AL291" s="188">
        <f t="shared" si="64"/>
        <v>-7.5685903500473037E-3</v>
      </c>
      <c r="AM291" s="188">
        <v>-2.5635097993886621E-2</v>
      </c>
      <c r="AN291" s="188">
        <v>-4.8116344600098823E-2</v>
      </c>
      <c r="AO291">
        <f t="shared" si="65"/>
        <v>3</v>
      </c>
      <c r="AP291" s="188">
        <f t="shared" si="66"/>
        <v>3.7528555276092022E-2</v>
      </c>
      <c r="AQ291" s="188">
        <f t="shared" si="67"/>
        <v>2.4834748598195514E-2</v>
      </c>
      <c r="AR291" s="188">
        <f t="shared" si="68"/>
        <v>0.70181369268754179</v>
      </c>
      <c r="AS291" s="128">
        <f t="shared" si="69"/>
        <v>1669.086190332695</v>
      </c>
      <c r="AT291" s="188">
        <v>0.254</v>
      </c>
      <c r="AU291" s="238">
        <v>5.0799999999999998E-2</v>
      </c>
      <c r="AV291">
        <v>6.5</v>
      </c>
      <c r="AW291" s="301"/>
      <c r="AY291" t="s">
        <v>412</v>
      </c>
      <c r="AZ291" s="129">
        <v>1585.7011025275076</v>
      </c>
      <c r="BA291" t="s">
        <v>118</v>
      </c>
    </row>
    <row r="292" spans="1:55" x14ac:dyDescent="0.25">
      <c r="A292" t="s">
        <v>126</v>
      </c>
      <c r="B292">
        <v>95</v>
      </c>
      <c r="C292">
        <v>8529</v>
      </c>
      <c r="D292">
        <v>36063</v>
      </c>
      <c r="E292">
        <v>628</v>
      </c>
      <c r="F292">
        <v>0</v>
      </c>
      <c r="G292">
        <v>857</v>
      </c>
      <c r="H292">
        <v>2910</v>
      </c>
      <c r="I292">
        <v>20865</v>
      </c>
      <c r="J292">
        <v>0</v>
      </c>
      <c r="K292">
        <v>13624</v>
      </c>
      <c r="L292">
        <v>786</v>
      </c>
      <c r="M292">
        <v>1527</v>
      </c>
      <c r="N292">
        <v>49876</v>
      </c>
      <c r="O292">
        <v>6488</v>
      </c>
      <c r="P292">
        <v>14520</v>
      </c>
      <c r="Q292">
        <v>33</v>
      </c>
      <c r="R292">
        <v>0</v>
      </c>
      <c r="S292">
        <v>6457</v>
      </c>
      <c r="T292">
        <v>8510</v>
      </c>
      <c r="U292">
        <f t="shared" si="56"/>
        <v>-21491</v>
      </c>
      <c r="V292">
        <v>2460</v>
      </c>
      <c r="W292">
        <v>111637</v>
      </c>
      <c r="X292">
        <v>87686</v>
      </c>
      <c r="Y292">
        <f t="shared" si="57"/>
        <v>23951</v>
      </c>
      <c r="Z292">
        <v>3767</v>
      </c>
      <c r="AA292">
        <v>-1943743.0000000009</v>
      </c>
      <c r="AB292">
        <v>81895</v>
      </c>
      <c r="AC292" s="128">
        <v>40284.262006653764</v>
      </c>
      <c r="AD292">
        <v>27417</v>
      </c>
      <c r="AE292" t="s">
        <v>126</v>
      </c>
      <c r="AF292" s="188">
        <f t="shared" si="58"/>
        <v>-7.0406764782285445E-3</v>
      </c>
      <c r="AG292" s="188">
        <f t="shared" si="59"/>
        <v>8.7927837544899995E-2</v>
      </c>
      <c r="AH292" s="188">
        <f t="shared" si="60"/>
        <v>7.6766663382211988E-3</v>
      </c>
      <c r="AI292" s="188">
        <f t="shared" si="61"/>
        <v>0.18690040040488368</v>
      </c>
      <c r="AJ292" s="188">
        <f t="shared" si="62"/>
        <v>-4.1981242777932026E-2</v>
      </c>
      <c r="AK292" s="188">
        <f t="shared" si="63"/>
        <v>0.5807368077872479</v>
      </c>
      <c r="AL292" s="188">
        <f t="shared" si="64"/>
        <v>0.21454356530540949</v>
      </c>
      <c r="AM292" s="188">
        <v>-3.6729479399552857E-3</v>
      </c>
      <c r="AN292" s="188">
        <v>-2.6103721233882812E-2</v>
      </c>
      <c r="AO292">
        <f t="shared" si="65"/>
        <v>2</v>
      </c>
      <c r="AP292" s="188">
        <f t="shared" si="66"/>
        <v>8.4358232485645442E-3</v>
      </c>
      <c r="AQ292" s="188">
        <f t="shared" si="67"/>
        <v>-1.7411279414531033E-2</v>
      </c>
      <c r="AR292" s="188">
        <f t="shared" si="68"/>
        <v>0.7335829518887107</v>
      </c>
      <c r="AS292" s="128">
        <f t="shared" si="69"/>
        <v>1469.3169204017129</v>
      </c>
      <c r="AT292" s="188">
        <v>-0.14800000000000002</v>
      </c>
      <c r="AU292" s="238">
        <v>-2.9600000000000001E-2</v>
      </c>
      <c r="AV292">
        <v>6.5</v>
      </c>
      <c r="AY292" t="s">
        <v>307</v>
      </c>
      <c r="AZ292" s="129">
        <v>1812.9144037515773</v>
      </c>
      <c r="BA292" t="s">
        <v>118</v>
      </c>
    </row>
    <row r="293" spans="1:55" x14ac:dyDescent="0.25">
      <c r="A293" t="s">
        <v>233</v>
      </c>
      <c r="B293">
        <v>89</v>
      </c>
      <c r="C293">
        <v>17089</v>
      </c>
      <c r="D293">
        <v>221367</v>
      </c>
      <c r="E293">
        <v>2919</v>
      </c>
      <c r="F293">
        <v>0</v>
      </c>
      <c r="G293">
        <v>11966</v>
      </c>
      <c r="H293">
        <v>4834</v>
      </c>
      <c r="I293">
        <v>34087</v>
      </c>
      <c r="J293">
        <v>1988</v>
      </c>
      <c r="K293">
        <v>16524</v>
      </c>
      <c r="L293">
        <v>3106</v>
      </c>
      <c r="M293">
        <v>5036</v>
      </c>
      <c r="N293">
        <v>81339</v>
      </c>
      <c r="O293">
        <v>58172</v>
      </c>
      <c r="P293">
        <v>128547</v>
      </c>
      <c r="Q293">
        <v>0</v>
      </c>
      <c r="R293">
        <v>26014</v>
      </c>
      <c r="S293">
        <v>7914</v>
      </c>
      <c r="T293">
        <v>17019</v>
      </c>
      <c r="U293">
        <f t="shared" si="56"/>
        <v>130</v>
      </c>
      <c r="V293">
        <v>3544</v>
      </c>
      <c r="W293">
        <v>207030</v>
      </c>
      <c r="X293">
        <v>203616</v>
      </c>
      <c r="Y293">
        <f t="shared" si="57"/>
        <v>3414</v>
      </c>
      <c r="Z293">
        <v>12420</v>
      </c>
      <c r="AA293">
        <v>5314164.9999999963</v>
      </c>
      <c r="AB293">
        <v>139879</v>
      </c>
      <c r="AC293" s="128">
        <v>110360.70084593682</v>
      </c>
      <c r="AD293">
        <v>66912</v>
      </c>
      <c r="AE293" t="s">
        <v>233</v>
      </c>
      <c r="AF293" s="188">
        <f t="shared" si="58"/>
        <v>0.11065063034342849</v>
      </c>
      <c r="AG293" s="188">
        <f t="shared" si="59"/>
        <v>0.66670530840940923</v>
      </c>
      <c r="AH293" s="188">
        <f t="shared" si="60"/>
        <v>5.7798386707240496E-2</v>
      </c>
      <c r="AI293" s="188">
        <f t="shared" si="61"/>
        <v>0.17425010867990146</v>
      </c>
      <c r="AJ293" s="188">
        <f t="shared" si="62"/>
        <v>0.55166603873834708</v>
      </c>
      <c r="AK293" s="188">
        <f t="shared" si="63"/>
        <v>0.25497719471481639</v>
      </c>
      <c r="AL293" s="188">
        <f t="shared" si="64"/>
        <v>1.6490363715403564E-2</v>
      </c>
      <c r="AM293" s="188">
        <v>-4.7853125897951647E-2</v>
      </c>
      <c r="AN293" s="188">
        <v>-1.4617884736778953E-2</v>
      </c>
      <c r="AO293">
        <f t="shared" si="65"/>
        <v>2</v>
      </c>
      <c r="AP293" s="188">
        <f t="shared" si="66"/>
        <v>1.4997826401970728E-2</v>
      </c>
      <c r="AQ293" s="188">
        <f t="shared" si="67"/>
        <v>2.5668574602714565E-2</v>
      </c>
      <c r="AR293" s="188">
        <f t="shared" si="68"/>
        <v>0.67564604163647779</v>
      </c>
      <c r="AS293" s="128">
        <f t="shared" si="69"/>
        <v>1649.3409380370758</v>
      </c>
      <c r="AT293" s="188">
        <v>0.22450000000000001</v>
      </c>
      <c r="AU293" s="238">
        <v>4.4900000000000002E-2</v>
      </c>
      <c r="AV293">
        <v>7.5</v>
      </c>
      <c r="AY293" t="s">
        <v>266</v>
      </c>
      <c r="AZ293" s="129">
        <v>1643.963666126868</v>
      </c>
      <c r="BA293" t="s">
        <v>118</v>
      </c>
    </row>
    <row r="294" spans="1:55" x14ac:dyDescent="0.25">
      <c r="A294" t="s">
        <v>341</v>
      </c>
      <c r="B294">
        <v>1795</v>
      </c>
      <c r="C294">
        <v>8682</v>
      </c>
      <c r="D294">
        <v>55473</v>
      </c>
      <c r="E294">
        <v>139</v>
      </c>
      <c r="F294">
        <v>0</v>
      </c>
      <c r="G294">
        <v>5469</v>
      </c>
      <c r="H294">
        <v>0</v>
      </c>
      <c r="I294">
        <v>7011</v>
      </c>
      <c r="J294">
        <v>16</v>
      </c>
      <c r="K294">
        <v>6290</v>
      </c>
      <c r="L294" s="207">
        <f>-2714+2714</f>
        <v>0</v>
      </c>
      <c r="M294">
        <v>6879</v>
      </c>
      <c r="N294">
        <v>28262</v>
      </c>
      <c r="O294">
        <v>9663</v>
      </c>
      <c r="P294">
        <v>42097</v>
      </c>
      <c r="Q294">
        <v>243</v>
      </c>
      <c r="R294">
        <f>3000+2714</f>
        <v>5714</v>
      </c>
      <c r="S294">
        <v>4692</v>
      </c>
      <c r="T294">
        <v>1086</v>
      </c>
      <c r="U294">
        <f t="shared" si="56"/>
        <v>7</v>
      </c>
      <c r="V294">
        <v>555</v>
      </c>
      <c r="W294">
        <v>73436</v>
      </c>
      <c r="X294">
        <v>72888</v>
      </c>
      <c r="Y294">
        <f t="shared" si="57"/>
        <v>548</v>
      </c>
      <c r="Z294">
        <v>10476</v>
      </c>
      <c r="AA294">
        <v>4920034</v>
      </c>
      <c r="AB294">
        <v>39786</v>
      </c>
      <c r="AC294" s="128">
        <v>30296.646164969621</v>
      </c>
      <c r="AD294">
        <v>21953</v>
      </c>
      <c r="AE294" t="s">
        <v>341</v>
      </c>
      <c r="AF294" s="188">
        <f t="shared" si="58"/>
        <v>7.7809248869764147E-2</v>
      </c>
      <c r="AG294" s="188">
        <f t="shared" si="59"/>
        <v>0.47924723568821831</v>
      </c>
      <c r="AH294" s="188">
        <f t="shared" si="60"/>
        <v>7.4473010512555143E-2</v>
      </c>
      <c r="AI294" s="188">
        <f t="shared" si="61"/>
        <v>9.5688763004520949E-2</v>
      </c>
      <c r="AJ294" s="188">
        <f t="shared" si="62"/>
        <v>0.42120186284656025</v>
      </c>
      <c r="AK294" s="188">
        <f t="shared" si="63"/>
        <v>0.30800919820831107</v>
      </c>
      <c r="AL294" s="188">
        <f t="shared" si="64"/>
        <v>7.4622800806144127E-3</v>
      </c>
      <c r="AM294" s="188">
        <v>-2.424734090499369E-2</v>
      </c>
      <c r="AN294" s="188">
        <v>-2.11685562525162E-3</v>
      </c>
      <c r="AO294">
        <f t="shared" si="65"/>
        <v>2</v>
      </c>
      <c r="AP294" s="188">
        <f t="shared" si="66"/>
        <v>3.566370717359333E-2</v>
      </c>
      <c r="AQ294" s="188">
        <f t="shared" si="67"/>
        <v>6.6997576120703742E-2</v>
      </c>
      <c r="AR294" s="188">
        <f t="shared" si="68"/>
        <v>0.54177787461190696</v>
      </c>
      <c r="AS294" s="128">
        <f t="shared" si="69"/>
        <v>1380.0686086170281</v>
      </c>
      <c r="AT294" s="188">
        <v>0.13650000000000001</v>
      </c>
      <c r="AU294" s="238">
        <v>2.7300000000000001E-2</v>
      </c>
      <c r="AV294">
        <v>9.5</v>
      </c>
      <c r="AY294" t="s">
        <v>414</v>
      </c>
      <c r="AZ294" s="129">
        <v>1697.2602400546687</v>
      </c>
      <c r="BA294" t="s">
        <v>118</v>
      </c>
    </row>
    <row r="295" spans="1:55" x14ac:dyDescent="0.25">
      <c r="A295" t="s">
        <v>394</v>
      </c>
      <c r="B295">
        <v>213</v>
      </c>
      <c r="C295">
        <v>17751</v>
      </c>
      <c r="D295">
        <v>114892</v>
      </c>
      <c r="E295">
        <v>175</v>
      </c>
      <c r="F295">
        <v>0</v>
      </c>
      <c r="G295">
        <v>1410</v>
      </c>
      <c r="H295">
        <v>8</v>
      </c>
      <c r="I295">
        <v>78886</v>
      </c>
      <c r="J295">
        <v>0</v>
      </c>
      <c r="K295">
        <v>13086</v>
      </c>
      <c r="L295">
        <v>5</v>
      </c>
      <c r="M295">
        <v>6556</v>
      </c>
      <c r="N295">
        <v>67575</v>
      </c>
      <c r="O295">
        <v>20100</v>
      </c>
      <c r="P295">
        <v>118564</v>
      </c>
      <c r="Q295">
        <v>0</v>
      </c>
      <c r="R295">
        <v>155</v>
      </c>
      <c r="S295">
        <v>2100</v>
      </c>
      <c r="T295">
        <v>24488</v>
      </c>
      <c r="U295">
        <f t="shared" si="56"/>
        <v>-2</v>
      </c>
      <c r="V295">
        <v>-2512</v>
      </c>
      <c r="W295">
        <v>124110</v>
      </c>
      <c r="X295">
        <v>126620</v>
      </c>
      <c r="Y295">
        <f t="shared" si="57"/>
        <v>-2510</v>
      </c>
      <c r="Z295">
        <v>9257</v>
      </c>
      <c r="AA295">
        <v>5647134</v>
      </c>
      <c r="AB295">
        <v>78244</v>
      </c>
      <c r="AC295" s="128">
        <v>74879.015296719052</v>
      </c>
      <c r="AD295">
        <v>45500</v>
      </c>
      <c r="AE295" t="s">
        <v>394</v>
      </c>
      <c r="AF295" s="188">
        <f t="shared" si="58"/>
        <v>1.208605269518975E-3</v>
      </c>
      <c r="AG295" s="188">
        <f t="shared" si="59"/>
        <v>1.0010635726371766</v>
      </c>
      <c r="AH295" s="188">
        <f t="shared" si="60"/>
        <v>1.1360889533478366E-2</v>
      </c>
      <c r="AI295" s="188">
        <f t="shared" si="61"/>
        <v>0.6356135686084925</v>
      </c>
      <c r="AJ295" s="188">
        <f t="shared" si="62"/>
        <v>0.55749738135524918</v>
      </c>
      <c r="AK295" s="188">
        <f t="shared" si="63"/>
        <v>0.29004386604973775</v>
      </c>
      <c r="AL295" s="188">
        <f t="shared" si="64"/>
        <v>-2.0223994843284184E-2</v>
      </c>
      <c r="AM295" s="188">
        <v>-2.2900501858417691E-2</v>
      </c>
      <c r="AN295" s="188">
        <v>3.3984141295829717E-2</v>
      </c>
      <c r="AO295">
        <f t="shared" si="65"/>
        <v>2</v>
      </c>
      <c r="AP295" s="188">
        <f t="shared" si="66"/>
        <v>1.864676496656192E-2</v>
      </c>
      <c r="AQ295" s="188">
        <f t="shared" si="67"/>
        <v>4.5501039400531788E-2</v>
      </c>
      <c r="AR295" s="188">
        <f t="shared" si="68"/>
        <v>0.63044073805495127</v>
      </c>
      <c r="AS295" s="128">
        <f t="shared" si="69"/>
        <v>1645.692643883935</v>
      </c>
      <c r="AT295" s="188">
        <v>0.28049999999999997</v>
      </c>
      <c r="AU295" s="238">
        <v>5.6099999999999997E-2</v>
      </c>
      <c r="AV295">
        <v>7</v>
      </c>
      <c r="AY295" t="s">
        <v>113</v>
      </c>
      <c r="AZ295" s="129">
        <v>1435.8484900416981</v>
      </c>
      <c r="BA295" t="s">
        <v>118</v>
      </c>
      <c r="BB295">
        <v>1</v>
      </c>
    </row>
    <row r="296" spans="1:55" x14ac:dyDescent="0.25">
      <c r="A296" t="s">
        <v>276</v>
      </c>
      <c r="B296">
        <v>1746</v>
      </c>
      <c r="C296">
        <v>30965</v>
      </c>
      <c r="D296">
        <v>164994</v>
      </c>
      <c r="E296">
        <v>1491</v>
      </c>
      <c r="F296">
        <v>2743</v>
      </c>
      <c r="G296">
        <v>3698</v>
      </c>
      <c r="H296">
        <v>29</v>
      </c>
      <c r="I296">
        <v>12015</v>
      </c>
      <c r="J296">
        <v>4241</v>
      </c>
      <c r="K296">
        <v>20360</v>
      </c>
      <c r="L296" s="207">
        <f>-735+735</f>
        <v>0</v>
      </c>
      <c r="M296">
        <v>7509</v>
      </c>
      <c r="N296">
        <v>39200</v>
      </c>
      <c r="O296">
        <v>21154</v>
      </c>
      <c r="P296">
        <v>157686</v>
      </c>
      <c r="Q296">
        <v>2393</v>
      </c>
      <c r="R296">
        <f>5000+735</f>
        <v>5735</v>
      </c>
      <c r="S296">
        <v>7592</v>
      </c>
      <c r="T296">
        <v>16029</v>
      </c>
      <c r="U296">
        <f t="shared" si="56"/>
        <v>-1</v>
      </c>
      <c r="V296">
        <v>-6273</v>
      </c>
      <c r="W296">
        <v>209618</v>
      </c>
      <c r="X296">
        <v>215890</v>
      </c>
      <c r="Y296">
        <f t="shared" si="57"/>
        <v>-6272</v>
      </c>
      <c r="Z296">
        <v>18472</v>
      </c>
      <c r="AA296">
        <v>5814206.9999999963</v>
      </c>
      <c r="AB296">
        <v>138313</v>
      </c>
      <c r="AC296" s="128">
        <v>127162.61459239564</v>
      </c>
      <c r="AD296">
        <v>68617</v>
      </c>
      <c r="AE296" t="s">
        <v>276</v>
      </c>
      <c r="AF296" s="188">
        <f t="shared" si="58"/>
        <v>2.7359291663883827E-2</v>
      </c>
      <c r="AG296" s="188">
        <f t="shared" si="59"/>
        <v>0.73989829117728434</v>
      </c>
      <c r="AH296" s="188">
        <f t="shared" si="60"/>
        <v>3.0727323035235524E-2</v>
      </c>
      <c r="AI296" s="188">
        <f t="shared" si="61"/>
        <v>7.7550592029310458E-2</v>
      </c>
      <c r="AJ296" s="188">
        <f t="shared" si="62"/>
        <v>0.68930015552099522</v>
      </c>
      <c r="AK296" s="188">
        <f t="shared" si="63"/>
        <v>0.1569324509886344</v>
      </c>
      <c r="AL296" s="188">
        <f t="shared" si="64"/>
        <v>-2.9921094562489862E-2</v>
      </c>
      <c r="AM296" s="188">
        <v>-6.2622330837876397E-2</v>
      </c>
      <c r="AN296" s="188">
        <v>-1.2709804375506424E-2</v>
      </c>
      <c r="AO296">
        <f t="shared" si="65"/>
        <v>3</v>
      </c>
      <c r="AP296" s="188">
        <f t="shared" si="66"/>
        <v>2.2030550811476115E-2</v>
      </c>
      <c r="AQ296" s="188">
        <f t="shared" si="67"/>
        <v>2.7737155206136861E-2</v>
      </c>
      <c r="AR296" s="188">
        <f t="shared" si="68"/>
        <v>0.6598336020761576</v>
      </c>
      <c r="AS296" s="128">
        <f t="shared" si="69"/>
        <v>1853.2231749041146</v>
      </c>
      <c r="AT296" s="188">
        <v>0.2525</v>
      </c>
      <c r="AU296" s="238">
        <v>5.0500000000000003E-2</v>
      </c>
      <c r="AV296">
        <v>6.5</v>
      </c>
      <c r="AY296" t="s">
        <v>190</v>
      </c>
      <c r="AZ296" s="129">
        <v>1475.6557861158165</v>
      </c>
      <c r="BA296" t="s">
        <v>118</v>
      </c>
      <c r="BB296">
        <v>1</v>
      </c>
    </row>
    <row r="297" spans="1:55" x14ac:dyDescent="0.25">
      <c r="A297" t="s">
        <v>425</v>
      </c>
      <c r="B297">
        <v>24596</v>
      </c>
      <c r="C297">
        <v>32958</v>
      </c>
      <c r="D297">
        <v>221039</v>
      </c>
      <c r="E297">
        <v>23534</v>
      </c>
      <c r="F297">
        <v>33106</v>
      </c>
      <c r="G297">
        <v>3237</v>
      </c>
      <c r="H297">
        <v>6800</v>
      </c>
      <c r="I297">
        <v>17962</v>
      </c>
      <c r="J297">
        <v>230</v>
      </c>
      <c r="K297">
        <v>108668</v>
      </c>
      <c r="L297">
        <v>366</v>
      </c>
      <c r="M297">
        <v>3019</v>
      </c>
      <c r="N297">
        <v>120181</v>
      </c>
      <c r="O297">
        <v>29957</v>
      </c>
      <c r="P297">
        <v>261564</v>
      </c>
      <c r="Q297">
        <v>38</v>
      </c>
      <c r="R297">
        <v>0</v>
      </c>
      <c r="S297">
        <v>34817</v>
      </c>
      <c r="T297">
        <v>28960</v>
      </c>
      <c r="U297">
        <f t="shared" si="56"/>
        <v>-424</v>
      </c>
      <c r="V297">
        <v>28471</v>
      </c>
      <c r="W297">
        <v>439703</v>
      </c>
      <c r="X297">
        <v>410808</v>
      </c>
      <c r="Y297">
        <f t="shared" si="57"/>
        <v>28895</v>
      </c>
      <c r="Z297">
        <v>-47012</v>
      </c>
      <c r="AA297">
        <v>-7610661.0000000037</v>
      </c>
      <c r="AB297">
        <v>323709</v>
      </c>
      <c r="AC297" s="128">
        <v>178383.37783275259</v>
      </c>
      <c r="AD297">
        <v>101988</v>
      </c>
      <c r="AE297" t="s">
        <v>425</v>
      </c>
      <c r="AF297" s="188">
        <f t="shared" si="58"/>
        <v>-8.3238003834406411E-4</v>
      </c>
      <c r="AG297" s="188">
        <f t="shared" si="59"/>
        <v>0.38704079799319085</v>
      </c>
      <c r="AH297" s="188">
        <f t="shared" si="60"/>
        <v>8.2653518397645689E-2</v>
      </c>
      <c r="AI297" s="188">
        <f t="shared" si="61"/>
        <v>4.1373381578019709E-2</v>
      </c>
      <c r="AJ297" s="188">
        <f t="shared" si="62"/>
        <v>0.36799785309629457</v>
      </c>
      <c r="AK297" s="188">
        <f t="shared" si="63"/>
        <v>0.25273754671231524</v>
      </c>
      <c r="AL297" s="188">
        <f t="shared" si="64"/>
        <v>6.5714812043583967E-2</v>
      </c>
      <c r="AM297" s="188">
        <v>5.2602604368846381E-2</v>
      </c>
      <c r="AN297" s="188">
        <v>5.9332133449031176E-2</v>
      </c>
      <c r="AO297">
        <f t="shared" si="65"/>
        <v>0</v>
      </c>
      <c r="AP297" s="188">
        <f t="shared" si="66"/>
        <v>-2.6729405985403784E-2</v>
      </c>
      <c r="AQ297" s="188">
        <f t="shared" si="67"/>
        <v>-1.7308640150283269E-2</v>
      </c>
      <c r="AR297" s="188">
        <f t="shared" si="68"/>
        <v>0.73619920719212739</v>
      </c>
      <c r="AS297" s="128">
        <f t="shared" si="69"/>
        <v>1749.0624174682569</v>
      </c>
      <c r="AT297" s="188">
        <v>0.222</v>
      </c>
      <c r="AU297" s="238">
        <v>4.4400000000000002E-2</v>
      </c>
      <c r="AV297">
        <v>7</v>
      </c>
      <c r="AY297" t="s">
        <v>225</v>
      </c>
      <c r="AZ297" s="129">
        <v>1761.6294111316433</v>
      </c>
      <c r="BA297" t="s">
        <v>118</v>
      </c>
    </row>
    <row r="298" spans="1:55" x14ac:dyDescent="0.25">
      <c r="A298" t="s">
        <v>426</v>
      </c>
      <c r="B298">
        <v>2561</v>
      </c>
      <c r="C298">
        <v>7442</v>
      </c>
      <c r="D298">
        <v>116358</v>
      </c>
      <c r="E298">
        <v>2954</v>
      </c>
      <c r="F298">
        <v>14720</v>
      </c>
      <c r="G298">
        <v>1544</v>
      </c>
      <c r="H298">
        <v>525</v>
      </c>
      <c r="I298">
        <v>-949</v>
      </c>
      <c r="J298">
        <v>15</v>
      </c>
      <c r="K298">
        <v>20903</v>
      </c>
      <c r="L298">
        <v>7</v>
      </c>
      <c r="M298">
        <v>4761</v>
      </c>
      <c r="N298">
        <v>52037</v>
      </c>
      <c r="O298">
        <v>19498</v>
      </c>
      <c r="P298">
        <v>66100</v>
      </c>
      <c r="Q298">
        <v>117</v>
      </c>
      <c r="R298">
        <v>9918</v>
      </c>
      <c r="S298">
        <v>2472</v>
      </c>
      <c r="T298">
        <v>20697</v>
      </c>
      <c r="U298">
        <f t="shared" si="56"/>
        <v>-6</v>
      </c>
      <c r="V298">
        <v>1960</v>
      </c>
      <c r="W298">
        <v>132698</v>
      </c>
      <c r="X298">
        <v>130732</v>
      </c>
      <c r="Y298">
        <f t="shared" si="57"/>
        <v>1966</v>
      </c>
      <c r="Z298">
        <v>26032</v>
      </c>
      <c r="AA298">
        <v>-362604.00000000186</v>
      </c>
      <c r="AB298">
        <v>97545</v>
      </c>
      <c r="AC298" s="128">
        <v>73973.891915517481</v>
      </c>
      <c r="AD298">
        <v>43713</v>
      </c>
      <c r="AE298" t="s">
        <v>426</v>
      </c>
      <c r="AF298" s="188">
        <f t="shared" si="58"/>
        <v>7.4688390179203909E-2</v>
      </c>
      <c r="AG298" s="188">
        <f t="shared" si="59"/>
        <v>0.42837118871422325</v>
      </c>
      <c r="AH298" s="188">
        <f t="shared" si="60"/>
        <v>0.12256401754359524</v>
      </c>
      <c r="AI298" s="188">
        <f t="shared" si="61"/>
        <v>-7.0385386366034154E-3</v>
      </c>
      <c r="AJ298" s="188">
        <f t="shared" si="62"/>
        <v>0.44800584786507708</v>
      </c>
      <c r="AK298" s="188">
        <f t="shared" si="63"/>
        <v>0.30459672557202983</v>
      </c>
      <c r="AL298" s="188">
        <f t="shared" si="64"/>
        <v>1.4815596316447873E-2</v>
      </c>
      <c r="AM298" s="188">
        <v>-5.0232786081842685E-3</v>
      </c>
      <c r="AN298" s="188">
        <v>4.0440385792512447E-2</v>
      </c>
      <c r="AO298">
        <f t="shared" si="65"/>
        <v>1</v>
      </c>
      <c r="AP298" s="188">
        <f t="shared" si="66"/>
        <v>4.9043693198088892E-2</v>
      </c>
      <c r="AQ298" s="188">
        <f t="shared" si="67"/>
        <v>-2.7325506036262933E-3</v>
      </c>
      <c r="AR298" s="188">
        <f t="shared" si="68"/>
        <v>0.73509020482599585</v>
      </c>
      <c r="AS298" s="128">
        <f t="shared" si="69"/>
        <v>1692.2629861944383</v>
      </c>
      <c r="AT298" s="188">
        <v>0.24299999999999999</v>
      </c>
      <c r="AU298" s="238">
        <v>4.8599999999999997E-2</v>
      </c>
      <c r="AV298">
        <v>7.5</v>
      </c>
      <c r="AY298" t="s">
        <v>479</v>
      </c>
      <c r="AZ298" s="129">
        <v>1911.3112570251506</v>
      </c>
      <c r="BA298" t="s">
        <v>118</v>
      </c>
    </row>
    <row r="299" spans="1:55" x14ac:dyDescent="0.25">
      <c r="A299" t="s">
        <v>605</v>
      </c>
      <c r="B299">
        <v>553</v>
      </c>
      <c r="C299">
        <v>11657</v>
      </c>
      <c r="D299">
        <v>176653</v>
      </c>
      <c r="E299">
        <v>7524</v>
      </c>
      <c r="F299">
        <v>0</v>
      </c>
      <c r="G299">
        <v>10456</v>
      </c>
      <c r="H299">
        <v>0</v>
      </c>
      <c r="I299">
        <v>18784</v>
      </c>
      <c r="J299">
        <v>0</v>
      </c>
      <c r="K299">
        <v>24034</v>
      </c>
      <c r="L299">
        <v>54681</v>
      </c>
      <c r="M299" s="207">
        <f>-100187+100187</f>
        <v>0</v>
      </c>
      <c r="N299">
        <v>73049</v>
      </c>
      <c r="O299">
        <v>16897</v>
      </c>
      <c r="P299">
        <v>106411</v>
      </c>
      <c r="Q299">
        <v>0</v>
      </c>
      <c r="R299">
        <v>0</v>
      </c>
      <c r="S299">
        <v>7798</v>
      </c>
      <c r="T299">
        <f>100187</f>
        <v>100187</v>
      </c>
      <c r="U299">
        <f t="shared" si="56"/>
        <v>93</v>
      </c>
      <c r="V299">
        <v>31809</v>
      </c>
      <c r="W299">
        <v>248943</v>
      </c>
      <c r="X299">
        <v>217227</v>
      </c>
      <c r="Y299">
        <f t="shared" si="57"/>
        <v>31716</v>
      </c>
      <c r="Z299">
        <v>50710</v>
      </c>
      <c r="AA299">
        <v>4233955</v>
      </c>
      <c r="AB299">
        <v>108547</v>
      </c>
      <c r="AC299" s="128">
        <v>135674.27265090827</v>
      </c>
      <c r="AD299">
        <v>57829</v>
      </c>
      <c r="AE299" t="s">
        <v>605</v>
      </c>
      <c r="AF299" s="188">
        <f t="shared" si="58"/>
        <v>-0.21965269158000025</v>
      </c>
      <c r="AG299" s="188">
        <f t="shared" si="59"/>
        <v>0.50302679729898003</v>
      </c>
      <c r="AH299" s="188">
        <f t="shared" si="60"/>
        <v>4.2001582691620173E-2</v>
      </c>
      <c r="AI299" s="188">
        <f t="shared" si="61"/>
        <v>7.5455023840798899E-2</v>
      </c>
      <c r="AJ299" s="188">
        <f t="shared" si="62"/>
        <v>0.45524847053341516</v>
      </c>
      <c r="AK299" s="188">
        <f t="shared" si="63"/>
        <v>0.24002273757811934</v>
      </c>
      <c r="AL299" s="188">
        <f t="shared" si="64"/>
        <v>0.12740265843988383</v>
      </c>
      <c r="AM299" s="188">
        <v>2.0459685148874591E-2</v>
      </c>
      <c r="AN299" s="188">
        <v>-7.4523345729295793E-4</v>
      </c>
      <c r="AO299">
        <f t="shared" si="65"/>
        <v>1</v>
      </c>
      <c r="AP299" s="188">
        <f t="shared" si="66"/>
        <v>5.0925312220066438E-2</v>
      </c>
      <c r="AQ299" s="188">
        <f t="shared" si="67"/>
        <v>1.7007728676845704E-2</v>
      </c>
      <c r="AR299" s="188">
        <f t="shared" si="68"/>
        <v>0.43603154135685679</v>
      </c>
      <c r="AS299" s="128">
        <f t="shared" si="69"/>
        <v>2346.1286318440275</v>
      </c>
      <c r="AT299" s="188">
        <v>0.48149999999999998</v>
      </c>
      <c r="AU299" s="238">
        <v>9.6299999999999997E-2</v>
      </c>
      <c r="AV299">
        <v>7</v>
      </c>
      <c r="AY299" t="s">
        <v>604</v>
      </c>
      <c r="AZ299" s="129">
        <v>1869.4887143317583</v>
      </c>
      <c r="BA299" t="s">
        <v>118</v>
      </c>
    </row>
    <row r="300" spans="1:55" x14ac:dyDescent="0.25">
      <c r="A300" t="s">
        <v>320</v>
      </c>
      <c r="B300">
        <v>0</v>
      </c>
      <c r="C300">
        <v>114682</v>
      </c>
      <c r="D300">
        <v>176602</v>
      </c>
      <c r="E300">
        <v>1575</v>
      </c>
      <c r="F300">
        <v>0</v>
      </c>
      <c r="G300">
        <v>868</v>
      </c>
      <c r="H300">
        <v>5701</v>
      </c>
      <c r="I300">
        <v>14932</v>
      </c>
      <c r="J300">
        <v>130</v>
      </c>
      <c r="K300">
        <v>49807</v>
      </c>
      <c r="L300">
        <v>115</v>
      </c>
      <c r="M300">
        <v>11008</v>
      </c>
      <c r="N300">
        <v>45592</v>
      </c>
      <c r="O300">
        <v>21140</v>
      </c>
      <c r="P300">
        <v>240000</v>
      </c>
      <c r="Q300">
        <v>78</v>
      </c>
      <c r="R300">
        <v>0</v>
      </c>
      <c r="S300">
        <v>42262</v>
      </c>
      <c r="T300">
        <v>26350</v>
      </c>
      <c r="U300">
        <f t="shared" si="56"/>
        <v>-4</v>
      </c>
      <c r="V300">
        <v>4497</v>
      </c>
      <c r="W300">
        <v>288894</v>
      </c>
      <c r="X300">
        <v>284393</v>
      </c>
      <c r="Y300">
        <f t="shared" si="57"/>
        <v>4501</v>
      </c>
      <c r="Z300">
        <v>-26493</v>
      </c>
      <c r="AA300">
        <v>-488710</v>
      </c>
      <c r="AB300">
        <v>216048</v>
      </c>
      <c r="AC300" s="128">
        <v>138440.88914162377</v>
      </c>
      <c r="AD300">
        <v>73924</v>
      </c>
      <c r="AE300" t="s">
        <v>320</v>
      </c>
      <c r="AF300" s="188">
        <f t="shared" si="58"/>
        <v>-3.9806988030211774E-4</v>
      </c>
      <c r="AG300" s="188">
        <f t="shared" si="59"/>
        <v>0.83487715217346159</v>
      </c>
      <c r="AH300" s="188">
        <f t="shared" si="60"/>
        <v>3.0045622269759841E-3</v>
      </c>
      <c r="AI300" s="188">
        <f t="shared" si="61"/>
        <v>5.2136769887917371E-2</v>
      </c>
      <c r="AJ300" s="188">
        <f t="shared" si="62"/>
        <v>0.7987419607191566</v>
      </c>
      <c r="AK300" s="188">
        <f t="shared" si="63"/>
        <v>0.12144200393157567</v>
      </c>
      <c r="AL300" s="188">
        <f t="shared" si="64"/>
        <v>1.5580108967302886E-2</v>
      </c>
      <c r="AM300" s="188">
        <v>-3.309198976489082E-2</v>
      </c>
      <c r="AN300" s="188">
        <v>1.5932292379195214E-2</v>
      </c>
      <c r="AO300">
        <f t="shared" si="65"/>
        <v>1</v>
      </c>
      <c r="AP300" s="188">
        <f t="shared" si="66"/>
        <v>-2.2926228997486968E-2</v>
      </c>
      <c r="AQ300" s="188">
        <f t="shared" si="67"/>
        <v>-1.6916585321951995E-3</v>
      </c>
      <c r="AR300" s="188">
        <f t="shared" si="68"/>
        <v>0.74784523043053852</v>
      </c>
      <c r="AS300" s="128">
        <f t="shared" si="69"/>
        <v>1872.7461871871619</v>
      </c>
      <c r="AT300" s="188">
        <v>0.20150000000000001</v>
      </c>
      <c r="AU300" s="238">
        <v>4.0300000000000002E-2</v>
      </c>
      <c r="AV300">
        <v>6.5</v>
      </c>
      <c r="AY300" t="s">
        <v>335</v>
      </c>
      <c r="AZ300" s="129">
        <v>1713.5235816483125</v>
      </c>
      <c r="BA300" t="s">
        <v>118</v>
      </c>
    </row>
    <row r="301" spans="1:55" x14ac:dyDescent="0.25">
      <c r="A301" t="s">
        <v>139</v>
      </c>
      <c r="B301">
        <v>0</v>
      </c>
      <c r="C301">
        <v>2431</v>
      </c>
      <c r="D301">
        <v>11903</v>
      </c>
      <c r="E301">
        <v>33</v>
      </c>
      <c r="F301">
        <v>1357</v>
      </c>
      <c r="G301">
        <v>282</v>
      </c>
      <c r="H301">
        <v>0</v>
      </c>
      <c r="I301">
        <v>0</v>
      </c>
      <c r="J301">
        <v>9</v>
      </c>
      <c r="K301">
        <v>17033</v>
      </c>
      <c r="L301">
        <v>106</v>
      </c>
      <c r="M301">
        <v>1897</v>
      </c>
      <c r="N301">
        <v>7708</v>
      </c>
      <c r="O301">
        <v>1501</v>
      </c>
      <c r="P301">
        <v>24523</v>
      </c>
      <c r="Q301">
        <v>5</v>
      </c>
      <c r="R301">
        <v>0</v>
      </c>
      <c r="S301">
        <v>516</v>
      </c>
      <c r="T301">
        <v>796</v>
      </c>
      <c r="U301">
        <f t="shared" si="56"/>
        <v>31</v>
      </c>
      <c r="V301">
        <v>-790</v>
      </c>
      <c r="W301">
        <v>9324</v>
      </c>
      <c r="X301">
        <v>10145</v>
      </c>
      <c r="Y301">
        <f t="shared" si="57"/>
        <v>-821</v>
      </c>
      <c r="Z301">
        <v>2590</v>
      </c>
      <c r="AA301">
        <v>382562</v>
      </c>
      <c r="AB301">
        <v>4391</v>
      </c>
      <c r="AC301" s="128">
        <v>5017.52829171759</v>
      </c>
      <c r="AD301">
        <v>1194</v>
      </c>
      <c r="AE301" t="s">
        <v>139</v>
      </c>
      <c r="AF301" s="188">
        <f t="shared" si="58"/>
        <v>-1.1368511368511369E-2</v>
      </c>
      <c r="AG301" s="188">
        <f t="shared" si="59"/>
        <v>0.55394680394680396</v>
      </c>
      <c r="AH301" s="188">
        <f t="shared" si="60"/>
        <v>0.17578292578292579</v>
      </c>
      <c r="AI301" s="188">
        <f t="shared" si="61"/>
        <v>9.6525096525096527E-4</v>
      </c>
      <c r="AJ301" s="188">
        <f t="shared" si="62"/>
        <v>0.5743650793650793</v>
      </c>
      <c r="AK301" s="188">
        <f t="shared" si="63"/>
        <v>0.21992068247310909</v>
      </c>
      <c r="AL301" s="188">
        <f t="shared" si="64"/>
        <v>-8.8052338052338058E-2</v>
      </c>
      <c r="AM301" s="188">
        <v>0.10946577058890535</v>
      </c>
      <c r="AN301" s="188">
        <v>4.8035996594916697E-2</v>
      </c>
      <c r="AO301">
        <f t="shared" si="65"/>
        <v>1</v>
      </c>
      <c r="AP301" s="188">
        <f t="shared" si="66"/>
        <v>6.9444444444444448E-2</v>
      </c>
      <c r="AQ301" s="188">
        <f t="shared" si="67"/>
        <v>4.1029815529815529E-2</v>
      </c>
      <c r="AR301" s="188">
        <f t="shared" si="68"/>
        <v>0.47093522093522094</v>
      </c>
      <c r="AS301" s="128">
        <f t="shared" si="69"/>
        <v>4202.2850014385176</v>
      </c>
      <c r="AT301" s="188">
        <v>0.13150000000000001</v>
      </c>
      <c r="AU301" s="238">
        <v>2.63E-2</v>
      </c>
      <c r="AV301">
        <v>8</v>
      </c>
      <c r="AY301" t="s">
        <v>114</v>
      </c>
      <c r="AZ301" s="129">
        <v>1642.7201494844107</v>
      </c>
      <c r="BA301" t="s">
        <v>118</v>
      </c>
    </row>
    <row r="302" spans="1:55" x14ac:dyDescent="0.25">
      <c r="A302" t="s">
        <v>342</v>
      </c>
      <c r="B302">
        <v>4240</v>
      </c>
      <c r="C302">
        <v>11503</v>
      </c>
      <c r="D302">
        <v>124063</v>
      </c>
      <c r="E302">
        <v>2575</v>
      </c>
      <c r="F302">
        <v>375</v>
      </c>
      <c r="G302">
        <v>1450</v>
      </c>
      <c r="H302">
        <v>0</v>
      </c>
      <c r="I302">
        <v>152104</v>
      </c>
      <c r="J302">
        <v>7</v>
      </c>
      <c r="K302">
        <v>11264</v>
      </c>
      <c r="L302" s="207">
        <f>-7771+7771</f>
        <v>0</v>
      </c>
      <c r="M302">
        <v>14566</v>
      </c>
      <c r="N302">
        <v>-55743</v>
      </c>
      <c r="O302">
        <v>167724</v>
      </c>
      <c r="P302">
        <v>185179</v>
      </c>
      <c r="Q302">
        <v>0</v>
      </c>
      <c r="R302">
        <f>7771</f>
        <v>7771</v>
      </c>
      <c r="S302">
        <v>4610</v>
      </c>
      <c r="T302">
        <v>12609</v>
      </c>
      <c r="U302">
        <f t="shared" si="56"/>
        <v>-8</v>
      </c>
      <c r="V302">
        <v>30809</v>
      </c>
      <c r="W302">
        <v>270303</v>
      </c>
      <c r="X302">
        <v>239486</v>
      </c>
      <c r="Y302">
        <f t="shared" si="57"/>
        <v>30817</v>
      </c>
      <c r="Z302">
        <v>-7890</v>
      </c>
      <c r="AA302">
        <v>-1787665.0000000019</v>
      </c>
      <c r="AB302">
        <v>207129</v>
      </c>
      <c r="AC302" s="128">
        <v>65993.131476305411</v>
      </c>
      <c r="AD302">
        <v>44358</v>
      </c>
      <c r="AE302" t="s">
        <v>342</v>
      </c>
      <c r="AF302" s="188">
        <f t="shared" si="58"/>
        <v>2.8749218469643328E-2</v>
      </c>
      <c r="AG302" s="188">
        <f t="shared" si="59"/>
        <v>0.67522003085426352</v>
      </c>
      <c r="AH302" s="188">
        <f t="shared" si="60"/>
        <v>6.7516823712648402E-3</v>
      </c>
      <c r="AI302" s="188">
        <f t="shared" si="61"/>
        <v>0.56274255187696764</v>
      </c>
      <c r="AJ302" s="188">
        <f t="shared" si="62"/>
        <v>0.28211044642493804</v>
      </c>
      <c r="AK302" s="188">
        <f t="shared" si="63"/>
        <v>-0.17303430079155674</v>
      </c>
      <c r="AL302" s="188">
        <f t="shared" si="64"/>
        <v>0.1140090934987773</v>
      </c>
      <c r="AM302" s="188">
        <v>6.5899464556860868E-2</v>
      </c>
      <c r="AN302" s="188">
        <v>0.112256361181192</v>
      </c>
      <c r="AO302">
        <f t="shared" si="65"/>
        <v>0</v>
      </c>
      <c r="AP302" s="188">
        <f t="shared" si="66"/>
        <v>-7.2973662889424095E-3</v>
      </c>
      <c r="AQ302" s="188">
        <f t="shared" si="67"/>
        <v>-6.613559597932697E-3</v>
      </c>
      <c r="AR302" s="188">
        <f t="shared" si="68"/>
        <v>0.76628450294669315</v>
      </c>
      <c r="AS302" s="128">
        <f t="shared" si="69"/>
        <v>1487.7391107873532</v>
      </c>
      <c r="AT302" s="188">
        <v>0.2515</v>
      </c>
      <c r="AU302" s="238">
        <v>5.0299999999999997E-2</v>
      </c>
      <c r="AV302">
        <v>4.5</v>
      </c>
      <c r="AY302" t="s">
        <v>432</v>
      </c>
      <c r="AZ302" s="129">
        <v>1753.8929520776287</v>
      </c>
      <c r="BA302" t="s">
        <v>118</v>
      </c>
    </row>
    <row r="303" spans="1:55" x14ac:dyDescent="0.25">
      <c r="A303" t="s">
        <v>427</v>
      </c>
      <c r="B303">
        <v>0</v>
      </c>
      <c r="C303">
        <v>3707</v>
      </c>
      <c r="D303">
        <v>35767</v>
      </c>
      <c r="E303">
        <v>321</v>
      </c>
      <c r="F303">
        <v>0</v>
      </c>
      <c r="G303">
        <v>907</v>
      </c>
      <c r="H303">
        <v>0</v>
      </c>
      <c r="I303">
        <v>0</v>
      </c>
      <c r="J303">
        <v>7</v>
      </c>
      <c r="K303">
        <v>5735</v>
      </c>
      <c r="L303">
        <v>1474</v>
      </c>
      <c r="M303">
        <v>1750</v>
      </c>
      <c r="N303">
        <v>20662</v>
      </c>
      <c r="O303">
        <v>2843</v>
      </c>
      <c r="P303">
        <v>17975</v>
      </c>
      <c r="Q303">
        <v>8</v>
      </c>
      <c r="R303">
        <v>5000</v>
      </c>
      <c r="S303">
        <v>3182</v>
      </c>
      <c r="T303">
        <v>0</v>
      </c>
      <c r="U303">
        <f t="shared" si="56"/>
        <v>-9</v>
      </c>
      <c r="V303">
        <v>1113</v>
      </c>
      <c r="W303">
        <v>29266</v>
      </c>
      <c r="X303">
        <v>28144</v>
      </c>
      <c r="Y303">
        <f t="shared" si="57"/>
        <v>1122</v>
      </c>
      <c r="Z303">
        <v>8891</v>
      </c>
      <c r="AA303">
        <v>338422.99999999953</v>
      </c>
      <c r="AB303">
        <v>21282</v>
      </c>
      <c r="AC303" s="128">
        <v>16238.385443090141</v>
      </c>
      <c r="AD303">
        <v>12466</v>
      </c>
      <c r="AE303" t="s">
        <v>427</v>
      </c>
      <c r="AF303" s="188">
        <f t="shared" si="58"/>
        <v>0.12048110435317433</v>
      </c>
      <c r="AG303" s="188">
        <f t="shared" si="59"/>
        <v>0.55692612587986057</v>
      </c>
      <c r="AH303" s="188">
        <f t="shared" si="60"/>
        <v>3.0991594341556756E-2</v>
      </c>
      <c r="AI303" s="188">
        <f t="shared" si="61"/>
        <v>2.3918540285655711E-4</v>
      </c>
      <c r="AJ303" s="188">
        <f t="shared" si="62"/>
        <v>0.56047768741884785</v>
      </c>
      <c r="AK303" s="188">
        <f t="shared" si="63"/>
        <v>0.41598550432856857</v>
      </c>
      <c r="AL303" s="188">
        <f t="shared" si="64"/>
        <v>3.8338003143579581E-2</v>
      </c>
      <c r="AM303" s="188">
        <v>-1.446695701571672E-2</v>
      </c>
      <c r="AN303" s="188">
        <v>-4.7295159759569758E-2</v>
      </c>
      <c r="AO303">
        <f t="shared" si="65"/>
        <v>2</v>
      </c>
      <c r="AP303" s="188">
        <f t="shared" si="66"/>
        <v>7.5949907742773187E-2</v>
      </c>
      <c r="AQ303" s="188">
        <f t="shared" si="67"/>
        <v>1.1563691655846359E-2</v>
      </c>
      <c r="AR303" s="188">
        <f t="shared" si="68"/>
        <v>0.72719196337046399</v>
      </c>
      <c r="AS303" s="128">
        <f t="shared" si="69"/>
        <v>1302.6139453786411</v>
      </c>
      <c r="AT303" s="188">
        <v>0.22900000000000001</v>
      </c>
      <c r="AU303" s="238">
        <v>4.58E-2</v>
      </c>
      <c r="AV303">
        <v>6</v>
      </c>
      <c r="AY303" t="s">
        <v>310</v>
      </c>
      <c r="AZ303" s="129">
        <v>1606.5454814501679</v>
      </c>
      <c r="BA303" t="s">
        <v>118</v>
      </c>
    </row>
    <row r="304" spans="1:55" x14ac:dyDescent="0.25">
      <c r="A304" t="s">
        <v>321</v>
      </c>
      <c r="B304">
        <v>9000</v>
      </c>
      <c r="C304">
        <v>2703</v>
      </c>
      <c r="D304">
        <v>51675</v>
      </c>
      <c r="E304">
        <v>290</v>
      </c>
      <c r="F304">
        <v>0</v>
      </c>
      <c r="G304">
        <v>1351</v>
      </c>
      <c r="H304">
        <v>0</v>
      </c>
      <c r="I304">
        <v>3330</v>
      </c>
      <c r="J304">
        <v>0</v>
      </c>
      <c r="K304">
        <v>16660</v>
      </c>
      <c r="L304" s="207">
        <f>-120+120</f>
        <v>0</v>
      </c>
      <c r="M304">
        <v>920</v>
      </c>
      <c r="N304">
        <v>35111</v>
      </c>
      <c r="O304">
        <v>13683</v>
      </c>
      <c r="P304">
        <v>28000</v>
      </c>
      <c r="Q304">
        <v>7</v>
      </c>
      <c r="R304">
        <f>120</f>
        <v>120</v>
      </c>
      <c r="S304">
        <v>1653</v>
      </c>
      <c r="T304">
        <v>7346</v>
      </c>
      <c r="U304">
        <f t="shared" si="56"/>
        <v>0</v>
      </c>
      <c r="V304">
        <v>-2106</v>
      </c>
      <c r="W304">
        <v>57883</v>
      </c>
      <c r="X304">
        <v>59989</v>
      </c>
      <c r="Y304">
        <f t="shared" si="57"/>
        <v>-2106</v>
      </c>
      <c r="Z304">
        <v>5053</v>
      </c>
      <c r="AA304">
        <v>2075282</v>
      </c>
      <c r="AB304">
        <v>38979</v>
      </c>
      <c r="AC304" s="128">
        <v>39884.086982990877</v>
      </c>
      <c r="AD304">
        <v>25650</v>
      </c>
      <c r="AE304" t="s">
        <v>321</v>
      </c>
      <c r="AF304" s="188">
        <f t="shared" si="58"/>
        <v>2.0731475562773181E-3</v>
      </c>
      <c r="AG304" s="188">
        <f t="shared" si="59"/>
        <v>0.31434099822054834</v>
      </c>
      <c r="AH304" s="188">
        <f t="shared" si="60"/>
        <v>2.3340186237755474E-2</v>
      </c>
      <c r="AI304" s="188">
        <f t="shared" si="61"/>
        <v>5.7529844686695579E-2</v>
      </c>
      <c r="AJ304" s="188">
        <f t="shared" si="62"/>
        <v>0.27687092928839208</v>
      </c>
      <c r="AK304" s="188">
        <f t="shared" si="63"/>
        <v>0.40864757914338917</v>
      </c>
      <c r="AL304" s="188">
        <f t="shared" si="64"/>
        <v>-3.6383739612666929E-2</v>
      </c>
      <c r="AM304" s="188">
        <v>3.6899504281207751E-2</v>
      </c>
      <c r="AN304" s="188">
        <v>1.6887637952744242E-2</v>
      </c>
      <c r="AO304">
        <f t="shared" si="65"/>
        <v>1</v>
      </c>
      <c r="AP304" s="188">
        <f t="shared" si="66"/>
        <v>2.1824197087227683E-2</v>
      </c>
      <c r="AQ304" s="188">
        <f t="shared" si="67"/>
        <v>3.5853048390719212E-2</v>
      </c>
      <c r="AR304" s="188">
        <f t="shared" si="68"/>
        <v>0.67341015496777978</v>
      </c>
      <c r="AS304" s="128">
        <f t="shared" si="69"/>
        <v>1554.9351650288841</v>
      </c>
      <c r="AT304" s="188">
        <v>0.28899999999999998</v>
      </c>
      <c r="AU304" s="238">
        <v>5.7799999999999997E-2</v>
      </c>
      <c r="AV304">
        <v>8</v>
      </c>
      <c r="AY304" t="s">
        <v>153</v>
      </c>
      <c r="AZ304" s="129">
        <v>2207.0051442892373</v>
      </c>
      <c r="BA304" t="s">
        <v>118</v>
      </c>
      <c r="BC304">
        <v>1</v>
      </c>
    </row>
    <row r="305" spans="1:55" x14ac:dyDescent="0.25">
      <c r="A305" t="s">
        <v>205</v>
      </c>
      <c r="B305">
        <v>3600</v>
      </c>
      <c r="C305">
        <v>12798</v>
      </c>
      <c r="D305">
        <v>58288</v>
      </c>
      <c r="E305">
        <v>6019</v>
      </c>
      <c r="F305">
        <v>66</v>
      </c>
      <c r="G305">
        <v>523</v>
      </c>
      <c r="H305">
        <v>0</v>
      </c>
      <c r="I305">
        <v>340</v>
      </c>
      <c r="J305">
        <v>933</v>
      </c>
      <c r="K305">
        <v>1607</v>
      </c>
      <c r="L305">
        <v>4627</v>
      </c>
      <c r="M305">
        <v>4014</v>
      </c>
      <c r="N305">
        <v>17892</v>
      </c>
      <c r="O305">
        <v>20301</v>
      </c>
      <c r="P305">
        <v>38307</v>
      </c>
      <c r="Q305">
        <v>50</v>
      </c>
      <c r="R305">
        <v>7071</v>
      </c>
      <c r="S305">
        <v>5389</v>
      </c>
      <c r="T305">
        <v>3794</v>
      </c>
      <c r="U305">
        <f t="shared" si="56"/>
        <v>143</v>
      </c>
      <c r="V305">
        <v>-199</v>
      </c>
      <c r="W305">
        <v>72872</v>
      </c>
      <c r="X305">
        <v>73214</v>
      </c>
      <c r="Y305">
        <f t="shared" si="57"/>
        <v>-342</v>
      </c>
      <c r="Z305">
        <v>10224</v>
      </c>
      <c r="AA305">
        <v>2685562</v>
      </c>
      <c r="AB305">
        <v>47323</v>
      </c>
      <c r="AC305" s="128">
        <v>41173.594000546385</v>
      </c>
      <c r="AD305">
        <v>24790</v>
      </c>
      <c r="AE305" t="s">
        <v>205</v>
      </c>
      <c r="AF305" s="188">
        <f t="shared" si="58"/>
        <v>3.3538258864858929E-2</v>
      </c>
      <c r="AG305" s="188">
        <f t="shared" si="59"/>
        <v>0.6006971127456362</v>
      </c>
      <c r="AH305" s="188">
        <f t="shared" si="60"/>
        <v>8.0826654956636292E-3</v>
      </c>
      <c r="AI305" s="188">
        <f t="shared" si="61"/>
        <v>1.7468986716434296E-2</v>
      </c>
      <c r="AJ305" s="188">
        <f t="shared" si="62"/>
        <v>0.58943874190361178</v>
      </c>
      <c r="AK305" s="188">
        <f t="shared" si="63"/>
        <v>0.19279341407697945</v>
      </c>
      <c r="AL305" s="188">
        <f t="shared" si="64"/>
        <v>-4.6931606103853335E-3</v>
      </c>
      <c r="AM305" s="188">
        <v>-2.952035126635166E-2</v>
      </c>
      <c r="AN305" s="188">
        <v>-3.5096481271282634E-2</v>
      </c>
      <c r="AO305">
        <f t="shared" si="65"/>
        <v>3</v>
      </c>
      <c r="AP305" s="188">
        <f t="shared" si="66"/>
        <v>3.5075200351300913E-2</v>
      </c>
      <c r="AQ305" s="188">
        <f t="shared" si="67"/>
        <v>3.6853139751893735E-2</v>
      </c>
      <c r="AR305" s="188">
        <f t="shared" si="68"/>
        <v>0.64939894609726645</v>
      </c>
      <c r="AS305" s="128">
        <f t="shared" si="69"/>
        <v>1660.8952803770226</v>
      </c>
      <c r="AT305" s="188">
        <v>0.30649999999999999</v>
      </c>
      <c r="AU305" s="238">
        <v>6.13E-2</v>
      </c>
      <c r="AV305">
        <v>6.5</v>
      </c>
      <c r="AY305" t="s">
        <v>196</v>
      </c>
      <c r="AZ305" s="129">
        <v>1469.616477138348</v>
      </c>
      <c r="BA305" t="s">
        <v>118</v>
      </c>
      <c r="BB305">
        <v>1</v>
      </c>
    </row>
    <row r="306" spans="1:55" x14ac:dyDescent="0.25">
      <c r="A306" t="s">
        <v>395</v>
      </c>
      <c r="B306">
        <v>0</v>
      </c>
      <c r="C306">
        <v>4805</v>
      </c>
      <c r="D306">
        <v>102868</v>
      </c>
      <c r="E306">
        <v>16</v>
      </c>
      <c r="F306">
        <v>0</v>
      </c>
      <c r="G306">
        <v>637</v>
      </c>
      <c r="H306">
        <v>0</v>
      </c>
      <c r="I306">
        <v>-151</v>
      </c>
      <c r="J306">
        <v>0</v>
      </c>
      <c r="K306">
        <v>7413</v>
      </c>
      <c r="L306">
        <v>1858</v>
      </c>
      <c r="M306">
        <v>2743</v>
      </c>
      <c r="N306">
        <v>41491</v>
      </c>
      <c r="O306">
        <v>7332</v>
      </c>
      <c r="P306">
        <v>60763</v>
      </c>
      <c r="Q306">
        <v>0</v>
      </c>
      <c r="R306">
        <v>2000</v>
      </c>
      <c r="S306">
        <v>2120</v>
      </c>
      <c r="T306">
        <v>6482</v>
      </c>
      <c r="U306">
        <f t="shared" si="56"/>
        <v>20</v>
      </c>
      <c r="V306">
        <v>-7880</v>
      </c>
      <c r="W306">
        <v>78005</v>
      </c>
      <c r="X306">
        <v>85905</v>
      </c>
      <c r="Y306">
        <f t="shared" si="57"/>
        <v>-7900</v>
      </c>
      <c r="Z306">
        <v>19614</v>
      </c>
      <c r="AA306">
        <v>3113757.9999999981</v>
      </c>
      <c r="AB306">
        <v>48085</v>
      </c>
      <c r="AC306" s="128">
        <v>53994.78698209978</v>
      </c>
      <c r="AD306">
        <v>26766</v>
      </c>
      <c r="AE306" t="s">
        <v>395</v>
      </c>
      <c r="AF306" s="188">
        <f t="shared" si="58"/>
        <v>1.8203961284533044E-3</v>
      </c>
      <c r="AG306" s="188">
        <f t="shared" si="59"/>
        <v>0.75269534004230498</v>
      </c>
      <c r="AH306" s="188">
        <f t="shared" si="60"/>
        <v>8.1661431959489782E-3</v>
      </c>
      <c r="AI306" s="188">
        <f t="shared" si="61"/>
        <v>-1.9357733478623164E-3</v>
      </c>
      <c r="AJ306" s="188">
        <f t="shared" si="62"/>
        <v>0.75503031856932246</v>
      </c>
      <c r="AK306" s="188">
        <f t="shared" si="63"/>
        <v>0.34521749259493462</v>
      </c>
      <c r="AL306" s="188">
        <f t="shared" si="64"/>
        <v>-0.10127555925902186</v>
      </c>
      <c r="AM306" s="188">
        <v>5.6331141677067383E-2</v>
      </c>
      <c r="AN306" s="188">
        <v>6.2318752098659912E-2</v>
      </c>
      <c r="AO306">
        <f t="shared" si="65"/>
        <v>1</v>
      </c>
      <c r="AP306" s="188">
        <f t="shared" si="66"/>
        <v>6.2861355041343506E-2</v>
      </c>
      <c r="AQ306" s="188">
        <f t="shared" si="67"/>
        <v>3.9917415550285211E-2</v>
      </c>
      <c r="AR306" s="188">
        <f t="shared" si="68"/>
        <v>0.61643484392026149</v>
      </c>
      <c r="AS306" s="128">
        <f t="shared" si="69"/>
        <v>2017.2901061832092</v>
      </c>
      <c r="AT306" s="188">
        <v>0.39949999999999997</v>
      </c>
      <c r="AU306" s="238">
        <v>7.9899999999999999E-2</v>
      </c>
      <c r="AV306">
        <v>6</v>
      </c>
      <c r="AY306" t="s">
        <v>382</v>
      </c>
      <c r="AZ306" s="129">
        <v>1476.3205874925973</v>
      </c>
      <c r="BA306" t="s">
        <v>118</v>
      </c>
      <c r="BB306">
        <v>1</v>
      </c>
    </row>
    <row r="307" spans="1:55" x14ac:dyDescent="0.25">
      <c r="A307" t="s">
        <v>606</v>
      </c>
      <c r="B307">
        <v>0</v>
      </c>
      <c r="C307">
        <v>5605</v>
      </c>
      <c r="D307">
        <v>72369</v>
      </c>
      <c r="E307">
        <v>880</v>
      </c>
      <c r="F307">
        <v>0</v>
      </c>
      <c r="G307">
        <v>977</v>
      </c>
      <c r="H307">
        <v>0</v>
      </c>
      <c r="I307">
        <v>27949</v>
      </c>
      <c r="J307">
        <v>0</v>
      </c>
      <c r="K307">
        <v>1804</v>
      </c>
      <c r="L307" s="207">
        <f>-1920+1920</f>
        <v>0</v>
      </c>
      <c r="M307">
        <v>11612</v>
      </c>
      <c r="N307">
        <v>38363</v>
      </c>
      <c r="O307">
        <v>32038</v>
      </c>
      <c r="P307">
        <v>35845</v>
      </c>
      <c r="Q307">
        <v>0</v>
      </c>
      <c r="R307">
        <f>1920</f>
        <v>1920</v>
      </c>
      <c r="S307">
        <v>4863</v>
      </c>
      <c r="T307">
        <v>8167</v>
      </c>
      <c r="U307">
        <f t="shared" si="56"/>
        <v>1</v>
      </c>
      <c r="V307">
        <v>-2801</v>
      </c>
      <c r="W307">
        <v>135228</v>
      </c>
      <c r="X307">
        <v>138030</v>
      </c>
      <c r="Y307">
        <f t="shared" si="57"/>
        <v>-2802</v>
      </c>
      <c r="Z307">
        <v>1793</v>
      </c>
      <c r="AA307">
        <v>1867472</v>
      </c>
      <c r="AB307">
        <v>105104</v>
      </c>
      <c r="AC307" s="128">
        <v>82983.684294108651</v>
      </c>
      <c r="AD307">
        <v>46149</v>
      </c>
      <c r="AE307" t="s">
        <v>606</v>
      </c>
      <c r="AF307" s="188">
        <f t="shared" si="58"/>
        <v>1.419824296743278E-2</v>
      </c>
      <c r="AG307" s="188">
        <f t="shared" si="59"/>
        <v>0.26918981276067089</v>
      </c>
      <c r="AH307" s="188">
        <f t="shared" si="60"/>
        <v>7.2248350933238675E-3</v>
      </c>
      <c r="AI307" s="188">
        <f t="shared" si="61"/>
        <v>0.20668056911290561</v>
      </c>
      <c r="AJ307" s="188">
        <f t="shared" si="62"/>
        <v>0.12538039459283581</v>
      </c>
      <c r="AK307" s="188">
        <f t="shared" si="63"/>
        <v>0.31653684940097032</v>
      </c>
      <c r="AL307" s="188">
        <f t="shared" si="64"/>
        <v>-2.0720560830597215E-2</v>
      </c>
      <c r="AM307" s="188">
        <v>-1.4389731487610441E-2</v>
      </c>
      <c r="AN307" s="188">
        <v>2.4240710601086866E-2</v>
      </c>
      <c r="AO307">
        <f t="shared" si="65"/>
        <v>2</v>
      </c>
      <c r="AP307" s="188">
        <f t="shared" si="66"/>
        <v>3.3147720886206999E-3</v>
      </c>
      <c r="AQ307" s="188">
        <f t="shared" si="67"/>
        <v>1.3809802703582098E-2</v>
      </c>
      <c r="AR307" s="188">
        <f t="shared" si="68"/>
        <v>0.77723548377554941</v>
      </c>
      <c r="AS307" s="128">
        <f t="shared" si="69"/>
        <v>1798.1686340789322</v>
      </c>
      <c r="AT307" s="188">
        <v>0.29000000000000004</v>
      </c>
      <c r="AU307" s="238">
        <v>5.8000000000000003E-2</v>
      </c>
      <c r="AV307">
        <v>6.5</v>
      </c>
      <c r="AY307" t="s">
        <v>133</v>
      </c>
      <c r="AZ307" s="129">
        <v>1858.3666560170368</v>
      </c>
      <c r="BA307" t="s">
        <v>118</v>
      </c>
    </row>
    <row r="308" spans="1:55" x14ac:dyDescent="0.25">
      <c r="A308" t="s">
        <v>396</v>
      </c>
      <c r="B308">
        <v>24</v>
      </c>
      <c r="C308">
        <v>1519</v>
      </c>
      <c r="D308">
        <v>33747</v>
      </c>
      <c r="E308">
        <v>16</v>
      </c>
      <c r="F308">
        <v>0</v>
      </c>
      <c r="G308">
        <v>998</v>
      </c>
      <c r="H308">
        <v>0</v>
      </c>
      <c r="I308">
        <v>3269</v>
      </c>
      <c r="J308">
        <v>0</v>
      </c>
      <c r="K308">
        <v>5214</v>
      </c>
      <c r="L308">
        <v>110</v>
      </c>
      <c r="M308">
        <v>398</v>
      </c>
      <c r="N308">
        <v>10588</v>
      </c>
      <c r="O308">
        <v>18622</v>
      </c>
      <c r="P308">
        <v>7766</v>
      </c>
      <c r="Q308">
        <v>13</v>
      </c>
      <c r="R308">
        <v>0</v>
      </c>
      <c r="S308">
        <v>3263</v>
      </c>
      <c r="T308">
        <v>5044</v>
      </c>
      <c r="U308">
        <f t="shared" si="56"/>
        <v>5</v>
      </c>
      <c r="V308">
        <v>824</v>
      </c>
      <c r="W308">
        <v>38250</v>
      </c>
      <c r="X308">
        <v>37431</v>
      </c>
      <c r="Y308">
        <f t="shared" si="57"/>
        <v>819</v>
      </c>
      <c r="Z308">
        <v>11787</v>
      </c>
      <c r="AA308">
        <v>2084246</v>
      </c>
      <c r="AB308">
        <v>24462</v>
      </c>
      <c r="AC308" s="128">
        <v>22046.634622968752</v>
      </c>
      <c r="AD308">
        <v>17544</v>
      </c>
      <c r="AE308" t="s">
        <v>396</v>
      </c>
      <c r="AF308" s="188">
        <f t="shared" si="58"/>
        <v>-2.8758169934640521E-3</v>
      </c>
      <c r="AG308" s="188">
        <f t="shared" si="59"/>
        <v>0.24486274509803921</v>
      </c>
      <c r="AH308" s="188">
        <f t="shared" si="60"/>
        <v>2.6091503267973857E-2</v>
      </c>
      <c r="AI308" s="188">
        <f t="shared" si="61"/>
        <v>8.5464052287581693E-2</v>
      </c>
      <c r="AJ308" s="188">
        <f t="shared" si="62"/>
        <v>0.18816888888888889</v>
      </c>
      <c r="AK308" s="188">
        <f t="shared" si="63"/>
        <v>0.23375132462027551</v>
      </c>
      <c r="AL308" s="188">
        <f t="shared" si="64"/>
        <v>2.1411764705882352E-2</v>
      </c>
      <c r="AM308" s="188">
        <v>-4.868607567331807E-2</v>
      </c>
      <c r="AN308" s="188">
        <v>-8.7533875338753394E-3</v>
      </c>
      <c r="AO308">
        <f t="shared" si="65"/>
        <v>2</v>
      </c>
      <c r="AP308" s="188">
        <f t="shared" si="66"/>
        <v>7.7039215686274504E-2</v>
      </c>
      <c r="AQ308" s="188">
        <f t="shared" si="67"/>
        <v>5.4490091503267973E-2</v>
      </c>
      <c r="AR308" s="188">
        <f t="shared" si="68"/>
        <v>0.6395294117647059</v>
      </c>
      <c r="AS308" s="128">
        <f t="shared" si="69"/>
        <v>1256.6481203242563</v>
      </c>
      <c r="AT308" s="188">
        <v>0.28100000000000003</v>
      </c>
      <c r="AU308" s="238">
        <v>5.62E-2</v>
      </c>
      <c r="AV308">
        <v>6.5</v>
      </c>
      <c r="AY308" t="s">
        <v>134</v>
      </c>
      <c r="AZ308" s="129">
        <v>1714.1420119099603</v>
      </c>
      <c r="BA308" t="s">
        <v>118</v>
      </c>
    </row>
    <row r="309" spans="1:55" x14ac:dyDescent="0.25">
      <c r="A309" t="s">
        <v>397</v>
      </c>
      <c r="B309">
        <v>5</v>
      </c>
      <c r="C309">
        <v>42847</v>
      </c>
      <c r="D309">
        <v>178253</v>
      </c>
      <c r="E309">
        <v>4992</v>
      </c>
      <c r="F309">
        <v>9582</v>
      </c>
      <c r="G309">
        <v>9058</v>
      </c>
      <c r="H309">
        <v>0</v>
      </c>
      <c r="I309">
        <v>13649</v>
      </c>
      <c r="J309">
        <v>0</v>
      </c>
      <c r="K309">
        <v>6178</v>
      </c>
      <c r="L309">
        <v>572</v>
      </c>
      <c r="M309">
        <v>4778</v>
      </c>
      <c r="N309">
        <v>97881</v>
      </c>
      <c r="O309">
        <v>7730</v>
      </c>
      <c r="P309">
        <v>135873</v>
      </c>
      <c r="Q309">
        <v>0</v>
      </c>
      <c r="R309">
        <v>8000</v>
      </c>
      <c r="S309">
        <v>4834</v>
      </c>
      <c r="T309">
        <v>15596</v>
      </c>
      <c r="U309">
        <f t="shared" si="56"/>
        <v>32</v>
      </c>
      <c r="V309">
        <v>2287</v>
      </c>
      <c r="W309">
        <v>179015</v>
      </c>
      <c r="X309">
        <v>176760</v>
      </c>
      <c r="Y309">
        <f t="shared" si="57"/>
        <v>2255</v>
      </c>
      <c r="Z309">
        <v>14777</v>
      </c>
      <c r="AA309">
        <v>3935490.9999999981</v>
      </c>
      <c r="AB309">
        <v>92698</v>
      </c>
      <c r="AC309" s="128">
        <v>106162.56635678541</v>
      </c>
      <c r="AD309">
        <v>48815</v>
      </c>
      <c r="AE309" t="s">
        <v>397</v>
      </c>
      <c r="AF309" s="188">
        <f t="shared" si="58"/>
        <v>4.1493729575733877E-2</v>
      </c>
      <c r="AG309" s="188">
        <f t="shared" si="59"/>
        <v>0.74929475183643823</v>
      </c>
      <c r="AH309" s="188">
        <f t="shared" si="60"/>
        <v>0.10412535262408178</v>
      </c>
      <c r="AI309" s="188">
        <f t="shared" si="61"/>
        <v>7.6245007401614384E-2</v>
      </c>
      <c r="AJ309" s="188">
        <f t="shared" si="62"/>
        <v>0.70841828897019798</v>
      </c>
      <c r="AK309" s="188">
        <f t="shared" si="63"/>
        <v>0.36263772905443958</v>
      </c>
      <c r="AL309" s="188">
        <f t="shared" si="64"/>
        <v>1.2596709772924057E-2</v>
      </c>
      <c r="AM309" s="188">
        <v>3.1025031559553731E-2</v>
      </c>
      <c r="AN309" s="188">
        <v>1.7423943592525023E-2</v>
      </c>
      <c r="AO309">
        <f t="shared" si="65"/>
        <v>0</v>
      </c>
      <c r="AP309" s="188">
        <f t="shared" si="66"/>
        <v>2.0636538837527581E-2</v>
      </c>
      <c r="AQ309" s="188">
        <f t="shared" si="67"/>
        <v>2.198414099377146E-2</v>
      </c>
      <c r="AR309" s="188">
        <f t="shared" si="68"/>
        <v>0.51782252883836555</v>
      </c>
      <c r="AS309" s="128">
        <f t="shared" si="69"/>
        <v>2174.7939435990043</v>
      </c>
      <c r="AT309" s="188">
        <v>0.186</v>
      </c>
      <c r="AU309" s="238">
        <v>3.7199999999999997E-2</v>
      </c>
      <c r="AV309">
        <v>9</v>
      </c>
      <c r="AY309" t="s">
        <v>197</v>
      </c>
      <c r="AZ309" s="129">
        <v>1697.9850450217828</v>
      </c>
      <c r="BA309" t="s">
        <v>118</v>
      </c>
    </row>
    <row r="310" spans="1:55" x14ac:dyDescent="0.25">
      <c r="A310" t="s">
        <v>322</v>
      </c>
      <c r="B310">
        <v>200</v>
      </c>
      <c r="C310">
        <v>7427</v>
      </c>
      <c r="D310">
        <v>89023</v>
      </c>
      <c r="E310">
        <v>5168</v>
      </c>
      <c r="F310">
        <v>0</v>
      </c>
      <c r="G310">
        <v>820</v>
      </c>
      <c r="H310">
        <v>0</v>
      </c>
      <c r="I310">
        <v>37533</v>
      </c>
      <c r="J310">
        <v>4</v>
      </c>
      <c r="K310">
        <v>22295</v>
      </c>
      <c r="L310">
        <v>276</v>
      </c>
      <c r="M310">
        <v>3560</v>
      </c>
      <c r="N310">
        <v>55315</v>
      </c>
      <c r="O310">
        <v>14242</v>
      </c>
      <c r="P310">
        <v>84270</v>
      </c>
      <c r="Q310">
        <v>0</v>
      </c>
      <c r="R310">
        <v>0</v>
      </c>
      <c r="S310">
        <v>3594</v>
      </c>
      <c r="T310">
        <v>8886</v>
      </c>
      <c r="U310">
        <f t="shared" si="56"/>
        <v>-2</v>
      </c>
      <c r="V310">
        <v>6957</v>
      </c>
      <c r="W310">
        <v>91257</v>
      </c>
      <c r="X310">
        <v>84298</v>
      </c>
      <c r="Y310">
        <f t="shared" si="57"/>
        <v>6959</v>
      </c>
      <c r="Z310">
        <v>96650</v>
      </c>
      <c r="AA310">
        <v>1221409.9999999981</v>
      </c>
      <c r="AB310">
        <v>49406</v>
      </c>
      <c r="AC310" s="128">
        <v>41146.912956552558</v>
      </c>
      <c r="AD310">
        <v>30479</v>
      </c>
      <c r="AE310" t="s">
        <v>322</v>
      </c>
      <c r="AF310" s="188">
        <f t="shared" si="58"/>
        <v>-3.0244255235214834E-3</v>
      </c>
      <c r="AG310" s="188">
        <f t="shared" si="59"/>
        <v>0.76486187360969571</v>
      </c>
      <c r="AH310" s="188">
        <f t="shared" si="60"/>
        <v>8.9856120626362907E-3</v>
      </c>
      <c r="AI310" s="188">
        <f t="shared" si="61"/>
        <v>0.41133282926241277</v>
      </c>
      <c r="AJ310" s="188">
        <f t="shared" si="62"/>
        <v>0.4780071665735231</v>
      </c>
      <c r="AK310" s="188">
        <f t="shared" si="63"/>
        <v>0.33260776756239968</v>
      </c>
      <c r="AL310" s="188">
        <f t="shared" si="64"/>
        <v>7.6257163834007255E-2</v>
      </c>
      <c r="AM310" s="188">
        <v>-2.417942699601356E-2</v>
      </c>
      <c r="AN310" s="188">
        <v>1.6851657650735638E-2</v>
      </c>
      <c r="AO310">
        <f t="shared" si="65"/>
        <v>1</v>
      </c>
      <c r="AP310" s="188">
        <f t="shared" si="66"/>
        <v>0.26477420910176752</v>
      </c>
      <c r="AQ310" s="188">
        <f t="shared" si="67"/>
        <v>1.3384288328566555E-2</v>
      </c>
      <c r="AR310" s="188">
        <f t="shared" si="68"/>
        <v>0.54139408483732754</v>
      </c>
      <c r="AS310" s="128">
        <f t="shared" si="69"/>
        <v>1350.0086274665362</v>
      </c>
      <c r="AT310" s="188">
        <v>0.1295</v>
      </c>
      <c r="AU310" s="238">
        <v>2.5899999999999999E-2</v>
      </c>
      <c r="AV310">
        <v>8</v>
      </c>
      <c r="AY310" t="s">
        <v>270</v>
      </c>
      <c r="AZ310" s="129">
        <v>1693.092770311225</v>
      </c>
      <c r="BA310" t="s">
        <v>118</v>
      </c>
    </row>
    <row r="311" spans="1:55" x14ac:dyDescent="0.25">
      <c r="A311" t="s">
        <v>206</v>
      </c>
      <c r="B311">
        <v>14720</v>
      </c>
      <c r="C311">
        <v>4650</v>
      </c>
      <c r="D311">
        <v>63094</v>
      </c>
      <c r="E311">
        <v>963</v>
      </c>
      <c r="F311">
        <v>3039</v>
      </c>
      <c r="G311">
        <v>2138</v>
      </c>
      <c r="H311">
        <v>0</v>
      </c>
      <c r="I311">
        <v>1529</v>
      </c>
      <c r="J311">
        <v>1052</v>
      </c>
      <c r="K311">
        <v>12974</v>
      </c>
      <c r="L311" s="207">
        <f>-1202+1202</f>
        <v>0</v>
      </c>
      <c r="M311">
        <v>6090</v>
      </c>
      <c r="N311">
        <v>44676</v>
      </c>
      <c r="O311">
        <v>8328</v>
      </c>
      <c r="P311">
        <v>36433</v>
      </c>
      <c r="Q311">
        <v>50</v>
      </c>
      <c r="R311">
        <f>8500+1202</f>
        <v>9702</v>
      </c>
      <c r="S311">
        <v>4563</v>
      </c>
      <c r="T311">
        <v>6494</v>
      </c>
      <c r="U311">
        <f t="shared" si="56"/>
        <v>-176</v>
      </c>
      <c r="V311">
        <v>5796</v>
      </c>
      <c r="W311">
        <v>114144</v>
      </c>
      <c r="X311">
        <v>108172</v>
      </c>
      <c r="Y311">
        <f t="shared" si="57"/>
        <v>5972</v>
      </c>
      <c r="Z311">
        <v>-5100</v>
      </c>
      <c r="AA311">
        <v>-922497.00000000186</v>
      </c>
      <c r="AB311">
        <v>75708</v>
      </c>
      <c r="AC311" s="128">
        <v>62566.725660421987</v>
      </c>
      <c r="AD311">
        <v>39635</v>
      </c>
      <c r="AE311" t="s">
        <v>206</v>
      </c>
      <c r="AF311" s="188">
        <f t="shared" si="58"/>
        <v>8.499789739276703E-2</v>
      </c>
      <c r="AG311" s="188">
        <f t="shared" si="59"/>
        <v>0.28911725539669192</v>
      </c>
      <c r="AH311" s="188">
        <f t="shared" si="60"/>
        <v>4.5354990187832914E-2</v>
      </c>
      <c r="AI311" s="188">
        <f t="shared" si="61"/>
        <v>2.261178861788618E-2</v>
      </c>
      <c r="AJ311" s="188">
        <f t="shared" si="62"/>
        <v>0.27873160218671156</v>
      </c>
      <c r="AK311" s="188">
        <f t="shared" si="63"/>
        <v>0.40523919235164996</v>
      </c>
      <c r="AL311" s="188">
        <f t="shared" si="64"/>
        <v>5.2319876647042331E-2</v>
      </c>
      <c r="AM311" s="188">
        <v>9.7252410410745144E-3</v>
      </c>
      <c r="AN311" s="188">
        <v>2.9322192722161487E-2</v>
      </c>
      <c r="AO311">
        <f t="shared" si="65"/>
        <v>0</v>
      </c>
      <c r="AP311" s="188">
        <f t="shared" si="66"/>
        <v>-1.1170100925147183E-2</v>
      </c>
      <c r="AQ311" s="188">
        <f t="shared" si="67"/>
        <v>-8.0818702691337427E-3</v>
      </c>
      <c r="AR311" s="188">
        <f t="shared" si="68"/>
        <v>0.66326745164003365</v>
      </c>
      <c r="AS311" s="128">
        <f t="shared" si="69"/>
        <v>1578.5726166373656</v>
      </c>
      <c r="AT311" s="188">
        <v>0.17250000000000001</v>
      </c>
      <c r="AU311" s="238">
        <v>3.4500000000000003E-2</v>
      </c>
      <c r="AV311">
        <v>8</v>
      </c>
      <c r="AY311" t="s">
        <v>200</v>
      </c>
      <c r="AZ311" s="129">
        <v>1588.8209801762871</v>
      </c>
      <c r="BA311" t="s">
        <v>118</v>
      </c>
    </row>
    <row r="312" spans="1:55" x14ac:dyDescent="0.25">
      <c r="A312" t="s">
        <v>323</v>
      </c>
      <c r="B312">
        <v>47</v>
      </c>
      <c r="C312">
        <v>196</v>
      </c>
      <c r="D312">
        <v>36563</v>
      </c>
      <c r="E312">
        <v>455</v>
      </c>
      <c r="F312">
        <v>0</v>
      </c>
      <c r="G312">
        <v>2220</v>
      </c>
      <c r="H312">
        <v>0</v>
      </c>
      <c r="I312">
        <v>0</v>
      </c>
      <c r="J312">
        <v>0</v>
      </c>
      <c r="K312">
        <v>45152</v>
      </c>
      <c r="L312" s="207">
        <f>-99+99</f>
        <v>0</v>
      </c>
      <c r="M312">
        <v>1987</v>
      </c>
      <c r="N312">
        <v>59558</v>
      </c>
      <c r="O312">
        <v>18060</v>
      </c>
      <c r="P312">
        <v>0</v>
      </c>
      <c r="Q312">
        <v>139</v>
      </c>
      <c r="R312">
        <f>99</f>
        <v>99</v>
      </c>
      <c r="S312">
        <v>1777</v>
      </c>
      <c r="T312">
        <v>6985</v>
      </c>
      <c r="U312">
        <f t="shared" si="56"/>
        <v>0</v>
      </c>
      <c r="V312">
        <v>-1224</v>
      </c>
      <c r="W312">
        <v>68550</v>
      </c>
      <c r="X312">
        <v>69774</v>
      </c>
      <c r="Y312">
        <f t="shared" si="57"/>
        <v>-1224</v>
      </c>
      <c r="Z312">
        <v>-486</v>
      </c>
      <c r="AA312">
        <v>5812147.9999999981</v>
      </c>
      <c r="AB312">
        <v>40244</v>
      </c>
      <c r="AC312" s="128">
        <v>44747.321813336239</v>
      </c>
      <c r="AD312">
        <v>26949</v>
      </c>
      <c r="AE312" t="s">
        <v>323</v>
      </c>
      <c r="AF312" s="188">
        <f t="shared" si="58"/>
        <v>1.4442013129102845E-3</v>
      </c>
      <c r="AG312" s="188">
        <f t="shared" si="59"/>
        <v>-0.58875273522975935</v>
      </c>
      <c r="AH312" s="188">
        <f t="shared" si="60"/>
        <v>3.238512035010941E-2</v>
      </c>
      <c r="AI312" s="188">
        <f t="shared" si="61"/>
        <v>0</v>
      </c>
      <c r="AJ312" s="188">
        <f t="shared" si="62"/>
        <v>-0.58486652078774626</v>
      </c>
      <c r="AK312" s="188">
        <f t="shared" si="63"/>
        <v>0.6875938026738091</v>
      </c>
      <c r="AL312" s="188">
        <f t="shared" si="64"/>
        <v>-1.7855579868708973E-2</v>
      </c>
      <c r="AM312" s="188">
        <v>-6.4610383996957066E-2</v>
      </c>
      <c r="AN312" s="188">
        <v>5.8950427708948178E-2</v>
      </c>
      <c r="AO312">
        <f t="shared" si="65"/>
        <v>2</v>
      </c>
      <c r="AP312" s="188">
        <f t="shared" si="66"/>
        <v>-1.7724288840262582E-3</v>
      </c>
      <c r="AQ312" s="188">
        <f t="shared" si="67"/>
        <v>8.4786987600291727E-2</v>
      </c>
      <c r="AR312" s="188">
        <f t="shared" si="68"/>
        <v>0.58707512764405545</v>
      </c>
      <c r="AS312" s="128">
        <f t="shared" si="69"/>
        <v>1660.4446106844869</v>
      </c>
      <c r="AT312" s="188">
        <v>0.24199999999999999</v>
      </c>
      <c r="AU312" s="238">
        <v>4.8399999999999999E-2</v>
      </c>
      <c r="AV312">
        <v>7</v>
      </c>
      <c r="AY312" t="s">
        <v>201</v>
      </c>
      <c r="AZ312" s="129">
        <v>1847.5839591708095</v>
      </c>
      <c r="BA312" t="s">
        <v>118</v>
      </c>
    </row>
    <row r="313" spans="1:55" x14ac:dyDescent="0.25">
      <c r="A313" t="s">
        <v>277</v>
      </c>
      <c r="B313">
        <v>493</v>
      </c>
      <c r="C313">
        <v>2029</v>
      </c>
      <c r="D313">
        <v>30397</v>
      </c>
      <c r="E313">
        <v>450</v>
      </c>
      <c r="F313">
        <v>0</v>
      </c>
      <c r="G313">
        <v>575</v>
      </c>
      <c r="H313">
        <v>0</v>
      </c>
      <c r="I313">
        <v>11387</v>
      </c>
      <c r="J313">
        <v>0</v>
      </c>
      <c r="K313">
        <v>4411</v>
      </c>
      <c r="L313">
        <v>2096</v>
      </c>
      <c r="M313">
        <v>4645</v>
      </c>
      <c r="N313">
        <v>12288</v>
      </c>
      <c r="O313">
        <v>10551</v>
      </c>
      <c r="P313">
        <v>27500</v>
      </c>
      <c r="Q313">
        <v>80</v>
      </c>
      <c r="R313">
        <v>0</v>
      </c>
      <c r="S313">
        <v>3155</v>
      </c>
      <c r="T313">
        <v>2906</v>
      </c>
      <c r="U313">
        <f t="shared" si="56"/>
        <v>-3</v>
      </c>
      <c r="V313">
        <v>297</v>
      </c>
      <c r="W313">
        <v>49295</v>
      </c>
      <c r="X313">
        <v>48995</v>
      </c>
      <c r="Y313">
        <f t="shared" si="57"/>
        <v>300</v>
      </c>
      <c r="Z313">
        <v>8222</v>
      </c>
      <c r="AA313">
        <v>2600802.9999999991</v>
      </c>
      <c r="AB313">
        <v>28923</v>
      </c>
      <c r="AC313" s="128">
        <v>32519.095682064915</v>
      </c>
      <c r="AD313">
        <v>17312</v>
      </c>
      <c r="AE313" t="s">
        <v>277</v>
      </c>
      <c r="AF313" s="188">
        <f t="shared" si="58"/>
        <v>-4.2519525306826247E-2</v>
      </c>
      <c r="AG313" s="188">
        <f t="shared" si="59"/>
        <v>0.44454812861344967</v>
      </c>
      <c r="AH313" s="188">
        <f t="shared" si="60"/>
        <v>1.1664469013084492E-2</v>
      </c>
      <c r="AI313" s="188">
        <f t="shared" si="61"/>
        <v>0.23099705852520538</v>
      </c>
      <c r="AJ313" s="188">
        <f t="shared" si="62"/>
        <v>0.28424992392737602</v>
      </c>
      <c r="AK313" s="188">
        <f t="shared" si="63"/>
        <v>0.21756373937677054</v>
      </c>
      <c r="AL313" s="188">
        <f t="shared" si="64"/>
        <v>6.0858099198701698E-3</v>
      </c>
      <c r="AM313" s="188">
        <v>-5.4013598538664505E-2</v>
      </c>
      <c r="AN313" s="188">
        <v>-4.866414844633158E-2</v>
      </c>
      <c r="AO313">
        <f t="shared" si="65"/>
        <v>2</v>
      </c>
      <c r="AP313" s="188">
        <f t="shared" si="66"/>
        <v>4.169794096764378E-2</v>
      </c>
      <c r="AQ313" s="188">
        <f t="shared" si="67"/>
        <v>5.27599756567603E-2</v>
      </c>
      <c r="AR313" s="188">
        <f t="shared" si="68"/>
        <v>0.58673293437468299</v>
      </c>
      <c r="AS313" s="128">
        <f t="shared" si="69"/>
        <v>1878.413567586929</v>
      </c>
      <c r="AT313" s="188">
        <v>0.187</v>
      </c>
      <c r="AU313" s="238">
        <v>3.7400000000000003E-2</v>
      </c>
      <c r="AV313">
        <v>8</v>
      </c>
      <c r="AY313" t="s">
        <v>314</v>
      </c>
      <c r="AZ313" s="129">
        <v>1883.6676172692676</v>
      </c>
      <c r="BA313" t="s">
        <v>118</v>
      </c>
    </row>
    <row r="314" spans="1:55" x14ac:dyDescent="0.25">
      <c r="A314" t="s">
        <v>428</v>
      </c>
      <c r="B314">
        <v>1244</v>
      </c>
      <c r="C314">
        <v>46189</v>
      </c>
      <c r="D314">
        <v>142861</v>
      </c>
      <c r="E314">
        <v>293</v>
      </c>
      <c r="F314">
        <v>14563</v>
      </c>
      <c r="G314">
        <v>1706</v>
      </c>
      <c r="H314">
        <v>0</v>
      </c>
      <c r="I314">
        <v>8432</v>
      </c>
      <c r="J314">
        <v>3261</v>
      </c>
      <c r="K314">
        <v>15504</v>
      </c>
      <c r="L314">
        <f>467+5762</f>
        <v>6229</v>
      </c>
      <c r="M314">
        <v>19332</v>
      </c>
      <c r="N314">
        <v>84916</v>
      </c>
      <c r="O314">
        <v>26708</v>
      </c>
      <c r="P314">
        <v>122422</v>
      </c>
      <c r="Q314">
        <v>25</v>
      </c>
      <c r="R314" s="207">
        <f>-5762+5762</f>
        <v>0</v>
      </c>
      <c r="S314">
        <v>4662</v>
      </c>
      <c r="T314">
        <v>20884</v>
      </c>
      <c r="U314">
        <f t="shared" ref="U314:U347" si="70">SUM(V314,-Y314)</f>
        <v>-3</v>
      </c>
      <c r="V314">
        <v>-5446</v>
      </c>
      <c r="W314">
        <v>154654</v>
      </c>
      <c r="X314">
        <v>160097</v>
      </c>
      <c r="Y314">
        <f t="shared" ref="Y314:Y348" si="71">SUM(W314,-X314)</f>
        <v>-5443</v>
      </c>
      <c r="Z314">
        <v>-3388</v>
      </c>
      <c r="AA314">
        <v>5110693</v>
      </c>
      <c r="AB314">
        <v>108731</v>
      </c>
      <c r="AC314" s="128">
        <v>81922.570983343685</v>
      </c>
      <c r="AD314">
        <v>50011</v>
      </c>
      <c r="AE314" t="s">
        <v>428</v>
      </c>
      <c r="AF314" s="188">
        <f t="shared" ref="AF314:AF348" si="72">SUM(R314,-L314)/W314</f>
        <v>-4.0277005444411394E-2</v>
      </c>
      <c r="AG314" s="188">
        <f t="shared" ref="AG314:AG348" si="73">SUM(P314,Q314,R314,S314,T314,-F314,-G314,-H314,-K314,-L314,-M314)/W314</f>
        <v>0.58620533578180967</v>
      </c>
      <c r="AH314" s="188">
        <f t="shared" ref="AH314:AH348" si="74">SUM(F314,G314)/W314</f>
        <v>0.10519611519908958</v>
      </c>
      <c r="AI314" s="188">
        <f t="shared" ref="AI314:AI348" si="75">SUM(I314,J314)/W314</f>
        <v>7.560748509576215E-2</v>
      </c>
      <c r="AJ314" s="188">
        <f t="shared" ref="AJ314:AJ348" si="76">SUM(AG314,0.12*AH314,-0.7*AI314)</f>
        <v>0.54590363003866682</v>
      </c>
      <c r="AK314" s="188">
        <f t="shared" ref="AK314:AK348" si="77">N314/SUM(N314,O314,P314,Q314,R314,S314,T314)</f>
        <v>0.32708181667610364</v>
      </c>
      <c r="AL314" s="188">
        <f t="shared" ref="AL314:AL348" si="78">Y314/W314</f>
        <v>-3.519469266879615E-2</v>
      </c>
      <c r="AM314" s="188">
        <v>-1.5249346588978207E-2</v>
      </c>
      <c r="AN314" s="188">
        <v>-1.1134090523817596E-2</v>
      </c>
      <c r="AO314">
        <f t="shared" ref="AO314:AO348" si="79">COUNTIF(AL314:AN314,"&lt;0")</f>
        <v>3</v>
      </c>
      <c r="AP314" s="188">
        <f t="shared" ref="AP314:AP348" si="80">Z314/(4*W314)</f>
        <v>-5.4767416297024328E-3</v>
      </c>
      <c r="AQ314" s="188">
        <f t="shared" ref="AQ314:AQ348" si="81">AA314/(W314*1000)</f>
        <v>3.3045980058711705E-2</v>
      </c>
      <c r="AR314" s="188">
        <f t="shared" ref="AR314:AR348" si="82">AB314/W314</f>
        <v>0.70305973334023042</v>
      </c>
      <c r="AS314" s="128">
        <f t="shared" ref="AS314:AS348" si="83">AC314*1000/AD314</f>
        <v>1638.0910396381535</v>
      </c>
      <c r="AT314" s="188">
        <v>0.24400000000000002</v>
      </c>
      <c r="AU314" s="238">
        <v>4.8800000000000003E-2</v>
      </c>
      <c r="AV314">
        <v>5.5</v>
      </c>
      <c r="AY314" t="s">
        <v>315</v>
      </c>
      <c r="AZ314" s="129">
        <v>1764.9455406759421</v>
      </c>
      <c r="BA314" t="s">
        <v>118</v>
      </c>
    </row>
    <row r="315" spans="1:55" x14ac:dyDescent="0.25">
      <c r="A315" t="s">
        <v>278</v>
      </c>
      <c r="B315">
        <v>0</v>
      </c>
      <c r="C315">
        <v>2655</v>
      </c>
      <c r="D315">
        <v>59293</v>
      </c>
      <c r="E315">
        <v>80</v>
      </c>
      <c r="F315">
        <v>0</v>
      </c>
      <c r="G315">
        <v>1377</v>
      </c>
      <c r="H315">
        <v>0</v>
      </c>
      <c r="I315">
        <v>427</v>
      </c>
      <c r="J315">
        <v>0</v>
      </c>
      <c r="K315">
        <v>10122</v>
      </c>
      <c r="L315">
        <v>706</v>
      </c>
      <c r="M315">
        <v>1799</v>
      </c>
      <c r="N315">
        <v>16600</v>
      </c>
      <c r="O315">
        <v>5536</v>
      </c>
      <c r="P315">
        <v>37025</v>
      </c>
      <c r="Q315">
        <v>0</v>
      </c>
      <c r="R315">
        <v>9600</v>
      </c>
      <c r="S315">
        <v>7561</v>
      </c>
      <c r="T315">
        <v>138</v>
      </c>
      <c r="U315">
        <f t="shared" si="70"/>
        <v>2</v>
      </c>
      <c r="V315">
        <v>5343</v>
      </c>
      <c r="W315">
        <v>57272</v>
      </c>
      <c r="X315">
        <v>51931</v>
      </c>
      <c r="Y315">
        <f t="shared" si="71"/>
        <v>5341</v>
      </c>
      <c r="Z315">
        <v>16123</v>
      </c>
      <c r="AA315">
        <v>2948562.9999999991</v>
      </c>
      <c r="AB315">
        <v>39916</v>
      </c>
      <c r="AC315" s="128">
        <v>26088.349936779632</v>
      </c>
      <c r="AD315">
        <v>20445</v>
      </c>
      <c r="AE315" t="s">
        <v>278</v>
      </c>
      <c r="AF315" s="188">
        <f t="shared" si="72"/>
        <v>0.15529403547981563</v>
      </c>
      <c r="AG315" s="188">
        <f t="shared" si="73"/>
        <v>0.70400893979606094</v>
      </c>
      <c r="AH315" s="188">
        <f t="shared" si="74"/>
        <v>2.4043162452856544E-2</v>
      </c>
      <c r="AI315" s="188">
        <f t="shared" si="75"/>
        <v>7.455650230479117E-3</v>
      </c>
      <c r="AJ315" s="188">
        <f t="shared" si="76"/>
        <v>0.70167516412906827</v>
      </c>
      <c r="AK315" s="188">
        <f t="shared" si="77"/>
        <v>0.21710698404394455</v>
      </c>
      <c r="AL315" s="188">
        <f t="shared" si="78"/>
        <v>9.3256739768124042E-2</v>
      </c>
      <c r="AM315" s="188">
        <v>2.9443119924017755E-2</v>
      </c>
      <c r="AN315" s="188">
        <v>3.4617587235134972E-2</v>
      </c>
      <c r="AO315">
        <f t="shared" si="79"/>
        <v>0</v>
      </c>
      <c r="AP315" s="188">
        <f t="shared" si="80"/>
        <v>7.0379068305629275E-2</v>
      </c>
      <c r="AQ315" s="188">
        <f t="shared" si="81"/>
        <v>5.1483499790473515E-2</v>
      </c>
      <c r="AR315" s="188">
        <f t="shared" si="82"/>
        <v>0.69695488196675515</v>
      </c>
      <c r="AS315" s="128">
        <f t="shared" si="83"/>
        <v>1276.0259201163919</v>
      </c>
      <c r="AT315" s="188">
        <v>7.400000000000001E-2</v>
      </c>
      <c r="AU315" s="238">
        <v>1.4800000000000001E-2</v>
      </c>
      <c r="AV315">
        <v>7.5</v>
      </c>
      <c r="AY315" t="s">
        <v>418</v>
      </c>
      <c r="AZ315" s="129">
        <v>1810.9324631489965</v>
      </c>
      <c r="BA315" t="s">
        <v>118</v>
      </c>
    </row>
    <row r="316" spans="1:55" x14ac:dyDescent="0.25">
      <c r="A316" t="s">
        <v>607</v>
      </c>
      <c r="B316">
        <v>1259</v>
      </c>
      <c r="C316">
        <v>7702</v>
      </c>
      <c r="D316">
        <v>101218</v>
      </c>
      <c r="E316">
        <v>3320</v>
      </c>
      <c r="F316">
        <v>0</v>
      </c>
      <c r="G316">
        <v>4537</v>
      </c>
      <c r="H316">
        <v>3630</v>
      </c>
      <c r="I316">
        <v>47099</v>
      </c>
      <c r="J316">
        <v>274</v>
      </c>
      <c r="K316">
        <v>14856</v>
      </c>
      <c r="L316">
        <v>20451</v>
      </c>
      <c r="M316">
        <v>10911</v>
      </c>
      <c r="N316">
        <v>101048</v>
      </c>
      <c r="O316">
        <v>10676</v>
      </c>
      <c r="P316">
        <v>74851</v>
      </c>
      <c r="Q316">
        <v>78</v>
      </c>
      <c r="R316">
        <v>0</v>
      </c>
      <c r="S316">
        <v>12159</v>
      </c>
      <c r="T316">
        <v>16445</v>
      </c>
      <c r="U316">
        <f t="shared" si="70"/>
        <v>534</v>
      </c>
      <c r="V316">
        <v>22388</v>
      </c>
      <c r="W316">
        <v>159503</v>
      </c>
      <c r="X316">
        <v>137649</v>
      </c>
      <c r="Y316">
        <f t="shared" si="71"/>
        <v>21854</v>
      </c>
      <c r="Z316">
        <v>3352</v>
      </c>
      <c r="AA316">
        <v>2464839.9999999981</v>
      </c>
      <c r="AB316">
        <v>82345</v>
      </c>
      <c r="AC316" s="128">
        <v>85185.278224222129</v>
      </c>
      <c r="AD316">
        <v>51496</v>
      </c>
      <c r="AE316" t="s">
        <v>607</v>
      </c>
      <c r="AF316" s="188">
        <f t="shared" si="72"/>
        <v>-0.12821702413120756</v>
      </c>
      <c r="AG316" s="188">
        <f t="shared" si="73"/>
        <v>0.30813213544572832</v>
      </c>
      <c r="AH316" s="188">
        <f t="shared" si="74"/>
        <v>2.8444606057566317E-2</v>
      </c>
      <c r="AI316" s="188">
        <f t="shared" si="75"/>
        <v>0.2970038181100042</v>
      </c>
      <c r="AJ316" s="188">
        <f t="shared" si="76"/>
        <v>0.10364281549563334</v>
      </c>
      <c r="AK316" s="188">
        <f t="shared" si="77"/>
        <v>0.46942956558904009</v>
      </c>
      <c r="AL316" s="188">
        <f t="shared" si="78"/>
        <v>0.13701309693234609</v>
      </c>
      <c r="AM316" s="188">
        <v>3.5088542644390215E-2</v>
      </c>
      <c r="AN316" s="188">
        <v>9.202223557692308E-3</v>
      </c>
      <c r="AO316">
        <f t="shared" si="79"/>
        <v>0</v>
      </c>
      <c r="AP316" s="188">
        <f t="shared" si="80"/>
        <v>5.2538196773728391E-3</v>
      </c>
      <c r="AQ316" s="188">
        <f t="shared" si="81"/>
        <v>1.5453251662978115E-2</v>
      </c>
      <c r="AR316" s="188">
        <f t="shared" si="82"/>
        <v>0.51625988225926789</v>
      </c>
      <c r="AS316" s="128">
        <f t="shared" si="83"/>
        <v>1654.2115547658484</v>
      </c>
      <c r="AT316" s="188">
        <v>0.21100000000000002</v>
      </c>
      <c r="AU316" s="238">
        <v>4.2200000000000001E-2</v>
      </c>
      <c r="AV316">
        <v>9</v>
      </c>
      <c r="AY316" t="s">
        <v>386</v>
      </c>
      <c r="AZ316" s="129">
        <v>1310.1589112225138</v>
      </c>
      <c r="BA316" t="s">
        <v>118</v>
      </c>
      <c r="BB316">
        <v>1</v>
      </c>
    </row>
    <row r="317" spans="1:55" x14ac:dyDescent="0.25">
      <c r="A317" t="s">
        <v>207</v>
      </c>
      <c r="B317">
        <v>8</v>
      </c>
      <c r="C317">
        <v>2326</v>
      </c>
      <c r="D317">
        <v>35492</v>
      </c>
      <c r="E317">
        <v>0</v>
      </c>
      <c r="F317">
        <v>19</v>
      </c>
      <c r="G317">
        <v>15411</v>
      </c>
      <c r="H317">
        <v>0</v>
      </c>
      <c r="I317">
        <v>-21</v>
      </c>
      <c r="J317">
        <v>398</v>
      </c>
      <c r="K317">
        <v>3826</v>
      </c>
      <c r="L317" s="207">
        <f>-2874+2874</f>
        <v>0</v>
      </c>
      <c r="M317">
        <v>4461</v>
      </c>
      <c r="N317">
        <v>12872</v>
      </c>
      <c r="O317">
        <v>8996</v>
      </c>
      <c r="P317">
        <v>30418</v>
      </c>
      <c r="Q317">
        <v>0</v>
      </c>
      <c r="R317">
        <f>2874</f>
        <v>2874</v>
      </c>
      <c r="S317">
        <v>1570</v>
      </c>
      <c r="T317">
        <v>5190</v>
      </c>
      <c r="U317">
        <f t="shared" si="70"/>
        <v>-9</v>
      </c>
      <c r="V317">
        <v>705</v>
      </c>
      <c r="W317">
        <v>47794</v>
      </c>
      <c r="X317">
        <v>47080</v>
      </c>
      <c r="Y317">
        <f t="shared" si="71"/>
        <v>714</v>
      </c>
      <c r="Z317">
        <v>7878</v>
      </c>
      <c r="AA317">
        <v>1395786.9999999991</v>
      </c>
      <c r="AB317">
        <v>32553</v>
      </c>
      <c r="AC317" s="128">
        <v>27494.961284005214</v>
      </c>
      <c r="AD317">
        <v>19581</v>
      </c>
      <c r="AE317" t="s">
        <v>207</v>
      </c>
      <c r="AF317" s="188">
        <f t="shared" si="72"/>
        <v>6.0133071096790391E-2</v>
      </c>
      <c r="AG317" s="188">
        <f t="shared" si="73"/>
        <v>0.34177930284136082</v>
      </c>
      <c r="AH317" s="188">
        <f t="shared" si="74"/>
        <v>0.32284387161568395</v>
      </c>
      <c r="AI317" s="188">
        <f t="shared" si="75"/>
        <v>7.8880194166631792E-3</v>
      </c>
      <c r="AJ317" s="188">
        <f t="shared" si="76"/>
        <v>0.37499895384357868</v>
      </c>
      <c r="AK317" s="188">
        <f t="shared" si="77"/>
        <v>0.2078811369509044</v>
      </c>
      <c r="AL317" s="188">
        <f t="shared" si="78"/>
        <v>1.4939113696279867E-2</v>
      </c>
      <c r="AM317" s="188">
        <v>-7.6385926308462623E-2</v>
      </c>
      <c r="AN317" s="188">
        <v>-3.6174026397262506E-2</v>
      </c>
      <c r="AO317">
        <f t="shared" si="79"/>
        <v>2</v>
      </c>
      <c r="AP317" s="188">
        <f t="shared" si="80"/>
        <v>4.1208101435326612E-2</v>
      </c>
      <c r="AQ317" s="188">
        <f t="shared" si="81"/>
        <v>2.9204230656567749E-2</v>
      </c>
      <c r="AR317" s="188">
        <f t="shared" si="82"/>
        <v>0.68111059965686072</v>
      </c>
      <c r="AS317" s="128">
        <f t="shared" si="83"/>
        <v>1404.1653278180488</v>
      </c>
      <c r="AT317" s="188">
        <v>0.26650000000000001</v>
      </c>
      <c r="AU317" s="238">
        <v>5.33E-2</v>
      </c>
      <c r="AV317">
        <v>8</v>
      </c>
      <c r="AY317" t="s">
        <v>271</v>
      </c>
      <c r="AZ317" s="129">
        <v>1501.0188714431772</v>
      </c>
      <c r="BA317" t="s">
        <v>118</v>
      </c>
      <c r="BB317">
        <v>1</v>
      </c>
    </row>
    <row r="318" spans="1:55" x14ac:dyDescent="0.25">
      <c r="A318" t="s">
        <v>608</v>
      </c>
      <c r="B318">
        <v>8505</v>
      </c>
      <c r="C318">
        <v>9754</v>
      </c>
      <c r="D318">
        <v>158829</v>
      </c>
      <c r="E318">
        <v>265</v>
      </c>
      <c r="F318">
        <v>432</v>
      </c>
      <c r="G318">
        <v>5277</v>
      </c>
      <c r="H318">
        <v>0</v>
      </c>
      <c r="I318">
        <v>28495</v>
      </c>
      <c r="J318">
        <v>1751</v>
      </c>
      <c r="K318">
        <v>15415</v>
      </c>
      <c r="L318" s="207">
        <f>-5362+5362</f>
        <v>0</v>
      </c>
      <c r="M318">
        <v>6902</v>
      </c>
      <c r="N318">
        <v>30597</v>
      </c>
      <c r="O318">
        <v>11883</v>
      </c>
      <c r="P318">
        <v>145199</v>
      </c>
      <c r="Q318">
        <v>20</v>
      </c>
      <c r="R318">
        <f>18000+5362</f>
        <v>23362</v>
      </c>
      <c r="S318">
        <v>11989</v>
      </c>
      <c r="T318">
        <v>12579</v>
      </c>
      <c r="U318">
        <f t="shared" si="70"/>
        <v>8</v>
      </c>
      <c r="V318">
        <v>1198</v>
      </c>
      <c r="W318">
        <v>180289</v>
      </c>
      <c r="X318">
        <v>179099</v>
      </c>
      <c r="Y318">
        <f t="shared" si="71"/>
        <v>1190</v>
      </c>
      <c r="Z318">
        <v>3707</v>
      </c>
      <c r="AA318">
        <v>1614872.9999999981</v>
      </c>
      <c r="AB318">
        <v>127927</v>
      </c>
      <c r="AC318" s="128">
        <v>110299.70710471262</v>
      </c>
      <c r="AD318">
        <v>63678</v>
      </c>
      <c r="AE318" t="s">
        <v>608</v>
      </c>
      <c r="AF318" s="188">
        <f t="shared" si="72"/>
        <v>0.12958083965189224</v>
      </c>
      <c r="AG318" s="188">
        <f t="shared" si="73"/>
        <v>0.91587950457321299</v>
      </c>
      <c r="AH318" s="188">
        <f t="shared" si="74"/>
        <v>3.1665825424734728E-2</v>
      </c>
      <c r="AI318" s="188">
        <f t="shared" si="75"/>
        <v>0.16776397894491621</v>
      </c>
      <c r="AJ318" s="188">
        <f t="shared" si="76"/>
        <v>0.80224461836273975</v>
      </c>
      <c r="AK318" s="188">
        <f t="shared" si="77"/>
        <v>0.12985243751830208</v>
      </c>
      <c r="AL318" s="188">
        <f t="shared" si="78"/>
        <v>6.6005136197993218E-3</v>
      </c>
      <c r="AM318" s="188">
        <v>-2.252854832236802E-2</v>
      </c>
      <c r="AN318" s="188">
        <v>-5.1558579285006463E-2</v>
      </c>
      <c r="AO318">
        <f t="shared" si="79"/>
        <v>2</v>
      </c>
      <c r="AP318" s="188">
        <f t="shared" si="80"/>
        <v>5.140357980797497E-3</v>
      </c>
      <c r="AQ318" s="188">
        <f t="shared" si="81"/>
        <v>8.9571354880219993E-3</v>
      </c>
      <c r="AR318" s="188">
        <f t="shared" si="82"/>
        <v>0.70956630742862847</v>
      </c>
      <c r="AS318" s="128">
        <f t="shared" si="83"/>
        <v>1732.1477920900879</v>
      </c>
      <c r="AT318" s="188">
        <v>0.23849999999999999</v>
      </c>
      <c r="AU318" s="238">
        <v>4.7699999999999999E-2</v>
      </c>
      <c r="AV318">
        <v>7.5</v>
      </c>
      <c r="AY318" t="s">
        <v>135</v>
      </c>
      <c r="AZ318" s="129">
        <v>4860.2214991563305</v>
      </c>
      <c r="BA318" t="s">
        <v>118</v>
      </c>
      <c r="BC318">
        <v>1</v>
      </c>
    </row>
    <row r="319" spans="1:55" x14ac:dyDescent="0.25">
      <c r="A319" t="s">
        <v>116</v>
      </c>
      <c r="B319">
        <v>16</v>
      </c>
      <c r="C319">
        <v>3291</v>
      </c>
      <c r="D319">
        <v>37281</v>
      </c>
      <c r="E319">
        <v>488</v>
      </c>
      <c r="F319">
        <v>114</v>
      </c>
      <c r="G319">
        <v>1</v>
      </c>
      <c r="H319">
        <v>660</v>
      </c>
      <c r="I319">
        <v>-1439</v>
      </c>
      <c r="J319">
        <v>4</v>
      </c>
      <c r="K319">
        <v>2501</v>
      </c>
      <c r="L319">
        <v>265</v>
      </c>
      <c r="M319">
        <v>5225</v>
      </c>
      <c r="N319">
        <v>16534</v>
      </c>
      <c r="O319">
        <v>10726</v>
      </c>
      <c r="P319">
        <v>9959</v>
      </c>
      <c r="Q319">
        <v>0</v>
      </c>
      <c r="R319">
        <v>4500</v>
      </c>
      <c r="S319">
        <v>2312</v>
      </c>
      <c r="T319">
        <v>4376</v>
      </c>
      <c r="U319">
        <f t="shared" si="70"/>
        <v>3</v>
      </c>
      <c r="V319">
        <v>-1779</v>
      </c>
      <c r="W319">
        <v>57217</v>
      </c>
      <c r="X319">
        <v>58999</v>
      </c>
      <c r="Y319">
        <f t="shared" si="71"/>
        <v>-1782</v>
      </c>
      <c r="Z319">
        <v>4448</v>
      </c>
      <c r="AA319">
        <v>2508076</v>
      </c>
      <c r="AB319">
        <v>39605</v>
      </c>
      <c r="AC319" s="128">
        <v>34268.216577740342</v>
      </c>
      <c r="AD319">
        <v>19661</v>
      </c>
      <c r="AE319" t="s">
        <v>116</v>
      </c>
      <c r="AF319" s="188">
        <f t="shared" si="72"/>
        <v>7.4016463638429134E-2</v>
      </c>
      <c r="AG319" s="188">
        <f t="shared" si="73"/>
        <v>0.21638673820717619</v>
      </c>
      <c r="AH319" s="188">
        <f t="shared" si="74"/>
        <v>2.0098921649160215E-3</v>
      </c>
      <c r="AI319" s="188">
        <f t="shared" si="75"/>
        <v>-2.507995875351731E-2</v>
      </c>
      <c r="AJ319" s="188">
        <f t="shared" si="76"/>
        <v>0.23418389639442824</v>
      </c>
      <c r="AK319" s="188">
        <f t="shared" si="77"/>
        <v>0.34156217076042722</v>
      </c>
      <c r="AL319" s="188">
        <f t="shared" si="78"/>
        <v>-3.1144589894611743E-2</v>
      </c>
      <c r="AM319" s="188">
        <v>-5.8022391796350818E-2</v>
      </c>
      <c r="AN319" s="188">
        <v>-7.2593701934752689E-2</v>
      </c>
      <c r="AO319">
        <f t="shared" si="79"/>
        <v>3</v>
      </c>
      <c r="AP319" s="188">
        <f t="shared" si="80"/>
        <v>1.9434783368579268E-2</v>
      </c>
      <c r="AQ319" s="188">
        <f t="shared" si="81"/>
        <v>4.383445479490361E-2</v>
      </c>
      <c r="AR319" s="188">
        <f t="shared" si="82"/>
        <v>0.69218938427390464</v>
      </c>
      <c r="AS319" s="128">
        <f t="shared" si="83"/>
        <v>1742.9538974487739</v>
      </c>
      <c r="AT319" s="188">
        <v>0.29549999999999998</v>
      </c>
      <c r="AU319" s="238">
        <v>5.91E-2</v>
      </c>
      <c r="AV319">
        <v>7</v>
      </c>
      <c r="AY319" t="s">
        <v>337</v>
      </c>
      <c r="AZ319" s="129">
        <v>1796.5068259524257</v>
      </c>
      <c r="BA319" t="s">
        <v>118</v>
      </c>
    </row>
    <row r="320" spans="1:55" x14ac:dyDescent="0.25">
      <c r="A320" t="s">
        <v>208</v>
      </c>
      <c r="B320">
        <v>0</v>
      </c>
      <c r="C320">
        <v>1619</v>
      </c>
      <c r="D320">
        <v>27102</v>
      </c>
      <c r="E320">
        <v>159</v>
      </c>
      <c r="F320">
        <v>0</v>
      </c>
      <c r="G320">
        <v>1759</v>
      </c>
      <c r="H320">
        <v>0</v>
      </c>
      <c r="I320">
        <v>605</v>
      </c>
      <c r="J320">
        <v>0</v>
      </c>
      <c r="K320">
        <v>5539</v>
      </c>
      <c r="L320">
        <v>376</v>
      </c>
      <c r="M320" s="207">
        <f>-298+298</f>
        <v>0</v>
      </c>
      <c r="N320">
        <v>1084</v>
      </c>
      <c r="O320">
        <v>2560</v>
      </c>
      <c r="P320">
        <v>27727</v>
      </c>
      <c r="Q320">
        <v>0</v>
      </c>
      <c r="R320">
        <v>2788</v>
      </c>
      <c r="S320">
        <v>-384</v>
      </c>
      <c r="T320">
        <f>3087+298</f>
        <v>3385</v>
      </c>
      <c r="U320">
        <f t="shared" si="70"/>
        <v>-4</v>
      </c>
      <c r="V320">
        <v>-2630</v>
      </c>
      <c r="W320">
        <v>41399</v>
      </c>
      <c r="X320">
        <v>44025</v>
      </c>
      <c r="Y320">
        <f t="shared" si="71"/>
        <v>-2626</v>
      </c>
      <c r="Z320">
        <v>581</v>
      </c>
      <c r="AA320">
        <v>504394</v>
      </c>
      <c r="AB320">
        <v>32870</v>
      </c>
      <c r="AC320" s="128">
        <v>26267.013724237779</v>
      </c>
      <c r="AD320">
        <v>15014</v>
      </c>
      <c r="AE320" t="s">
        <v>208</v>
      </c>
      <c r="AF320" s="188">
        <f t="shared" si="72"/>
        <v>5.8262276866590981E-2</v>
      </c>
      <c r="AG320" s="188">
        <f t="shared" si="73"/>
        <v>0.62421797627962028</v>
      </c>
      <c r="AH320" s="188">
        <f t="shared" si="74"/>
        <v>4.2488949008430157E-2</v>
      </c>
      <c r="AI320" s="188">
        <f t="shared" si="75"/>
        <v>1.4613879562308269E-2</v>
      </c>
      <c r="AJ320" s="188">
        <f t="shared" si="76"/>
        <v>0.61908693446701613</v>
      </c>
      <c r="AK320" s="188">
        <f t="shared" si="77"/>
        <v>2.9171151776103337E-2</v>
      </c>
      <c r="AL320" s="188">
        <f t="shared" si="78"/>
        <v>-6.3431483852266962E-2</v>
      </c>
      <c r="AM320" s="188">
        <v>-9.4376668935546359E-2</v>
      </c>
      <c r="AN320" s="188">
        <v>-2.4619625435775477E-2</v>
      </c>
      <c r="AO320">
        <f t="shared" si="79"/>
        <v>3</v>
      </c>
      <c r="AP320" s="188">
        <f t="shared" si="80"/>
        <v>3.5085388535954975E-3</v>
      </c>
      <c r="AQ320" s="188">
        <f t="shared" si="81"/>
        <v>1.2183724244546969E-2</v>
      </c>
      <c r="AR320" s="188">
        <f t="shared" si="82"/>
        <v>0.79398053093069876</v>
      </c>
      <c r="AS320" s="128">
        <f t="shared" si="83"/>
        <v>1749.501380327546</v>
      </c>
      <c r="AT320" s="188">
        <v>0.35749999999999998</v>
      </c>
      <c r="AU320" s="238">
        <v>7.1499999999999994E-2</v>
      </c>
      <c r="AV320">
        <v>5.5</v>
      </c>
      <c r="AY320" t="s">
        <v>420</v>
      </c>
      <c r="AZ320" s="129">
        <v>1568.4636042056441</v>
      </c>
      <c r="BA320" t="s">
        <v>118</v>
      </c>
    </row>
    <row r="321" spans="1:55" x14ac:dyDescent="0.25">
      <c r="A321" t="s">
        <v>609</v>
      </c>
      <c r="B321">
        <v>510</v>
      </c>
      <c r="C321">
        <v>5632</v>
      </c>
      <c r="D321">
        <v>61810</v>
      </c>
      <c r="E321">
        <v>1807</v>
      </c>
      <c r="F321">
        <v>2349</v>
      </c>
      <c r="G321">
        <v>4752</v>
      </c>
      <c r="H321">
        <v>6</v>
      </c>
      <c r="I321">
        <v>311</v>
      </c>
      <c r="J321">
        <v>0</v>
      </c>
      <c r="K321">
        <v>10939</v>
      </c>
      <c r="L321">
        <v>598</v>
      </c>
      <c r="M321">
        <v>1167</v>
      </c>
      <c r="N321">
        <v>37334</v>
      </c>
      <c r="O321">
        <v>13135</v>
      </c>
      <c r="P321">
        <v>15313</v>
      </c>
      <c r="Q321">
        <v>0</v>
      </c>
      <c r="R321">
        <v>9000</v>
      </c>
      <c r="S321">
        <v>3604</v>
      </c>
      <c r="T321">
        <v>11498</v>
      </c>
      <c r="U321">
        <f t="shared" si="70"/>
        <v>-17</v>
      </c>
      <c r="V321">
        <v>706</v>
      </c>
      <c r="W321">
        <v>97229</v>
      </c>
      <c r="X321">
        <v>96506</v>
      </c>
      <c r="Y321">
        <f t="shared" si="71"/>
        <v>723</v>
      </c>
      <c r="Z321">
        <v>14948</v>
      </c>
      <c r="AA321">
        <v>10709.999999999069</v>
      </c>
      <c r="AB321">
        <v>76911</v>
      </c>
      <c r="AC321" s="128">
        <v>50606.391366247328</v>
      </c>
      <c r="AD321">
        <v>26215</v>
      </c>
      <c r="AE321" t="s">
        <v>609</v>
      </c>
      <c r="AF321" s="188">
        <f t="shared" si="72"/>
        <v>8.6414547100145012E-2</v>
      </c>
      <c r="AG321" s="188">
        <f t="shared" si="73"/>
        <v>0.20162708656882206</v>
      </c>
      <c r="AH321" s="188">
        <f t="shared" si="74"/>
        <v>7.3033765646052101E-2</v>
      </c>
      <c r="AI321" s="188">
        <f t="shared" si="75"/>
        <v>3.1986341523619496E-3</v>
      </c>
      <c r="AJ321" s="188">
        <f t="shared" si="76"/>
        <v>0.20815209453969494</v>
      </c>
      <c r="AK321" s="188">
        <f t="shared" si="77"/>
        <v>0.41535757198166523</v>
      </c>
      <c r="AL321" s="188">
        <f t="shared" si="78"/>
        <v>7.4360530294459472E-3</v>
      </c>
      <c r="AM321" s="188">
        <v>-7.6085749194712872E-3</v>
      </c>
      <c r="AN321" s="188">
        <v>-5.9990823583390687E-3</v>
      </c>
      <c r="AO321">
        <f t="shared" si="79"/>
        <v>2</v>
      </c>
      <c r="AP321" s="188">
        <f t="shared" si="80"/>
        <v>3.8435034814715774E-2</v>
      </c>
      <c r="AQ321" s="188">
        <f t="shared" si="81"/>
        <v>1.101523208096254E-4</v>
      </c>
      <c r="AR321" s="188">
        <f t="shared" si="82"/>
        <v>0.79102942537720222</v>
      </c>
      <c r="AS321" s="128">
        <f t="shared" si="83"/>
        <v>1930.436443495988</v>
      </c>
      <c r="AT321" s="188">
        <v>0.32250000000000001</v>
      </c>
      <c r="AU321" s="238">
        <v>6.4500000000000002E-2</v>
      </c>
      <c r="AV321">
        <v>7.5</v>
      </c>
      <c r="AY321" t="s">
        <v>318</v>
      </c>
      <c r="AZ321" s="129">
        <v>1947.8082945651176</v>
      </c>
      <c r="BA321" t="s">
        <v>118</v>
      </c>
      <c r="BC321">
        <v>1</v>
      </c>
    </row>
    <row r="322" spans="1:55" x14ac:dyDescent="0.25">
      <c r="A322" t="s">
        <v>324</v>
      </c>
      <c r="B322">
        <v>29709</v>
      </c>
      <c r="C322">
        <v>34895</v>
      </c>
      <c r="D322">
        <v>394439</v>
      </c>
      <c r="E322">
        <v>8947</v>
      </c>
      <c r="F322">
        <v>12</v>
      </c>
      <c r="G322">
        <v>19334</v>
      </c>
      <c r="H322">
        <v>0</v>
      </c>
      <c r="I322">
        <v>183313</v>
      </c>
      <c r="J322">
        <v>1188</v>
      </c>
      <c r="K322">
        <v>34867</v>
      </c>
      <c r="L322">
        <v>14313</v>
      </c>
      <c r="M322">
        <v>10657</v>
      </c>
      <c r="N322">
        <v>258265</v>
      </c>
      <c r="O322">
        <v>62789</v>
      </c>
      <c r="P322">
        <v>342010</v>
      </c>
      <c r="Q322">
        <v>148</v>
      </c>
      <c r="R322">
        <v>6949</v>
      </c>
      <c r="S322">
        <v>28144</v>
      </c>
      <c r="T322">
        <v>33369</v>
      </c>
      <c r="U322">
        <f t="shared" si="70"/>
        <v>-22</v>
      </c>
      <c r="V322">
        <v>6040</v>
      </c>
      <c r="W322">
        <v>310689</v>
      </c>
      <c r="X322">
        <v>304627</v>
      </c>
      <c r="Y322">
        <f t="shared" si="71"/>
        <v>6062</v>
      </c>
      <c r="Z322">
        <v>61711</v>
      </c>
      <c r="AA322">
        <v>13620284.999999993</v>
      </c>
      <c r="AB322">
        <v>174309</v>
      </c>
      <c r="AC322" s="128">
        <v>154176.62915122011</v>
      </c>
      <c r="AD322">
        <v>111382</v>
      </c>
      <c r="AE322" t="s">
        <v>324</v>
      </c>
      <c r="AF322" s="188">
        <f t="shared" si="72"/>
        <v>-2.3702158750390261E-2</v>
      </c>
      <c r="AG322" s="188">
        <f t="shared" si="73"/>
        <v>1.0667806069735331</v>
      </c>
      <c r="AH322" s="188">
        <f t="shared" si="74"/>
        <v>6.2268055837187669E-2</v>
      </c>
      <c r="AI322" s="188">
        <f t="shared" si="75"/>
        <v>0.59384464850702789</v>
      </c>
      <c r="AJ322" s="188">
        <f t="shared" si="76"/>
        <v>0.65856151971907595</v>
      </c>
      <c r="AK322" s="188">
        <f t="shared" si="77"/>
        <v>0.35297823894247987</v>
      </c>
      <c r="AL322" s="188">
        <f t="shared" si="78"/>
        <v>1.9511472887678676E-2</v>
      </c>
      <c r="AM322" s="188">
        <v>-2.2356813108296715E-2</v>
      </c>
      <c r="AN322" s="188">
        <v>-4.8782192403117024E-3</v>
      </c>
      <c r="AO322">
        <f t="shared" si="79"/>
        <v>2</v>
      </c>
      <c r="AP322" s="188">
        <f t="shared" si="80"/>
        <v>4.9656569753032773E-2</v>
      </c>
      <c r="AQ322" s="188">
        <f t="shared" si="81"/>
        <v>4.383896758494827E-2</v>
      </c>
      <c r="AR322" s="188">
        <f t="shared" si="82"/>
        <v>0.56104013981827483</v>
      </c>
      <c r="AS322" s="128">
        <f t="shared" si="83"/>
        <v>1384.2149463218484</v>
      </c>
      <c r="AT322" s="188">
        <v>0.1545</v>
      </c>
      <c r="AU322" s="238">
        <v>3.09E-2</v>
      </c>
      <c r="AV322">
        <v>8.5</v>
      </c>
      <c r="AY322" t="s">
        <v>338</v>
      </c>
      <c r="AZ322" s="129">
        <v>1546.913395036303</v>
      </c>
      <c r="BA322" t="s">
        <v>118</v>
      </c>
    </row>
    <row r="323" spans="1:55" x14ac:dyDescent="0.25">
      <c r="A323" t="s">
        <v>140</v>
      </c>
      <c r="B323">
        <v>1244</v>
      </c>
      <c r="C323">
        <v>2042</v>
      </c>
      <c r="D323">
        <v>59897</v>
      </c>
      <c r="E323">
        <v>321</v>
      </c>
      <c r="F323">
        <v>17</v>
      </c>
      <c r="G323">
        <v>1376</v>
      </c>
      <c r="H323">
        <v>7277</v>
      </c>
      <c r="I323">
        <v>18657</v>
      </c>
      <c r="J323">
        <v>2</v>
      </c>
      <c r="K323">
        <v>4856</v>
      </c>
      <c r="L323">
        <v>470</v>
      </c>
      <c r="M323">
        <v>3682</v>
      </c>
      <c r="N323">
        <v>33329</v>
      </c>
      <c r="O323">
        <v>6461</v>
      </c>
      <c r="P323">
        <v>51887</v>
      </c>
      <c r="Q323">
        <v>0</v>
      </c>
      <c r="R323">
        <v>0</v>
      </c>
      <c r="S323">
        <v>5788</v>
      </c>
      <c r="T323">
        <v>2376</v>
      </c>
      <c r="U323">
        <f t="shared" si="70"/>
        <v>-8</v>
      </c>
      <c r="V323">
        <v>2819</v>
      </c>
      <c r="W323">
        <v>82382</v>
      </c>
      <c r="X323">
        <v>79555</v>
      </c>
      <c r="Y323">
        <f t="shared" si="71"/>
        <v>2827</v>
      </c>
      <c r="Z323">
        <v>-11500</v>
      </c>
      <c r="AA323">
        <v>1360845.9999999991</v>
      </c>
      <c r="AB323">
        <v>58735</v>
      </c>
      <c r="AC323" s="128">
        <v>47959.930066301364</v>
      </c>
      <c r="AD323">
        <v>26130</v>
      </c>
      <c r="AE323" t="s">
        <v>140</v>
      </c>
      <c r="AF323" s="188">
        <f t="shared" si="72"/>
        <v>-5.7051297613556363E-3</v>
      </c>
      <c r="AG323" s="188">
        <f t="shared" si="73"/>
        <v>0.51434779442111145</v>
      </c>
      <c r="AH323" s="188">
        <f t="shared" si="74"/>
        <v>1.6909033526741279E-2</v>
      </c>
      <c r="AI323" s="188">
        <f t="shared" si="75"/>
        <v>0.22649365152581874</v>
      </c>
      <c r="AJ323" s="188">
        <f t="shared" si="76"/>
        <v>0.35783132237624737</v>
      </c>
      <c r="AK323" s="188">
        <f t="shared" si="77"/>
        <v>0.33382077503230134</v>
      </c>
      <c r="AL323" s="188">
        <f t="shared" si="78"/>
        <v>3.4315748585856135E-2</v>
      </c>
      <c r="AM323" s="188">
        <v>9.2455722850212807E-2</v>
      </c>
      <c r="AN323" s="188">
        <v>-7.9574562144872508E-3</v>
      </c>
      <c r="AO323">
        <f t="shared" si="79"/>
        <v>1</v>
      </c>
      <c r="AP323" s="188">
        <f t="shared" si="80"/>
        <v>-3.489840013595203E-2</v>
      </c>
      <c r="AQ323" s="188">
        <f t="shared" si="81"/>
        <v>1.651872981962078E-2</v>
      </c>
      <c r="AR323" s="188">
        <f t="shared" si="82"/>
        <v>0.71295914156004958</v>
      </c>
      <c r="AS323" s="128">
        <f t="shared" si="83"/>
        <v>1835.4355172713877</v>
      </c>
      <c r="AT323" s="188">
        <v>0.18</v>
      </c>
      <c r="AU323" s="238">
        <v>3.5999999999999997E-2</v>
      </c>
      <c r="AV323">
        <v>9</v>
      </c>
      <c r="AY323" t="s">
        <v>229</v>
      </c>
      <c r="AZ323" s="129">
        <v>1551.9169345991756</v>
      </c>
      <c r="BA323" t="s">
        <v>118</v>
      </c>
    </row>
    <row r="324" spans="1:55" x14ac:dyDescent="0.25">
      <c r="A324" t="s">
        <v>325</v>
      </c>
      <c r="B324">
        <v>129</v>
      </c>
      <c r="C324">
        <v>10670</v>
      </c>
      <c r="D324">
        <v>85300</v>
      </c>
      <c r="E324">
        <v>1634</v>
      </c>
      <c r="F324">
        <v>0</v>
      </c>
      <c r="G324">
        <v>2476</v>
      </c>
      <c r="H324">
        <v>0</v>
      </c>
      <c r="I324">
        <v>0</v>
      </c>
      <c r="J324">
        <v>0</v>
      </c>
      <c r="K324">
        <v>2275</v>
      </c>
      <c r="L324">
        <v>19448</v>
      </c>
      <c r="M324">
        <v>0</v>
      </c>
      <c r="N324">
        <v>45341</v>
      </c>
      <c r="O324">
        <v>4315</v>
      </c>
      <c r="P324">
        <v>68768</v>
      </c>
      <c r="Q324">
        <v>27</v>
      </c>
      <c r="R324">
        <v>0</v>
      </c>
      <c r="S324">
        <v>3277</v>
      </c>
      <c r="T324">
        <v>200</v>
      </c>
      <c r="U324">
        <f t="shared" si="70"/>
        <v>8</v>
      </c>
      <c r="V324">
        <v>18574</v>
      </c>
      <c r="W324">
        <v>68109</v>
      </c>
      <c r="X324">
        <v>49543</v>
      </c>
      <c r="Y324">
        <f t="shared" si="71"/>
        <v>18566</v>
      </c>
      <c r="Z324">
        <v>8305</v>
      </c>
      <c r="AA324">
        <v>2863971</v>
      </c>
      <c r="AB324">
        <v>21375</v>
      </c>
      <c r="AC324" s="128">
        <v>26982.853047347955</v>
      </c>
      <c r="AD324">
        <v>14900</v>
      </c>
      <c r="AE324" t="s">
        <v>325</v>
      </c>
      <c r="AF324" s="188">
        <f t="shared" si="72"/>
        <v>-0.28554229250172519</v>
      </c>
      <c r="AG324" s="188">
        <f t="shared" si="73"/>
        <v>0.70582448721901658</v>
      </c>
      <c r="AH324" s="188">
        <f t="shared" si="74"/>
        <v>3.6353492196332347E-2</v>
      </c>
      <c r="AI324" s="188">
        <f t="shared" si="75"/>
        <v>0</v>
      </c>
      <c r="AJ324" s="188">
        <f t="shared" si="76"/>
        <v>0.71018690628257641</v>
      </c>
      <c r="AK324" s="188">
        <f t="shared" si="77"/>
        <v>0.3718670034774621</v>
      </c>
      <c r="AL324" s="188">
        <f t="shared" si="78"/>
        <v>0.27259246208283783</v>
      </c>
      <c r="AM324" s="188">
        <v>-4.6293437617920485E-2</v>
      </c>
      <c r="AN324" s="188">
        <v>-6.8353169491816509E-2</v>
      </c>
      <c r="AO324">
        <f t="shared" si="79"/>
        <v>2</v>
      </c>
      <c r="AP324" s="188">
        <f t="shared" si="80"/>
        <v>3.0484223817703975E-2</v>
      </c>
      <c r="AQ324" s="188">
        <f t="shared" si="81"/>
        <v>4.20498172047747E-2</v>
      </c>
      <c r="AR324" s="188">
        <f t="shared" si="82"/>
        <v>0.31383517596793375</v>
      </c>
      <c r="AS324" s="128">
        <f t="shared" si="83"/>
        <v>1810.9297347213394</v>
      </c>
      <c r="AT324" s="188">
        <v>0.14099999999999999</v>
      </c>
      <c r="AU324" s="238">
        <v>2.8199999999999999E-2</v>
      </c>
      <c r="AV324">
        <v>8.5</v>
      </c>
      <c r="AY324" t="s">
        <v>272</v>
      </c>
      <c r="AZ324" s="129">
        <v>1569.8920652246206</v>
      </c>
      <c r="BA324" t="s">
        <v>118</v>
      </c>
    </row>
    <row r="325" spans="1:55" x14ac:dyDescent="0.25">
      <c r="A325" t="s">
        <v>162</v>
      </c>
      <c r="B325">
        <v>0</v>
      </c>
      <c r="C325">
        <v>3891</v>
      </c>
      <c r="D325">
        <v>30201</v>
      </c>
      <c r="E325">
        <v>713</v>
      </c>
      <c r="F325">
        <v>0</v>
      </c>
      <c r="G325">
        <v>9113</v>
      </c>
      <c r="H325">
        <v>0</v>
      </c>
      <c r="I325">
        <v>6613</v>
      </c>
      <c r="J325">
        <v>-4630</v>
      </c>
      <c r="K325">
        <v>6488</v>
      </c>
      <c r="L325">
        <v>316</v>
      </c>
      <c r="M325">
        <v>3991</v>
      </c>
      <c r="N325">
        <v>16064</v>
      </c>
      <c r="O325">
        <v>9673</v>
      </c>
      <c r="P325">
        <v>23348</v>
      </c>
      <c r="Q325">
        <v>0</v>
      </c>
      <c r="R325">
        <v>0</v>
      </c>
      <c r="S325">
        <v>3374</v>
      </c>
      <c r="T325">
        <v>4236</v>
      </c>
      <c r="U325">
        <f t="shared" si="70"/>
        <v>4</v>
      </c>
      <c r="V325">
        <v>895</v>
      </c>
      <c r="W325">
        <v>58451</v>
      </c>
      <c r="X325">
        <v>57560</v>
      </c>
      <c r="Y325">
        <f t="shared" si="71"/>
        <v>891</v>
      </c>
      <c r="Z325">
        <v>201</v>
      </c>
      <c r="AA325">
        <v>2355797.9999999991</v>
      </c>
      <c r="AB325">
        <v>39809</v>
      </c>
      <c r="AC325" s="128">
        <v>34321.834758516983</v>
      </c>
      <c r="AD325">
        <v>24538</v>
      </c>
      <c r="AE325" t="s">
        <v>162</v>
      </c>
      <c r="AF325" s="188">
        <f t="shared" si="72"/>
        <v>-5.4062377033754772E-3</v>
      </c>
      <c r="AG325" s="188">
        <f t="shared" si="73"/>
        <v>0.18904723614651589</v>
      </c>
      <c r="AH325" s="188">
        <f t="shared" si="74"/>
        <v>0.15590836769259722</v>
      </c>
      <c r="AI325" s="188">
        <f t="shared" si="75"/>
        <v>3.3925852423397372E-2</v>
      </c>
      <c r="AJ325" s="188">
        <f t="shared" si="76"/>
        <v>0.18400814357324941</v>
      </c>
      <c r="AK325" s="188">
        <f t="shared" si="77"/>
        <v>0.28334068259987655</v>
      </c>
      <c r="AL325" s="188">
        <f t="shared" si="78"/>
        <v>1.5243537321859336E-2</v>
      </c>
      <c r="AM325" s="188">
        <v>-1.796785808377975E-2</v>
      </c>
      <c r="AN325" s="188">
        <v>-1.7378711078928313E-2</v>
      </c>
      <c r="AO325">
        <f t="shared" si="79"/>
        <v>2</v>
      </c>
      <c r="AP325" s="188">
        <f t="shared" si="80"/>
        <v>8.5969444491967634E-4</v>
      </c>
      <c r="AQ325" s="188">
        <f t="shared" si="81"/>
        <v>4.030381002891309E-2</v>
      </c>
      <c r="AR325" s="188">
        <f t="shared" si="82"/>
        <v>0.68106619219517206</v>
      </c>
      <c r="AS325" s="128">
        <f t="shared" si="83"/>
        <v>1398.7217686248669</v>
      </c>
      <c r="AT325" s="188">
        <v>0.26400000000000001</v>
      </c>
      <c r="AU325" s="238">
        <v>5.28E-2</v>
      </c>
      <c r="AV325">
        <v>8</v>
      </c>
      <c r="AY325" t="s">
        <v>390</v>
      </c>
      <c r="AZ325" s="129">
        <v>1782.031627011095</v>
      </c>
      <c r="BA325" t="s">
        <v>118</v>
      </c>
    </row>
    <row r="326" spans="1:55" x14ac:dyDescent="0.25">
      <c r="A326" t="s">
        <v>209</v>
      </c>
      <c r="B326">
        <v>366</v>
      </c>
      <c r="C326">
        <v>1447</v>
      </c>
      <c r="D326">
        <v>64111</v>
      </c>
      <c r="E326">
        <v>25</v>
      </c>
      <c r="F326">
        <v>7605</v>
      </c>
      <c r="G326">
        <v>10052</v>
      </c>
      <c r="H326">
        <v>0</v>
      </c>
      <c r="I326">
        <v>-2034</v>
      </c>
      <c r="J326">
        <v>3</v>
      </c>
      <c r="K326">
        <v>11664</v>
      </c>
      <c r="L326">
        <v>4026</v>
      </c>
      <c r="M326">
        <v>8353</v>
      </c>
      <c r="N326">
        <v>53965</v>
      </c>
      <c r="O326">
        <v>17761</v>
      </c>
      <c r="P326">
        <v>18301</v>
      </c>
      <c r="Q326">
        <v>0</v>
      </c>
      <c r="R326">
        <v>0</v>
      </c>
      <c r="S326">
        <v>6167</v>
      </c>
      <c r="T326">
        <v>9423</v>
      </c>
      <c r="U326">
        <f t="shared" si="70"/>
        <v>8</v>
      </c>
      <c r="V326">
        <v>10134</v>
      </c>
      <c r="W326">
        <v>117675</v>
      </c>
      <c r="X326">
        <v>107549</v>
      </c>
      <c r="Y326">
        <f t="shared" si="71"/>
        <v>10126</v>
      </c>
      <c r="Z326">
        <v>-1354</v>
      </c>
      <c r="AA326">
        <v>2408253.9999999981</v>
      </c>
      <c r="AB326">
        <v>77235</v>
      </c>
      <c r="AC326" s="128">
        <v>67613.110447795902</v>
      </c>
      <c r="AD326">
        <v>41261</v>
      </c>
      <c r="AE326" t="s">
        <v>209</v>
      </c>
      <c r="AF326" s="188">
        <f t="shared" si="72"/>
        <v>-3.4212874442319949E-2</v>
      </c>
      <c r="AG326" s="188">
        <f t="shared" si="73"/>
        <v>-6.6360739324410459E-2</v>
      </c>
      <c r="AH326" s="188">
        <f t="shared" si="74"/>
        <v>0.15004886339494369</v>
      </c>
      <c r="AI326" s="188">
        <f t="shared" si="75"/>
        <v>-1.7259400892288081E-2</v>
      </c>
      <c r="AJ326" s="188">
        <f t="shared" si="76"/>
        <v>-3.6273295092415558E-2</v>
      </c>
      <c r="AK326" s="188">
        <f t="shared" si="77"/>
        <v>0.51094994177073771</v>
      </c>
      <c r="AL326" s="188">
        <f t="shared" si="78"/>
        <v>8.6050562991289575E-2</v>
      </c>
      <c r="AM326" s="188">
        <v>-4.6290910204206594E-2</v>
      </c>
      <c r="AN326" s="188">
        <v>-4.6245886320237274E-2</v>
      </c>
      <c r="AO326">
        <f t="shared" si="79"/>
        <v>2</v>
      </c>
      <c r="AP326" s="188">
        <f t="shared" si="80"/>
        <v>-2.8765668153813467E-3</v>
      </c>
      <c r="AQ326" s="188">
        <f t="shared" si="81"/>
        <v>2.0465298491608226E-2</v>
      </c>
      <c r="AR326" s="188">
        <f t="shared" si="82"/>
        <v>0.65634161886551945</v>
      </c>
      <c r="AS326" s="128">
        <f t="shared" si="83"/>
        <v>1638.668729497489</v>
      </c>
      <c r="AT326" s="188">
        <v>0.14399999999999999</v>
      </c>
      <c r="AU326" s="238">
        <v>2.8799999999999999E-2</v>
      </c>
      <c r="AV326">
        <v>8.5</v>
      </c>
      <c r="AY326" t="s">
        <v>159</v>
      </c>
      <c r="AZ326" s="129">
        <v>1864.0816594916678</v>
      </c>
      <c r="BA326" t="s">
        <v>118</v>
      </c>
    </row>
    <row r="327" spans="1:55" x14ac:dyDescent="0.25">
      <c r="A327" t="s">
        <v>279</v>
      </c>
      <c r="B327">
        <v>16</v>
      </c>
      <c r="C327">
        <v>812</v>
      </c>
      <c r="D327">
        <v>53494</v>
      </c>
      <c r="E327">
        <v>85</v>
      </c>
      <c r="F327">
        <v>915</v>
      </c>
      <c r="G327">
        <v>693</v>
      </c>
      <c r="H327">
        <v>0</v>
      </c>
      <c r="I327">
        <v>1663</v>
      </c>
      <c r="J327">
        <v>0</v>
      </c>
      <c r="K327">
        <v>2243</v>
      </c>
      <c r="L327">
        <v>1345</v>
      </c>
      <c r="M327">
        <v>9982</v>
      </c>
      <c r="N327">
        <v>16524</v>
      </c>
      <c r="O327">
        <v>8320</v>
      </c>
      <c r="P327">
        <v>26748</v>
      </c>
      <c r="Q327">
        <v>2</v>
      </c>
      <c r="R327">
        <v>7641</v>
      </c>
      <c r="S327">
        <v>4559</v>
      </c>
      <c r="T327">
        <v>7454</v>
      </c>
      <c r="U327">
        <f t="shared" si="70"/>
        <v>103</v>
      </c>
      <c r="V327">
        <v>-2660</v>
      </c>
      <c r="W327">
        <v>53238</v>
      </c>
      <c r="X327">
        <v>56001</v>
      </c>
      <c r="Y327">
        <f t="shared" si="71"/>
        <v>-2763</v>
      </c>
      <c r="Z327">
        <v>14370</v>
      </c>
      <c r="AA327">
        <v>3508200</v>
      </c>
      <c r="AB327">
        <v>34436</v>
      </c>
      <c r="AC327" s="128">
        <v>33446.171456294076</v>
      </c>
      <c r="AD327">
        <v>24463</v>
      </c>
      <c r="AE327" t="s">
        <v>279</v>
      </c>
      <c r="AF327" s="188">
        <f t="shared" si="72"/>
        <v>0.11826139223862654</v>
      </c>
      <c r="AG327" s="188">
        <f t="shared" si="73"/>
        <v>0.58653593298020212</v>
      </c>
      <c r="AH327" s="188">
        <f t="shared" si="74"/>
        <v>3.0203989631466244E-2</v>
      </c>
      <c r="AI327" s="188">
        <f t="shared" si="75"/>
        <v>3.1237086291746496E-2</v>
      </c>
      <c r="AJ327" s="188">
        <f t="shared" si="76"/>
        <v>0.5682944513317556</v>
      </c>
      <c r="AK327" s="188">
        <f t="shared" si="77"/>
        <v>0.23192229957332136</v>
      </c>
      <c r="AL327" s="188">
        <f t="shared" si="78"/>
        <v>-5.1899019497351519E-2</v>
      </c>
      <c r="AM327" s="188">
        <v>-9.3814704664382784E-2</v>
      </c>
      <c r="AN327" s="188">
        <v>-2.1494051102008971E-2</v>
      </c>
      <c r="AO327">
        <f t="shared" si="79"/>
        <v>3</v>
      </c>
      <c r="AP327" s="188">
        <f t="shared" si="80"/>
        <v>6.7479995491941849E-2</v>
      </c>
      <c r="AQ327" s="188">
        <f t="shared" si="81"/>
        <v>6.589654006536684E-2</v>
      </c>
      <c r="AR327" s="188">
        <f t="shared" si="82"/>
        <v>0.64683121078928585</v>
      </c>
      <c r="AS327" s="128">
        <f t="shared" si="83"/>
        <v>1367.2146284713272</v>
      </c>
      <c r="AT327" s="188">
        <v>0.29399999999999998</v>
      </c>
      <c r="AU327" s="238">
        <v>5.8799999999999998E-2</v>
      </c>
      <c r="AV327">
        <v>4.5</v>
      </c>
      <c r="AY327" t="s">
        <v>422</v>
      </c>
      <c r="AZ327" s="129">
        <v>1546.9675915500184</v>
      </c>
      <c r="BA327" t="s">
        <v>118</v>
      </c>
    </row>
    <row r="328" spans="1:55" x14ac:dyDescent="0.25">
      <c r="A328" t="s">
        <v>234</v>
      </c>
      <c r="B328">
        <v>4991</v>
      </c>
      <c r="C328">
        <v>2865</v>
      </c>
      <c r="D328">
        <v>45054</v>
      </c>
      <c r="E328">
        <v>162</v>
      </c>
      <c r="F328">
        <v>3300</v>
      </c>
      <c r="G328">
        <v>115</v>
      </c>
      <c r="H328">
        <v>0</v>
      </c>
      <c r="I328">
        <v>-495</v>
      </c>
      <c r="J328">
        <v>0</v>
      </c>
      <c r="K328">
        <v>1681</v>
      </c>
      <c r="L328">
        <v>4932</v>
      </c>
      <c r="M328">
        <v>1876</v>
      </c>
      <c r="N328">
        <v>19410</v>
      </c>
      <c r="O328">
        <v>11084</v>
      </c>
      <c r="P328">
        <v>18445</v>
      </c>
      <c r="Q328">
        <v>10</v>
      </c>
      <c r="R328">
        <v>7674</v>
      </c>
      <c r="S328">
        <v>1383</v>
      </c>
      <c r="T328">
        <v>6478</v>
      </c>
      <c r="U328">
        <f t="shared" si="70"/>
        <v>4</v>
      </c>
      <c r="V328">
        <v>3467</v>
      </c>
      <c r="W328">
        <v>59444</v>
      </c>
      <c r="X328">
        <v>55981</v>
      </c>
      <c r="Y328">
        <f t="shared" si="71"/>
        <v>3463</v>
      </c>
      <c r="Z328">
        <v>1151</v>
      </c>
      <c r="AA328">
        <v>1062849.9999999991</v>
      </c>
      <c r="AB328">
        <v>39383</v>
      </c>
      <c r="AC328" s="128">
        <v>33439.668167752432</v>
      </c>
      <c r="AD328">
        <v>23925</v>
      </c>
      <c r="AE328" t="s">
        <v>234</v>
      </c>
      <c r="AF328" s="188">
        <f t="shared" si="72"/>
        <v>4.6127447681851827E-2</v>
      </c>
      <c r="AG328" s="188">
        <f t="shared" si="73"/>
        <v>0.37154296480721349</v>
      </c>
      <c r="AH328" s="188">
        <f t="shared" si="74"/>
        <v>5.7449027656281543E-2</v>
      </c>
      <c r="AI328" s="188">
        <f t="shared" si="75"/>
        <v>-8.3271650629163588E-3</v>
      </c>
      <c r="AJ328" s="188">
        <f t="shared" si="76"/>
        <v>0.38426586367000876</v>
      </c>
      <c r="AK328" s="188">
        <f t="shared" si="77"/>
        <v>0.30100490044041933</v>
      </c>
      <c r="AL328" s="188">
        <f t="shared" si="78"/>
        <v>5.8256510329049188E-2</v>
      </c>
      <c r="AM328" s="188">
        <v>-4.3377181936183819E-2</v>
      </c>
      <c r="AN328" s="188">
        <v>1.6299190622383476E-2</v>
      </c>
      <c r="AO328">
        <f t="shared" si="79"/>
        <v>1</v>
      </c>
      <c r="AP328" s="188">
        <f t="shared" si="80"/>
        <v>4.8406903976852163E-3</v>
      </c>
      <c r="AQ328" s="188">
        <f t="shared" si="81"/>
        <v>1.7879853307314432E-2</v>
      </c>
      <c r="AR328" s="188">
        <f t="shared" si="82"/>
        <v>0.66252271045017164</v>
      </c>
      <c r="AS328" s="128">
        <f t="shared" si="83"/>
        <v>1397.6872797388687</v>
      </c>
      <c r="AT328" s="188">
        <v>0.185</v>
      </c>
      <c r="AU328" s="238">
        <v>3.6999999999999998E-2</v>
      </c>
      <c r="AV328">
        <v>9.5</v>
      </c>
      <c r="AY328" t="s">
        <v>440</v>
      </c>
      <c r="AZ328" s="129">
        <v>1869.9057822806981</v>
      </c>
      <c r="BA328" t="s">
        <v>118</v>
      </c>
    </row>
    <row r="329" spans="1:55" x14ac:dyDescent="0.25">
      <c r="A329" t="s">
        <v>210</v>
      </c>
      <c r="B329">
        <v>774</v>
      </c>
      <c r="C329">
        <v>8000</v>
      </c>
      <c r="D329">
        <v>120588</v>
      </c>
      <c r="E329">
        <v>506</v>
      </c>
      <c r="F329">
        <v>4787</v>
      </c>
      <c r="G329">
        <v>1351</v>
      </c>
      <c r="H329">
        <v>61</v>
      </c>
      <c r="I329">
        <v>5262</v>
      </c>
      <c r="J329">
        <v>0</v>
      </c>
      <c r="K329">
        <v>10239</v>
      </c>
      <c r="L329">
        <v>273</v>
      </c>
      <c r="M329" s="207">
        <f>-137+137</f>
        <v>0</v>
      </c>
      <c r="N329">
        <v>58110</v>
      </c>
      <c r="O329">
        <v>9927</v>
      </c>
      <c r="P329">
        <v>75182</v>
      </c>
      <c r="Q329">
        <v>0</v>
      </c>
      <c r="R329">
        <v>0</v>
      </c>
      <c r="S329">
        <v>5429</v>
      </c>
      <c r="T329">
        <f>3056+137</f>
        <v>3193</v>
      </c>
      <c r="U329">
        <f t="shared" si="70"/>
        <v>2</v>
      </c>
      <c r="V329">
        <v>-2682</v>
      </c>
      <c r="W329">
        <v>119287</v>
      </c>
      <c r="X329">
        <v>121971</v>
      </c>
      <c r="Y329">
        <f t="shared" si="71"/>
        <v>-2684</v>
      </c>
      <c r="Z329">
        <v>356</v>
      </c>
      <c r="AA329">
        <v>1743183.9999999991</v>
      </c>
      <c r="AB329">
        <v>69472</v>
      </c>
      <c r="AC329" s="128">
        <v>67487.209629801335</v>
      </c>
      <c r="AD329">
        <v>29022</v>
      </c>
      <c r="AE329" t="s">
        <v>210</v>
      </c>
      <c r="AF329" s="188">
        <f t="shared" si="72"/>
        <v>-2.2885980869667274E-3</v>
      </c>
      <c r="AG329" s="188">
        <f t="shared" si="73"/>
        <v>0.56245022508739428</v>
      </c>
      <c r="AH329" s="188">
        <f t="shared" si="74"/>
        <v>5.1455732812460707E-2</v>
      </c>
      <c r="AI329" s="188">
        <f t="shared" si="75"/>
        <v>4.4112099390545494E-2</v>
      </c>
      <c r="AJ329" s="188">
        <f t="shared" si="76"/>
        <v>0.53774644345150779</v>
      </c>
      <c r="AK329" s="188">
        <f t="shared" si="77"/>
        <v>0.38270295901633944</v>
      </c>
      <c r="AL329" s="188">
        <f t="shared" si="78"/>
        <v>-2.2500356283584967E-2</v>
      </c>
      <c r="AM329" s="188">
        <v>-1.0019631810941957E-2</v>
      </c>
      <c r="AN329" s="188">
        <v>1.8223527252706918E-2</v>
      </c>
      <c r="AO329">
        <f t="shared" si="79"/>
        <v>2</v>
      </c>
      <c r="AP329" s="188">
        <f t="shared" si="80"/>
        <v>7.4609974263750451E-4</v>
      </c>
      <c r="AQ329" s="188">
        <f t="shared" si="81"/>
        <v>1.4613361053593427E-2</v>
      </c>
      <c r="AR329" s="188">
        <f t="shared" si="82"/>
        <v>0.58239372270238998</v>
      </c>
      <c r="AS329" s="128">
        <f t="shared" si="83"/>
        <v>2325.3810774516342</v>
      </c>
      <c r="AT329" s="188">
        <v>0.24150000000000002</v>
      </c>
      <c r="AU329" s="238">
        <v>4.8300000000000003E-2</v>
      </c>
      <c r="AV329">
        <v>6.5</v>
      </c>
      <c r="AY329" t="s">
        <v>339</v>
      </c>
      <c r="AZ329" s="129">
        <v>1637.6363319189193</v>
      </c>
      <c r="BA329" t="s">
        <v>118</v>
      </c>
    </row>
    <row r="330" spans="1:55" x14ac:dyDescent="0.25">
      <c r="A330" t="s">
        <v>398</v>
      </c>
      <c r="B330">
        <v>23</v>
      </c>
      <c r="C330">
        <v>3774</v>
      </c>
      <c r="D330">
        <v>33405</v>
      </c>
      <c r="E330">
        <v>2576</v>
      </c>
      <c r="F330">
        <v>750</v>
      </c>
      <c r="G330">
        <v>1225</v>
      </c>
      <c r="H330">
        <v>321</v>
      </c>
      <c r="I330">
        <v>262</v>
      </c>
      <c r="J330">
        <v>7</v>
      </c>
      <c r="K330">
        <v>7090</v>
      </c>
      <c r="L330">
        <v>297</v>
      </c>
      <c r="M330">
        <v>4026</v>
      </c>
      <c r="N330">
        <v>17408</v>
      </c>
      <c r="O330">
        <v>16035</v>
      </c>
      <c r="P330">
        <v>8266</v>
      </c>
      <c r="Q330">
        <v>2</v>
      </c>
      <c r="R330">
        <v>4200</v>
      </c>
      <c r="S330">
        <v>3406</v>
      </c>
      <c r="T330">
        <v>4440</v>
      </c>
      <c r="U330">
        <f t="shared" si="70"/>
        <v>2</v>
      </c>
      <c r="V330">
        <v>386</v>
      </c>
      <c r="W330">
        <v>53021</v>
      </c>
      <c r="X330">
        <v>52637</v>
      </c>
      <c r="Y330">
        <f t="shared" si="71"/>
        <v>384</v>
      </c>
      <c r="Z330">
        <v>600</v>
      </c>
      <c r="AA330">
        <v>2481778.9999999991</v>
      </c>
      <c r="AB330">
        <v>38650</v>
      </c>
      <c r="AC330" s="128">
        <v>32465.950552379392</v>
      </c>
      <c r="AD330">
        <v>22028</v>
      </c>
      <c r="AE330" t="s">
        <v>398</v>
      </c>
      <c r="AF330" s="188">
        <f t="shared" si="72"/>
        <v>7.3612342279474177E-2</v>
      </c>
      <c r="AG330" s="188">
        <f t="shared" si="73"/>
        <v>0.12457328228437789</v>
      </c>
      <c r="AH330" s="188">
        <f t="shared" si="74"/>
        <v>3.7249391750438503E-2</v>
      </c>
      <c r="AI330" s="188">
        <f t="shared" si="75"/>
        <v>5.0734614586673207E-3</v>
      </c>
      <c r="AJ330" s="188">
        <f t="shared" si="76"/>
        <v>0.12549178627336338</v>
      </c>
      <c r="AK330" s="188">
        <f t="shared" si="77"/>
        <v>0.3238275945458266</v>
      </c>
      <c r="AL330" s="188">
        <f t="shared" si="78"/>
        <v>7.242413383376398E-3</v>
      </c>
      <c r="AM330" s="188">
        <v>-7.7444276890660829E-2</v>
      </c>
      <c r="AN330" s="188">
        <v>-1.7648950711586394E-2</v>
      </c>
      <c r="AO330">
        <f t="shared" si="79"/>
        <v>2</v>
      </c>
      <c r="AP330" s="188">
        <f t="shared" si="80"/>
        <v>2.8290677278814055E-3</v>
      </c>
      <c r="AQ330" s="188">
        <f t="shared" si="81"/>
        <v>4.6807472510891894E-2</v>
      </c>
      <c r="AR330" s="188">
        <f t="shared" si="82"/>
        <v>0.72895645121744213</v>
      </c>
      <c r="AS330" s="128">
        <f t="shared" si="83"/>
        <v>1473.8492170137731</v>
      </c>
      <c r="AT330" s="188">
        <v>0.27949999999999997</v>
      </c>
      <c r="AU330" s="238">
        <v>5.5899999999999998E-2</v>
      </c>
      <c r="AV330">
        <v>7.5</v>
      </c>
      <c r="AY330" t="s">
        <v>273</v>
      </c>
      <c r="AZ330" s="129">
        <v>1556.1954905334037</v>
      </c>
      <c r="BA330" t="s">
        <v>118</v>
      </c>
    </row>
    <row r="331" spans="1:55" x14ac:dyDescent="0.25">
      <c r="A331" t="s">
        <v>235</v>
      </c>
      <c r="B331">
        <v>324</v>
      </c>
      <c r="C331">
        <v>6585</v>
      </c>
      <c r="D331">
        <v>254782</v>
      </c>
      <c r="E331">
        <v>352</v>
      </c>
      <c r="F331">
        <v>0</v>
      </c>
      <c r="G331">
        <v>2625</v>
      </c>
      <c r="H331">
        <v>2975</v>
      </c>
      <c r="I331">
        <v>-7850</v>
      </c>
      <c r="J331">
        <v>0</v>
      </c>
      <c r="K331">
        <v>15501</v>
      </c>
      <c r="L331">
        <v>875</v>
      </c>
      <c r="M331">
        <v>8535</v>
      </c>
      <c r="N331">
        <v>62874</v>
      </c>
      <c r="O331">
        <v>9883</v>
      </c>
      <c r="P331">
        <v>162653</v>
      </c>
      <c r="Q331">
        <v>79</v>
      </c>
      <c r="R331">
        <v>20000</v>
      </c>
      <c r="S331">
        <v>12923</v>
      </c>
      <c r="T331">
        <v>16293</v>
      </c>
      <c r="U331">
        <f t="shared" si="70"/>
        <v>4</v>
      </c>
      <c r="V331">
        <v>-2161</v>
      </c>
      <c r="W331">
        <v>142124</v>
      </c>
      <c r="X331">
        <v>144289</v>
      </c>
      <c r="Y331">
        <f t="shared" si="71"/>
        <v>-2165</v>
      </c>
      <c r="Z331">
        <v>66365</v>
      </c>
      <c r="AA331">
        <v>4343793</v>
      </c>
      <c r="AB331">
        <v>92714</v>
      </c>
      <c r="AC331" s="128">
        <v>84944.325052703949</v>
      </c>
      <c r="AD331">
        <v>52694</v>
      </c>
      <c r="AE331" t="s">
        <v>235</v>
      </c>
      <c r="AF331" s="188">
        <f t="shared" si="72"/>
        <v>0.13456559061101572</v>
      </c>
      <c r="AG331" s="188">
        <f t="shared" si="73"/>
        <v>1.2766105654217443</v>
      </c>
      <c r="AH331" s="188">
        <f t="shared" si="74"/>
        <v>1.8469786946610004E-2</v>
      </c>
      <c r="AI331" s="188">
        <f t="shared" si="75"/>
        <v>-5.5233458107005147E-2</v>
      </c>
      <c r="AJ331" s="188">
        <f t="shared" si="76"/>
        <v>1.3174903605302413</v>
      </c>
      <c r="AK331" s="188">
        <f t="shared" si="77"/>
        <v>0.22083911417080837</v>
      </c>
      <c r="AL331" s="188">
        <f t="shared" si="78"/>
        <v>-1.523317666263263E-2</v>
      </c>
      <c r="AM331" s="188">
        <v>-4.7349118968457282E-2</v>
      </c>
      <c r="AN331" s="188">
        <v>-5.3772936138288895E-2</v>
      </c>
      <c r="AO331">
        <f t="shared" si="79"/>
        <v>3</v>
      </c>
      <c r="AP331" s="188">
        <f t="shared" si="80"/>
        <v>0.11673784863921646</v>
      </c>
      <c r="AQ331" s="188">
        <f t="shared" si="81"/>
        <v>3.0563402381019393E-2</v>
      </c>
      <c r="AR331" s="188">
        <f t="shared" si="82"/>
        <v>0.65234583884495234</v>
      </c>
      <c r="AS331" s="128">
        <f t="shared" si="83"/>
        <v>1612.0303080560207</v>
      </c>
      <c r="AT331" s="188">
        <v>0.21749999999999997</v>
      </c>
      <c r="AU331" s="238">
        <v>4.3499999999999997E-2</v>
      </c>
      <c r="AV331">
        <v>4.5</v>
      </c>
      <c r="AY331" t="s">
        <v>161</v>
      </c>
      <c r="AZ331" s="129">
        <v>2012.2891963700758</v>
      </c>
      <c r="BA331" t="s">
        <v>118</v>
      </c>
      <c r="BC331">
        <v>1</v>
      </c>
    </row>
    <row r="332" spans="1:55" x14ac:dyDescent="0.25">
      <c r="A332" t="s">
        <v>280</v>
      </c>
      <c r="B332">
        <v>0</v>
      </c>
      <c r="C332">
        <v>814</v>
      </c>
      <c r="D332">
        <v>30300</v>
      </c>
      <c r="E332">
        <v>803</v>
      </c>
      <c r="F332">
        <v>3047</v>
      </c>
      <c r="G332">
        <v>517</v>
      </c>
      <c r="H332">
        <v>0</v>
      </c>
      <c r="I332">
        <v>0</v>
      </c>
      <c r="J332">
        <v>0</v>
      </c>
      <c r="K332">
        <v>4374</v>
      </c>
      <c r="L332">
        <v>2480</v>
      </c>
      <c r="M332">
        <v>812</v>
      </c>
      <c r="N332">
        <v>16395</v>
      </c>
      <c r="O332">
        <v>5571</v>
      </c>
      <c r="P332">
        <v>14360</v>
      </c>
      <c r="Q332">
        <v>6</v>
      </c>
      <c r="R332">
        <v>0</v>
      </c>
      <c r="S332">
        <v>2828</v>
      </c>
      <c r="T332">
        <v>3985</v>
      </c>
      <c r="U332">
        <f t="shared" si="70"/>
        <v>0</v>
      </c>
      <c r="V332">
        <v>-1585</v>
      </c>
      <c r="W332">
        <v>40025</v>
      </c>
      <c r="X332">
        <v>41610</v>
      </c>
      <c r="Y332">
        <f t="shared" si="71"/>
        <v>-1585</v>
      </c>
      <c r="Z332">
        <v>1376</v>
      </c>
      <c r="AA332">
        <v>1698890.9999999991</v>
      </c>
      <c r="AB332">
        <v>28933</v>
      </c>
      <c r="AC332" s="128">
        <v>26549.664442049718</v>
      </c>
      <c r="AD332">
        <v>16333</v>
      </c>
      <c r="AE332" t="s">
        <v>280</v>
      </c>
      <c r="AF332" s="188">
        <f t="shared" si="72"/>
        <v>-6.1961274203622733E-2</v>
      </c>
      <c r="AG332" s="188">
        <f t="shared" si="73"/>
        <v>0.24856964397251718</v>
      </c>
      <c r="AH332" s="188">
        <f t="shared" si="74"/>
        <v>8.9044347282948161E-2</v>
      </c>
      <c r="AI332" s="188">
        <f t="shared" si="75"/>
        <v>0</v>
      </c>
      <c r="AJ332" s="188">
        <f t="shared" si="76"/>
        <v>0.25925496564647099</v>
      </c>
      <c r="AK332" s="188">
        <f t="shared" si="77"/>
        <v>0.37999768223432612</v>
      </c>
      <c r="AL332" s="188">
        <f t="shared" si="78"/>
        <v>-3.9600249843847593E-2</v>
      </c>
      <c r="AM332" s="188">
        <v>-3.3971740810243956E-2</v>
      </c>
      <c r="AN332" s="188">
        <v>-5.72684625143835E-2</v>
      </c>
      <c r="AO332">
        <f t="shared" si="79"/>
        <v>3</v>
      </c>
      <c r="AP332" s="188">
        <f t="shared" si="80"/>
        <v>8.5946283572767013E-3</v>
      </c>
      <c r="AQ332" s="188">
        <f t="shared" si="81"/>
        <v>4.2445746408494668E-2</v>
      </c>
      <c r="AR332" s="188">
        <f t="shared" si="82"/>
        <v>0.72287320424734536</v>
      </c>
      <c r="AS332" s="128">
        <f t="shared" si="83"/>
        <v>1625.5228336527105</v>
      </c>
      <c r="AT332" s="188">
        <v>0.309</v>
      </c>
      <c r="AU332" s="238">
        <v>6.1800000000000001E-2</v>
      </c>
      <c r="AV332">
        <v>6.5</v>
      </c>
      <c r="AY332" t="s">
        <v>138</v>
      </c>
      <c r="AZ332" s="129">
        <v>1711.8714832251019</v>
      </c>
      <c r="BA332" t="s">
        <v>118</v>
      </c>
    </row>
    <row r="333" spans="1:55" x14ac:dyDescent="0.25">
      <c r="A333" t="s">
        <v>236</v>
      </c>
      <c r="B333">
        <v>942</v>
      </c>
      <c r="C333">
        <v>3058</v>
      </c>
      <c r="D333">
        <v>20041</v>
      </c>
      <c r="E333">
        <v>188</v>
      </c>
      <c r="F333">
        <v>1474</v>
      </c>
      <c r="G333">
        <v>0</v>
      </c>
      <c r="H333">
        <v>736</v>
      </c>
      <c r="I333">
        <v>9447</v>
      </c>
      <c r="J333">
        <v>0</v>
      </c>
      <c r="K333">
        <v>4741</v>
      </c>
      <c r="L333">
        <v>2346</v>
      </c>
      <c r="M333">
        <v>535</v>
      </c>
      <c r="N333">
        <v>7940</v>
      </c>
      <c r="O333">
        <v>8226</v>
      </c>
      <c r="P333">
        <v>16174</v>
      </c>
      <c r="Q333">
        <v>86</v>
      </c>
      <c r="R333">
        <v>4000</v>
      </c>
      <c r="S333">
        <v>6582</v>
      </c>
      <c r="T333">
        <v>500</v>
      </c>
      <c r="U333">
        <f t="shared" si="70"/>
        <v>-1</v>
      </c>
      <c r="V333">
        <v>-645</v>
      </c>
      <c r="W333">
        <v>37468</v>
      </c>
      <c r="X333">
        <v>38112</v>
      </c>
      <c r="Y333">
        <f t="shared" si="71"/>
        <v>-644</v>
      </c>
      <c r="Z333">
        <v>676</v>
      </c>
      <c r="AA333">
        <v>1467713.9999999995</v>
      </c>
      <c r="AB333">
        <v>20038</v>
      </c>
      <c r="AC333" s="128">
        <v>20188.898354633282</v>
      </c>
      <c r="AD333">
        <v>13639</v>
      </c>
      <c r="AE333" t="s">
        <v>236</v>
      </c>
      <c r="AF333" s="188">
        <f t="shared" si="72"/>
        <v>4.4144336500480413E-2</v>
      </c>
      <c r="AG333" s="188">
        <f t="shared" si="73"/>
        <v>0.46733212341197822</v>
      </c>
      <c r="AH333" s="188">
        <f t="shared" si="74"/>
        <v>3.9340237002241915E-2</v>
      </c>
      <c r="AI333" s="188">
        <f t="shared" si="75"/>
        <v>0.25213515533255043</v>
      </c>
      <c r="AJ333" s="188">
        <f t="shared" si="76"/>
        <v>0.29555834311946194</v>
      </c>
      <c r="AK333" s="188">
        <f t="shared" si="77"/>
        <v>0.18249517330146181</v>
      </c>
      <c r="AL333" s="188">
        <f t="shared" si="78"/>
        <v>-1.7188000427031065E-2</v>
      </c>
      <c r="AM333" s="188">
        <v>-5.5487265217818861E-2</v>
      </c>
      <c r="AN333" s="188">
        <v>-6.8160597572362272E-2</v>
      </c>
      <c r="AO333">
        <f t="shared" si="79"/>
        <v>3</v>
      </c>
      <c r="AP333" s="188">
        <f t="shared" si="80"/>
        <v>4.5105156400128106E-3</v>
      </c>
      <c r="AQ333" s="188">
        <f t="shared" si="81"/>
        <v>3.9172467171986747E-2</v>
      </c>
      <c r="AR333" s="188">
        <f t="shared" si="82"/>
        <v>0.53480303192057221</v>
      </c>
      <c r="AS333" s="128">
        <f t="shared" si="83"/>
        <v>1480.2330342864786</v>
      </c>
      <c r="AT333" s="188">
        <v>0.30499999999999999</v>
      </c>
      <c r="AU333" s="238">
        <v>6.0999999999999999E-2</v>
      </c>
      <c r="AV333">
        <v>6</v>
      </c>
      <c r="AY333" t="s">
        <v>392</v>
      </c>
      <c r="AZ333" s="129">
        <v>1617.8898851190447</v>
      </c>
      <c r="BA333" t="s">
        <v>118</v>
      </c>
    </row>
    <row r="334" spans="1:55" x14ac:dyDescent="0.25">
      <c r="A334" t="s">
        <v>281</v>
      </c>
      <c r="B334">
        <v>603</v>
      </c>
      <c r="C334">
        <v>149407</v>
      </c>
      <c r="D334">
        <v>594606</v>
      </c>
      <c r="E334">
        <v>3913</v>
      </c>
      <c r="F334">
        <v>15997</v>
      </c>
      <c r="G334">
        <v>19605</v>
      </c>
      <c r="H334">
        <v>0</v>
      </c>
      <c r="I334">
        <v>30092</v>
      </c>
      <c r="J334">
        <v>1475</v>
      </c>
      <c r="K334">
        <v>64313</v>
      </c>
      <c r="L334">
        <v>1039</v>
      </c>
      <c r="M334">
        <v>25146</v>
      </c>
      <c r="N334">
        <v>159312</v>
      </c>
      <c r="O334">
        <v>22382</v>
      </c>
      <c r="P334">
        <v>489900</v>
      </c>
      <c r="Q334">
        <v>89</v>
      </c>
      <c r="R334">
        <v>128546</v>
      </c>
      <c r="S334">
        <v>24944</v>
      </c>
      <c r="T334">
        <v>81026</v>
      </c>
      <c r="U334">
        <f t="shared" si="70"/>
        <v>-8</v>
      </c>
      <c r="V334">
        <v>15363</v>
      </c>
      <c r="W334">
        <v>569749</v>
      </c>
      <c r="X334">
        <v>554378</v>
      </c>
      <c r="Y334">
        <f t="shared" si="71"/>
        <v>15371</v>
      </c>
      <c r="Z334">
        <v>124484</v>
      </c>
      <c r="AA334">
        <v>8418642</v>
      </c>
      <c r="AB334">
        <v>403400</v>
      </c>
      <c r="AC334" s="128">
        <v>276598.02506702172</v>
      </c>
      <c r="AD334">
        <v>156901</v>
      </c>
      <c r="AE334" t="s">
        <v>281</v>
      </c>
      <c r="AF334" s="188">
        <f t="shared" si="72"/>
        <v>0.22379503957005628</v>
      </c>
      <c r="AG334" s="188">
        <f t="shared" si="73"/>
        <v>1.0502958320242775</v>
      </c>
      <c r="AH334" s="188">
        <f t="shared" si="74"/>
        <v>6.2487165400904605E-2</v>
      </c>
      <c r="AI334" s="188">
        <f t="shared" si="75"/>
        <v>5.5405099438524681E-2</v>
      </c>
      <c r="AJ334" s="188">
        <f t="shared" si="76"/>
        <v>1.0190107222654188</v>
      </c>
      <c r="AK334" s="188">
        <f t="shared" si="77"/>
        <v>0.17580244515829305</v>
      </c>
      <c r="AL334" s="188">
        <f t="shared" si="78"/>
        <v>2.6978546693368483E-2</v>
      </c>
      <c r="AM334" s="188">
        <v>2.5164094110594934E-2</v>
      </c>
      <c r="AN334" s="188">
        <v>8.1560248348165783E-3</v>
      </c>
      <c r="AO334">
        <f t="shared" si="79"/>
        <v>0</v>
      </c>
      <c r="AP334" s="188">
        <f t="shared" si="80"/>
        <v>5.4622298591133989E-2</v>
      </c>
      <c r="AQ334" s="188">
        <f t="shared" si="81"/>
        <v>1.4776054016768788E-2</v>
      </c>
      <c r="AR334" s="188">
        <f t="shared" si="82"/>
        <v>0.70803108035292739</v>
      </c>
      <c r="AS334" s="128">
        <f t="shared" si="83"/>
        <v>1762.8824868357865</v>
      </c>
      <c r="AT334" s="188">
        <v>0.17549999999999999</v>
      </c>
      <c r="AU334" s="238">
        <v>3.5099999999999999E-2</v>
      </c>
      <c r="AV334">
        <v>7</v>
      </c>
      <c r="AY334" t="s">
        <v>424</v>
      </c>
      <c r="AZ334" s="129">
        <v>1689.8024971969965</v>
      </c>
      <c r="BA334" t="s">
        <v>118</v>
      </c>
    </row>
    <row r="335" spans="1:55" x14ac:dyDescent="0.25">
      <c r="A335" t="s">
        <v>211</v>
      </c>
      <c r="B335">
        <v>33</v>
      </c>
      <c r="C335">
        <v>11559</v>
      </c>
      <c r="D335">
        <v>57321</v>
      </c>
      <c r="E335">
        <v>34</v>
      </c>
      <c r="F335">
        <v>0</v>
      </c>
      <c r="G335">
        <v>1958</v>
      </c>
      <c r="H335">
        <v>0</v>
      </c>
      <c r="I335">
        <v>8803</v>
      </c>
      <c r="J335">
        <v>0</v>
      </c>
      <c r="K335">
        <v>6804</v>
      </c>
      <c r="L335">
        <v>2493</v>
      </c>
      <c r="M335">
        <f>11697+2558</f>
        <v>14255</v>
      </c>
      <c r="N335">
        <v>51052</v>
      </c>
      <c r="O335">
        <v>6904</v>
      </c>
      <c r="P335">
        <v>26770</v>
      </c>
      <c r="Q335">
        <v>113</v>
      </c>
      <c r="R335">
        <v>10000</v>
      </c>
      <c r="S335">
        <v>8422</v>
      </c>
      <c r="T335" s="207">
        <f>-2558+2558</f>
        <v>0</v>
      </c>
      <c r="U335">
        <f t="shared" si="70"/>
        <v>-3</v>
      </c>
      <c r="V335">
        <v>9713</v>
      </c>
      <c r="W335">
        <v>99827</v>
      </c>
      <c r="X335">
        <v>90111</v>
      </c>
      <c r="Y335">
        <f t="shared" si="71"/>
        <v>9716</v>
      </c>
      <c r="Z335">
        <v>19434</v>
      </c>
      <c r="AA335">
        <v>1946016.9999999981</v>
      </c>
      <c r="AB335">
        <v>52139</v>
      </c>
      <c r="AC335" s="128">
        <v>58250.826989603083</v>
      </c>
      <c r="AD335">
        <v>29447</v>
      </c>
      <c r="AE335" t="s">
        <v>211</v>
      </c>
      <c r="AF335" s="188">
        <f t="shared" si="72"/>
        <v>7.5200096166367816E-2</v>
      </c>
      <c r="AG335" s="188">
        <f t="shared" si="73"/>
        <v>0.19829304697126027</v>
      </c>
      <c r="AH335" s="188">
        <f t="shared" si="74"/>
        <v>1.9613932102537389E-2</v>
      </c>
      <c r="AI335" s="188">
        <f t="shared" si="75"/>
        <v>8.8182555821571321E-2</v>
      </c>
      <c r="AJ335" s="188">
        <f t="shared" si="76"/>
        <v>0.13891892974846481</v>
      </c>
      <c r="AK335" s="188">
        <f t="shared" si="77"/>
        <v>0.49439769128712679</v>
      </c>
      <c r="AL335" s="188">
        <f t="shared" si="78"/>
        <v>9.7328378094102802E-2</v>
      </c>
      <c r="AM335" s="188">
        <v>-4.1788482064132909E-2</v>
      </c>
      <c r="AN335" s="188">
        <v>0.10584867909148171</v>
      </c>
      <c r="AO335">
        <f t="shared" si="79"/>
        <v>1</v>
      </c>
      <c r="AP335" s="188">
        <f t="shared" si="80"/>
        <v>4.8669197712041833E-2</v>
      </c>
      <c r="AQ335" s="188">
        <f t="shared" si="81"/>
        <v>1.9493894437376643E-2</v>
      </c>
      <c r="AR335" s="188">
        <f t="shared" si="82"/>
        <v>0.52229356787241932</v>
      </c>
      <c r="AS335" s="128">
        <f t="shared" si="83"/>
        <v>1978.1582840222461</v>
      </c>
      <c r="AT335" s="188">
        <v>0.14449999999999999</v>
      </c>
      <c r="AU335" s="238">
        <v>2.8899999999999999E-2</v>
      </c>
      <c r="AV335">
        <v>8.5</v>
      </c>
      <c r="AY335" t="s">
        <v>393</v>
      </c>
      <c r="AZ335" s="129">
        <v>1669.086190332695</v>
      </c>
      <c r="BA335" t="s">
        <v>118</v>
      </c>
    </row>
    <row r="336" spans="1:55" x14ac:dyDescent="0.25">
      <c r="A336" t="s">
        <v>282</v>
      </c>
      <c r="B336">
        <v>366</v>
      </c>
      <c r="C336">
        <v>97</v>
      </c>
      <c r="D336">
        <v>53089</v>
      </c>
      <c r="E336">
        <v>1342</v>
      </c>
      <c r="F336">
        <v>0</v>
      </c>
      <c r="G336">
        <v>1266</v>
      </c>
      <c r="H336">
        <v>0</v>
      </c>
      <c r="I336">
        <v>6647</v>
      </c>
      <c r="J336">
        <v>0</v>
      </c>
      <c r="K336">
        <v>11324</v>
      </c>
      <c r="L336">
        <v>4841</v>
      </c>
      <c r="M336">
        <v>2314</v>
      </c>
      <c r="N336">
        <v>36377</v>
      </c>
      <c r="O336">
        <v>3998</v>
      </c>
      <c r="P336">
        <v>31641</v>
      </c>
      <c r="Q336">
        <v>240</v>
      </c>
      <c r="R336">
        <v>0</v>
      </c>
      <c r="S336">
        <v>3953</v>
      </c>
      <c r="T336">
        <v>5077</v>
      </c>
      <c r="U336">
        <f t="shared" si="70"/>
        <v>0</v>
      </c>
      <c r="V336">
        <v>14897</v>
      </c>
      <c r="W336">
        <v>78763</v>
      </c>
      <c r="X336">
        <v>63866</v>
      </c>
      <c r="Y336">
        <f t="shared" si="71"/>
        <v>14897</v>
      </c>
      <c r="Z336">
        <v>-3570</v>
      </c>
      <c r="AA336">
        <v>3412790.9999999991</v>
      </c>
      <c r="AB336">
        <v>38589</v>
      </c>
      <c r="AC336" s="128">
        <v>31227.213340325892</v>
      </c>
      <c r="AD336">
        <v>17168</v>
      </c>
      <c r="AE336" t="s">
        <v>282</v>
      </c>
      <c r="AF336" s="188">
        <f t="shared" si="72"/>
        <v>-6.1462869621522795E-2</v>
      </c>
      <c r="AG336" s="188">
        <f t="shared" si="73"/>
        <v>0.26873024135698231</v>
      </c>
      <c r="AH336" s="188">
        <f t="shared" si="74"/>
        <v>1.6073537066896893E-2</v>
      </c>
      <c r="AI336" s="188">
        <f t="shared" si="75"/>
        <v>8.4392417759607943E-2</v>
      </c>
      <c r="AJ336" s="188">
        <f t="shared" si="76"/>
        <v>0.21158437337328437</v>
      </c>
      <c r="AK336" s="188">
        <f t="shared" si="77"/>
        <v>0.44751863789582463</v>
      </c>
      <c r="AL336" s="188">
        <f t="shared" si="78"/>
        <v>0.18913703134720616</v>
      </c>
      <c r="AM336" s="188">
        <v>-2.9654934312139988E-2</v>
      </c>
      <c r="AN336" s="188">
        <v>-6.8083042659155771E-3</v>
      </c>
      <c r="AO336">
        <f t="shared" si="79"/>
        <v>2</v>
      </c>
      <c r="AP336" s="188">
        <f t="shared" si="80"/>
        <v>-1.1331462742658355E-2</v>
      </c>
      <c r="AQ336" s="188">
        <f t="shared" si="81"/>
        <v>4.3329875703058532E-2</v>
      </c>
      <c r="AR336" s="188">
        <f t="shared" si="82"/>
        <v>0.48993816893719133</v>
      </c>
      <c r="AS336" s="128">
        <f t="shared" si="83"/>
        <v>1818.9196959649285</v>
      </c>
      <c r="AT336" s="188">
        <v>0.19900000000000001</v>
      </c>
      <c r="AU336" s="238">
        <v>3.9800000000000002E-2</v>
      </c>
      <c r="AV336">
        <v>8.5</v>
      </c>
      <c r="AY336" t="s">
        <v>276</v>
      </c>
      <c r="AZ336" s="129">
        <v>1853.2231749041146</v>
      </c>
      <c r="BA336" t="s">
        <v>118</v>
      </c>
    </row>
    <row r="337" spans="1:55" x14ac:dyDescent="0.25">
      <c r="A337" t="s">
        <v>434</v>
      </c>
      <c r="B337">
        <v>2486</v>
      </c>
      <c r="C337">
        <v>4136</v>
      </c>
      <c r="D337">
        <v>28788</v>
      </c>
      <c r="E337">
        <v>574</v>
      </c>
      <c r="F337">
        <v>0</v>
      </c>
      <c r="G337">
        <v>0</v>
      </c>
      <c r="H337">
        <v>4417</v>
      </c>
      <c r="I337">
        <v>39203</v>
      </c>
      <c r="J337">
        <v>3</v>
      </c>
      <c r="K337">
        <v>42139</v>
      </c>
      <c r="L337">
        <v>264</v>
      </c>
      <c r="M337">
        <v>26</v>
      </c>
      <c r="N337">
        <v>94041</v>
      </c>
      <c r="O337">
        <v>18080</v>
      </c>
      <c r="P337">
        <v>0</v>
      </c>
      <c r="Q337">
        <v>528</v>
      </c>
      <c r="R337">
        <v>0</v>
      </c>
      <c r="S337">
        <v>6684</v>
      </c>
      <c r="T337">
        <v>2702</v>
      </c>
      <c r="U337">
        <f t="shared" si="70"/>
        <v>6</v>
      </c>
      <c r="V337">
        <v>19016</v>
      </c>
      <c r="W337">
        <v>70745</v>
      </c>
      <c r="X337">
        <v>51735</v>
      </c>
      <c r="Y337">
        <f t="shared" si="71"/>
        <v>19010</v>
      </c>
      <c r="Z337">
        <v>8884</v>
      </c>
      <c r="AA337">
        <v>1840750.9999999991</v>
      </c>
      <c r="AB337">
        <v>39669</v>
      </c>
      <c r="AC337" s="128">
        <v>32364.766981772678</v>
      </c>
      <c r="AD337">
        <v>22879</v>
      </c>
      <c r="AE337" t="s">
        <v>434</v>
      </c>
      <c r="AF337" s="188">
        <f t="shared" si="72"/>
        <v>-3.7317124885150894E-3</v>
      </c>
      <c r="AG337" s="188">
        <f t="shared" si="73"/>
        <v>-0.52204396070393666</v>
      </c>
      <c r="AH337" s="188">
        <f t="shared" si="74"/>
        <v>0</v>
      </c>
      <c r="AI337" s="188">
        <f t="shared" si="75"/>
        <v>0.55418757509364625</v>
      </c>
      <c r="AJ337" s="188">
        <f t="shared" si="76"/>
        <v>-0.90997526326948908</v>
      </c>
      <c r="AK337" s="188">
        <f t="shared" si="77"/>
        <v>0.77060679313311753</v>
      </c>
      <c r="AL337" s="188">
        <f t="shared" si="78"/>
        <v>0.26871156972224186</v>
      </c>
      <c r="AM337" s="188">
        <v>3.8621734191594093E-2</v>
      </c>
      <c r="AN337" s="188">
        <v>9.3284396389247098E-2</v>
      </c>
      <c r="AO337">
        <f t="shared" si="79"/>
        <v>0</v>
      </c>
      <c r="AP337" s="188">
        <f t="shared" si="80"/>
        <v>3.139444483709096E-2</v>
      </c>
      <c r="AQ337" s="188">
        <f t="shared" si="81"/>
        <v>2.6019520814191802E-2</v>
      </c>
      <c r="AR337" s="188">
        <f t="shared" si="82"/>
        <v>0.56073220722312533</v>
      </c>
      <c r="AS337" s="128">
        <f t="shared" si="83"/>
        <v>1414.6058386193749</v>
      </c>
      <c r="AT337" s="188">
        <v>-1.1999999999999999E-2</v>
      </c>
      <c r="AU337" s="238">
        <v>-2.3999999999999998E-3</v>
      </c>
      <c r="AV337">
        <v>10</v>
      </c>
      <c r="AY337" t="s">
        <v>426</v>
      </c>
      <c r="AZ337" s="129">
        <v>1692.2629861944383</v>
      </c>
      <c r="BA337" t="s">
        <v>118</v>
      </c>
    </row>
    <row r="338" spans="1:55" x14ac:dyDescent="0.25">
      <c r="A338" t="s">
        <v>237</v>
      </c>
      <c r="B338">
        <v>417</v>
      </c>
      <c r="C338">
        <v>33200</v>
      </c>
      <c r="D338">
        <v>136977</v>
      </c>
      <c r="E338">
        <v>918</v>
      </c>
      <c r="F338">
        <v>0</v>
      </c>
      <c r="G338">
        <v>7396</v>
      </c>
      <c r="H338">
        <v>0</v>
      </c>
      <c r="I338">
        <v>-394</v>
      </c>
      <c r="J338">
        <v>0</v>
      </c>
      <c r="K338">
        <v>22878</v>
      </c>
      <c r="L338">
        <v>520</v>
      </c>
      <c r="M338">
        <v>6835</v>
      </c>
      <c r="N338">
        <v>136778</v>
      </c>
      <c r="O338">
        <v>19674</v>
      </c>
      <c r="P338">
        <v>29875</v>
      </c>
      <c r="Q338">
        <v>28</v>
      </c>
      <c r="R338">
        <v>0</v>
      </c>
      <c r="S338">
        <v>15992</v>
      </c>
      <c r="T338">
        <v>6399</v>
      </c>
      <c r="U338">
        <f t="shared" si="70"/>
        <v>1391</v>
      </c>
      <c r="V338">
        <v>-3236</v>
      </c>
      <c r="W338">
        <v>179961</v>
      </c>
      <c r="X338">
        <v>184588</v>
      </c>
      <c r="Y338">
        <f t="shared" si="71"/>
        <v>-4627</v>
      </c>
      <c r="Z338">
        <v>35883</v>
      </c>
      <c r="AA338">
        <v>12901718.999999996</v>
      </c>
      <c r="AB338">
        <v>137378</v>
      </c>
      <c r="AC338" s="128">
        <v>114601.54221914851</v>
      </c>
      <c r="AD338">
        <v>65043</v>
      </c>
      <c r="AE338" t="s">
        <v>237</v>
      </c>
      <c r="AF338" s="188">
        <f t="shared" si="72"/>
        <v>-2.8895149504614887E-3</v>
      </c>
      <c r="AG338" s="188">
        <f t="shared" si="73"/>
        <v>8.1489878362534102E-2</v>
      </c>
      <c r="AH338" s="188">
        <f t="shared" si="74"/>
        <v>4.1097793410794559E-2</v>
      </c>
      <c r="AI338" s="188">
        <f t="shared" si="75"/>
        <v>-2.1893632509265896E-3</v>
      </c>
      <c r="AJ338" s="188">
        <f t="shared" si="76"/>
        <v>8.795416784747806E-2</v>
      </c>
      <c r="AK338" s="188">
        <f t="shared" si="77"/>
        <v>0.65523650752589269</v>
      </c>
      <c r="AL338" s="188">
        <f t="shared" si="78"/>
        <v>-2.5711126299587134E-2</v>
      </c>
      <c r="AM338" s="188">
        <v>-4.7206327312942289E-2</v>
      </c>
      <c r="AN338" s="188">
        <v>-1.677046234696309E-2</v>
      </c>
      <c r="AO338">
        <f t="shared" si="79"/>
        <v>3</v>
      </c>
      <c r="AP338" s="188">
        <f t="shared" si="80"/>
        <v>4.9848300465100769E-2</v>
      </c>
      <c r="AQ338" s="188">
        <f t="shared" si="81"/>
        <v>7.1691749879140454E-2</v>
      </c>
      <c r="AR338" s="188">
        <f t="shared" si="82"/>
        <v>0.76337650935480461</v>
      </c>
      <c r="AS338" s="128">
        <f t="shared" si="83"/>
        <v>1761.9350617153041</v>
      </c>
      <c r="AT338" s="188">
        <v>0.28500000000000003</v>
      </c>
      <c r="AU338" s="238">
        <v>5.7000000000000002E-2</v>
      </c>
      <c r="AV338">
        <v>6</v>
      </c>
      <c r="AY338" t="s">
        <v>320</v>
      </c>
      <c r="AZ338" s="129">
        <v>1872.7461871871619</v>
      </c>
      <c r="BA338" t="s">
        <v>118</v>
      </c>
    </row>
    <row r="339" spans="1:55" x14ac:dyDescent="0.25">
      <c r="A339" t="s">
        <v>212</v>
      </c>
      <c r="B339">
        <v>535</v>
      </c>
      <c r="C339">
        <v>30731</v>
      </c>
      <c r="D339">
        <v>122610</v>
      </c>
      <c r="E339">
        <v>35</v>
      </c>
      <c r="F339">
        <v>192</v>
      </c>
      <c r="G339">
        <v>9491</v>
      </c>
      <c r="H339">
        <v>0</v>
      </c>
      <c r="I339">
        <v>20208</v>
      </c>
      <c r="J339">
        <v>910</v>
      </c>
      <c r="K339">
        <v>17081</v>
      </c>
      <c r="L339">
        <v>1411</v>
      </c>
      <c r="M339">
        <v>-2316</v>
      </c>
      <c r="N339">
        <v>53495</v>
      </c>
      <c r="O339">
        <v>8447</v>
      </c>
      <c r="P339">
        <v>120300</v>
      </c>
      <c r="Q339">
        <v>362</v>
      </c>
      <c r="R339" s="207">
        <f>-1411+1411</f>
        <v>0</v>
      </c>
      <c r="S339">
        <v>3998</v>
      </c>
      <c r="T339">
        <v>14285</v>
      </c>
      <c r="U339">
        <f t="shared" si="70"/>
        <v>3</v>
      </c>
      <c r="V339">
        <v>5691</v>
      </c>
      <c r="W339">
        <v>151454</v>
      </c>
      <c r="X339">
        <v>145766</v>
      </c>
      <c r="Y339">
        <f t="shared" si="71"/>
        <v>5688</v>
      </c>
      <c r="Z339">
        <v>36176</v>
      </c>
      <c r="AA339">
        <v>202803</v>
      </c>
      <c r="AB339">
        <v>91894</v>
      </c>
      <c r="AC339" s="128">
        <v>88678.473129281803</v>
      </c>
      <c r="AD339">
        <v>44096</v>
      </c>
      <c r="AE339" t="s">
        <v>212</v>
      </c>
      <c r="AF339" s="188">
        <f t="shared" si="72"/>
        <v>-9.3163600829294698E-3</v>
      </c>
      <c r="AG339" s="188">
        <f t="shared" si="73"/>
        <v>0.7466689555904763</v>
      </c>
      <c r="AH339" s="188">
        <f t="shared" si="74"/>
        <v>6.393360360241393E-2</v>
      </c>
      <c r="AI339" s="188">
        <f t="shared" si="75"/>
        <v>0.13943507599667226</v>
      </c>
      <c r="AJ339" s="188">
        <f t="shared" si="76"/>
        <v>0.65673643482509536</v>
      </c>
      <c r="AK339" s="188">
        <f t="shared" si="77"/>
        <v>0.26629398617133015</v>
      </c>
      <c r="AL339" s="188">
        <f t="shared" si="78"/>
        <v>3.7555957584481096E-2</v>
      </c>
      <c r="AM339" s="188">
        <v>5.2776864935918499E-3</v>
      </c>
      <c r="AN339" s="188">
        <v>4.9303041971505583E-2</v>
      </c>
      <c r="AO339">
        <f t="shared" si="79"/>
        <v>0</v>
      </c>
      <c r="AP339" s="188">
        <f t="shared" si="80"/>
        <v>5.9714500772511787E-2</v>
      </c>
      <c r="AQ339" s="188">
        <f t="shared" si="81"/>
        <v>1.3390402366395078E-3</v>
      </c>
      <c r="AR339" s="188">
        <f t="shared" si="82"/>
        <v>0.60674528239597503</v>
      </c>
      <c r="AS339" s="128">
        <f t="shared" si="83"/>
        <v>2011.0321373657885</v>
      </c>
      <c r="AT339" s="188">
        <v>0.20049999999999998</v>
      </c>
      <c r="AU339" s="238">
        <v>4.0099999999999997E-2</v>
      </c>
      <c r="AV339">
        <v>7.5</v>
      </c>
      <c r="AY339" t="s">
        <v>139</v>
      </c>
      <c r="AZ339" s="129">
        <v>4202.2850014385176</v>
      </c>
      <c r="BA339" t="s">
        <v>118</v>
      </c>
      <c r="BC339">
        <v>1</v>
      </c>
    </row>
    <row r="340" spans="1:55" x14ac:dyDescent="0.25">
      <c r="A340" t="s">
        <v>326</v>
      </c>
      <c r="B340">
        <v>368</v>
      </c>
      <c r="C340">
        <v>55207</v>
      </c>
      <c r="D340">
        <v>300523</v>
      </c>
      <c r="E340">
        <v>107</v>
      </c>
      <c r="F340">
        <v>0</v>
      </c>
      <c r="G340">
        <v>4814</v>
      </c>
      <c r="H340">
        <v>0</v>
      </c>
      <c r="I340">
        <v>34835</v>
      </c>
      <c r="J340">
        <v>124</v>
      </c>
      <c r="K340">
        <v>105274</v>
      </c>
      <c r="L340">
        <v>172</v>
      </c>
      <c r="M340">
        <v>30363</v>
      </c>
      <c r="N340">
        <v>342993</v>
      </c>
      <c r="O340">
        <v>52149</v>
      </c>
      <c r="P340">
        <v>78345</v>
      </c>
      <c r="Q340">
        <v>10</v>
      </c>
      <c r="R340">
        <v>9987</v>
      </c>
      <c r="S340">
        <v>12110</v>
      </c>
      <c r="T340">
        <v>36192</v>
      </c>
      <c r="U340">
        <f t="shared" si="70"/>
        <v>4505</v>
      </c>
      <c r="V340">
        <v>103393</v>
      </c>
      <c r="W340">
        <v>503325</v>
      </c>
      <c r="X340">
        <v>404437</v>
      </c>
      <c r="Y340">
        <f t="shared" si="71"/>
        <v>98888</v>
      </c>
      <c r="Z340">
        <v>58070</v>
      </c>
      <c r="AA340">
        <v>-2566769.0000000075</v>
      </c>
      <c r="AB340">
        <v>278598</v>
      </c>
      <c r="AC340" s="128">
        <v>264865.10586975981</v>
      </c>
      <c r="AD340">
        <v>125267</v>
      </c>
      <c r="AE340" t="s">
        <v>326</v>
      </c>
      <c r="AF340" s="188">
        <f t="shared" si="72"/>
        <v>1.9500322853027368E-2</v>
      </c>
      <c r="AG340" s="188">
        <f t="shared" si="73"/>
        <v>-7.9054288978294349E-3</v>
      </c>
      <c r="AH340" s="188">
        <f t="shared" si="74"/>
        <v>9.5643967615357869E-3</v>
      </c>
      <c r="AI340" s="188">
        <f t="shared" si="75"/>
        <v>6.9456116823126204E-2</v>
      </c>
      <c r="AJ340" s="188">
        <f t="shared" si="76"/>
        <v>-5.5376983062633486E-2</v>
      </c>
      <c r="AK340" s="188">
        <f t="shared" si="77"/>
        <v>0.64498313231262194</v>
      </c>
      <c r="AL340" s="188">
        <f t="shared" si="78"/>
        <v>0.19646947797148959</v>
      </c>
      <c r="AM340" s="188">
        <v>-1.8248043263683251E-2</v>
      </c>
      <c r="AN340" s="188">
        <v>2.4065612850129128E-3</v>
      </c>
      <c r="AO340">
        <f t="shared" si="79"/>
        <v>1</v>
      </c>
      <c r="AP340" s="188">
        <f t="shared" si="80"/>
        <v>2.8843192768092187E-2</v>
      </c>
      <c r="AQ340" s="188">
        <f t="shared" si="81"/>
        <v>-5.099625490488268E-3</v>
      </c>
      <c r="AR340" s="188">
        <f t="shared" si="82"/>
        <v>0.55351512442258977</v>
      </c>
      <c r="AS340" s="128">
        <f t="shared" si="83"/>
        <v>2114.4044789909535</v>
      </c>
      <c r="AT340" s="188">
        <v>0.3</v>
      </c>
      <c r="AU340" s="238">
        <v>0.06</v>
      </c>
      <c r="AV340">
        <v>8</v>
      </c>
      <c r="AY340" t="s">
        <v>395</v>
      </c>
      <c r="AZ340" s="129">
        <v>2017.2901061832092</v>
      </c>
      <c r="BA340" t="s">
        <v>118</v>
      </c>
      <c r="BC340">
        <v>1</v>
      </c>
    </row>
    <row r="341" spans="1:55" x14ac:dyDescent="0.25">
      <c r="A341" t="s">
        <v>327</v>
      </c>
      <c r="B341">
        <v>3028</v>
      </c>
      <c r="C341">
        <v>3879</v>
      </c>
      <c r="D341">
        <v>28255</v>
      </c>
      <c r="E341">
        <v>1610</v>
      </c>
      <c r="F341">
        <v>0</v>
      </c>
      <c r="G341">
        <v>296</v>
      </c>
      <c r="H341">
        <v>7089</v>
      </c>
      <c r="I341">
        <v>-873</v>
      </c>
      <c r="J341">
        <v>37</v>
      </c>
      <c r="K341">
        <v>15536</v>
      </c>
      <c r="L341">
        <v>5</v>
      </c>
      <c r="M341">
        <v>236</v>
      </c>
      <c r="N341">
        <v>25409</v>
      </c>
      <c r="O341">
        <v>3394</v>
      </c>
      <c r="P341">
        <v>25846</v>
      </c>
      <c r="Q341">
        <v>27</v>
      </c>
      <c r="R341">
        <v>-187</v>
      </c>
      <c r="S341">
        <v>2755</v>
      </c>
      <c r="T341">
        <v>1854</v>
      </c>
      <c r="U341">
        <f t="shared" si="70"/>
        <v>5</v>
      </c>
      <c r="V341">
        <v>1490</v>
      </c>
      <c r="W341">
        <v>26496</v>
      </c>
      <c r="X341">
        <v>25011</v>
      </c>
      <c r="Y341">
        <f t="shared" si="71"/>
        <v>1485</v>
      </c>
      <c r="Z341">
        <v>12158</v>
      </c>
      <c r="AA341">
        <v>-34286.000000000466</v>
      </c>
      <c r="AB341">
        <v>12953</v>
      </c>
      <c r="AC341" s="128">
        <v>14117.588269207634</v>
      </c>
      <c r="AD341">
        <v>8843</v>
      </c>
      <c r="AE341" t="s">
        <v>327</v>
      </c>
      <c r="AF341" s="188">
        <f t="shared" si="72"/>
        <v>-7.246376811594203E-3</v>
      </c>
      <c r="AG341" s="188">
        <f t="shared" si="73"/>
        <v>0.26921044685990336</v>
      </c>
      <c r="AH341" s="188">
        <f t="shared" si="74"/>
        <v>1.1171497584541062E-2</v>
      </c>
      <c r="AI341" s="188">
        <f t="shared" si="75"/>
        <v>-3.155193236714976E-2</v>
      </c>
      <c r="AJ341" s="188">
        <f t="shared" si="76"/>
        <v>0.29263737922705313</v>
      </c>
      <c r="AK341" s="188">
        <f t="shared" si="77"/>
        <v>0.4299468679143118</v>
      </c>
      <c r="AL341" s="188">
        <f t="shared" si="78"/>
        <v>5.6046195652173912E-2</v>
      </c>
      <c r="AM341" s="188">
        <v>8.7750071110268321E-2</v>
      </c>
      <c r="AN341" s="188">
        <v>7.6823352291736369E-2</v>
      </c>
      <c r="AO341">
        <f t="shared" si="79"/>
        <v>0</v>
      </c>
      <c r="AP341" s="188">
        <f t="shared" si="80"/>
        <v>0.11471542874396136</v>
      </c>
      <c r="AQ341" s="188">
        <f t="shared" si="81"/>
        <v>-1.2940066425120948E-3</v>
      </c>
      <c r="AR341" s="188">
        <f t="shared" si="82"/>
        <v>0.48886624396135264</v>
      </c>
      <c r="AS341" s="128">
        <f t="shared" si="83"/>
        <v>1596.4704590306044</v>
      </c>
      <c r="AT341" s="188">
        <v>0.1045</v>
      </c>
      <c r="AU341" s="238">
        <v>2.0899999999999998E-2</v>
      </c>
      <c r="AV341">
        <v>8</v>
      </c>
      <c r="AW341" s="301"/>
      <c r="AY341" t="s">
        <v>606</v>
      </c>
      <c r="AZ341" s="129">
        <v>1798.1686340789322</v>
      </c>
      <c r="BA341" t="s">
        <v>118</v>
      </c>
    </row>
    <row r="342" spans="1:55" x14ac:dyDescent="0.25">
      <c r="A342" t="s">
        <v>328</v>
      </c>
      <c r="B342">
        <v>5081</v>
      </c>
      <c r="C342">
        <v>36379</v>
      </c>
      <c r="D342">
        <v>123041</v>
      </c>
      <c r="E342">
        <v>564</v>
      </c>
      <c r="F342">
        <v>4944</v>
      </c>
      <c r="G342">
        <v>4170</v>
      </c>
      <c r="H342">
        <v>266</v>
      </c>
      <c r="I342">
        <v>12661</v>
      </c>
      <c r="J342">
        <v>2727</v>
      </c>
      <c r="K342">
        <v>17641</v>
      </c>
      <c r="L342">
        <v>8000</v>
      </c>
      <c r="M342">
        <v>9896</v>
      </c>
      <c r="N342">
        <v>56101</v>
      </c>
      <c r="O342">
        <v>23205</v>
      </c>
      <c r="P342">
        <v>103702</v>
      </c>
      <c r="Q342">
        <v>25</v>
      </c>
      <c r="R342">
        <v>24567</v>
      </c>
      <c r="S342">
        <v>4386</v>
      </c>
      <c r="T342">
        <v>13384</v>
      </c>
      <c r="U342">
        <f t="shared" si="70"/>
        <v>-8</v>
      </c>
      <c r="V342">
        <v>4117</v>
      </c>
      <c r="W342">
        <v>122168</v>
      </c>
      <c r="X342">
        <v>118043</v>
      </c>
      <c r="Y342">
        <f t="shared" si="71"/>
        <v>4125</v>
      </c>
      <c r="Z342">
        <v>28555</v>
      </c>
      <c r="AA342">
        <v>5162993</v>
      </c>
      <c r="AB342">
        <v>70293</v>
      </c>
      <c r="AC342" s="128">
        <v>64617.47620530054</v>
      </c>
      <c r="AD342">
        <v>45064</v>
      </c>
      <c r="AE342" t="s">
        <v>328</v>
      </c>
      <c r="AF342" s="188">
        <f t="shared" si="72"/>
        <v>0.13560834261017615</v>
      </c>
      <c r="AG342" s="188">
        <f t="shared" si="73"/>
        <v>0.82793366511688826</v>
      </c>
      <c r="AH342" s="188">
        <f t="shared" si="74"/>
        <v>7.4602187152118388E-2</v>
      </c>
      <c r="AI342" s="188">
        <f t="shared" si="75"/>
        <v>0.12595769759675202</v>
      </c>
      <c r="AJ342" s="188">
        <f t="shared" si="76"/>
        <v>0.74871553925741607</v>
      </c>
      <c r="AK342" s="188">
        <f t="shared" si="77"/>
        <v>0.24892842880596353</v>
      </c>
      <c r="AL342" s="188">
        <f t="shared" si="78"/>
        <v>3.3764979372667148E-2</v>
      </c>
      <c r="AM342" s="188">
        <v>3.634917582897796E-2</v>
      </c>
      <c r="AN342" s="188">
        <v>3.2061510406620961E-2</v>
      </c>
      <c r="AO342">
        <f t="shared" si="79"/>
        <v>0</v>
      </c>
      <c r="AP342" s="188">
        <f t="shared" si="80"/>
        <v>5.8433877938576385E-2</v>
      </c>
      <c r="AQ342" s="188">
        <f t="shared" si="81"/>
        <v>4.2261418702115118E-2</v>
      </c>
      <c r="AR342" s="188">
        <f t="shared" si="82"/>
        <v>0.57537980485888285</v>
      </c>
      <c r="AS342" s="128">
        <f t="shared" si="83"/>
        <v>1433.9045847084267</v>
      </c>
      <c r="AT342" s="188">
        <v>0.25700000000000001</v>
      </c>
      <c r="AU342" s="238">
        <v>5.1400000000000001E-2</v>
      </c>
      <c r="AV342">
        <v>7.5</v>
      </c>
      <c r="AY342" t="s">
        <v>397</v>
      </c>
      <c r="AZ342" s="129">
        <v>2174.7939435990043</v>
      </c>
      <c r="BA342" t="s">
        <v>118</v>
      </c>
      <c r="BC342">
        <v>1</v>
      </c>
    </row>
    <row r="343" spans="1:55" x14ac:dyDescent="0.25">
      <c r="A343" t="s">
        <v>399</v>
      </c>
      <c r="B343">
        <v>102</v>
      </c>
      <c r="C343">
        <v>5157</v>
      </c>
      <c r="D343">
        <v>37042</v>
      </c>
      <c r="E343">
        <v>358</v>
      </c>
      <c r="F343">
        <v>665</v>
      </c>
      <c r="G343">
        <v>1702</v>
      </c>
      <c r="H343">
        <v>0</v>
      </c>
      <c r="I343">
        <v>2261</v>
      </c>
      <c r="J343">
        <v>0</v>
      </c>
      <c r="K343">
        <v>4721</v>
      </c>
      <c r="L343">
        <v>7002</v>
      </c>
      <c r="M343">
        <v>952</v>
      </c>
      <c r="N343">
        <v>10769</v>
      </c>
      <c r="O343">
        <v>12190</v>
      </c>
      <c r="P343">
        <v>28631</v>
      </c>
      <c r="Q343">
        <v>77</v>
      </c>
      <c r="R343">
        <v>0</v>
      </c>
      <c r="S343">
        <v>3334</v>
      </c>
      <c r="T343">
        <v>4960</v>
      </c>
      <c r="U343">
        <f t="shared" si="70"/>
        <v>-12</v>
      </c>
      <c r="V343">
        <v>-376</v>
      </c>
      <c r="W343">
        <v>59657</v>
      </c>
      <c r="X343">
        <v>60021</v>
      </c>
      <c r="Y343">
        <f t="shared" si="71"/>
        <v>-364</v>
      </c>
      <c r="Z343">
        <v>15038</v>
      </c>
      <c r="AA343">
        <v>1879106</v>
      </c>
      <c r="AB343">
        <v>34527</v>
      </c>
      <c r="AC343" s="128">
        <v>42801.764480006445</v>
      </c>
      <c r="AD343">
        <v>21988</v>
      </c>
      <c r="AE343" t="s">
        <v>399</v>
      </c>
      <c r="AF343" s="188">
        <f t="shared" si="72"/>
        <v>-0.11737097071592605</v>
      </c>
      <c r="AG343" s="188">
        <f t="shared" si="73"/>
        <v>0.36810432975174751</v>
      </c>
      <c r="AH343" s="188">
        <f t="shared" si="74"/>
        <v>3.9676819149471146E-2</v>
      </c>
      <c r="AI343" s="188">
        <f t="shared" si="75"/>
        <v>3.7899994971252328E-2</v>
      </c>
      <c r="AJ343" s="188">
        <f t="shared" si="76"/>
        <v>0.34633555156980739</v>
      </c>
      <c r="AK343" s="188">
        <f t="shared" si="77"/>
        <v>0.17960007338103101</v>
      </c>
      <c r="AL343" s="188">
        <f t="shared" si="78"/>
        <v>-6.1015471780344298E-3</v>
      </c>
      <c r="AM343" s="188">
        <v>-2.1088031651829871E-2</v>
      </c>
      <c r="AN343" s="188">
        <v>-4.5092884377665966E-3</v>
      </c>
      <c r="AO343">
        <f t="shared" si="79"/>
        <v>3</v>
      </c>
      <c r="AP343" s="188">
        <f t="shared" si="80"/>
        <v>6.3018589603902303E-2</v>
      </c>
      <c r="AQ343" s="188">
        <f t="shared" si="81"/>
        <v>3.1498499756943861E-2</v>
      </c>
      <c r="AR343" s="188">
        <f t="shared" si="82"/>
        <v>0.57875856982416141</v>
      </c>
      <c r="AS343" s="128">
        <f t="shared" si="83"/>
        <v>1946.5965290161198</v>
      </c>
      <c r="AT343" s="188">
        <v>0.28150000000000003</v>
      </c>
      <c r="AU343" s="238">
        <v>5.6300000000000003E-2</v>
      </c>
      <c r="AV343">
        <v>4.5</v>
      </c>
      <c r="AY343" t="s">
        <v>206</v>
      </c>
      <c r="AZ343" s="129">
        <v>1578.5726166373656</v>
      </c>
      <c r="BA343" t="s">
        <v>118</v>
      </c>
    </row>
    <row r="344" spans="1:55" x14ac:dyDescent="0.25">
      <c r="A344" t="s">
        <v>213</v>
      </c>
      <c r="B344">
        <v>792</v>
      </c>
      <c r="C344">
        <v>12725</v>
      </c>
      <c r="D344">
        <v>138668</v>
      </c>
      <c r="E344">
        <v>5444</v>
      </c>
      <c r="F344">
        <v>18295</v>
      </c>
      <c r="G344">
        <v>2982</v>
      </c>
      <c r="H344">
        <v>69</v>
      </c>
      <c r="I344">
        <v>15553</v>
      </c>
      <c r="J344">
        <v>1</v>
      </c>
      <c r="K344">
        <v>5330</v>
      </c>
      <c r="L344">
        <v>17056</v>
      </c>
      <c r="M344">
        <v>11556</v>
      </c>
      <c r="N344">
        <v>46808</v>
      </c>
      <c r="O344">
        <v>17265</v>
      </c>
      <c r="P344">
        <v>123081</v>
      </c>
      <c r="Q344">
        <v>83</v>
      </c>
      <c r="R344">
        <v>12000</v>
      </c>
      <c r="S344">
        <v>2824</v>
      </c>
      <c r="T344">
        <v>26412</v>
      </c>
      <c r="U344">
        <f t="shared" si="70"/>
        <v>-3</v>
      </c>
      <c r="V344">
        <v>7532</v>
      </c>
      <c r="W344">
        <v>184951</v>
      </c>
      <c r="X344">
        <v>177416</v>
      </c>
      <c r="Y344">
        <f t="shared" si="71"/>
        <v>7535</v>
      </c>
      <c r="Z344">
        <v>1610</v>
      </c>
      <c r="AA344">
        <v>1468461.9999999981</v>
      </c>
      <c r="AB344">
        <v>129702</v>
      </c>
      <c r="AC344" s="128">
        <v>87922.829676672554</v>
      </c>
      <c r="AD344">
        <v>48111</v>
      </c>
      <c r="AE344" t="s">
        <v>213</v>
      </c>
      <c r="AF344" s="188">
        <f t="shared" si="72"/>
        <v>-2.733697033268271E-2</v>
      </c>
      <c r="AG344" s="188">
        <f t="shared" si="73"/>
        <v>0.58995085184724605</v>
      </c>
      <c r="AH344" s="188">
        <f t="shared" si="74"/>
        <v>0.11504128120421085</v>
      </c>
      <c r="AI344" s="188">
        <f t="shared" si="75"/>
        <v>8.4097950267908797E-2</v>
      </c>
      <c r="AJ344" s="188">
        <f t="shared" si="76"/>
        <v>0.54488724040421521</v>
      </c>
      <c r="AK344" s="188">
        <f t="shared" si="77"/>
        <v>0.20487322353188342</v>
      </c>
      <c r="AL344" s="188">
        <f t="shared" si="78"/>
        <v>4.0740520462176466E-2</v>
      </c>
      <c r="AM344" s="188">
        <v>-1.2298997433152619E-2</v>
      </c>
      <c r="AN344" s="188">
        <v>-5.6507955145893268E-2</v>
      </c>
      <c r="AO344">
        <f t="shared" si="79"/>
        <v>2</v>
      </c>
      <c r="AP344" s="188">
        <f t="shared" si="80"/>
        <v>2.176252088390979E-3</v>
      </c>
      <c r="AQ344" s="188">
        <f t="shared" si="81"/>
        <v>7.939735389373391E-3</v>
      </c>
      <c r="AR344" s="188">
        <f t="shared" si="82"/>
        <v>0.70127763569810386</v>
      </c>
      <c r="AS344" s="128">
        <f t="shared" si="83"/>
        <v>1827.499525611036</v>
      </c>
      <c r="AT344" s="188">
        <v>0.1615</v>
      </c>
      <c r="AU344" s="238">
        <v>3.2300000000000002E-2</v>
      </c>
      <c r="AV344">
        <v>9</v>
      </c>
      <c r="AY344" t="s">
        <v>278</v>
      </c>
      <c r="AZ344" s="129">
        <v>1276.0259201163919</v>
      </c>
      <c r="BA344" t="s">
        <v>118</v>
      </c>
      <c r="BB344">
        <v>1</v>
      </c>
    </row>
    <row r="345" spans="1:55" x14ac:dyDescent="0.25">
      <c r="A345" t="s">
        <v>163</v>
      </c>
      <c r="B345">
        <v>454</v>
      </c>
      <c r="C345">
        <v>25720</v>
      </c>
      <c r="D345">
        <v>52189</v>
      </c>
      <c r="E345">
        <v>172</v>
      </c>
      <c r="F345">
        <v>1034</v>
      </c>
      <c r="G345">
        <v>2651</v>
      </c>
      <c r="H345">
        <v>0</v>
      </c>
      <c r="I345">
        <v>8703</v>
      </c>
      <c r="J345">
        <v>3</v>
      </c>
      <c r="K345">
        <v>5606</v>
      </c>
      <c r="L345">
        <f>116+14200</f>
        <v>14316</v>
      </c>
      <c r="M345">
        <v>2850</v>
      </c>
      <c r="N345">
        <v>28610</v>
      </c>
      <c r="O345">
        <v>5123</v>
      </c>
      <c r="P345">
        <v>67558</v>
      </c>
      <c r="Q345">
        <v>-7</v>
      </c>
      <c r="R345" s="207">
        <f>-14200+14200</f>
        <v>0</v>
      </c>
      <c r="S345">
        <v>4867</v>
      </c>
      <c r="T345">
        <v>7547</v>
      </c>
      <c r="U345">
        <f t="shared" si="70"/>
        <v>48</v>
      </c>
      <c r="V345">
        <v>809</v>
      </c>
      <c r="W345">
        <v>60852</v>
      </c>
      <c r="X345">
        <v>60091</v>
      </c>
      <c r="Y345">
        <f t="shared" si="71"/>
        <v>761</v>
      </c>
      <c r="Z345">
        <v>11605</v>
      </c>
      <c r="AA345">
        <v>1456991</v>
      </c>
      <c r="AB345">
        <v>36810</v>
      </c>
      <c r="AC345" s="128">
        <v>33691.978941769368</v>
      </c>
      <c r="AD345">
        <v>22823</v>
      </c>
      <c r="AE345" t="s">
        <v>163</v>
      </c>
      <c r="AF345" s="188">
        <f t="shared" si="72"/>
        <v>-0.23525931768881878</v>
      </c>
      <c r="AG345" s="188">
        <f t="shared" si="73"/>
        <v>0.87931374482350622</v>
      </c>
      <c r="AH345" s="188">
        <f t="shared" si="74"/>
        <v>6.0556760665220533E-2</v>
      </c>
      <c r="AI345" s="188">
        <f t="shared" si="75"/>
        <v>0.14306842831788602</v>
      </c>
      <c r="AJ345" s="188">
        <f t="shared" si="76"/>
        <v>0.78643265628081238</v>
      </c>
      <c r="AK345" s="188">
        <f t="shared" si="77"/>
        <v>0.25163151506622805</v>
      </c>
      <c r="AL345" s="188">
        <f t="shared" si="78"/>
        <v>1.2505751659764674E-2</v>
      </c>
      <c r="AM345" s="188">
        <v>-4.1355822251054171E-2</v>
      </c>
      <c r="AN345" s="188">
        <v>6.7691556857003413E-2</v>
      </c>
      <c r="AO345">
        <f t="shared" si="79"/>
        <v>1</v>
      </c>
      <c r="AP345" s="188">
        <f t="shared" si="80"/>
        <v>4.7677151120751986E-2</v>
      </c>
      <c r="AQ345" s="188">
        <f t="shared" si="81"/>
        <v>2.3943190034838625E-2</v>
      </c>
      <c r="AR345" s="188">
        <f t="shared" si="82"/>
        <v>0.60491027410767106</v>
      </c>
      <c r="AS345" s="128">
        <f t="shared" si="83"/>
        <v>1476.2291960640305</v>
      </c>
      <c r="AT345" s="188">
        <v>0.23150000000000001</v>
      </c>
      <c r="AU345" s="238">
        <v>4.6300000000000001E-2</v>
      </c>
      <c r="AV345">
        <v>9</v>
      </c>
      <c r="AY345" t="s">
        <v>608</v>
      </c>
      <c r="AZ345" s="129">
        <v>1732.1477920900879</v>
      </c>
      <c r="BA345" t="s">
        <v>118</v>
      </c>
    </row>
    <row r="346" spans="1:55" x14ac:dyDescent="0.25">
      <c r="A346" t="s">
        <v>329</v>
      </c>
      <c r="B346">
        <v>1965</v>
      </c>
      <c r="C346">
        <v>24329</v>
      </c>
      <c r="D346">
        <v>169091</v>
      </c>
      <c r="E346">
        <v>1601</v>
      </c>
      <c r="F346">
        <v>2807</v>
      </c>
      <c r="G346">
        <v>2636</v>
      </c>
      <c r="H346">
        <v>0</v>
      </c>
      <c r="I346">
        <v>9457</v>
      </c>
      <c r="J346">
        <v>0</v>
      </c>
      <c r="K346">
        <v>28808</v>
      </c>
      <c r="L346" s="207">
        <f>-665+665</f>
        <v>0</v>
      </c>
      <c r="M346">
        <v>5094</v>
      </c>
      <c r="N346">
        <v>85883</v>
      </c>
      <c r="O346">
        <v>13746</v>
      </c>
      <c r="P346">
        <v>131703</v>
      </c>
      <c r="Q346">
        <v>0</v>
      </c>
      <c r="R346">
        <f>665</f>
        <v>665</v>
      </c>
      <c r="S346">
        <v>3470</v>
      </c>
      <c r="T346">
        <v>10323</v>
      </c>
      <c r="U346">
        <f t="shared" si="70"/>
        <v>-154</v>
      </c>
      <c r="V346">
        <v>42179</v>
      </c>
      <c r="W346">
        <v>188249</v>
      </c>
      <c r="X346">
        <v>145916</v>
      </c>
      <c r="Y346">
        <f t="shared" si="71"/>
        <v>42333</v>
      </c>
      <c r="Z346">
        <v>28467</v>
      </c>
      <c r="AA346">
        <v>1760222.9999999981</v>
      </c>
      <c r="AB346">
        <v>99757</v>
      </c>
      <c r="AC346" s="128">
        <v>84897.082873840438</v>
      </c>
      <c r="AD346">
        <v>44775</v>
      </c>
      <c r="AE346" t="s">
        <v>329</v>
      </c>
      <c r="AF346" s="188">
        <f t="shared" si="72"/>
        <v>3.5325552858182512E-3</v>
      </c>
      <c r="AG346" s="188">
        <f t="shared" si="73"/>
        <v>0.56741868482701108</v>
      </c>
      <c r="AH346" s="188">
        <f t="shared" si="74"/>
        <v>2.8913832211592095E-2</v>
      </c>
      <c r="AI346" s="188">
        <f t="shared" si="75"/>
        <v>5.0236654643583761E-2</v>
      </c>
      <c r="AJ346" s="188">
        <f t="shared" si="76"/>
        <v>0.53572268644189347</v>
      </c>
      <c r="AK346" s="188">
        <f t="shared" si="77"/>
        <v>0.34941616827372962</v>
      </c>
      <c r="AL346" s="188">
        <f t="shared" si="78"/>
        <v>0.22487768859329929</v>
      </c>
      <c r="AM346" s="188">
        <v>-2.306137312900397E-2</v>
      </c>
      <c r="AN346" s="188">
        <v>-1.1359123043927239E-3</v>
      </c>
      <c r="AO346">
        <f t="shared" si="79"/>
        <v>2</v>
      </c>
      <c r="AP346" s="188">
        <f t="shared" si="80"/>
        <v>3.7804981699769986E-2</v>
      </c>
      <c r="AQ346" s="188">
        <f t="shared" si="81"/>
        <v>9.3505038539381247E-3</v>
      </c>
      <c r="AR346" s="188">
        <f t="shared" si="82"/>
        <v>0.52992047766521999</v>
      </c>
      <c r="AS346" s="128">
        <f t="shared" si="83"/>
        <v>1896.0822529054258</v>
      </c>
      <c r="AT346" s="188">
        <v>0.2495</v>
      </c>
      <c r="AU346" s="238">
        <v>4.99E-2</v>
      </c>
      <c r="AV346">
        <v>9</v>
      </c>
      <c r="AY346" t="s">
        <v>116</v>
      </c>
      <c r="AZ346" s="129">
        <v>1742.9538974487739</v>
      </c>
      <c r="BA346" t="s">
        <v>118</v>
      </c>
    </row>
    <row r="347" spans="1:55" x14ac:dyDescent="0.25">
      <c r="A347" t="s">
        <v>164</v>
      </c>
      <c r="B347">
        <v>3602</v>
      </c>
      <c r="C347">
        <v>63179</v>
      </c>
      <c r="D347">
        <v>374254</v>
      </c>
      <c r="E347">
        <v>982</v>
      </c>
      <c r="F347">
        <v>18651</v>
      </c>
      <c r="G347">
        <v>5437</v>
      </c>
      <c r="H347">
        <v>0</v>
      </c>
      <c r="I347">
        <v>81575</v>
      </c>
      <c r="J347">
        <v>-763</v>
      </c>
      <c r="K347">
        <v>35709</v>
      </c>
      <c r="L347">
        <v>586</v>
      </c>
      <c r="M347">
        <v>24629</v>
      </c>
      <c r="N347">
        <v>203744</v>
      </c>
      <c r="O347">
        <v>11328</v>
      </c>
      <c r="P347">
        <v>305114</v>
      </c>
      <c r="Q347">
        <v>0</v>
      </c>
      <c r="R347">
        <v>2068</v>
      </c>
      <c r="S347">
        <v>30680</v>
      </c>
      <c r="T347">
        <v>54909</v>
      </c>
      <c r="U347">
        <f t="shared" si="70"/>
        <v>1</v>
      </c>
      <c r="V347">
        <v>20100</v>
      </c>
      <c r="W347">
        <v>648435</v>
      </c>
      <c r="X347">
        <v>628336</v>
      </c>
      <c r="Y347">
        <f t="shared" si="71"/>
        <v>20099</v>
      </c>
      <c r="Z347">
        <v>6848</v>
      </c>
      <c r="AA347">
        <v>-2201643.0000000075</v>
      </c>
      <c r="AB347">
        <v>405156</v>
      </c>
      <c r="AC347" s="128">
        <v>262809.45828310226</v>
      </c>
      <c r="AD347">
        <v>129840</v>
      </c>
      <c r="AE347" t="s">
        <v>164</v>
      </c>
      <c r="AF347" s="188">
        <f t="shared" si="72"/>
        <v>2.2855027874806263E-3</v>
      </c>
      <c r="AG347" s="188">
        <f t="shared" si="73"/>
        <v>0.47461811900961548</v>
      </c>
      <c r="AH347" s="188">
        <f t="shared" si="74"/>
        <v>3.7147902256972558E-2</v>
      </c>
      <c r="AI347" s="188">
        <f t="shared" si="75"/>
        <v>0.12462621542637273</v>
      </c>
      <c r="AJ347" s="188">
        <f t="shared" si="76"/>
        <v>0.39183751648199128</v>
      </c>
      <c r="AK347" s="188">
        <f t="shared" si="77"/>
        <v>0.33519181762395883</v>
      </c>
      <c r="AL347" s="188">
        <f t="shared" si="78"/>
        <v>3.0996167696068225E-2</v>
      </c>
      <c r="AM347" s="188">
        <v>1.5556528257839897E-2</v>
      </c>
      <c r="AN347" s="188">
        <v>1.8757112950135585E-3</v>
      </c>
      <c r="AO347">
        <f t="shared" si="79"/>
        <v>0</v>
      </c>
      <c r="AP347" s="188">
        <f t="shared" si="80"/>
        <v>2.6402029501800487E-3</v>
      </c>
      <c r="AQ347" s="188">
        <f t="shared" si="81"/>
        <v>-3.3953179578523791E-3</v>
      </c>
      <c r="AR347" s="188">
        <f t="shared" si="82"/>
        <v>0.62482130051585738</v>
      </c>
      <c r="AS347" s="128">
        <f t="shared" si="83"/>
        <v>2024.1024205414528</v>
      </c>
      <c r="AT347" s="188">
        <v>0.28699999999999998</v>
      </c>
      <c r="AU347" s="238">
        <v>5.74E-2</v>
      </c>
      <c r="AV347">
        <v>7.5</v>
      </c>
      <c r="AY347" t="s">
        <v>208</v>
      </c>
      <c r="AZ347" s="129">
        <v>1749.501380327546</v>
      </c>
      <c r="BA347" t="s">
        <v>118</v>
      </c>
    </row>
    <row r="348" spans="1:55" x14ac:dyDescent="0.25">
      <c r="A348" t="s">
        <v>442</v>
      </c>
      <c r="B348">
        <f t="shared" ref="B348:X348" si="84">SUM(B2:B347)</f>
        <v>1187183</v>
      </c>
      <c r="C348">
        <f t="shared" si="84"/>
        <v>15623982</v>
      </c>
      <c r="D348">
        <f t="shared" si="84"/>
        <v>49707099</v>
      </c>
      <c r="E348">
        <f t="shared" si="84"/>
        <v>1910830</v>
      </c>
      <c r="F348">
        <f t="shared" si="84"/>
        <v>2506992</v>
      </c>
      <c r="G348">
        <f t="shared" si="84"/>
        <v>2212601</v>
      </c>
      <c r="H348">
        <f t="shared" si="84"/>
        <v>727013</v>
      </c>
      <c r="I348">
        <f t="shared" si="84"/>
        <v>5076757</v>
      </c>
      <c r="J348">
        <f t="shared" si="84"/>
        <v>317026</v>
      </c>
      <c r="K348">
        <f t="shared" si="84"/>
        <v>8164373</v>
      </c>
      <c r="L348">
        <f t="shared" si="84"/>
        <v>2274171</v>
      </c>
      <c r="M348">
        <f t="shared" si="84"/>
        <v>3619239</v>
      </c>
      <c r="N348">
        <f t="shared" si="84"/>
        <v>34081303</v>
      </c>
      <c r="O348">
        <f t="shared" si="84"/>
        <v>6718992</v>
      </c>
      <c r="P348">
        <f t="shared" si="84"/>
        <v>39272136</v>
      </c>
      <c r="Q348">
        <f t="shared" si="84"/>
        <v>313114</v>
      </c>
      <c r="R348">
        <f t="shared" si="84"/>
        <v>3104615</v>
      </c>
      <c r="S348">
        <f t="shared" si="84"/>
        <v>3469766</v>
      </c>
      <c r="T348">
        <f t="shared" si="84"/>
        <v>6367302</v>
      </c>
      <c r="U348">
        <f t="shared" si="84"/>
        <v>47725</v>
      </c>
      <c r="V348">
        <f t="shared" si="84"/>
        <v>4603439</v>
      </c>
      <c r="W348">
        <f t="shared" si="84"/>
        <v>69433265</v>
      </c>
      <c r="X348">
        <f t="shared" si="84"/>
        <v>64877551</v>
      </c>
      <c r="Y348">
        <f t="shared" si="71"/>
        <v>4555714</v>
      </c>
      <c r="Z348">
        <f>SUM(Z2:Z347)</f>
        <v>7006054</v>
      </c>
      <c r="AA348">
        <v>1247147367.999999</v>
      </c>
      <c r="AB348">
        <f>SUM(AB2:AB347)</f>
        <v>43506387</v>
      </c>
      <c r="AC348" s="128">
        <v>34031561.997406185</v>
      </c>
      <c r="AD348">
        <f>SUM(AD2:AD347)</f>
        <v>17475415</v>
      </c>
      <c r="AE348" t="s">
        <v>442</v>
      </c>
      <c r="AF348" s="188">
        <f t="shared" si="72"/>
        <v>1.1960319019997116E-2</v>
      </c>
      <c r="AG348" s="188">
        <f t="shared" si="73"/>
        <v>0.47560119778322396</v>
      </c>
      <c r="AH348" s="188">
        <f t="shared" si="74"/>
        <v>6.7973081778597053E-2</v>
      </c>
      <c r="AI348" s="188">
        <f t="shared" si="75"/>
        <v>7.7682980916999947E-2</v>
      </c>
      <c r="AJ348" s="188">
        <f t="shared" si="76"/>
        <v>0.42937988095475565</v>
      </c>
      <c r="AK348" s="188">
        <f t="shared" si="77"/>
        <v>0.36518070589217544</v>
      </c>
      <c r="AL348" s="188">
        <f t="shared" si="78"/>
        <v>6.5612844218113614E-2</v>
      </c>
      <c r="AM348" s="188">
        <v>-1.2999999999999999E-2</v>
      </c>
      <c r="AN348" s="188">
        <v>-3.0000000000000001E-3</v>
      </c>
      <c r="AO348">
        <f t="shared" si="79"/>
        <v>2</v>
      </c>
      <c r="AP348" s="188">
        <f t="shared" si="80"/>
        <v>2.5225855359099131E-2</v>
      </c>
      <c r="AQ348" s="188">
        <f t="shared" si="81"/>
        <v>1.796181366381084E-2</v>
      </c>
      <c r="AR348" s="188">
        <f t="shared" si="82"/>
        <v>0.62659284422243433</v>
      </c>
      <c r="AS348" s="128">
        <f t="shared" si="83"/>
        <v>1947.3964994482926</v>
      </c>
      <c r="AT348" s="188">
        <v>0.24150000000000002</v>
      </c>
      <c r="AU348" s="238">
        <v>4.8300000000000003E-2</v>
      </c>
      <c r="AV348">
        <v>9</v>
      </c>
      <c r="AY348" t="s">
        <v>609</v>
      </c>
      <c r="AZ348" s="129">
        <v>1930.436443495988</v>
      </c>
      <c r="BA348" t="s">
        <v>118</v>
      </c>
    </row>
    <row r="349" spans="1:55" x14ac:dyDescent="0.25">
      <c r="AY349" t="s">
        <v>140</v>
      </c>
      <c r="AZ349" s="129">
        <v>1835.4355172713877</v>
      </c>
      <c r="BA349" t="s">
        <v>118</v>
      </c>
    </row>
    <row r="350" spans="1:55" x14ac:dyDescent="0.25">
      <c r="U350" s="339">
        <f>SUMIF(U2:U347,"&lt;0")</f>
        <v>-36264</v>
      </c>
      <c r="AY350" t="s">
        <v>209</v>
      </c>
      <c r="AZ350" s="129">
        <v>1638.668729497489</v>
      </c>
      <c r="BA350" t="s">
        <v>118</v>
      </c>
    </row>
    <row r="351" spans="1:55" x14ac:dyDescent="0.25">
      <c r="A351" t="s">
        <v>256</v>
      </c>
      <c r="B351">
        <v>2347</v>
      </c>
      <c r="C351">
        <v>24182</v>
      </c>
      <c r="D351">
        <v>111955</v>
      </c>
      <c r="E351">
        <v>218</v>
      </c>
      <c r="F351">
        <v>0</v>
      </c>
      <c r="G351">
        <v>0</v>
      </c>
      <c r="H351">
        <v>508</v>
      </c>
      <c r="I351">
        <v>38916</v>
      </c>
      <c r="J351">
        <v>17</v>
      </c>
      <c r="K351">
        <v>25211</v>
      </c>
      <c r="L351">
        <v>433</v>
      </c>
      <c r="M351">
        <v>5988</v>
      </c>
      <c r="N351">
        <v>91909</v>
      </c>
      <c r="O351">
        <v>32668</v>
      </c>
      <c r="P351">
        <v>46672</v>
      </c>
      <c r="Q351">
        <v>284</v>
      </c>
      <c r="R351">
        <v>15500</v>
      </c>
      <c r="S351">
        <v>12265</v>
      </c>
      <c r="T351">
        <v>10496</v>
      </c>
      <c r="U351">
        <f>SUM(V351,-Y351)</f>
        <v>552</v>
      </c>
      <c r="V351">
        <v>-5114</v>
      </c>
      <c r="W351">
        <v>193941</v>
      </c>
      <c r="X351">
        <v>199607</v>
      </c>
      <c r="Y351">
        <f>SUM(W351,-X351)</f>
        <v>-5666</v>
      </c>
      <c r="Z351">
        <v>-9141</v>
      </c>
      <c r="AA351">
        <v>3054205.9999999981</v>
      </c>
      <c r="AB351">
        <v>115125</v>
      </c>
      <c r="AC351" s="128">
        <v>100457.30014768607</v>
      </c>
      <c r="AD351">
        <v>58387</v>
      </c>
      <c r="AE351" t="s">
        <v>256</v>
      </c>
      <c r="AF351" s="188">
        <f>SUM(R351,-L351)/W351</f>
        <v>7.7688575391485035E-2</v>
      </c>
      <c r="AG351" s="188">
        <f>SUM(P351,Q351,R351,S351,T351,-F351,-G351,-H351,-K351,-L351,-M351)/W351</f>
        <v>0.27367601487050186</v>
      </c>
      <c r="AH351" s="188">
        <f>SUM(F351,G351)/W351</f>
        <v>0</v>
      </c>
      <c r="AI351" s="188">
        <f>SUM(I351,J351)/W351</f>
        <v>0.20074661881706293</v>
      </c>
      <c r="AJ351" s="188">
        <f>SUM(AG351,0.12*AH351,-0.7*AI351)</f>
        <v>0.13315338169855781</v>
      </c>
      <c r="AK351" s="188">
        <f>N351/SUM(N351,O351,P351,Q351,R351,S351,T351)</f>
        <v>0.43809165181082393</v>
      </c>
      <c r="AL351" s="188">
        <f>Y351/W351</f>
        <v>-2.9215070562696902E-2</v>
      </c>
      <c r="AM351" s="188">
        <v>-5.4457742495217148E-2</v>
      </c>
      <c r="AN351" s="188">
        <v>5.7526336991418354E-2</v>
      </c>
      <c r="AO351">
        <f>COUNTIF(AL351:AN351,"&lt;0")</f>
        <v>2</v>
      </c>
      <c r="AP351" s="188">
        <f>Z351/(4*W351)</f>
        <v>-1.1783222732686746E-2</v>
      </c>
      <c r="AQ351" s="188">
        <f>AA351/(W351*1000)</f>
        <v>1.5748119273387259E-2</v>
      </c>
      <c r="AR351" s="188">
        <f>AB351/W351</f>
        <v>0.59360836543072382</v>
      </c>
      <c r="AS351" s="128">
        <f>AC351*1000/AD351</f>
        <v>1720.5422465221036</v>
      </c>
      <c r="AT351" s="188">
        <v>0.29449999999999998</v>
      </c>
      <c r="AU351" s="238">
        <v>5.8900000000000001E-2</v>
      </c>
      <c r="AV351">
        <v>6.5</v>
      </c>
      <c r="AY351" t="s">
        <v>210</v>
      </c>
      <c r="AZ351" s="129">
        <v>2325.3810774516342</v>
      </c>
      <c r="BA351" t="s">
        <v>118</v>
      </c>
      <c r="BC351">
        <v>1</v>
      </c>
    </row>
    <row r="352" spans="1:55" x14ac:dyDescent="0.25">
      <c r="A352" t="s">
        <v>264</v>
      </c>
      <c r="B352">
        <v>300</v>
      </c>
      <c r="C352">
        <v>7865</v>
      </c>
      <c r="D352">
        <v>73808</v>
      </c>
      <c r="E352">
        <v>21</v>
      </c>
      <c r="F352">
        <v>3743</v>
      </c>
      <c r="G352">
        <v>34</v>
      </c>
      <c r="H352">
        <v>0</v>
      </c>
      <c r="I352">
        <v>0</v>
      </c>
      <c r="J352">
        <v>20172</v>
      </c>
      <c r="K352">
        <v>12639</v>
      </c>
      <c r="L352">
        <v>171</v>
      </c>
      <c r="M352">
        <v>4265</v>
      </c>
      <c r="N352">
        <v>21315</v>
      </c>
      <c r="O352">
        <v>9239</v>
      </c>
      <c r="P352">
        <v>73178</v>
      </c>
      <c r="Q352">
        <v>0</v>
      </c>
      <c r="R352">
        <v>6500</v>
      </c>
      <c r="S352">
        <v>11746</v>
      </c>
      <c r="T352">
        <v>1055</v>
      </c>
      <c r="U352">
        <f>SUM(V352,-Y352)</f>
        <v>-2</v>
      </c>
      <c r="V352">
        <v>-766</v>
      </c>
      <c r="W352">
        <v>82376</v>
      </c>
      <c r="X352">
        <v>83140</v>
      </c>
      <c r="Y352">
        <f>SUM(W352,-X352)</f>
        <v>-764</v>
      </c>
      <c r="Z352">
        <v>12946</v>
      </c>
      <c r="AA352">
        <v>2929108.9999999991</v>
      </c>
      <c r="AB352">
        <v>41890</v>
      </c>
      <c r="AC352" s="128">
        <v>52553.122040242444</v>
      </c>
      <c r="AD352">
        <v>28335</v>
      </c>
      <c r="AE352" t="s">
        <v>264</v>
      </c>
      <c r="AF352" s="188">
        <f>SUM(R352,-L352)/W352</f>
        <v>7.6830630280664267E-2</v>
      </c>
      <c r="AG352" s="188">
        <f>SUM(P352,Q352,R352,S352,T352,-F352,-G352,-H352,-K352,-L352,-M352)/W352</f>
        <v>0.86951296494124497</v>
      </c>
      <c r="AH352" s="188">
        <f>SUM(F352,G352)/W352</f>
        <v>4.5850733223268915E-2</v>
      </c>
      <c r="AI352" s="188">
        <f>SUM(I352,J352)/W352</f>
        <v>0.24487714868408275</v>
      </c>
      <c r="AJ352" s="188">
        <f>SUM(AG352,0.12*AH352,-0.7*AI352)</f>
        <v>0.70360104884917929</v>
      </c>
      <c r="AK352" s="188">
        <f>N352/SUM(N352,O352,P352,Q352,R352,S352,T352)</f>
        <v>0.17324620223842382</v>
      </c>
      <c r="AL352" s="188">
        <f>Y352/W352</f>
        <v>-9.2745459842672618E-3</v>
      </c>
      <c r="AM352" s="188">
        <v>3.9701651849055625E-3</v>
      </c>
      <c r="AN352" s="188">
        <v>-5.22851807634616E-2</v>
      </c>
      <c r="AO352">
        <f>COUNTIF(AL352:AN352,"&lt;0")</f>
        <v>2</v>
      </c>
      <c r="AP352" s="188">
        <f>Z352/(4*W352)</f>
        <v>3.928935612314266E-2</v>
      </c>
      <c r="AQ352" s="188">
        <f>AA352/(W352*1000)</f>
        <v>3.5557795959988335E-2</v>
      </c>
      <c r="AR352" s="188">
        <f>AB352/W352</f>
        <v>0.50852189958240268</v>
      </c>
      <c r="AS352" s="128">
        <f>AC352*1000/AD352</f>
        <v>1854.7069715984628</v>
      </c>
      <c r="AT352" s="188">
        <v>0.24400000000000002</v>
      </c>
      <c r="AU352" s="238">
        <v>4.8800000000000003E-2</v>
      </c>
      <c r="AV352">
        <v>7.5</v>
      </c>
      <c r="AY352" t="s">
        <v>282</v>
      </c>
      <c r="AZ352" s="129">
        <v>1818.9196959649285</v>
      </c>
      <c r="BA352" t="s">
        <v>118</v>
      </c>
    </row>
    <row r="353" spans="1:55" x14ac:dyDescent="0.25">
      <c r="A353" t="s">
        <v>867</v>
      </c>
      <c r="B353">
        <f>SUM(B351:B352)</f>
        <v>2647</v>
      </c>
      <c r="C353">
        <f t="shared" ref="C353:AD353" si="85">SUM(C351:C352)</f>
        <v>32047</v>
      </c>
      <c r="D353">
        <f t="shared" si="85"/>
        <v>185763</v>
      </c>
      <c r="E353">
        <f t="shared" si="85"/>
        <v>239</v>
      </c>
      <c r="F353">
        <f t="shared" si="85"/>
        <v>3743</v>
      </c>
      <c r="G353">
        <f t="shared" si="85"/>
        <v>34</v>
      </c>
      <c r="H353">
        <f t="shared" si="85"/>
        <v>508</v>
      </c>
      <c r="I353">
        <f t="shared" si="85"/>
        <v>38916</v>
      </c>
      <c r="J353">
        <f t="shared" si="85"/>
        <v>20189</v>
      </c>
      <c r="K353">
        <f t="shared" si="85"/>
        <v>37850</v>
      </c>
      <c r="L353">
        <f t="shared" si="85"/>
        <v>604</v>
      </c>
      <c r="M353">
        <f t="shared" si="85"/>
        <v>10253</v>
      </c>
      <c r="N353">
        <f t="shared" si="85"/>
        <v>113224</v>
      </c>
      <c r="O353">
        <f t="shared" si="85"/>
        <v>41907</v>
      </c>
      <c r="P353">
        <f t="shared" si="85"/>
        <v>119850</v>
      </c>
      <c r="Q353">
        <f t="shared" si="85"/>
        <v>284</v>
      </c>
      <c r="R353">
        <f t="shared" si="85"/>
        <v>22000</v>
      </c>
      <c r="S353">
        <f t="shared" si="85"/>
        <v>24011</v>
      </c>
      <c r="T353">
        <f t="shared" si="85"/>
        <v>11551</v>
      </c>
      <c r="U353">
        <f t="shared" si="85"/>
        <v>550</v>
      </c>
      <c r="V353">
        <f t="shared" si="85"/>
        <v>-5880</v>
      </c>
      <c r="W353">
        <f t="shared" si="85"/>
        <v>276317</v>
      </c>
      <c r="X353">
        <f t="shared" si="85"/>
        <v>282747</v>
      </c>
      <c r="Y353">
        <f t="shared" si="85"/>
        <v>-6430</v>
      </c>
      <c r="Z353">
        <f t="shared" si="85"/>
        <v>3805</v>
      </c>
      <c r="AA353">
        <f t="shared" si="85"/>
        <v>5983314.9999999972</v>
      </c>
      <c r="AB353">
        <f t="shared" si="85"/>
        <v>157015</v>
      </c>
      <c r="AC353" s="128">
        <f t="shared" si="85"/>
        <v>153010.42218792852</v>
      </c>
      <c r="AD353">
        <f t="shared" si="85"/>
        <v>86722</v>
      </c>
      <c r="AE353" t="s">
        <v>867</v>
      </c>
      <c r="AF353" s="188">
        <f>SUM(R353,-L353)/W353</f>
        <v>7.7432803627717442E-2</v>
      </c>
      <c r="AG353" s="188">
        <f>SUM(P353,Q353,R353,S353,T353,-F353,-G353,-H353,-K353,-L353,-M353)/W353</f>
        <v>0.45130773712800876</v>
      </c>
      <c r="AH353" s="188">
        <f>SUM(F353,G353)/W353</f>
        <v>1.3669082973541259E-2</v>
      </c>
      <c r="AI353" s="188">
        <f>SUM(I353,J353)/W353</f>
        <v>0.21390287242551129</v>
      </c>
      <c r="AJ353" s="188">
        <f>SUM(AG353,0.12*AH353,-0.7*AI353)</f>
        <v>0.30321601638697582</v>
      </c>
      <c r="AK353" s="188">
        <f>N353/SUM(N353,O353,P353,Q353,R353,S353,T353)</f>
        <v>0.34018874670624677</v>
      </c>
      <c r="AL353" s="188">
        <f>Y353/W353</f>
        <v>-2.327037424407474E-2</v>
      </c>
      <c r="AM353" s="188">
        <v>-0.05</v>
      </c>
      <c r="AN353" s="188">
        <v>6.0000000000000002E-5</v>
      </c>
      <c r="AO353">
        <f>COUNTIF(AL353:AN353,"&lt;0")</f>
        <v>2</v>
      </c>
      <c r="AP353" s="188">
        <f>Z353/(4*W353)</f>
        <v>3.4426039657350074E-3</v>
      </c>
      <c r="AQ353" s="188">
        <f>AA353/(W353*1000)</f>
        <v>2.1653807040464382E-2</v>
      </c>
      <c r="AR353" s="188">
        <f>AB353/W353</f>
        <v>0.56824227246242542</v>
      </c>
      <c r="AS353" s="128">
        <f>AC353*1000/AD353</f>
        <v>1764.3783836619143</v>
      </c>
      <c r="AT353" s="188">
        <f>SUM(AT351:AT352)/2</f>
        <v>0.26924999999999999</v>
      </c>
      <c r="AU353" s="188">
        <f>SUM(AU351:AU352)/2</f>
        <v>5.3850000000000002E-2</v>
      </c>
      <c r="AV353">
        <v>7</v>
      </c>
      <c r="AY353" t="s">
        <v>237</v>
      </c>
      <c r="AZ353" s="129">
        <v>1761.9350617153041</v>
      </c>
      <c r="BA353" t="s">
        <v>118</v>
      </c>
    </row>
    <row r="354" spans="1:55" x14ac:dyDescent="0.25">
      <c r="AY354" t="s">
        <v>212</v>
      </c>
      <c r="AZ354" s="129">
        <v>2011.0321373657885</v>
      </c>
      <c r="BA354" t="s">
        <v>118</v>
      </c>
      <c r="BC354">
        <v>1</v>
      </c>
    </row>
    <row r="355" spans="1:55" x14ac:dyDescent="0.25">
      <c r="A355" t="s">
        <v>242</v>
      </c>
      <c r="B355">
        <v>0</v>
      </c>
      <c r="C355">
        <v>3293</v>
      </c>
      <c r="D355">
        <v>16096</v>
      </c>
      <c r="E355">
        <v>230</v>
      </c>
      <c r="F355">
        <v>0</v>
      </c>
      <c r="G355">
        <v>360</v>
      </c>
      <c r="H355">
        <v>0</v>
      </c>
      <c r="I355">
        <v>0</v>
      </c>
      <c r="J355">
        <v>0</v>
      </c>
      <c r="K355">
        <v>3906</v>
      </c>
      <c r="L355">
        <v>536</v>
      </c>
      <c r="M355">
        <v>1710</v>
      </c>
      <c r="N355">
        <v>9231</v>
      </c>
      <c r="O355">
        <v>1420</v>
      </c>
      <c r="P355">
        <v>9747</v>
      </c>
      <c r="Q355">
        <v>0</v>
      </c>
      <c r="R355">
        <v>1500</v>
      </c>
      <c r="S355">
        <v>872</v>
      </c>
      <c r="T355">
        <v>3359</v>
      </c>
      <c r="U355">
        <f>SUM(V355,-Y355)</f>
        <v>0</v>
      </c>
      <c r="V355">
        <v>-100</v>
      </c>
      <c r="W355">
        <v>23730</v>
      </c>
      <c r="X355">
        <v>23830</v>
      </c>
      <c r="Y355">
        <f>SUM(W355,-X355)</f>
        <v>-100</v>
      </c>
      <c r="Z355">
        <v>-2210</v>
      </c>
      <c r="AA355">
        <v>1363210.9999999995</v>
      </c>
      <c r="AB355">
        <v>15427</v>
      </c>
      <c r="AC355" s="128">
        <v>13774.711415454512</v>
      </c>
      <c r="AD355">
        <v>10110</v>
      </c>
      <c r="AE355" t="s">
        <v>242</v>
      </c>
      <c r="AF355" s="188">
        <f>SUM(R355,-L355)/W355</f>
        <v>4.0623683101559206E-2</v>
      </c>
      <c r="AG355" s="188">
        <f>SUM(P355,Q355,R355,S355,T355,-F355,-G355,-H355,-K355,-L355,-M355)/W355</f>
        <v>0.37783396544458492</v>
      </c>
      <c r="AH355" s="188">
        <f>SUM(F355,G355)/W355</f>
        <v>1.5170670037926675E-2</v>
      </c>
      <c r="AI355" s="188">
        <f>SUM(I355,J355)/W355</f>
        <v>0</v>
      </c>
      <c r="AJ355" s="188">
        <f>SUM(AG355,0.12*AH355,-0.7*AI355)</f>
        <v>0.3796544458491361</v>
      </c>
      <c r="AK355" s="188">
        <f>N355/SUM(N355,O355,P355,Q355,R355,S355,T355)</f>
        <v>0.35328562134027325</v>
      </c>
      <c r="AL355" s="188">
        <f>Y355/W355</f>
        <v>-4.2140750105351876E-3</v>
      </c>
      <c r="AM355" s="188">
        <v>5.2081863091037406E-2</v>
      </c>
      <c r="AN355" s="188">
        <v>-4.9675937320534908E-2</v>
      </c>
      <c r="AO355">
        <f>COUNTIF(AL355:AN355,"&lt;0")</f>
        <v>2</v>
      </c>
      <c r="AP355" s="188">
        <f>Z355/(4*W355)</f>
        <v>-2.3282764433206912E-2</v>
      </c>
      <c r="AQ355" s="188">
        <f>AA355/(W355*1000)</f>
        <v>5.7446734091866819E-2</v>
      </c>
      <c r="AR355" s="188">
        <f>AB355/W355</f>
        <v>0.65010535187526342</v>
      </c>
      <c r="AS355" s="128">
        <f>AC355*1000/AD355</f>
        <v>1362.4838195306145</v>
      </c>
      <c r="AT355" s="188">
        <v>0.22999999999999998</v>
      </c>
      <c r="AU355" s="238">
        <v>4.5999999999999999E-2</v>
      </c>
      <c r="AV355">
        <v>6</v>
      </c>
      <c r="AY355" t="s">
        <v>329</v>
      </c>
      <c r="AZ355" s="129">
        <v>1896.0822529054258</v>
      </c>
      <c r="BA355" t="s">
        <v>118</v>
      </c>
      <c r="BB355">
        <f>_xlfn.QUARTILE.INC(AZ238:AZ355,1)</f>
        <v>1591.3979320421988</v>
      </c>
      <c r="BC355">
        <f>SUM(BB355,-0.05*BB355)</f>
        <v>1511.8280354400888</v>
      </c>
    </row>
    <row r="356" spans="1:55" x14ac:dyDescent="0.25">
      <c r="A356" t="s">
        <v>270</v>
      </c>
      <c r="B356">
        <v>553</v>
      </c>
      <c r="C356">
        <v>27764</v>
      </c>
      <c r="D356">
        <v>221643</v>
      </c>
      <c r="E356">
        <v>38311</v>
      </c>
      <c r="F356">
        <v>10535</v>
      </c>
      <c r="G356">
        <v>4625</v>
      </c>
      <c r="H356">
        <v>0</v>
      </c>
      <c r="I356">
        <v>34838</v>
      </c>
      <c r="J356">
        <v>107</v>
      </c>
      <c r="K356">
        <v>14092</v>
      </c>
      <c r="L356" s="207">
        <f>-926+926</f>
        <v>0</v>
      </c>
      <c r="M356">
        <v>10615</v>
      </c>
      <c r="N356">
        <v>47411</v>
      </c>
      <c r="O356">
        <v>11288</v>
      </c>
      <c r="P356">
        <v>264596</v>
      </c>
      <c r="Q356">
        <v>17</v>
      </c>
      <c r="R356">
        <f>20000+926</f>
        <v>20926</v>
      </c>
      <c r="S356">
        <v>4242</v>
      </c>
      <c r="T356">
        <v>14603</v>
      </c>
      <c r="U356">
        <f>SUM(V356,-Y356)</f>
        <v>0</v>
      </c>
      <c r="V356">
        <v>1347</v>
      </c>
      <c r="W356">
        <v>262015</v>
      </c>
      <c r="X356">
        <v>260668</v>
      </c>
      <c r="Y356">
        <f>SUM(W356,-X356)</f>
        <v>1347</v>
      </c>
      <c r="Z356">
        <v>27814</v>
      </c>
      <c r="AA356">
        <v>9152816.9999999963</v>
      </c>
      <c r="AB356">
        <v>187155</v>
      </c>
      <c r="AC356" s="128">
        <v>138296.89675733179</v>
      </c>
      <c r="AD356">
        <v>81683</v>
      </c>
      <c r="AE356" t="s">
        <v>270</v>
      </c>
      <c r="AF356" s="188">
        <f>SUM(R356,-L356)/W356</f>
        <v>7.9865656546380934E-2</v>
      </c>
      <c r="AG356" s="188">
        <f>SUM(P356,Q356,R356,S356,T356,-F356,-G356,-H356,-K356,-L356,-M356)/W356</f>
        <v>1.0095490716180371</v>
      </c>
      <c r="AH356" s="188">
        <f>SUM(F356,G356)/W356</f>
        <v>5.78592828654848E-2</v>
      </c>
      <c r="AI356" s="188">
        <f>SUM(I356,J356)/W356</f>
        <v>0.13337022689540676</v>
      </c>
      <c r="AJ356" s="188">
        <f>SUM(AG356,0.12*AH356,-0.7*AI356)</f>
        <v>0.92313302673511066</v>
      </c>
      <c r="AK356" s="188">
        <f>N356/SUM(N356,O356,P356,Q356,R356,S356,T356)</f>
        <v>0.13057895853014326</v>
      </c>
      <c r="AL356" s="188">
        <f>Y356/W356</f>
        <v>5.1409270461614791E-3</v>
      </c>
      <c r="AM356" s="188">
        <v>5.0044754171728149E-2</v>
      </c>
      <c r="AN356" s="188">
        <v>-5.7301444081915413E-4</v>
      </c>
      <c r="AO356">
        <f>COUNTIF(AL356:AN356,"&lt;0")</f>
        <v>1</v>
      </c>
      <c r="AP356" s="188">
        <f>Z356/(4*W356)</f>
        <v>2.653855695284621E-2</v>
      </c>
      <c r="AQ356" s="188">
        <f>AA356/(W356*1000)</f>
        <v>3.4932416083048666E-2</v>
      </c>
      <c r="AR356" s="188">
        <f>AB356/W356</f>
        <v>0.71429116653626701</v>
      </c>
      <c r="AS356" s="128">
        <f>AC356*1000/AD356</f>
        <v>1693.092770311225</v>
      </c>
      <c r="AT356" s="188">
        <v>0.22499999999999998</v>
      </c>
      <c r="AU356" s="238">
        <v>4.4999999999999998E-2</v>
      </c>
      <c r="AV356">
        <v>8</v>
      </c>
      <c r="BB356">
        <f>_xlfn.QUARTILE.INC(AZ238:AZ355,3)</f>
        <v>1853.8948124583112</v>
      </c>
      <c r="BC356">
        <f>SUM(BB356,0.05*BB356)</f>
        <v>1946.5895530812268</v>
      </c>
    </row>
    <row r="357" spans="1:55" x14ac:dyDescent="0.25">
      <c r="A357" t="s">
        <v>270</v>
      </c>
      <c r="B357">
        <f>SUM(B355:B356)</f>
        <v>553</v>
      </c>
      <c r="C357">
        <f t="shared" ref="C357:AD357" si="86">SUM(C355:C356)</f>
        <v>31057</v>
      </c>
      <c r="D357">
        <f t="shared" si="86"/>
        <v>237739</v>
      </c>
      <c r="E357">
        <f t="shared" si="86"/>
        <v>38541</v>
      </c>
      <c r="F357">
        <f t="shared" si="86"/>
        <v>10535</v>
      </c>
      <c r="G357">
        <f t="shared" si="86"/>
        <v>4985</v>
      </c>
      <c r="H357">
        <f t="shared" si="86"/>
        <v>0</v>
      </c>
      <c r="I357">
        <f t="shared" si="86"/>
        <v>34838</v>
      </c>
      <c r="J357">
        <f t="shared" si="86"/>
        <v>107</v>
      </c>
      <c r="K357">
        <f t="shared" si="86"/>
        <v>17998</v>
      </c>
      <c r="L357">
        <f t="shared" si="86"/>
        <v>536</v>
      </c>
      <c r="M357">
        <f t="shared" si="86"/>
        <v>12325</v>
      </c>
      <c r="N357">
        <f t="shared" si="86"/>
        <v>56642</v>
      </c>
      <c r="O357">
        <f t="shared" si="86"/>
        <v>12708</v>
      </c>
      <c r="P357">
        <f t="shared" si="86"/>
        <v>274343</v>
      </c>
      <c r="Q357">
        <f t="shared" si="86"/>
        <v>17</v>
      </c>
      <c r="R357">
        <f t="shared" si="86"/>
        <v>22426</v>
      </c>
      <c r="S357">
        <f t="shared" si="86"/>
        <v>5114</v>
      </c>
      <c r="T357">
        <f t="shared" si="86"/>
        <v>17962</v>
      </c>
      <c r="U357">
        <f t="shared" si="86"/>
        <v>0</v>
      </c>
      <c r="V357">
        <f t="shared" si="86"/>
        <v>1247</v>
      </c>
      <c r="W357">
        <f t="shared" si="86"/>
        <v>285745</v>
      </c>
      <c r="X357">
        <f t="shared" si="86"/>
        <v>284498</v>
      </c>
      <c r="Y357">
        <f t="shared" si="86"/>
        <v>1247</v>
      </c>
      <c r="Z357">
        <f t="shared" si="86"/>
        <v>25604</v>
      </c>
      <c r="AA357">
        <f t="shared" si="86"/>
        <v>10516027.999999996</v>
      </c>
      <c r="AB357">
        <f t="shared" si="86"/>
        <v>202582</v>
      </c>
      <c r="AC357" s="128">
        <f t="shared" si="86"/>
        <v>152071.60817278631</v>
      </c>
      <c r="AD357">
        <f t="shared" si="86"/>
        <v>91793</v>
      </c>
      <c r="AE357" t="s">
        <v>270</v>
      </c>
      <c r="AF357" s="188">
        <f>SUM(R357,-L357)/W357</f>
        <v>7.6606764772786926E-2</v>
      </c>
      <c r="AG357" s="188">
        <f>SUM(P357,Q357,R357,S357,T357,-F357,-G357,-H357,-K357,-L357,-M357)/W357</f>
        <v>0.95708761308159374</v>
      </c>
      <c r="AH357" s="188">
        <f>SUM(F357,G357)/W357</f>
        <v>5.4314161227668023E-2</v>
      </c>
      <c r="AI357" s="188">
        <f>SUM(I357,J357)/W357</f>
        <v>0.12229435335701412</v>
      </c>
      <c r="AJ357" s="188">
        <f>SUM(AG357,0.12*AH357,-0.7*AI357)</f>
        <v>0.87799926507900405</v>
      </c>
      <c r="AK357" s="188">
        <f>N357/SUM(N357,O357,P357,Q357,R357,S357,T357)</f>
        <v>0.1455299425505894</v>
      </c>
      <c r="AL357" s="188">
        <f>Y357/W357</f>
        <v>4.3640308666818318E-3</v>
      </c>
      <c r="AM357" s="188">
        <v>5.0044754171728149E-2</v>
      </c>
      <c r="AN357" s="188">
        <v>-5.7301444081915413E-4</v>
      </c>
      <c r="AO357">
        <v>1</v>
      </c>
      <c r="AP357" s="188">
        <f>Z357/(4*W357)</f>
        <v>2.2401091882622619E-2</v>
      </c>
      <c r="AQ357" s="188">
        <f>AA357/(W357*1000)</f>
        <v>3.6802141769759739E-2</v>
      </c>
      <c r="AR357" s="188">
        <f>AB357/W357</f>
        <v>0.70896078671542806</v>
      </c>
      <c r="AS357" s="128">
        <f>AC357*1000/AD357</f>
        <v>1656.6797922803078</v>
      </c>
      <c r="AT357" s="188">
        <v>0.22499999999999998</v>
      </c>
      <c r="AU357" s="238">
        <v>4.4999999999999998E-2</v>
      </c>
      <c r="AV357">
        <v>7.5</v>
      </c>
    </row>
    <row r="359" spans="1:55" x14ac:dyDescent="0.25">
      <c r="A359" t="s">
        <v>119</v>
      </c>
      <c r="B359">
        <v>0</v>
      </c>
      <c r="C359">
        <v>3450</v>
      </c>
      <c r="D359">
        <v>19622</v>
      </c>
      <c r="E359">
        <v>678</v>
      </c>
      <c r="F359">
        <v>0</v>
      </c>
      <c r="G359">
        <v>680</v>
      </c>
      <c r="H359">
        <v>3</v>
      </c>
      <c r="I359">
        <v>519</v>
      </c>
      <c r="J359">
        <v>0</v>
      </c>
      <c r="K359">
        <v>2307</v>
      </c>
      <c r="L359">
        <v>19188</v>
      </c>
      <c r="M359">
        <v>73790</v>
      </c>
      <c r="N359">
        <v>17137</v>
      </c>
      <c r="O359">
        <v>1735</v>
      </c>
      <c r="P359">
        <v>5820</v>
      </c>
      <c r="Q359">
        <v>8</v>
      </c>
      <c r="R359" s="207">
        <f>-285+285</f>
        <v>0</v>
      </c>
      <c r="S359">
        <v>3104</v>
      </c>
      <c r="T359">
        <v>92719</v>
      </c>
      <c r="U359">
        <f>SUM(V359,-Y359)</f>
        <v>-27</v>
      </c>
      <c r="V359">
        <v>-2728</v>
      </c>
      <c r="W359">
        <v>61607</v>
      </c>
      <c r="X359">
        <v>64308</v>
      </c>
      <c r="Y359">
        <f>SUM(W359,-X359)</f>
        <v>-2701</v>
      </c>
      <c r="Z359">
        <v>2420</v>
      </c>
      <c r="AA359">
        <v>-1095191.0000000005</v>
      </c>
      <c r="AB359">
        <v>42721</v>
      </c>
      <c r="AC359" s="128">
        <v>26700.002237361605</v>
      </c>
      <c r="AD359">
        <v>11496</v>
      </c>
      <c r="AE359" t="s">
        <v>119</v>
      </c>
      <c r="AF359" s="188">
        <f>SUM(R359,-L359)/W359</f>
        <v>-0.31145811352606034</v>
      </c>
      <c r="AG359" s="188">
        <f>SUM(P359,Q359,R359,S359,T359,-F359,-G359,-H359,-K359,-L359,-M359)/W359</f>
        <v>9.2246011005242906E-2</v>
      </c>
      <c r="AH359" s="188">
        <f>SUM(F359,G359)/W359</f>
        <v>1.1037706754102618E-2</v>
      </c>
      <c r="AI359" s="188">
        <f>SUM(I359,J359)/W359</f>
        <v>8.4243673608518505E-3</v>
      </c>
      <c r="AJ359" s="188">
        <f>SUM(AG359,0.12*AH359,-0.7*AI359)</f>
        <v>8.7673478663138932E-2</v>
      </c>
      <c r="AK359" s="188">
        <f>N359/SUM(N359,O359,P359,Q359,R359,S359,T359)</f>
        <v>0.14218862789674999</v>
      </c>
      <c r="AL359" s="188">
        <f>Y359/W359</f>
        <v>-4.3842420504163489E-2</v>
      </c>
      <c r="AM359" s="188">
        <v>5.7596729120951255E-2</v>
      </c>
      <c r="AN359" s="188">
        <v>-8.2781772750681899E-3</v>
      </c>
      <c r="AO359">
        <f>COUNTIF(AL359:AN359,"&lt;0")</f>
        <v>2</v>
      </c>
      <c r="AP359" s="188">
        <f>Z359/(4*W359)</f>
        <v>9.8203126268118883E-3</v>
      </c>
      <c r="AQ359" s="188">
        <f>AA359/(W359*1000)</f>
        <v>-1.7777054555488832E-2</v>
      </c>
      <c r="AR359" s="188">
        <f>AB359/W359</f>
        <v>0.69344392682649703</v>
      </c>
      <c r="AS359" s="128">
        <f>AC359*1000/AD359</f>
        <v>2322.5471674810028</v>
      </c>
      <c r="AT359" s="188">
        <v>0.32550000000000001</v>
      </c>
      <c r="AU359" s="238">
        <v>6.5100000000000005E-2</v>
      </c>
      <c r="AV359">
        <v>4.5</v>
      </c>
    </row>
    <row r="360" spans="1:55" x14ac:dyDescent="0.25">
      <c r="A360" t="s">
        <v>120</v>
      </c>
      <c r="B360">
        <v>899</v>
      </c>
      <c r="C360">
        <v>1966</v>
      </c>
      <c r="D360">
        <v>95192</v>
      </c>
      <c r="E360">
        <v>2827</v>
      </c>
      <c r="F360">
        <v>4</v>
      </c>
      <c r="G360">
        <v>0</v>
      </c>
      <c r="H360">
        <v>1267</v>
      </c>
      <c r="I360">
        <v>-643</v>
      </c>
      <c r="J360">
        <v>3937</v>
      </c>
      <c r="K360">
        <v>19426</v>
      </c>
      <c r="L360" s="207">
        <f>-680+680</f>
        <v>0</v>
      </c>
      <c r="M360">
        <v>26083</v>
      </c>
      <c r="N360">
        <v>40664</v>
      </c>
      <c r="O360">
        <v>7746</v>
      </c>
      <c r="P360">
        <v>53425</v>
      </c>
      <c r="Q360">
        <v>0</v>
      </c>
      <c r="R360">
        <f>680</f>
        <v>680</v>
      </c>
      <c r="S360">
        <v>6001</v>
      </c>
      <c r="T360">
        <v>42436</v>
      </c>
      <c r="U360">
        <f>SUM(V360,-Y360)</f>
        <v>4</v>
      </c>
      <c r="V360">
        <v>556</v>
      </c>
      <c r="W360">
        <v>134947</v>
      </c>
      <c r="X360">
        <v>134395</v>
      </c>
      <c r="Y360">
        <f>SUM(W360,-X360)</f>
        <v>552</v>
      </c>
      <c r="Z360">
        <v>15816</v>
      </c>
      <c r="AA360">
        <v>-5478974.0000000009</v>
      </c>
      <c r="AB360">
        <v>85486</v>
      </c>
      <c r="AC360" s="128">
        <v>59755.630805530673</v>
      </c>
      <c r="AD360">
        <v>24596</v>
      </c>
      <c r="AE360" t="s">
        <v>120</v>
      </c>
      <c r="AF360" s="188">
        <f>SUM(R360,-L360)/W360</f>
        <v>5.0390153171245011E-3</v>
      </c>
      <c r="AG360" s="188">
        <f>SUM(P360,Q360,R360,S360,T360,-F360,-G360,-H360,-K360,-L360,-M360)/W360</f>
        <v>0.41321407663749471</v>
      </c>
      <c r="AH360" s="188">
        <f>SUM(F360,G360)/W360</f>
        <v>2.9641266571320593E-5</v>
      </c>
      <c r="AI360" s="188">
        <f>SUM(I360,J360)/W360</f>
        <v>2.4409583021482509E-2</v>
      </c>
      <c r="AJ360" s="188">
        <f>SUM(AG360,0.12*AH360,-0.7*AI360)</f>
        <v>0.39613092547444551</v>
      </c>
      <c r="AK360" s="188">
        <f>N360/SUM(N360,O360,P360,Q360,R360,S360,T360)</f>
        <v>0.26938364513222746</v>
      </c>
      <c r="AL360" s="188">
        <f>Y360/W360</f>
        <v>4.0904947868422416E-3</v>
      </c>
      <c r="AM360" s="188">
        <v>4.3928643455622168E-2</v>
      </c>
      <c r="AN360" s="188">
        <v>4.9225413737727305E-2</v>
      </c>
      <c r="AO360">
        <f>COUNTIF(AL360:AN360,"&lt;0")</f>
        <v>0</v>
      </c>
      <c r="AP360" s="188">
        <f>Z360/(4*W360)</f>
        <v>2.9300392005750405E-2</v>
      </c>
      <c r="AQ360" s="188">
        <f>AA360/(W360*1000)</f>
        <v>-4.0600932217833674E-2</v>
      </c>
      <c r="AR360" s="188">
        <f>AB360/W360</f>
        <v>0.63347832852897801</v>
      </c>
      <c r="AS360" s="128">
        <f>AC360*1000/AD360</f>
        <v>2429.4857214803496</v>
      </c>
      <c r="AT360" s="188">
        <v>0.25850000000000001</v>
      </c>
      <c r="AU360" s="238">
        <v>5.1700000000000003E-2</v>
      </c>
      <c r="AV360">
        <v>7</v>
      </c>
    </row>
    <row r="361" spans="1:55" x14ac:dyDescent="0.25">
      <c r="A361" t="s">
        <v>122</v>
      </c>
      <c r="B361">
        <v>28</v>
      </c>
      <c r="C361">
        <v>1533</v>
      </c>
      <c r="D361">
        <v>41577</v>
      </c>
      <c r="E361">
        <v>183</v>
      </c>
      <c r="F361">
        <v>0</v>
      </c>
      <c r="G361">
        <v>1956</v>
      </c>
      <c r="H361">
        <v>0</v>
      </c>
      <c r="I361">
        <v>1043</v>
      </c>
      <c r="J361">
        <v>0</v>
      </c>
      <c r="K361">
        <v>2231</v>
      </c>
      <c r="L361">
        <v>4191</v>
      </c>
      <c r="M361">
        <v>4463</v>
      </c>
      <c r="N361">
        <v>11971</v>
      </c>
      <c r="O361">
        <v>1261</v>
      </c>
      <c r="P361">
        <v>27224</v>
      </c>
      <c r="Q361">
        <v>6</v>
      </c>
      <c r="R361">
        <v>0</v>
      </c>
      <c r="S361">
        <v>2404</v>
      </c>
      <c r="T361">
        <v>14341</v>
      </c>
      <c r="U361">
        <f>SUM(V361,-Y361)</f>
        <v>-2</v>
      </c>
      <c r="V361">
        <v>-4606</v>
      </c>
      <c r="W361">
        <v>35598</v>
      </c>
      <c r="X361">
        <v>40202</v>
      </c>
      <c r="Y361">
        <f>SUM(W361,-X361)</f>
        <v>-4604</v>
      </c>
      <c r="Z361">
        <v>12525</v>
      </c>
      <c r="AA361">
        <v>381509</v>
      </c>
      <c r="AB361">
        <v>25852</v>
      </c>
      <c r="AC361" s="128">
        <v>22005.441478868132</v>
      </c>
      <c r="AD361">
        <v>9495</v>
      </c>
      <c r="AE361" t="s">
        <v>122</v>
      </c>
      <c r="AF361" s="188">
        <f>SUM(R361,-L361)/W361</f>
        <v>-0.11773133322096747</v>
      </c>
      <c r="AG361" s="188">
        <f>SUM(P361,Q361,R361,S361,T361,-F361,-G361,-H361,-K361,-L361,-M361)/W361</f>
        <v>0.87459969661216919</v>
      </c>
      <c r="AH361" s="188">
        <f>SUM(F361,G361)/W361</f>
        <v>5.4946907129614024E-2</v>
      </c>
      <c r="AI361" s="188">
        <f>SUM(I361,J361)/W361</f>
        <v>2.9299398842631608E-2</v>
      </c>
      <c r="AJ361" s="188">
        <f>SUM(AG361,0.12*AH361,-0.7*AI361)</f>
        <v>0.8606837462778808</v>
      </c>
      <c r="AK361" s="188">
        <f>N361/SUM(N361,O361,P361,Q361,R361,S361,T361)</f>
        <v>0.20925760833464435</v>
      </c>
      <c r="AL361" s="188">
        <f>Y361/W361</f>
        <v>-0.12933310860160682</v>
      </c>
      <c r="AM361" s="188">
        <v>2.4611985952192137E-2</v>
      </c>
      <c r="AN361" s="188">
        <v>8.2048171893952526E-2</v>
      </c>
      <c r="AO361">
        <f>COUNTIF(AL361:AN361,"&lt;0")</f>
        <v>1</v>
      </c>
      <c r="AP361" s="188">
        <f>Z361/(4*W361)</f>
        <v>8.7961402325973367E-2</v>
      </c>
      <c r="AQ361" s="188">
        <f>AA361/(W361*1000)</f>
        <v>1.0717147030732064E-2</v>
      </c>
      <c r="AR361" s="188">
        <f>AB361/W361</f>
        <v>0.72622057418956121</v>
      </c>
      <c r="AS361" s="128">
        <f>AC361*1000/AD361</f>
        <v>2317.5820409550429</v>
      </c>
      <c r="AT361" s="188">
        <v>0.45100000000000001</v>
      </c>
      <c r="AU361" s="238">
        <v>9.0200000000000002E-2</v>
      </c>
      <c r="AV361">
        <v>5.5</v>
      </c>
    </row>
    <row r="362" spans="1:55" x14ac:dyDescent="0.25">
      <c r="A362" t="s">
        <v>754</v>
      </c>
      <c r="B362">
        <f>SUM(B359:B361)</f>
        <v>927</v>
      </c>
      <c r="C362">
        <f t="shared" ref="C362:AD362" si="87">SUM(C359:C361)</f>
        <v>6949</v>
      </c>
      <c r="D362">
        <f t="shared" si="87"/>
        <v>156391</v>
      </c>
      <c r="E362">
        <f t="shared" si="87"/>
        <v>3688</v>
      </c>
      <c r="F362">
        <f t="shared" si="87"/>
        <v>4</v>
      </c>
      <c r="G362">
        <f t="shared" si="87"/>
        <v>2636</v>
      </c>
      <c r="H362">
        <f t="shared" si="87"/>
        <v>1270</v>
      </c>
      <c r="I362">
        <f t="shared" si="87"/>
        <v>919</v>
      </c>
      <c r="J362">
        <f t="shared" si="87"/>
        <v>3937</v>
      </c>
      <c r="K362">
        <f t="shared" si="87"/>
        <v>23964</v>
      </c>
      <c r="L362">
        <f t="shared" si="87"/>
        <v>23379</v>
      </c>
      <c r="M362">
        <f t="shared" si="87"/>
        <v>104336</v>
      </c>
      <c r="N362">
        <f t="shared" si="87"/>
        <v>69772</v>
      </c>
      <c r="O362">
        <f t="shared" si="87"/>
        <v>10742</v>
      </c>
      <c r="P362">
        <f t="shared" si="87"/>
        <v>86469</v>
      </c>
      <c r="Q362">
        <f t="shared" si="87"/>
        <v>14</v>
      </c>
      <c r="R362">
        <f t="shared" si="87"/>
        <v>680</v>
      </c>
      <c r="S362">
        <f t="shared" si="87"/>
        <v>11509</v>
      </c>
      <c r="T362">
        <f t="shared" si="87"/>
        <v>149496</v>
      </c>
      <c r="U362">
        <f t="shared" si="87"/>
        <v>-25</v>
      </c>
      <c r="V362">
        <f t="shared" si="87"/>
        <v>-6778</v>
      </c>
      <c r="W362">
        <f t="shared" si="87"/>
        <v>232152</v>
      </c>
      <c r="X362">
        <f t="shared" si="87"/>
        <v>238905</v>
      </c>
      <c r="Y362">
        <f t="shared" si="87"/>
        <v>-6753</v>
      </c>
      <c r="Z362">
        <f t="shared" si="87"/>
        <v>30761</v>
      </c>
      <c r="AA362">
        <f t="shared" si="87"/>
        <v>-6192656.0000000019</v>
      </c>
      <c r="AB362">
        <f t="shared" si="87"/>
        <v>154059</v>
      </c>
      <c r="AC362" s="128">
        <f t="shared" si="87"/>
        <v>108461.07452176041</v>
      </c>
      <c r="AD362">
        <f t="shared" si="87"/>
        <v>45587</v>
      </c>
      <c r="AE362" t="s">
        <v>754</v>
      </c>
      <c r="AF362" s="188">
        <f>SUM(R362,-L362)/W362</f>
        <v>-9.777645680416279E-2</v>
      </c>
      <c r="AG362" s="188">
        <f>SUM(P362,Q362,R362,S362,T362,-F362,-G362,-H362,-K362,-L362,-M362)/W362</f>
        <v>0.398786140115097</v>
      </c>
      <c r="AH362" s="188">
        <f>SUM(F362,G362)/W362</f>
        <v>1.1371859815982632E-2</v>
      </c>
      <c r="AI362" s="188">
        <f>SUM(I362,J362)/W362</f>
        <v>2.0917330025155931E-2</v>
      </c>
      <c r="AJ362" s="188">
        <f>SUM(AG362,0.12*AH362,-0.7*AI362)</f>
        <v>0.38550863227540577</v>
      </c>
      <c r="AK362" s="188">
        <f>N362/SUM(N362,O362,P362,Q362,R362,S362,T362)</f>
        <v>0.21227812901223675</v>
      </c>
      <c r="AL362" s="188">
        <f>Y362/W362</f>
        <v>-2.9088700506564664E-2</v>
      </c>
      <c r="AM362" s="188">
        <v>4.3928643455622168E-2</v>
      </c>
      <c r="AN362" s="188">
        <v>4.9225413737727305E-2</v>
      </c>
      <c r="AO362">
        <v>1</v>
      </c>
      <c r="AP362" s="188">
        <f>Z362/(4*W362)</f>
        <v>3.3125926117371376E-2</v>
      </c>
      <c r="AQ362" s="188">
        <f>AA362/(W362*1000)</f>
        <v>-2.6675006030531728E-2</v>
      </c>
      <c r="AR362" s="188">
        <f>AB362/W362</f>
        <v>0.66361263310245011</v>
      </c>
      <c r="AS362" s="128">
        <f>AC362*1000/AD362</f>
        <v>2379.2106197328276</v>
      </c>
      <c r="AT362" s="188">
        <v>0.25850000000000001</v>
      </c>
      <c r="AU362" s="238">
        <v>5.1700000000000003E-2</v>
      </c>
      <c r="AV362">
        <v>7.5</v>
      </c>
    </row>
    <row r="364" spans="1:55" x14ac:dyDescent="0.25">
      <c r="A364" t="s">
        <v>352</v>
      </c>
      <c r="B364">
        <v>3818</v>
      </c>
      <c r="C364">
        <v>5116</v>
      </c>
      <c r="D364">
        <v>84499</v>
      </c>
      <c r="E364">
        <v>135</v>
      </c>
      <c r="F364">
        <v>0</v>
      </c>
      <c r="G364">
        <v>4096</v>
      </c>
      <c r="H364">
        <v>0</v>
      </c>
      <c r="I364">
        <v>27466</v>
      </c>
      <c r="J364">
        <v>0</v>
      </c>
      <c r="K364">
        <v>7457</v>
      </c>
      <c r="L364">
        <v>3582</v>
      </c>
      <c r="M364">
        <v>246</v>
      </c>
      <c r="N364">
        <v>42982</v>
      </c>
      <c r="O364">
        <v>8102</v>
      </c>
      <c r="P364">
        <v>60850</v>
      </c>
      <c r="Q364">
        <v>0</v>
      </c>
      <c r="R364">
        <v>6000</v>
      </c>
      <c r="S364">
        <v>11149</v>
      </c>
      <c r="T364">
        <v>7334</v>
      </c>
      <c r="U364">
        <f>SUM(V364,-Y364)</f>
        <v>-5</v>
      </c>
      <c r="V364">
        <v>2486</v>
      </c>
      <c r="W364">
        <v>78185</v>
      </c>
      <c r="X364">
        <v>75694</v>
      </c>
      <c r="Y364">
        <f>SUM(W364,-X364)</f>
        <v>2491</v>
      </c>
      <c r="Z364">
        <v>5815</v>
      </c>
      <c r="AA364">
        <v>2253420.9999999981</v>
      </c>
      <c r="AB364">
        <v>53942</v>
      </c>
      <c r="AC364" s="128">
        <v>39346.506624130678</v>
      </c>
      <c r="AD364">
        <v>29609</v>
      </c>
      <c r="AE364" t="s">
        <v>352</v>
      </c>
      <c r="AF364" s="188">
        <f t="shared" ref="AF364:AF369" si="88">SUM(R364,-L364)/W364</f>
        <v>3.0926648334079428E-2</v>
      </c>
      <c r="AG364" s="188">
        <f t="shared" ref="AG364:AG369" si="89">SUM(P364,Q364,R364,S364,T364,-F364,-G364,-H364,-K364,-L364,-M364)/W364</f>
        <v>0.89469847157383131</v>
      </c>
      <c r="AH364" s="188">
        <f t="shared" ref="AH364:AH369" si="90">SUM(F364,G364)/W364</f>
        <v>5.2388565581633309E-2</v>
      </c>
      <c r="AI364" s="188">
        <f t="shared" ref="AI364:AI369" si="91">SUM(I364,J364)/W364</f>
        <v>0.35129500543582531</v>
      </c>
      <c r="AJ364" s="188">
        <f t="shared" ref="AJ364:AJ369" si="92">SUM(AG364,0.12*AH364,-0.7*AI364)</f>
        <v>0.65507859563854953</v>
      </c>
      <c r="AK364" s="188">
        <f t="shared" ref="AK364:AK369" si="93">N364/SUM(N364,O364,P364,Q364,R364,S364,T364)</f>
        <v>0.31507803279649899</v>
      </c>
      <c r="AL364" s="188">
        <f t="shared" ref="AL364:AL369" si="94">Y364/W364</f>
        <v>3.1860331265588029E-2</v>
      </c>
      <c r="AM364" s="188">
        <v>5.4423249612234343E-3</v>
      </c>
      <c r="AN364" s="188">
        <v>1.1694531777980195E-2</v>
      </c>
      <c r="AO364">
        <f>COUNTIF(AL364:AN364,"&lt;0")</f>
        <v>0</v>
      </c>
      <c r="AP364" s="188">
        <f t="shared" ref="AP364:AP369" si="95">Z364/(4*W364)</f>
        <v>1.8593720023022318E-2</v>
      </c>
      <c r="AQ364" s="188">
        <f t="shared" ref="AQ364:AQ369" si="96">AA364/(W364*1000)</f>
        <v>2.8821653769904688E-2</v>
      </c>
      <c r="AR364" s="188">
        <f t="shared" ref="AR364:AR369" si="97">AB364/W364</f>
        <v>0.68992773549913666</v>
      </c>
      <c r="AS364" s="128">
        <f t="shared" ref="AS364:AS369" si="98">AC364*1000/AD364</f>
        <v>1328.8698241794955</v>
      </c>
      <c r="AT364" s="188">
        <v>0.17899999999999999</v>
      </c>
      <c r="AU364" s="238">
        <v>3.5799999999999998E-2</v>
      </c>
      <c r="AV364">
        <v>9</v>
      </c>
    </row>
    <row r="365" spans="1:55" x14ac:dyDescent="0.25">
      <c r="A365" t="s">
        <v>356</v>
      </c>
      <c r="B365">
        <v>216</v>
      </c>
      <c r="C365">
        <v>4582</v>
      </c>
      <c r="D365">
        <v>74179</v>
      </c>
      <c r="E365">
        <v>4747</v>
      </c>
      <c r="F365">
        <v>798</v>
      </c>
      <c r="G365">
        <v>825</v>
      </c>
      <c r="H365">
        <v>76</v>
      </c>
      <c r="I365">
        <v>10545</v>
      </c>
      <c r="J365">
        <v>8</v>
      </c>
      <c r="K365">
        <v>16214</v>
      </c>
      <c r="L365">
        <v>2787</v>
      </c>
      <c r="M365">
        <v>1393</v>
      </c>
      <c r="N365">
        <v>27381</v>
      </c>
      <c r="O365">
        <v>9194</v>
      </c>
      <c r="P365">
        <v>32907</v>
      </c>
      <c r="Q365">
        <v>14</v>
      </c>
      <c r="R365">
        <v>34500</v>
      </c>
      <c r="S365">
        <v>6655</v>
      </c>
      <c r="T365">
        <v>5721</v>
      </c>
      <c r="U365">
        <f>SUM(V365,-Y365)</f>
        <v>1</v>
      </c>
      <c r="V365">
        <v>3232</v>
      </c>
      <c r="W365">
        <v>104063</v>
      </c>
      <c r="X365">
        <v>100832</v>
      </c>
      <c r="Y365">
        <f>SUM(W365,-X365)</f>
        <v>3231</v>
      </c>
      <c r="Z365">
        <v>4533</v>
      </c>
      <c r="AA365">
        <v>-258213.00000000093</v>
      </c>
      <c r="AB365">
        <v>52235</v>
      </c>
      <c r="AC365" s="128">
        <v>41015.582130513372</v>
      </c>
      <c r="AD365">
        <v>25404</v>
      </c>
      <c r="AE365" t="s">
        <v>356</v>
      </c>
      <c r="AF365" s="188">
        <f t="shared" si="88"/>
        <v>0.30474808529448505</v>
      </c>
      <c r="AG365" s="188">
        <f t="shared" si="89"/>
        <v>0.55451024859940612</v>
      </c>
      <c r="AH365" s="188">
        <f t="shared" si="90"/>
        <v>1.5596321459116113E-2</v>
      </c>
      <c r="AI365" s="188">
        <f t="shared" si="91"/>
        <v>0.1014097229562861</v>
      </c>
      <c r="AJ365" s="188">
        <f t="shared" si="92"/>
        <v>0.48539500110509975</v>
      </c>
      <c r="AK365" s="188">
        <f t="shared" si="93"/>
        <v>0.23528855738493795</v>
      </c>
      <c r="AL365" s="188">
        <f t="shared" si="94"/>
        <v>3.1048499466669228E-2</v>
      </c>
      <c r="AM365" s="188">
        <v>-1.5429391184089666E-2</v>
      </c>
      <c r="AN365" s="188">
        <v>-3.9390952656085373E-2</v>
      </c>
      <c r="AO365">
        <f>COUNTIF(AL365:AN365,"&lt;0")</f>
        <v>2</v>
      </c>
      <c r="AP365" s="188">
        <f t="shared" si="95"/>
        <v>1.0890037765584309E-2</v>
      </c>
      <c r="AQ365" s="188">
        <f t="shared" si="96"/>
        <v>-2.4813142038957259E-3</v>
      </c>
      <c r="AR365" s="188">
        <f t="shared" si="97"/>
        <v>0.50195554615953797</v>
      </c>
      <c r="AS365" s="128">
        <f t="shared" si="98"/>
        <v>1614.5324409743887</v>
      </c>
      <c r="AT365" s="188">
        <v>0.30099999999999999</v>
      </c>
      <c r="AU365" s="238">
        <v>6.0199999999999997E-2</v>
      </c>
      <c r="AV365">
        <v>7</v>
      </c>
    </row>
    <row r="366" spans="1:55" x14ac:dyDescent="0.25">
      <c r="A366" t="s">
        <v>368</v>
      </c>
      <c r="B366">
        <v>3893</v>
      </c>
      <c r="C366">
        <v>3202</v>
      </c>
      <c r="D366">
        <v>37522</v>
      </c>
      <c r="E366">
        <v>1</v>
      </c>
      <c r="F366">
        <v>0</v>
      </c>
      <c r="G366">
        <v>650</v>
      </c>
      <c r="H366">
        <v>198</v>
      </c>
      <c r="I366">
        <v>1099</v>
      </c>
      <c r="J366">
        <v>0</v>
      </c>
      <c r="K366">
        <v>7774</v>
      </c>
      <c r="L366">
        <v>150</v>
      </c>
      <c r="M366">
        <v>404</v>
      </c>
      <c r="N366">
        <v>17306</v>
      </c>
      <c r="O366">
        <v>8865</v>
      </c>
      <c r="P366">
        <v>7654</v>
      </c>
      <c r="Q366">
        <v>42</v>
      </c>
      <c r="R366">
        <v>16500</v>
      </c>
      <c r="S366">
        <v>2625</v>
      </c>
      <c r="T366">
        <v>1923</v>
      </c>
      <c r="U366">
        <f>SUM(V366,-Y366)</f>
        <v>1</v>
      </c>
      <c r="V366">
        <v>613</v>
      </c>
      <c r="W366">
        <v>32049</v>
      </c>
      <c r="X366">
        <v>31437</v>
      </c>
      <c r="Y366">
        <f>SUM(W366,-X366)</f>
        <v>612</v>
      </c>
      <c r="Z366">
        <v>11719</v>
      </c>
      <c r="AA366">
        <v>176953</v>
      </c>
      <c r="AB366">
        <v>23257</v>
      </c>
      <c r="AC366" s="128">
        <v>20433.498898252983</v>
      </c>
      <c r="AD366">
        <v>12486</v>
      </c>
      <c r="AE366" t="s">
        <v>368</v>
      </c>
      <c r="AF366" s="188">
        <f t="shared" si="88"/>
        <v>0.51015632313020687</v>
      </c>
      <c r="AG366" s="188">
        <f t="shared" si="89"/>
        <v>0.61056507223314305</v>
      </c>
      <c r="AH366" s="188">
        <f t="shared" si="90"/>
        <v>2.0281444038815565E-2</v>
      </c>
      <c r="AI366" s="188">
        <f t="shared" si="91"/>
        <v>3.4291241536397392E-2</v>
      </c>
      <c r="AJ366" s="188">
        <f t="shared" si="92"/>
        <v>0.58899497644232279</v>
      </c>
      <c r="AK366" s="188">
        <f t="shared" si="93"/>
        <v>0.31514158244559776</v>
      </c>
      <c r="AL366" s="188">
        <f t="shared" si="94"/>
        <v>1.9095759618084809E-2</v>
      </c>
      <c r="AM366" s="188">
        <v>-3.834064453732168E-2</v>
      </c>
      <c r="AN366" s="188">
        <v>-2.7721809212811782E-2</v>
      </c>
      <c r="AO366">
        <f>COUNTIF(AL366:AN366,"&lt;0")</f>
        <v>2</v>
      </c>
      <c r="AP366" s="188">
        <f t="shared" si="95"/>
        <v>9.1414708727261387E-2</v>
      </c>
      <c r="AQ366" s="188">
        <f t="shared" si="96"/>
        <v>5.5213267184623547E-3</v>
      </c>
      <c r="AR366" s="188">
        <f t="shared" si="97"/>
        <v>0.72567006770882092</v>
      </c>
      <c r="AS366" s="128">
        <f t="shared" si="98"/>
        <v>1636.5128062031861</v>
      </c>
      <c r="AT366" s="188">
        <v>0.26900000000000002</v>
      </c>
      <c r="AU366" s="238">
        <v>5.3800000000000001E-2</v>
      </c>
      <c r="AV366">
        <v>6.5</v>
      </c>
    </row>
    <row r="367" spans="1:55" x14ac:dyDescent="0.25">
      <c r="A367" t="s">
        <v>378</v>
      </c>
      <c r="B367">
        <v>312</v>
      </c>
      <c r="C367">
        <v>837</v>
      </c>
      <c r="D367">
        <v>25299</v>
      </c>
      <c r="E367">
        <v>14</v>
      </c>
      <c r="F367">
        <v>0</v>
      </c>
      <c r="G367">
        <v>613</v>
      </c>
      <c r="H367">
        <v>205</v>
      </c>
      <c r="I367">
        <v>644</v>
      </c>
      <c r="J367">
        <v>3</v>
      </c>
      <c r="K367">
        <v>7599</v>
      </c>
      <c r="L367">
        <v>150</v>
      </c>
      <c r="M367">
        <v>218</v>
      </c>
      <c r="N367">
        <v>14330</v>
      </c>
      <c r="O367">
        <v>4507</v>
      </c>
      <c r="P367">
        <v>7700</v>
      </c>
      <c r="Q367">
        <v>0</v>
      </c>
      <c r="R367">
        <v>5500</v>
      </c>
      <c r="S367">
        <v>1724</v>
      </c>
      <c r="T367">
        <v>2130</v>
      </c>
      <c r="U367">
        <f>SUM(V367,-Y367)</f>
        <v>-10</v>
      </c>
      <c r="V367">
        <v>634</v>
      </c>
      <c r="W367">
        <v>29270</v>
      </c>
      <c r="X367">
        <v>28626</v>
      </c>
      <c r="Y367">
        <f>SUM(W367,-X367)</f>
        <v>644</v>
      </c>
      <c r="Z367">
        <v>-2620</v>
      </c>
      <c r="AA367">
        <v>246394</v>
      </c>
      <c r="AB367">
        <v>20770</v>
      </c>
      <c r="AC367" s="128">
        <v>17705.080682903317</v>
      </c>
      <c r="AD367">
        <v>11004</v>
      </c>
      <c r="AE367" t="s">
        <v>378</v>
      </c>
      <c r="AF367" s="188">
        <f t="shared" si="88"/>
        <v>0.18278100444140757</v>
      </c>
      <c r="AG367" s="188">
        <f t="shared" si="89"/>
        <v>0.28250768705158863</v>
      </c>
      <c r="AH367" s="188">
        <f t="shared" si="90"/>
        <v>2.0942944994875298E-2</v>
      </c>
      <c r="AI367" s="188">
        <f t="shared" si="91"/>
        <v>2.2104543901605739E-2</v>
      </c>
      <c r="AJ367" s="188">
        <f t="shared" si="92"/>
        <v>0.26954765971984962</v>
      </c>
      <c r="AK367" s="188">
        <f t="shared" si="93"/>
        <v>0.39926443955309132</v>
      </c>
      <c r="AL367" s="188">
        <f t="shared" si="94"/>
        <v>2.2002049880423643E-2</v>
      </c>
      <c r="AM367" s="188">
        <v>5.1158876538448049E-2</v>
      </c>
      <c r="AN367" s="188">
        <v>-3.7232103066888143E-2</v>
      </c>
      <c r="AO367">
        <f>COUNTIF(AL367:AN367,"&lt;0")</f>
        <v>1</v>
      </c>
      <c r="AP367" s="188">
        <f t="shared" si="95"/>
        <v>-2.2377861291424668E-2</v>
      </c>
      <c r="AQ367" s="188">
        <f t="shared" si="96"/>
        <v>8.4179706183805953E-3</v>
      </c>
      <c r="AR367" s="188">
        <f t="shared" si="97"/>
        <v>0.70960027331738984</v>
      </c>
      <c r="AS367" s="128">
        <f t="shared" si="98"/>
        <v>1608.9677101875061</v>
      </c>
      <c r="AT367" s="188">
        <v>0.27050000000000002</v>
      </c>
      <c r="AU367" s="238">
        <v>5.4100000000000002E-2</v>
      </c>
      <c r="AV367">
        <v>7.5</v>
      </c>
    </row>
    <row r="368" spans="1:55" x14ac:dyDescent="0.25">
      <c r="A368" t="s">
        <v>439</v>
      </c>
      <c r="B368">
        <v>14</v>
      </c>
      <c r="C368">
        <v>1059</v>
      </c>
      <c r="D368">
        <v>37568</v>
      </c>
      <c r="E368">
        <v>32</v>
      </c>
      <c r="F368">
        <v>0</v>
      </c>
      <c r="G368">
        <v>370</v>
      </c>
      <c r="H368">
        <v>0</v>
      </c>
      <c r="I368">
        <v>-726</v>
      </c>
      <c r="J368">
        <v>0</v>
      </c>
      <c r="K368">
        <v>7871</v>
      </c>
      <c r="L368">
        <v>312</v>
      </c>
      <c r="M368">
        <v>1223</v>
      </c>
      <c r="N368">
        <v>31137</v>
      </c>
      <c r="O368">
        <v>4625</v>
      </c>
      <c r="P368">
        <v>4200</v>
      </c>
      <c r="Q368">
        <v>0</v>
      </c>
      <c r="R368">
        <v>0</v>
      </c>
      <c r="S368">
        <v>2941</v>
      </c>
      <c r="T368">
        <v>4820</v>
      </c>
      <c r="U368">
        <f>SUM(V368,-Y368)</f>
        <v>-1</v>
      </c>
      <c r="V368">
        <v>5388</v>
      </c>
      <c r="W368">
        <v>38817</v>
      </c>
      <c r="X368">
        <v>33428</v>
      </c>
      <c r="Y368">
        <f>SUM(W368,-X368)</f>
        <v>5389</v>
      </c>
      <c r="Z368">
        <v>8432</v>
      </c>
      <c r="AA368">
        <v>973062</v>
      </c>
      <c r="AB368">
        <v>20492</v>
      </c>
      <c r="AC368" s="128">
        <v>21980.278236606468</v>
      </c>
      <c r="AD368">
        <v>11691</v>
      </c>
      <c r="AE368" t="s">
        <v>439</v>
      </c>
      <c r="AF368" s="188">
        <f t="shared" si="88"/>
        <v>-8.0377154339593485E-3</v>
      </c>
      <c r="AG368" s="188">
        <f t="shared" si="89"/>
        <v>5.6289769946157614E-2</v>
      </c>
      <c r="AH368" s="188">
        <f t="shared" si="90"/>
        <v>9.5319061236056359E-3</v>
      </c>
      <c r="AI368" s="188">
        <f t="shared" si="91"/>
        <v>-1.870314552902079E-2</v>
      </c>
      <c r="AJ368" s="188">
        <f t="shared" si="92"/>
        <v>7.0525800551304835E-2</v>
      </c>
      <c r="AK368" s="188">
        <f t="shared" si="93"/>
        <v>0.65245269576514464</v>
      </c>
      <c r="AL368" s="188">
        <f t="shared" si="94"/>
        <v>0.13883092459489399</v>
      </c>
      <c r="AM368" s="188">
        <v>-1.7621006010756089E-2</v>
      </c>
      <c r="AN368" s="188">
        <v>-0.12533692722371967</v>
      </c>
      <c r="AO368">
        <f>COUNTIF(AL368:AN368,"&lt;0")</f>
        <v>2</v>
      </c>
      <c r="AP368" s="188">
        <f t="shared" si="95"/>
        <v>5.4306102996109953E-2</v>
      </c>
      <c r="AQ368" s="188">
        <f t="shared" si="96"/>
        <v>2.5067934152562022E-2</v>
      </c>
      <c r="AR368" s="188">
        <f t="shared" si="97"/>
        <v>0.52791302779709925</v>
      </c>
      <c r="AS368" s="128">
        <f t="shared" si="98"/>
        <v>1880.1024922253414</v>
      </c>
      <c r="AT368" s="188">
        <v>0.1045</v>
      </c>
      <c r="AU368" s="238">
        <v>2.0899999999999998E-2</v>
      </c>
      <c r="AV368">
        <v>7.5</v>
      </c>
    </row>
    <row r="369" spans="1:48" x14ac:dyDescent="0.25">
      <c r="A369" t="s">
        <v>868</v>
      </c>
      <c r="B369">
        <f>SUM(B364:B368)</f>
        <v>8253</v>
      </c>
      <c r="C369">
        <f t="shared" ref="C369:AD369" si="99">SUM(C364:C368)</f>
        <v>14796</v>
      </c>
      <c r="D369">
        <f t="shared" si="99"/>
        <v>259067</v>
      </c>
      <c r="E369">
        <f t="shared" si="99"/>
        <v>4929</v>
      </c>
      <c r="F369">
        <f t="shared" si="99"/>
        <v>798</v>
      </c>
      <c r="G369">
        <f t="shared" si="99"/>
        <v>6554</v>
      </c>
      <c r="H369">
        <f t="shared" si="99"/>
        <v>479</v>
      </c>
      <c r="I369">
        <f t="shared" si="99"/>
        <v>39028</v>
      </c>
      <c r="J369">
        <f t="shared" si="99"/>
        <v>11</v>
      </c>
      <c r="K369">
        <f t="shared" si="99"/>
        <v>46915</v>
      </c>
      <c r="L369">
        <f t="shared" si="99"/>
        <v>6981</v>
      </c>
      <c r="M369">
        <f t="shared" si="99"/>
        <v>3484</v>
      </c>
      <c r="N369">
        <f t="shared" si="99"/>
        <v>133136</v>
      </c>
      <c r="O369">
        <f t="shared" si="99"/>
        <v>35293</v>
      </c>
      <c r="P369">
        <f t="shared" si="99"/>
        <v>113311</v>
      </c>
      <c r="Q369">
        <f t="shared" si="99"/>
        <v>56</v>
      </c>
      <c r="R369">
        <f t="shared" si="99"/>
        <v>62500</v>
      </c>
      <c r="S369">
        <f t="shared" si="99"/>
        <v>25094</v>
      </c>
      <c r="T369">
        <f t="shared" si="99"/>
        <v>21928</v>
      </c>
      <c r="U369">
        <f t="shared" si="99"/>
        <v>-14</v>
      </c>
      <c r="V369">
        <f t="shared" si="99"/>
        <v>12353</v>
      </c>
      <c r="W369">
        <f t="shared" si="99"/>
        <v>282384</v>
      </c>
      <c r="X369">
        <f t="shared" si="99"/>
        <v>270017</v>
      </c>
      <c r="Y369">
        <f t="shared" si="99"/>
        <v>12367</v>
      </c>
      <c r="Z369">
        <f t="shared" si="99"/>
        <v>27879</v>
      </c>
      <c r="AA369">
        <f t="shared" si="99"/>
        <v>3391616.9999999972</v>
      </c>
      <c r="AB369">
        <f t="shared" si="99"/>
        <v>170696</v>
      </c>
      <c r="AC369" s="128">
        <f t="shared" si="99"/>
        <v>140480.94657240683</v>
      </c>
      <c r="AD369">
        <f t="shared" si="99"/>
        <v>90194</v>
      </c>
      <c r="AE369" t="s">
        <v>868</v>
      </c>
      <c r="AF369" s="188">
        <f t="shared" si="88"/>
        <v>0.19660816476854212</v>
      </c>
      <c r="AG369" s="188">
        <f t="shared" si="89"/>
        <v>0.5583814947022494</v>
      </c>
      <c r="AH369" s="188">
        <f t="shared" si="90"/>
        <v>2.6035469431695848E-2</v>
      </c>
      <c r="AI369" s="188">
        <f t="shared" si="91"/>
        <v>0.13824791772904979</v>
      </c>
      <c r="AJ369" s="188">
        <f t="shared" si="92"/>
        <v>0.464732208623718</v>
      </c>
      <c r="AK369" s="188">
        <f t="shared" si="93"/>
        <v>0.34022457438707138</v>
      </c>
      <c r="AL369" s="188">
        <f t="shared" si="94"/>
        <v>4.3794974219502521E-2</v>
      </c>
      <c r="AM369" s="188">
        <f>SUM(AM364:AM368)/5</f>
        <v>-2.9579680464991895E-3</v>
      </c>
      <c r="AN369" s="188">
        <f>SUM(AN364:AN368)/5</f>
        <v>-4.3597452076304957E-2</v>
      </c>
      <c r="AO369">
        <v>2</v>
      </c>
      <c r="AP369" s="188">
        <f t="shared" si="95"/>
        <v>2.4681816250212478E-2</v>
      </c>
      <c r="AQ369" s="188">
        <f t="shared" si="96"/>
        <v>1.2010655702872674E-2</v>
      </c>
      <c r="AR369" s="188">
        <f t="shared" si="97"/>
        <v>0.60448184033089691</v>
      </c>
      <c r="AS369" s="128">
        <f t="shared" si="98"/>
        <v>1557.5420379671245</v>
      </c>
      <c r="AT369" s="188">
        <f>SUM(AT364:AT368)/5</f>
        <v>0.22480000000000003</v>
      </c>
      <c r="AU369" s="188">
        <f>SUM(AU364:AU368)/5</f>
        <v>4.496E-2</v>
      </c>
      <c r="AV369">
        <v>7.5</v>
      </c>
    </row>
    <row r="371" spans="1:48" x14ac:dyDescent="0.25">
      <c r="A371" t="s">
        <v>376</v>
      </c>
      <c r="B371">
        <v>95</v>
      </c>
      <c r="C371">
        <v>2658</v>
      </c>
      <c r="D371">
        <v>25259</v>
      </c>
      <c r="E371">
        <v>1</v>
      </c>
      <c r="F371">
        <v>0</v>
      </c>
      <c r="G371">
        <v>1400</v>
      </c>
      <c r="H371">
        <v>73</v>
      </c>
      <c r="I371">
        <v>8689</v>
      </c>
      <c r="J371">
        <v>0</v>
      </c>
      <c r="K371">
        <v>3847</v>
      </c>
      <c r="L371">
        <v>112</v>
      </c>
      <c r="M371">
        <v>3810</v>
      </c>
      <c r="N371">
        <v>19472</v>
      </c>
      <c r="O371">
        <v>14046</v>
      </c>
      <c r="P371">
        <v>3200</v>
      </c>
      <c r="Q371">
        <v>0</v>
      </c>
      <c r="R371">
        <v>2000</v>
      </c>
      <c r="S371">
        <v>3696</v>
      </c>
      <c r="T371">
        <v>3530</v>
      </c>
      <c r="U371">
        <f>SUM(V371,-Y371)</f>
        <v>-2</v>
      </c>
      <c r="V371">
        <v>-718</v>
      </c>
      <c r="W371">
        <v>40242</v>
      </c>
      <c r="X371">
        <v>40958</v>
      </c>
      <c r="Y371">
        <f>SUM(W371,-X371)</f>
        <v>-716</v>
      </c>
      <c r="Z371">
        <v>4542</v>
      </c>
      <c r="AA371">
        <v>1600305</v>
      </c>
      <c r="AB371">
        <v>27809</v>
      </c>
      <c r="AC371" s="128">
        <v>25159.805811281029</v>
      </c>
      <c r="AD371">
        <v>15817</v>
      </c>
      <c r="AE371" t="s">
        <v>376</v>
      </c>
      <c r="AF371" s="188">
        <f>SUM(R371,-L371)/W371</f>
        <v>4.6916157248645694E-2</v>
      </c>
      <c r="AG371" s="188">
        <f>SUM(P371,Q371,R371,S371,T371,-F371,-G371,-H371,-K371,-L371,-M371)/W371</f>
        <v>7.9121316037970277E-2</v>
      </c>
      <c r="AH371" s="188">
        <f>SUM(F371,G371)/W371</f>
        <v>3.4789523383529648E-2</v>
      </c>
      <c r="AI371" s="188">
        <f>SUM(I371,J371)/W371</f>
        <v>0.21591869191392077</v>
      </c>
      <c r="AJ371" s="188">
        <f>SUM(AG371,0.12*AH371,-0.7*AI371)</f>
        <v>-6.7847025495750682E-2</v>
      </c>
      <c r="AK371" s="188">
        <f>N371/SUM(N371,O371,P371,Q371,R371,S371,T371)</f>
        <v>0.42382030297753787</v>
      </c>
      <c r="AL371" s="188">
        <f>Y371/W371</f>
        <v>-1.7792356244719448E-2</v>
      </c>
      <c r="AM371" s="188">
        <v>-5.3524364941400775E-2</v>
      </c>
      <c r="AN371" s="188">
        <v>-6.0494336235961871E-2</v>
      </c>
      <c r="AO371">
        <f>COUNTIF(AL371:AN371,"&lt;0")</f>
        <v>3</v>
      </c>
      <c r="AP371" s="188">
        <f>Z371/(4*W371)</f>
        <v>2.8216788429998509E-2</v>
      </c>
      <c r="AQ371" s="188">
        <f>AA371/(W371*1000)</f>
        <v>3.976703444162815E-2</v>
      </c>
      <c r="AR371" s="188">
        <f>AB371/W371</f>
        <v>0.69104418269469703</v>
      </c>
      <c r="AS371" s="128">
        <f>AC371*1000/AD371</f>
        <v>1590.6812803490566</v>
      </c>
      <c r="AT371" s="188">
        <v>0.32450000000000001</v>
      </c>
      <c r="AU371" s="238">
        <v>6.4899999999999999E-2</v>
      </c>
      <c r="AV371">
        <v>7</v>
      </c>
    </row>
    <row r="372" spans="1:48" x14ac:dyDescent="0.25">
      <c r="A372" t="s">
        <v>392</v>
      </c>
      <c r="B372">
        <v>688</v>
      </c>
      <c r="C372">
        <v>41977</v>
      </c>
      <c r="D372">
        <v>104170</v>
      </c>
      <c r="E372">
        <v>4047</v>
      </c>
      <c r="F372">
        <v>6161</v>
      </c>
      <c r="G372">
        <v>0</v>
      </c>
      <c r="H372">
        <v>1115</v>
      </c>
      <c r="I372">
        <v>30450</v>
      </c>
      <c r="J372">
        <v>335</v>
      </c>
      <c r="K372">
        <v>8130</v>
      </c>
      <c r="L372">
        <v>727</v>
      </c>
      <c r="M372">
        <v>3194</v>
      </c>
      <c r="N372">
        <v>83415</v>
      </c>
      <c r="O372">
        <v>39363</v>
      </c>
      <c r="P372">
        <v>65307</v>
      </c>
      <c r="Q372">
        <v>0</v>
      </c>
      <c r="R372">
        <v>0</v>
      </c>
      <c r="S372">
        <v>6663</v>
      </c>
      <c r="T372">
        <v>6242</v>
      </c>
      <c r="U372">
        <f>SUM(V372,-Y372)</f>
        <v>2</v>
      </c>
      <c r="V372">
        <v>4260</v>
      </c>
      <c r="W372">
        <v>123155</v>
      </c>
      <c r="X372">
        <v>118897</v>
      </c>
      <c r="Y372">
        <f>SUM(W372,-X372)</f>
        <v>4258</v>
      </c>
      <c r="Z372">
        <v>14401</v>
      </c>
      <c r="AA372">
        <v>4135657</v>
      </c>
      <c r="AB372">
        <v>86635</v>
      </c>
      <c r="AC372" s="128">
        <v>68422.181131569523</v>
      </c>
      <c r="AD372">
        <v>42291</v>
      </c>
      <c r="AE372" t="s">
        <v>392</v>
      </c>
      <c r="AF372" s="188">
        <f>SUM(R372,-L372)/W372</f>
        <v>-5.9031302017782472E-3</v>
      </c>
      <c r="AG372" s="188">
        <f>SUM(P372,Q372,R372,S372,T372,-F372,-G372,-H372,-K372,-L372,-M372)/W372</f>
        <v>0.47813730664609638</v>
      </c>
      <c r="AH372" s="188">
        <f>SUM(F372,G372)/W372</f>
        <v>5.0026389509155132E-2</v>
      </c>
      <c r="AI372" s="188">
        <f>SUM(I372,J372)/W372</f>
        <v>0.24996955056635947</v>
      </c>
      <c r="AJ372" s="188">
        <f>SUM(AG372,0.12*AH372,-0.7*AI372)</f>
        <v>0.3091617879907434</v>
      </c>
      <c r="AK372" s="188">
        <f>N372/SUM(N372,O372,P372,Q372,R372,S372,T372)</f>
        <v>0.41502064779342257</v>
      </c>
      <c r="AL372" s="188">
        <f>Y372/W372</f>
        <v>3.4574316917705329E-2</v>
      </c>
      <c r="AM372" s="188">
        <v>4.7428675268035618E-2</v>
      </c>
      <c r="AN372" s="188">
        <v>8.5844522090775255E-2</v>
      </c>
      <c r="AO372">
        <f>COUNTIF(AL372:AN372,"&lt;0")</f>
        <v>0</v>
      </c>
      <c r="AP372" s="188">
        <f>Z372/(4*W372)</f>
        <v>2.9233486257155616E-2</v>
      </c>
      <c r="AQ372" s="188">
        <f>AA372/(W372*1000)</f>
        <v>3.3580910235069629E-2</v>
      </c>
      <c r="AR372" s="188">
        <f>AB372/W372</f>
        <v>0.70346311558605013</v>
      </c>
      <c r="AS372" s="128">
        <f>AC372*1000/AD372</f>
        <v>1617.8898851190447</v>
      </c>
      <c r="AT372" s="188">
        <v>0.21149999999999999</v>
      </c>
      <c r="AU372" s="238">
        <v>4.2299999999999997E-2</v>
      </c>
      <c r="AV372">
        <v>9.5</v>
      </c>
    </row>
    <row r="373" spans="1:48" x14ac:dyDescent="0.25">
      <c r="A373" t="s">
        <v>869</v>
      </c>
      <c r="B373">
        <f>SUM(B371:B372)</f>
        <v>783</v>
      </c>
      <c r="C373">
        <f t="shared" ref="C373:AD373" si="100">SUM(C371:C372)</f>
        <v>44635</v>
      </c>
      <c r="D373">
        <f t="shared" si="100"/>
        <v>129429</v>
      </c>
      <c r="E373">
        <f t="shared" si="100"/>
        <v>4048</v>
      </c>
      <c r="F373">
        <f t="shared" si="100"/>
        <v>6161</v>
      </c>
      <c r="G373">
        <f t="shared" si="100"/>
        <v>1400</v>
      </c>
      <c r="H373">
        <f t="shared" si="100"/>
        <v>1188</v>
      </c>
      <c r="I373">
        <f t="shared" si="100"/>
        <v>39139</v>
      </c>
      <c r="J373">
        <f t="shared" si="100"/>
        <v>335</v>
      </c>
      <c r="K373">
        <f t="shared" si="100"/>
        <v>11977</v>
      </c>
      <c r="L373">
        <f t="shared" si="100"/>
        <v>839</v>
      </c>
      <c r="M373">
        <f t="shared" si="100"/>
        <v>7004</v>
      </c>
      <c r="N373">
        <f t="shared" si="100"/>
        <v>102887</v>
      </c>
      <c r="O373">
        <f t="shared" si="100"/>
        <v>53409</v>
      </c>
      <c r="P373">
        <f t="shared" si="100"/>
        <v>68507</v>
      </c>
      <c r="Q373">
        <f t="shared" si="100"/>
        <v>0</v>
      </c>
      <c r="R373">
        <f t="shared" si="100"/>
        <v>2000</v>
      </c>
      <c r="S373">
        <f t="shared" si="100"/>
        <v>10359</v>
      </c>
      <c r="T373">
        <f t="shared" si="100"/>
        <v>9772</v>
      </c>
      <c r="U373">
        <f t="shared" si="100"/>
        <v>0</v>
      </c>
      <c r="V373">
        <f t="shared" si="100"/>
        <v>3542</v>
      </c>
      <c r="W373">
        <f t="shared" si="100"/>
        <v>163397</v>
      </c>
      <c r="X373">
        <f t="shared" si="100"/>
        <v>159855</v>
      </c>
      <c r="Y373">
        <f t="shared" si="100"/>
        <v>3542</v>
      </c>
      <c r="Z373">
        <f t="shared" si="100"/>
        <v>18943</v>
      </c>
      <c r="AA373">
        <f t="shared" si="100"/>
        <v>5735962</v>
      </c>
      <c r="AB373">
        <f t="shared" si="100"/>
        <v>114444</v>
      </c>
      <c r="AC373">
        <f t="shared" si="100"/>
        <v>93581.986942850548</v>
      </c>
      <c r="AD373">
        <f t="shared" si="100"/>
        <v>58108</v>
      </c>
      <c r="AE373" t="s">
        <v>869</v>
      </c>
      <c r="AF373" s="188">
        <f>SUM(R373,-L373)/W373</f>
        <v>7.105393611877819E-3</v>
      </c>
      <c r="AG373" s="188">
        <f>SUM(P373,Q373,R373,S373,T373,-F373,-G373,-H373,-K373,-L373,-M373)/W373</f>
        <v>0.37986621541399168</v>
      </c>
      <c r="AH373" s="188">
        <f>SUM(F373,G373)/W373</f>
        <v>4.6273799396561746E-2</v>
      </c>
      <c r="AI373" s="188">
        <f>SUM(I373,J373)/W373</f>
        <v>0.24158338280384584</v>
      </c>
      <c r="AJ373" s="188">
        <f>SUM(AG373,0.12*AH373,-0.7*AI373)</f>
        <v>0.21631070337888703</v>
      </c>
      <c r="AK373" s="188">
        <f>N373/SUM(N373,O373,P373,Q373,R373,S373,T373)</f>
        <v>0.41665789239229917</v>
      </c>
      <c r="AL373" s="188">
        <f>Y373/W373</f>
        <v>2.1677264576461013E-2</v>
      </c>
      <c r="AM373" s="188">
        <v>0.02</v>
      </c>
      <c r="AN373" s="188">
        <v>0.03</v>
      </c>
      <c r="AO373">
        <v>0</v>
      </c>
      <c r="AP373" s="188">
        <f>Z373/(4*W373)</f>
        <v>2.8983090264815145E-2</v>
      </c>
      <c r="AQ373" s="188">
        <f>AA373/(W373*1000)</f>
        <v>3.5104451122113627E-2</v>
      </c>
      <c r="AR373" s="188">
        <f>AB373/W373</f>
        <v>0.70040453619099496</v>
      </c>
      <c r="AS373" s="128">
        <f>AC373*1000/AD373</f>
        <v>1610.4837017768732</v>
      </c>
      <c r="AT373" s="188">
        <f>5*AU373</f>
        <v>0.245</v>
      </c>
      <c r="AU373" s="238">
        <v>4.9000000000000002E-2</v>
      </c>
      <c r="AV373">
        <v>9.5</v>
      </c>
    </row>
  </sheetData>
  <sheetProtection algorithmName="SHA-512" hashValue="v15C0xkGkLpHXEK2hipFJyTguyh4pHgQDH22hBrfiXhD7Hwcg79IvRicVMdmFVLAqnlK5/vrElmIZMuwpovJmQ==" saltValue="JVjV48GIQZ9SUL1J48c4zA==" spinCount="100000" sheet="1" objects="1" scenarios="1"/>
  <sortState xmlns:xlrd2="http://schemas.microsoft.com/office/spreadsheetml/2017/richdata2" ref="AY2:BA355">
    <sortCondition ref="BA2:BA355"/>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97D3-5F91-4F84-A702-3E92AD68A6C7}">
  <dimension ref="A1:BB388"/>
  <sheetViews>
    <sheetView workbookViewId="0">
      <pane xSplit="1" ySplit="1" topLeftCell="B77" activePane="bottomRight" state="frozen"/>
      <selection pane="topRight" activeCell="B1" sqref="B1"/>
      <selection pane="bottomLeft" activeCell="A2" sqref="A2"/>
      <selection pane="bottomRight" activeCell="AM91" sqref="AM91"/>
    </sheetView>
  </sheetViews>
  <sheetFormatPr defaultRowHeight="12.5" x14ac:dyDescent="0.25"/>
  <cols>
    <col min="1" max="1" width="28.08984375" bestFit="1" customWidth="1"/>
    <col min="2" max="2" width="17.90625" bestFit="1" customWidth="1"/>
    <col min="3" max="3" width="19.90625" bestFit="1" customWidth="1"/>
    <col min="4" max="4" width="20.54296875" bestFit="1" customWidth="1"/>
    <col min="5" max="5" width="21.54296875" bestFit="1" customWidth="1"/>
    <col min="6" max="6" width="30.08984375" bestFit="1" customWidth="1"/>
    <col min="7" max="7" width="20.54296875" bestFit="1" customWidth="1"/>
    <col min="8" max="8" width="23.453125" bestFit="1" customWidth="1"/>
    <col min="9" max="9" width="18.6328125" bestFit="1" customWidth="1"/>
    <col min="10" max="10" width="19.1796875" bestFit="1" customWidth="1"/>
    <col min="11" max="11" width="25.453125" bestFit="1" customWidth="1"/>
    <col min="12" max="12" width="39.54296875" bestFit="1" customWidth="1"/>
    <col min="13" max="13" width="19.6328125" bestFit="1" customWidth="1"/>
    <col min="14" max="14" width="11.54296875" bestFit="1" customWidth="1"/>
    <col min="15" max="15" width="15.90625" bestFit="1" customWidth="1"/>
    <col min="16" max="16" width="22.08984375" bestFit="1" customWidth="1"/>
    <col min="17" max="17" width="28.81640625" bestFit="1" customWidth="1"/>
    <col min="18" max="18" width="39.453125" bestFit="1" customWidth="1"/>
    <col min="19" max="19" width="13.81640625" bestFit="1" customWidth="1"/>
    <col min="20" max="20" width="21" bestFit="1" customWidth="1"/>
    <col min="21" max="21" width="16.453125" style="128" bestFit="1" customWidth="1"/>
    <col min="22" max="22" width="19.453125" style="128" bestFit="1" customWidth="1"/>
    <col min="23" max="23" width="13.6328125" style="128" bestFit="1" customWidth="1"/>
    <col min="24" max="24" width="14.36328125" style="128" bestFit="1" customWidth="1"/>
    <col min="25" max="25" width="29.08984375" style="128" bestFit="1" customWidth="1"/>
    <col min="26" max="26" width="28.1796875" style="128" bestFit="1" customWidth="1"/>
    <col min="27" max="27" width="14.81640625" style="128" customWidth="1"/>
    <col min="28" max="28" width="20.1796875" style="128" bestFit="1" customWidth="1"/>
    <col min="29" max="29" width="20.1796875" style="128" customWidth="1"/>
    <col min="30" max="30" width="13.08984375" style="188" bestFit="1" customWidth="1"/>
    <col min="31" max="31" width="17.6328125" style="188" bestFit="1" customWidth="1"/>
    <col min="32" max="32" width="13.08984375" style="188" bestFit="1" customWidth="1"/>
    <col min="33" max="33" width="15.1796875" style="188" bestFit="1" customWidth="1"/>
    <col min="34" max="34" width="26.1796875" style="188" bestFit="1" customWidth="1"/>
    <col min="35" max="35" width="16.54296875" style="188" bestFit="1" customWidth="1"/>
    <col min="36" max="36" width="18.1796875" style="188" bestFit="1" customWidth="1"/>
    <col min="37" max="38" width="10.81640625" style="188" bestFit="1" customWidth="1"/>
    <col min="39" max="39" width="16.1796875" style="188" bestFit="1" customWidth="1"/>
    <col min="40" max="40" width="23.08984375" style="188" bestFit="1" customWidth="1"/>
    <col min="41" max="41" width="28.1796875" style="188" bestFit="1" customWidth="1"/>
    <col min="42" max="42" width="20.90625" style="188" bestFit="1" customWidth="1"/>
    <col min="43" max="43" width="13.54296875" bestFit="1" customWidth="1"/>
    <col min="44" max="45" width="21" bestFit="1" customWidth="1"/>
    <col min="46" max="46" width="7.08984375" style="256" bestFit="1" customWidth="1"/>
    <col min="50" max="50" width="28.08984375" bestFit="1" customWidth="1"/>
    <col min="51" max="51" width="10.36328125" style="128" bestFit="1" customWidth="1"/>
    <col min="52" max="52" width="6.90625" bestFit="1" customWidth="1"/>
  </cols>
  <sheetData>
    <row r="1" spans="1:54" x14ac:dyDescent="0.25">
      <c r="A1" t="s">
        <v>588</v>
      </c>
      <c r="B1" t="s">
        <v>691</v>
      </c>
      <c r="C1" t="s">
        <v>692</v>
      </c>
      <c r="D1" t="s">
        <v>693</v>
      </c>
      <c r="E1" t="s">
        <v>694</v>
      </c>
      <c r="F1" t="s">
        <v>695</v>
      </c>
      <c r="G1" t="s">
        <v>696</v>
      </c>
      <c r="H1" t="s">
        <v>697</v>
      </c>
      <c r="I1" t="s">
        <v>698</v>
      </c>
      <c r="J1" t="s">
        <v>699</v>
      </c>
      <c r="K1" t="s">
        <v>700</v>
      </c>
      <c r="L1" t="s">
        <v>701</v>
      </c>
      <c r="M1" t="s">
        <v>702</v>
      </c>
      <c r="N1" t="s">
        <v>703</v>
      </c>
      <c r="O1" t="s">
        <v>704</v>
      </c>
      <c r="P1" t="s">
        <v>705</v>
      </c>
      <c r="Q1" t="s">
        <v>706</v>
      </c>
      <c r="R1" t="s">
        <v>707</v>
      </c>
      <c r="S1" t="s">
        <v>708</v>
      </c>
      <c r="T1" t="s">
        <v>709</v>
      </c>
      <c r="U1" s="128" t="s">
        <v>710</v>
      </c>
      <c r="V1" s="128" t="s">
        <v>711</v>
      </c>
      <c r="W1" s="128" t="s">
        <v>712</v>
      </c>
      <c r="X1" s="128" t="s">
        <v>713</v>
      </c>
      <c r="Y1" s="128" t="s">
        <v>714</v>
      </c>
      <c r="Z1" s="128" t="s">
        <v>715</v>
      </c>
      <c r="AA1" s="128" t="s">
        <v>716</v>
      </c>
      <c r="AB1" s="128" t="s">
        <v>717</v>
      </c>
      <c r="AC1" s="128" t="s">
        <v>588</v>
      </c>
      <c r="AD1" s="188" t="s">
        <v>619</v>
      </c>
      <c r="AE1" s="188" t="s">
        <v>718</v>
      </c>
      <c r="AF1" s="188" t="s">
        <v>721</v>
      </c>
      <c r="AG1" s="188" t="s">
        <v>620</v>
      </c>
      <c r="AH1" s="188" t="s">
        <v>621</v>
      </c>
      <c r="AI1" s="188" t="s">
        <v>722</v>
      </c>
      <c r="AJ1" s="188" t="s">
        <v>723</v>
      </c>
      <c r="AK1" s="188" t="s">
        <v>719</v>
      </c>
      <c r="AL1" s="188" t="s">
        <v>720</v>
      </c>
      <c r="AM1" s="188" t="s">
        <v>724</v>
      </c>
      <c r="AN1" s="188" t="s">
        <v>725</v>
      </c>
      <c r="AO1" s="188" t="s">
        <v>726</v>
      </c>
      <c r="AP1" s="188" t="s">
        <v>727</v>
      </c>
      <c r="AQ1" t="s">
        <v>728</v>
      </c>
      <c r="AR1" s="188" t="s">
        <v>731</v>
      </c>
      <c r="AS1" t="s">
        <v>729</v>
      </c>
      <c r="AT1" s="256" t="s">
        <v>730</v>
      </c>
    </row>
    <row r="2" spans="1:54" x14ac:dyDescent="0.25">
      <c r="A2" t="s">
        <v>106</v>
      </c>
      <c r="B2">
        <v>0</v>
      </c>
      <c r="C2">
        <v>2281</v>
      </c>
      <c r="D2">
        <v>33021</v>
      </c>
      <c r="E2">
        <v>137</v>
      </c>
      <c r="F2">
        <v>0</v>
      </c>
      <c r="G2">
        <v>1831</v>
      </c>
      <c r="H2">
        <v>0</v>
      </c>
      <c r="I2">
        <v>7942</v>
      </c>
      <c r="J2">
        <v>0</v>
      </c>
      <c r="K2">
        <v>371</v>
      </c>
      <c r="L2">
        <v>1276</v>
      </c>
      <c r="M2">
        <v>7596</v>
      </c>
      <c r="N2">
        <v>31052</v>
      </c>
      <c r="O2">
        <v>6939</v>
      </c>
      <c r="P2">
        <v>1701</v>
      </c>
      <c r="Q2">
        <v>0</v>
      </c>
      <c r="R2">
        <v>7966</v>
      </c>
      <c r="S2">
        <v>3500</v>
      </c>
      <c r="T2">
        <v>3297</v>
      </c>
      <c r="U2" s="128">
        <v>11</v>
      </c>
      <c r="V2" s="128">
        <v>-3057</v>
      </c>
      <c r="W2" s="128">
        <v>61369</v>
      </c>
      <c r="X2" s="128">
        <v>64426</v>
      </c>
      <c r="Y2" s="128">
        <v>2177</v>
      </c>
      <c r="Z2" s="128">
        <v>2021022</v>
      </c>
      <c r="AA2" s="128">
        <v>42233</v>
      </c>
      <c r="AB2" s="128">
        <v>25442</v>
      </c>
      <c r="AC2" s="128" t="s">
        <v>106</v>
      </c>
      <c r="AD2" s="188">
        <f>SUM(R2,-L2)/W2</f>
        <v>0.10901269370529094</v>
      </c>
      <c r="AE2" s="188">
        <v>8.7829360100376411E-2</v>
      </c>
      <c r="AF2" s="188">
        <v>2.9835910638921933E-2</v>
      </c>
      <c r="AG2" s="188">
        <v>0.12941387345402403</v>
      </c>
      <c r="AH2" s="188">
        <v>8.1995795923023307E-4</v>
      </c>
      <c r="AI2" s="188">
        <v>0.57023230190065188</v>
      </c>
      <c r="AJ2" s="188">
        <v>-4.9813423715556714E-2</v>
      </c>
      <c r="AK2" s="188">
        <v>4.1166124022304552E-4</v>
      </c>
      <c r="AL2" s="188">
        <v>-2.9820006922810661E-2</v>
      </c>
      <c r="AM2" s="129">
        <f>COUNTIF(AJ2:AL2,"&lt;0")</f>
        <v>2</v>
      </c>
      <c r="AN2" s="188">
        <v>8.8684840880574878E-3</v>
      </c>
      <c r="AO2" s="188">
        <v>3.2932294806824289E-2</v>
      </c>
      <c r="AP2" s="188">
        <v>0.68818132933565812</v>
      </c>
      <c r="AQ2" s="128">
        <v>1885.5757409008725</v>
      </c>
      <c r="AR2" s="188">
        <v>4.9000000000000002E-2</v>
      </c>
      <c r="AS2" s="188">
        <v>0.246</v>
      </c>
      <c r="AT2" s="256">
        <v>6.5</v>
      </c>
      <c r="BB2" s="129"/>
    </row>
    <row r="3" spans="1:54" x14ac:dyDescent="0.25">
      <c r="A3" t="s">
        <v>238</v>
      </c>
      <c r="B3">
        <v>55</v>
      </c>
      <c r="C3">
        <v>2782</v>
      </c>
      <c r="D3">
        <v>69067</v>
      </c>
      <c r="E3">
        <v>1475</v>
      </c>
      <c r="F3">
        <v>0</v>
      </c>
      <c r="G3">
        <v>3089</v>
      </c>
      <c r="H3">
        <v>0</v>
      </c>
      <c r="I3">
        <v>25776</v>
      </c>
      <c r="J3">
        <v>18</v>
      </c>
      <c r="K3">
        <v>17721</v>
      </c>
      <c r="L3">
        <v>904</v>
      </c>
      <c r="M3">
        <v>14341</v>
      </c>
      <c r="N3">
        <v>51204</v>
      </c>
      <c r="O3">
        <v>18059</v>
      </c>
      <c r="P3">
        <v>43000</v>
      </c>
      <c r="Q3">
        <v>81</v>
      </c>
      <c r="R3">
        <v>7500</v>
      </c>
      <c r="S3">
        <v>2248</v>
      </c>
      <c r="T3">
        <v>13134</v>
      </c>
      <c r="U3" s="128">
        <v>5</v>
      </c>
      <c r="V3" s="128">
        <v>288</v>
      </c>
      <c r="W3" s="128">
        <v>77025</v>
      </c>
      <c r="X3" s="128">
        <v>76737</v>
      </c>
      <c r="Y3" s="128">
        <v>22468</v>
      </c>
      <c r="Z3" s="128">
        <v>3043825</v>
      </c>
      <c r="AA3" s="128">
        <v>38217</v>
      </c>
      <c r="AB3" s="128">
        <v>31829</v>
      </c>
      <c r="AC3" s="128" t="s">
        <v>238</v>
      </c>
      <c r="AD3" s="188">
        <f t="shared" ref="AD3:AD64" si="0">SUM(R3,-L3)/W3</f>
        <v>8.5634534242129176E-2</v>
      </c>
      <c r="AE3" s="188">
        <v>0.38828951639078224</v>
      </c>
      <c r="AF3" s="188">
        <v>4.0103862382343397E-2</v>
      </c>
      <c r="AG3" s="188">
        <v>0.33487828627069133</v>
      </c>
      <c r="AH3" s="188">
        <v>0.15868717948717953</v>
      </c>
      <c r="AI3" s="188">
        <v>0.37865499238312161</v>
      </c>
      <c r="AJ3" s="188">
        <v>3.7390457643622201E-3</v>
      </c>
      <c r="AK3" s="188">
        <v>6.2470874540464974E-2</v>
      </c>
      <c r="AL3" s="188">
        <v>-3.3125745329269907E-3</v>
      </c>
      <c r="AM3" s="129">
        <f t="shared" ref="AM3:AM64" si="1">COUNTIF(AJ3:AL3,"&lt;0")</f>
        <v>1</v>
      </c>
      <c r="AN3" s="188">
        <v>7.2924375202856218E-2</v>
      </c>
      <c r="AO3" s="188">
        <v>3.9517364492048034E-2</v>
      </c>
      <c r="AP3" s="188">
        <v>0.49616358325219084</v>
      </c>
      <c r="AQ3" s="128">
        <v>1689.9445788431933</v>
      </c>
      <c r="AR3" s="188">
        <v>3.4000000000000002E-2</v>
      </c>
      <c r="AS3" s="188">
        <v>0.17</v>
      </c>
      <c r="AT3" s="256">
        <v>8</v>
      </c>
      <c r="BB3" s="129"/>
    </row>
    <row r="4" spans="1:54" x14ac:dyDescent="0.25">
      <c r="A4" t="s">
        <v>165</v>
      </c>
      <c r="B4">
        <v>0</v>
      </c>
      <c r="C4">
        <v>7530</v>
      </c>
      <c r="D4">
        <v>33368</v>
      </c>
      <c r="E4">
        <v>1256</v>
      </c>
      <c r="F4">
        <v>0</v>
      </c>
      <c r="G4">
        <v>11317</v>
      </c>
      <c r="H4">
        <v>206</v>
      </c>
      <c r="I4">
        <v>2698</v>
      </c>
      <c r="J4">
        <v>-640</v>
      </c>
      <c r="K4">
        <v>1858</v>
      </c>
      <c r="L4">
        <v>996</v>
      </c>
      <c r="M4">
        <v>6356</v>
      </c>
      <c r="N4">
        <v>20692</v>
      </c>
      <c r="O4">
        <v>6419</v>
      </c>
      <c r="P4">
        <v>24503</v>
      </c>
      <c r="Q4">
        <v>2</v>
      </c>
      <c r="R4">
        <v>6000</v>
      </c>
      <c r="S4">
        <v>2879</v>
      </c>
      <c r="T4">
        <v>4450</v>
      </c>
      <c r="U4" s="128">
        <v>-1</v>
      </c>
      <c r="V4" s="128">
        <v>-2574</v>
      </c>
      <c r="W4" s="128">
        <v>64993</v>
      </c>
      <c r="X4" s="128">
        <v>67567</v>
      </c>
      <c r="Y4" s="128">
        <v>6896</v>
      </c>
      <c r="Z4" s="128">
        <v>1702872</v>
      </c>
      <c r="AA4" s="128">
        <v>47835</v>
      </c>
      <c r="AB4" s="128">
        <v>27116</v>
      </c>
      <c r="AC4" s="128" t="s">
        <v>165</v>
      </c>
      <c r="AD4" s="188">
        <f t="shared" si="0"/>
        <v>7.6992906928438451E-2</v>
      </c>
      <c r="AE4" s="188">
        <v>0.26312064376163585</v>
      </c>
      <c r="AF4" s="188">
        <v>0.17412644438631852</v>
      </c>
      <c r="AG4" s="188">
        <v>3.166494853291893E-2</v>
      </c>
      <c r="AH4" s="188">
        <v>0.26185035311495081</v>
      </c>
      <c r="AI4" s="188">
        <v>0.31860805296789591</v>
      </c>
      <c r="AJ4" s="188">
        <v>-3.960426507470035E-2</v>
      </c>
      <c r="AK4" s="188">
        <v>-4.3675298804780875E-2</v>
      </c>
      <c r="AL4" s="188">
        <v>9.5376682536418705E-3</v>
      </c>
      <c r="AM4" s="129">
        <f t="shared" si="1"/>
        <v>2</v>
      </c>
      <c r="AN4" s="188">
        <v>2.6525933562075915E-2</v>
      </c>
      <c r="AO4" s="188">
        <v>2.6200852399489178E-2</v>
      </c>
      <c r="AP4" s="188">
        <v>0.73600233871339993</v>
      </c>
      <c r="AQ4" s="128">
        <v>1751.3811771647736</v>
      </c>
      <c r="AR4" s="188">
        <v>5.2999999999999999E-2</v>
      </c>
      <c r="AS4" s="188">
        <v>0.26500000000000001</v>
      </c>
      <c r="AT4" s="256">
        <v>7</v>
      </c>
    </row>
    <row r="5" spans="1:54" x14ac:dyDescent="0.25">
      <c r="A5" t="s">
        <v>127</v>
      </c>
      <c r="B5">
        <v>2818</v>
      </c>
      <c r="C5">
        <v>6776</v>
      </c>
      <c r="D5">
        <v>53134</v>
      </c>
      <c r="E5">
        <v>336</v>
      </c>
      <c r="F5">
        <v>0</v>
      </c>
      <c r="G5">
        <v>6047</v>
      </c>
      <c r="H5">
        <v>418</v>
      </c>
      <c r="I5">
        <v>1258</v>
      </c>
      <c r="J5">
        <v>0</v>
      </c>
      <c r="K5">
        <v>9561</v>
      </c>
      <c r="L5">
        <v>377</v>
      </c>
      <c r="M5">
        <v>2574</v>
      </c>
      <c r="N5">
        <v>17778</v>
      </c>
      <c r="O5">
        <v>5247</v>
      </c>
      <c r="P5">
        <v>47945</v>
      </c>
      <c r="Q5">
        <v>0</v>
      </c>
      <c r="R5">
        <v>2282</v>
      </c>
      <c r="S5">
        <v>3794</v>
      </c>
      <c r="T5">
        <v>6253</v>
      </c>
      <c r="U5" s="128">
        <v>1</v>
      </c>
      <c r="V5" s="128">
        <v>-2693</v>
      </c>
      <c r="W5" s="128">
        <v>79263</v>
      </c>
      <c r="X5" s="128">
        <v>81956</v>
      </c>
      <c r="Y5" s="128">
        <v>232</v>
      </c>
      <c r="Z5" s="128">
        <v>-15243</v>
      </c>
      <c r="AA5" s="128">
        <v>58957</v>
      </c>
      <c r="AB5" s="128">
        <v>27824</v>
      </c>
      <c r="AC5" s="128" t="s">
        <v>127</v>
      </c>
      <c r="AD5" s="188">
        <f t="shared" si="0"/>
        <v>2.4033912418152226E-2</v>
      </c>
      <c r="AE5" s="188">
        <v>0.52101232605377035</v>
      </c>
      <c r="AF5" s="188">
        <v>7.6290324615520488E-2</v>
      </c>
      <c r="AG5" s="188">
        <v>1.5871213554874281E-2</v>
      </c>
      <c r="AH5" s="188">
        <v>0.51905731551922085</v>
      </c>
      <c r="AI5" s="188">
        <v>0.21342393065943169</v>
      </c>
      <c r="AJ5" s="188">
        <v>-3.3975499287183172E-2</v>
      </c>
      <c r="AK5" s="188">
        <v>1.8432321727797431E-2</v>
      </c>
      <c r="AL5" s="188">
        <v>-6.2535739053204047E-3</v>
      </c>
      <c r="AM5" s="129">
        <f t="shared" si="1"/>
        <v>2</v>
      </c>
      <c r="AN5" s="188">
        <v>7.3174116548704946E-4</v>
      </c>
      <c r="AO5" s="188">
        <v>-1.9230914802619128E-4</v>
      </c>
      <c r="AP5" s="188">
        <v>0.74381489471758577</v>
      </c>
      <c r="AQ5" s="128">
        <v>1939.1547584818861</v>
      </c>
      <c r="AR5" s="188">
        <v>4.2999999999999997E-2</v>
      </c>
      <c r="AS5" s="188">
        <v>0.215</v>
      </c>
      <c r="AT5" s="256">
        <v>6</v>
      </c>
    </row>
    <row r="6" spans="1:54" x14ac:dyDescent="0.25">
      <c r="A6" t="s">
        <v>283</v>
      </c>
      <c r="B6">
        <v>554</v>
      </c>
      <c r="C6">
        <v>1141</v>
      </c>
      <c r="D6">
        <v>56916</v>
      </c>
      <c r="E6">
        <v>604</v>
      </c>
      <c r="F6">
        <v>1065</v>
      </c>
      <c r="G6">
        <v>430</v>
      </c>
      <c r="H6">
        <v>76</v>
      </c>
      <c r="I6">
        <v>5449</v>
      </c>
      <c r="J6">
        <v>0</v>
      </c>
      <c r="K6">
        <v>4807</v>
      </c>
      <c r="L6">
        <v>250</v>
      </c>
      <c r="M6">
        <v>1658</v>
      </c>
      <c r="N6">
        <v>14850</v>
      </c>
      <c r="O6">
        <v>873</v>
      </c>
      <c r="P6">
        <v>49861</v>
      </c>
      <c r="Q6">
        <v>3</v>
      </c>
      <c r="R6">
        <v>2190</v>
      </c>
      <c r="S6">
        <v>975</v>
      </c>
      <c r="T6">
        <v>4197</v>
      </c>
      <c r="U6" s="128">
        <v>4</v>
      </c>
      <c r="V6" s="128">
        <v>-3085</v>
      </c>
      <c r="W6" s="128">
        <v>51830</v>
      </c>
      <c r="X6" s="128">
        <v>54915</v>
      </c>
      <c r="Y6" s="128">
        <v>13229</v>
      </c>
      <c r="Z6" s="128">
        <v>586927</v>
      </c>
      <c r="AA6" s="128">
        <v>33714</v>
      </c>
      <c r="AB6" s="128">
        <v>20168</v>
      </c>
      <c r="AC6" s="128" t="s">
        <v>283</v>
      </c>
      <c r="AD6" s="188">
        <f t="shared" si="0"/>
        <v>3.7430059810920319E-2</v>
      </c>
      <c r="AE6" s="188">
        <v>0.94424078718888671</v>
      </c>
      <c r="AF6" s="188">
        <v>2.8844298668724677E-2</v>
      </c>
      <c r="AG6" s="188">
        <v>0.10513216284005403</v>
      </c>
      <c r="AH6" s="188">
        <v>0.87410958904109592</v>
      </c>
      <c r="AI6" s="188">
        <v>0.20356687548835486</v>
      </c>
      <c r="AJ6" s="188">
        <v>-5.9521512637468646E-2</v>
      </c>
      <c r="AK6" s="188">
        <v>4.3328204914965279E-2</v>
      </c>
      <c r="AL6" s="188">
        <v>-2.8617899569702084E-3</v>
      </c>
      <c r="AM6" s="129">
        <f t="shared" si="1"/>
        <v>2</v>
      </c>
      <c r="AN6" s="188">
        <v>6.3809569747250633E-2</v>
      </c>
      <c r="AO6" s="188">
        <v>1.1324078718888676E-2</v>
      </c>
      <c r="AP6" s="188">
        <v>0.65047269920895234</v>
      </c>
      <c r="AQ6" s="128">
        <v>1763.5778460928202</v>
      </c>
      <c r="AR6" s="188">
        <v>4.3999999999999997E-2</v>
      </c>
      <c r="AS6" s="188">
        <v>0.219</v>
      </c>
      <c r="AT6" s="256">
        <v>6</v>
      </c>
    </row>
    <row r="7" spans="1:54" x14ac:dyDescent="0.25">
      <c r="A7" t="s">
        <v>284</v>
      </c>
      <c r="B7">
        <v>257</v>
      </c>
      <c r="C7">
        <v>9311</v>
      </c>
      <c r="D7">
        <v>48207</v>
      </c>
      <c r="E7">
        <v>1761</v>
      </c>
      <c r="F7">
        <v>131</v>
      </c>
      <c r="G7">
        <v>1580</v>
      </c>
      <c r="H7">
        <v>0</v>
      </c>
      <c r="I7">
        <v>11554</v>
      </c>
      <c r="J7">
        <v>0</v>
      </c>
      <c r="K7">
        <v>1816</v>
      </c>
      <c r="L7">
        <v>7440</v>
      </c>
      <c r="M7">
        <v>8408</v>
      </c>
      <c r="N7">
        <v>16576</v>
      </c>
      <c r="O7">
        <v>13124</v>
      </c>
      <c r="P7">
        <v>56361</v>
      </c>
      <c r="Q7">
        <v>9</v>
      </c>
      <c r="R7">
        <v>0</v>
      </c>
      <c r="S7">
        <v>4378</v>
      </c>
      <c r="T7">
        <v>15</v>
      </c>
      <c r="U7" s="128">
        <v>-7</v>
      </c>
      <c r="V7" s="128">
        <v>-1650</v>
      </c>
      <c r="W7" s="128">
        <v>57252</v>
      </c>
      <c r="X7" s="128">
        <v>58902</v>
      </c>
      <c r="Y7" s="128">
        <v>8529</v>
      </c>
      <c r="Z7" s="128">
        <v>-45945</v>
      </c>
      <c r="AA7" s="128">
        <v>32386</v>
      </c>
      <c r="AB7" s="128">
        <v>25560</v>
      </c>
      <c r="AC7" s="128" t="s">
        <v>284</v>
      </c>
      <c r="AD7" s="188">
        <f t="shared" si="0"/>
        <v>-0.12995179207713267</v>
      </c>
      <c r="AE7" s="188">
        <v>0.72290924334521067</v>
      </c>
      <c r="AF7" s="188">
        <v>2.9885418849996508E-2</v>
      </c>
      <c r="AG7" s="188">
        <v>0.20180954377139662</v>
      </c>
      <c r="AH7" s="188">
        <v>0.58522881296723261</v>
      </c>
      <c r="AI7" s="188">
        <v>0.18323513480649548</v>
      </c>
      <c r="AJ7" s="188">
        <v>-2.881995388807378E-2</v>
      </c>
      <c r="AK7" s="188">
        <v>-1.4848365498227649E-2</v>
      </c>
      <c r="AL7" s="188">
        <v>-4.0854808296668758E-3</v>
      </c>
      <c r="AM7" s="129">
        <f t="shared" si="1"/>
        <v>3</v>
      </c>
      <c r="AN7" s="188">
        <v>3.7243240410815344E-2</v>
      </c>
      <c r="AO7" s="188">
        <v>-8.0250471599245445E-4</v>
      </c>
      <c r="AP7" s="188">
        <v>0.56567456158736817</v>
      </c>
      <c r="AQ7" s="128">
        <v>1493.6620109546168</v>
      </c>
      <c r="AR7" s="188">
        <v>3.1E-2</v>
      </c>
      <c r="AS7" s="188">
        <v>0.153</v>
      </c>
      <c r="AT7" s="256">
        <v>8</v>
      </c>
    </row>
    <row r="8" spans="1:54" x14ac:dyDescent="0.25">
      <c r="A8" t="s">
        <v>239</v>
      </c>
      <c r="B8">
        <v>193</v>
      </c>
      <c r="C8">
        <v>74540</v>
      </c>
      <c r="D8">
        <v>403270</v>
      </c>
      <c r="E8">
        <v>1050</v>
      </c>
      <c r="F8">
        <v>0</v>
      </c>
      <c r="G8">
        <v>9760</v>
      </c>
      <c r="H8">
        <v>0</v>
      </c>
      <c r="I8">
        <v>20543</v>
      </c>
      <c r="J8">
        <v>9</v>
      </c>
      <c r="K8">
        <v>38634</v>
      </c>
      <c r="L8">
        <v>1235</v>
      </c>
      <c r="M8">
        <v>2786</v>
      </c>
      <c r="N8">
        <v>117141</v>
      </c>
      <c r="O8">
        <v>10333</v>
      </c>
      <c r="P8">
        <v>362208</v>
      </c>
      <c r="Q8">
        <v>499</v>
      </c>
      <c r="R8">
        <v>25000</v>
      </c>
      <c r="S8">
        <v>16716</v>
      </c>
      <c r="T8">
        <v>20125</v>
      </c>
      <c r="U8" s="128">
        <v>260</v>
      </c>
      <c r="V8" s="128">
        <v>-9451</v>
      </c>
      <c r="W8" s="128">
        <v>380165</v>
      </c>
      <c r="X8" s="128">
        <v>389616</v>
      </c>
      <c r="Y8" s="128">
        <v>38853</v>
      </c>
      <c r="Z8" s="128">
        <v>9598835</v>
      </c>
      <c r="AA8" s="128">
        <v>257878</v>
      </c>
      <c r="AB8" s="128">
        <v>109398</v>
      </c>
      <c r="AC8" s="128" t="s">
        <v>239</v>
      </c>
      <c r="AD8" s="188">
        <f t="shared" si="0"/>
        <v>6.2512330172425135E-2</v>
      </c>
      <c r="AE8" s="188">
        <v>0.97887233175068722</v>
      </c>
      <c r="AF8" s="188">
        <v>2.5673063012113161E-2</v>
      </c>
      <c r="AG8" s="188">
        <v>5.4060736785343205E-2</v>
      </c>
      <c r="AH8" s="188">
        <v>0.94411058356240052</v>
      </c>
      <c r="AI8" s="188">
        <v>0.212203499135904</v>
      </c>
      <c r="AJ8" s="188">
        <v>-2.4860258045848512E-2</v>
      </c>
      <c r="AK8" s="188">
        <v>-9.3278817875331755E-3</v>
      </c>
      <c r="AL8" s="188">
        <v>-1.6292504161246557E-2</v>
      </c>
      <c r="AM8" s="129">
        <f t="shared" si="1"/>
        <v>3</v>
      </c>
      <c r="AN8" s="188">
        <v>2.5550090092459853E-2</v>
      </c>
      <c r="AO8" s="188">
        <v>2.5249128667815288E-2</v>
      </c>
      <c r="AP8" s="188">
        <v>0.67833177699156944</v>
      </c>
      <c r="AQ8" s="128">
        <v>2044.8300425967568</v>
      </c>
      <c r="AR8" s="188">
        <v>3.4000000000000002E-2</v>
      </c>
      <c r="AS8" s="188">
        <v>0.17</v>
      </c>
      <c r="AT8" s="256">
        <v>7.5</v>
      </c>
    </row>
    <row r="9" spans="1:54" x14ac:dyDescent="0.25">
      <c r="A9" t="s">
        <v>141</v>
      </c>
      <c r="B9">
        <v>2801</v>
      </c>
      <c r="C9">
        <v>33169</v>
      </c>
      <c r="D9">
        <v>162880</v>
      </c>
      <c r="E9">
        <v>691</v>
      </c>
      <c r="F9">
        <v>0</v>
      </c>
      <c r="G9">
        <v>27878</v>
      </c>
      <c r="H9">
        <v>921</v>
      </c>
      <c r="I9">
        <v>43209</v>
      </c>
      <c r="J9">
        <v>860</v>
      </c>
      <c r="K9">
        <v>23685</v>
      </c>
      <c r="L9">
        <v>228</v>
      </c>
      <c r="M9">
        <v>13656</v>
      </c>
      <c r="N9">
        <v>25706</v>
      </c>
      <c r="O9">
        <v>14208</v>
      </c>
      <c r="P9">
        <v>204783</v>
      </c>
      <c r="Q9">
        <v>425</v>
      </c>
      <c r="R9">
        <v>36000</v>
      </c>
      <c r="S9">
        <v>6031</v>
      </c>
      <c r="T9">
        <v>22824</v>
      </c>
      <c r="U9" s="128">
        <v>1</v>
      </c>
      <c r="V9" s="128">
        <v>8797</v>
      </c>
      <c r="W9" s="128">
        <v>293135</v>
      </c>
      <c r="X9" s="128">
        <v>284338</v>
      </c>
      <c r="Y9" s="128">
        <v>33789</v>
      </c>
      <c r="Z9" s="128">
        <v>-5654618</v>
      </c>
      <c r="AA9" s="128">
        <v>208134</v>
      </c>
      <c r="AB9" s="128">
        <v>73105</v>
      </c>
      <c r="AC9" s="128" t="s">
        <v>141</v>
      </c>
      <c r="AD9" s="188">
        <f t="shared" si="0"/>
        <v>0.12203251061797465</v>
      </c>
      <c r="AE9" s="188">
        <v>0.69488460948027364</v>
      </c>
      <c r="AF9" s="188">
        <v>9.510293891892814E-2</v>
      </c>
      <c r="AG9" s="188">
        <v>0.15033687550104902</v>
      </c>
      <c r="AH9" s="188">
        <v>0.6010611492998108</v>
      </c>
      <c r="AI9" s="188">
        <v>8.2928733422157133E-2</v>
      </c>
      <c r="AJ9" s="188">
        <v>3.0010063622562984E-2</v>
      </c>
      <c r="AK9" s="188">
        <v>6.1063789132817764E-2</v>
      </c>
      <c r="AL9" s="188">
        <v>2.4662889862725107E-2</v>
      </c>
      <c r="AM9" s="129">
        <f t="shared" si="1"/>
        <v>0</v>
      </c>
      <c r="AN9" s="188">
        <v>2.8816927354290686E-2</v>
      </c>
      <c r="AO9" s="188">
        <v>-1.9290149589779454E-2</v>
      </c>
      <c r="AP9" s="188">
        <v>0.71002780288945366</v>
      </c>
      <c r="AQ9" s="128">
        <v>2686.9475822447166</v>
      </c>
      <c r="AR9" s="188">
        <v>4.8000000000000001E-2</v>
      </c>
      <c r="AS9" s="188">
        <v>0.23799999999999999</v>
      </c>
      <c r="AT9" s="256">
        <v>5</v>
      </c>
    </row>
    <row r="10" spans="1:54" x14ac:dyDescent="0.25">
      <c r="A10" t="s">
        <v>429</v>
      </c>
      <c r="B10">
        <v>6260</v>
      </c>
      <c r="C10">
        <v>261270</v>
      </c>
      <c r="D10">
        <v>522822</v>
      </c>
      <c r="E10">
        <v>16271</v>
      </c>
      <c r="F10">
        <v>14003</v>
      </c>
      <c r="G10">
        <v>17391</v>
      </c>
      <c r="H10">
        <v>0</v>
      </c>
      <c r="I10">
        <v>333122</v>
      </c>
      <c r="J10">
        <v>9</v>
      </c>
      <c r="K10">
        <v>123116</v>
      </c>
      <c r="L10">
        <v>9724</v>
      </c>
      <c r="M10">
        <v>9322</v>
      </c>
      <c r="N10">
        <v>401488</v>
      </c>
      <c r="O10">
        <v>288665</v>
      </c>
      <c r="P10">
        <v>430000</v>
      </c>
      <c r="Q10">
        <v>144</v>
      </c>
      <c r="R10">
        <v>90800</v>
      </c>
      <c r="S10">
        <v>43398</v>
      </c>
      <c r="T10">
        <v>58817</v>
      </c>
      <c r="U10" s="128">
        <v>40</v>
      </c>
      <c r="V10" s="128">
        <v>32791</v>
      </c>
      <c r="W10" s="128">
        <v>838373</v>
      </c>
      <c r="X10" s="128">
        <v>805582</v>
      </c>
      <c r="Y10" s="128">
        <v>70608</v>
      </c>
      <c r="Z10" s="128">
        <v>3790880</v>
      </c>
      <c r="AA10" s="128">
        <v>519202</v>
      </c>
      <c r="AB10" s="128">
        <v>211639</v>
      </c>
      <c r="AC10" s="128" t="s">
        <v>429</v>
      </c>
      <c r="AD10" s="188">
        <f t="shared" si="0"/>
        <v>9.6706358625575972E-2</v>
      </c>
      <c r="AE10" s="188">
        <v>0.53628039070914735</v>
      </c>
      <c r="AF10" s="188">
        <v>3.7446339517136169E-2</v>
      </c>
      <c r="AG10" s="188">
        <v>0.39735416097608106</v>
      </c>
      <c r="AH10" s="188">
        <v>0.26262603876794693</v>
      </c>
      <c r="AI10" s="188">
        <v>0.3057064886333179</v>
      </c>
      <c r="AJ10" s="188">
        <v>3.9112662263694087E-2</v>
      </c>
      <c r="AK10" s="188">
        <v>7.2301080205583401E-2</v>
      </c>
      <c r="AL10" s="188">
        <v>3.5673961553123655E-2</v>
      </c>
      <c r="AM10" s="129">
        <f t="shared" si="1"/>
        <v>0</v>
      </c>
      <c r="AN10" s="188">
        <v>2.1055067374545697E-2</v>
      </c>
      <c r="AO10" s="188">
        <v>4.5217105035586791E-3</v>
      </c>
      <c r="AP10" s="188">
        <v>0.61929713862445479</v>
      </c>
      <c r="AQ10" s="128">
        <v>2005.6037781316297</v>
      </c>
      <c r="AR10" s="188">
        <v>3.7000000000000005E-2</v>
      </c>
      <c r="AS10" s="188">
        <v>0.183</v>
      </c>
      <c r="AT10" s="256">
        <v>9</v>
      </c>
    </row>
    <row r="11" spans="1:54" x14ac:dyDescent="0.25">
      <c r="A11" t="s">
        <v>285</v>
      </c>
      <c r="B11">
        <v>4539</v>
      </c>
      <c r="C11">
        <v>38196</v>
      </c>
      <c r="D11">
        <v>255262</v>
      </c>
      <c r="E11">
        <v>7513</v>
      </c>
      <c r="F11">
        <v>2001</v>
      </c>
      <c r="G11">
        <v>20811</v>
      </c>
      <c r="H11">
        <v>7410</v>
      </c>
      <c r="I11">
        <v>166289</v>
      </c>
      <c r="J11">
        <v>7226</v>
      </c>
      <c r="K11">
        <v>30151</v>
      </c>
      <c r="L11">
        <v>446</v>
      </c>
      <c r="M11">
        <v>9814</v>
      </c>
      <c r="N11">
        <v>222221</v>
      </c>
      <c r="O11">
        <v>167851</v>
      </c>
      <c r="P11">
        <v>101560</v>
      </c>
      <c r="Q11">
        <v>5</v>
      </c>
      <c r="R11">
        <v>18236</v>
      </c>
      <c r="S11">
        <v>23779</v>
      </c>
      <c r="T11">
        <v>16005</v>
      </c>
      <c r="U11" s="128">
        <v>0</v>
      </c>
      <c r="V11" s="128">
        <v>9707</v>
      </c>
      <c r="W11" s="128">
        <v>298368</v>
      </c>
      <c r="X11" s="128">
        <v>288661</v>
      </c>
      <c r="Y11" s="128">
        <v>38034</v>
      </c>
      <c r="Z11" s="128">
        <v>9855300</v>
      </c>
      <c r="AA11" s="128">
        <v>188366</v>
      </c>
      <c r="AB11" s="128">
        <v>111792</v>
      </c>
      <c r="AC11" s="128" t="s">
        <v>285</v>
      </c>
      <c r="AD11" s="188">
        <f t="shared" si="0"/>
        <v>5.9624356499356497E-2</v>
      </c>
      <c r="AE11" s="188">
        <v>0.29812848562848565</v>
      </c>
      <c r="AF11" s="188">
        <v>7.6455920205920208E-2</v>
      </c>
      <c r="AG11" s="188">
        <v>0.58154694873444879</v>
      </c>
      <c r="AH11" s="188">
        <v>-9.9779668060918092E-2</v>
      </c>
      <c r="AI11" s="188">
        <v>0.40429031195818482</v>
      </c>
      <c r="AJ11" s="188">
        <v>3.2533649721149721E-2</v>
      </c>
      <c r="AK11" s="188">
        <v>5.3233335428569541E-2</v>
      </c>
      <c r="AL11" s="188">
        <v>1.2037963761863675E-2</v>
      </c>
      <c r="AM11" s="129">
        <f t="shared" si="1"/>
        <v>0</v>
      </c>
      <c r="AN11" s="188">
        <v>3.1868363899613901E-2</v>
      </c>
      <c r="AO11" s="188">
        <v>3.3030686936936934E-2</v>
      </c>
      <c r="AP11" s="188">
        <v>0.63132105319605325</v>
      </c>
      <c r="AQ11" s="128">
        <v>1643.2896450551023</v>
      </c>
      <c r="AR11" s="188">
        <v>2.2000000000000002E-2</v>
      </c>
      <c r="AS11" s="188">
        <v>0.10800000000000001</v>
      </c>
      <c r="AT11" s="256">
        <v>10</v>
      </c>
    </row>
    <row r="12" spans="1:54" x14ac:dyDescent="0.25">
      <c r="A12" t="s">
        <v>343</v>
      </c>
      <c r="B12">
        <v>502</v>
      </c>
      <c r="C12">
        <v>1047</v>
      </c>
      <c r="D12">
        <v>19927</v>
      </c>
      <c r="E12">
        <v>43</v>
      </c>
      <c r="F12">
        <v>0</v>
      </c>
      <c r="G12">
        <v>1199</v>
      </c>
      <c r="H12">
        <v>35</v>
      </c>
      <c r="I12">
        <v>2333</v>
      </c>
      <c r="J12">
        <v>0</v>
      </c>
      <c r="K12">
        <v>3714</v>
      </c>
      <c r="L12">
        <v>65</v>
      </c>
      <c r="M12">
        <v>247</v>
      </c>
      <c r="N12">
        <v>8342</v>
      </c>
      <c r="O12">
        <v>1725</v>
      </c>
      <c r="P12">
        <v>14310</v>
      </c>
      <c r="Q12">
        <v>42</v>
      </c>
      <c r="R12">
        <v>607</v>
      </c>
      <c r="S12">
        <v>2239</v>
      </c>
      <c r="T12">
        <v>1849</v>
      </c>
      <c r="U12" s="128">
        <v>2</v>
      </c>
      <c r="V12" s="128">
        <v>403</v>
      </c>
      <c r="W12" s="128">
        <v>22437</v>
      </c>
      <c r="X12" s="128">
        <v>22034</v>
      </c>
      <c r="Y12" s="128">
        <v>4321</v>
      </c>
      <c r="Z12" s="128">
        <v>1259196</v>
      </c>
      <c r="AA12" s="128">
        <v>14648</v>
      </c>
      <c r="AB12" s="128">
        <v>10212</v>
      </c>
      <c r="AC12" s="128" t="s">
        <v>343</v>
      </c>
      <c r="AD12" s="188">
        <f t="shared" si="0"/>
        <v>2.4156527164950752E-2</v>
      </c>
      <c r="AE12" s="188">
        <v>0.61447608860364578</v>
      </c>
      <c r="AF12" s="188">
        <v>5.3438516735748988E-2</v>
      </c>
      <c r="AG12" s="188">
        <v>0.10398003298123636</v>
      </c>
      <c r="AH12" s="188">
        <v>0.54810268752507019</v>
      </c>
      <c r="AI12" s="188">
        <v>0.28652881775091021</v>
      </c>
      <c r="AJ12" s="188">
        <v>1.7961403039622053E-2</v>
      </c>
      <c r="AK12" s="188">
        <v>-1.9052826379542396E-2</v>
      </c>
      <c r="AL12" s="188">
        <v>-6.3460965117764813E-3</v>
      </c>
      <c r="AM12" s="129">
        <f t="shared" si="1"/>
        <v>2</v>
      </c>
      <c r="AN12" s="188">
        <v>4.8145919686232559E-2</v>
      </c>
      <c r="AO12" s="188">
        <v>5.6121406605161114E-2</v>
      </c>
      <c r="AP12" s="188">
        <v>0.65285020279003436</v>
      </c>
      <c r="AQ12" s="128">
        <v>1390.207696827262</v>
      </c>
      <c r="AR12" s="188">
        <v>3.7000000000000005E-2</v>
      </c>
      <c r="AS12" s="188">
        <v>0.185</v>
      </c>
      <c r="AT12" s="256">
        <v>8.5</v>
      </c>
    </row>
    <row r="13" spans="1:54" x14ac:dyDescent="0.25">
      <c r="A13" t="s">
        <v>598</v>
      </c>
      <c r="B13">
        <v>1207</v>
      </c>
      <c r="C13">
        <v>16271</v>
      </c>
      <c r="D13">
        <v>128002</v>
      </c>
      <c r="E13">
        <v>4049</v>
      </c>
      <c r="F13">
        <v>28</v>
      </c>
      <c r="G13">
        <v>7524</v>
      </c>
      <c r="H13">
        <v>171</v>
      </c>
      <c r="I13">
        <v>18273</v>
      </c>
      <c r="J13">
        <v>1377</v>
      </c>
      <c r="K13">
        <v>5910</v>
      </c>
      <c r="L13">
        <v>15321</v>
      </c>
      <c r="M13">
        <v>11577</v>
      </c>
      <c r="N13">
        <v>67050</v>
      </c>
      <c r="O13">
        <v>23136</v>
      </c>
      <c r="P13">
        <v>100739</v>
      </c>
      <c r="Q13">
        <v>12</v>
      </c>
      <c r="R13">
        <v>0</v>
      </c>
      <c r="S13">
        <v>8040</v>
      </c>
      <c r="T13">
        <v>10732</v>
      </c>
      <c r="U13" s="128">
        <v>-7</v>
      </c>
      <c r="V13" s="128">
        <v>9550</v>
      </c>
      <c r="W13" s="128">
        <v>128043</v>
      </c>
      <c r="X13" s="128">
        <v>118493</v>
      </c>
      <c r="Y13" s="128">
        <v>45788</v>
      </c>
      <c r="Z13" s="128">
        <v>5130636</v>
      </c>
      <c r="AA13" s="128">
        <v>80739</v>
      </c>
      <c r="AB13" s="128">
        <v>55978</v>
      </c>
      <c r="AC13" s="128" t="s">
        <v>598</v>
      </c>
      <c r="AD13" s="188">
        <f t="shared" si="0"/>
        <v>-0.11965511585951594</v>
      </c>
      <c r="AE13" s="188">
        <v>0.61691775419195116</v>
      </c>
      <c r="AF13" s="188">
        <v>5.8980186343650182E-2</v>
      </c>
      <c r="AG13" s="188">
        <v>0.15346407066376139</v>
      </c>
      <c r="AH13" s="188">
        <v>0.51657052708855622</v>
      </c>
      <c r="AI13" s="188">
        <v>0.3197287670057079</v>
      </c>
      <c r="AJ13" s="188">
        <v>7.4584319330224996E-2</v>
      </c>
      <c r="AK13" s="188">
        <v>-4.7732499462285532E-3</v>
      </c>
      <c r="AL13" s="188">
        <v>1.1106745647969053E-3</v>
      </c>
      <c r="AM13" s="129">
        <f t="shared" si="1"/>
        <v>1</v>
      </c>
      <c r="AN13" s="188">
        <v>8.9399654803464457E-2</v>
      </c>
      <c r="AO13" s="188">
        <v>4.0069632857711868E-2</v>
      </c>
      <c r="AP13" s="188">
        <v>0.63056160820974205</v>
      </c>
      <c r="AQ13" s="128">
        <v>1359.1119904248098</v>
      </c>
      <c r="AR13" s="188">
        <v>1.8000000000000002E-2</v>
      </c>
      <c r="AS13" s="188">
        <v>9.0999999999999998E-2</v>
      </c>
      <c r="AT13" s="256">
        <v>8.5</v>
      </c>
    </row>
    <row r="14" spans="1:54" x14ac:dyDescent="0.25">
      <c r="A14" t="s">
        <v>128</v>
      </c>
      <c r="B14">
        <v>252</v>
      </c>
      <c r="C14">
        <v>2809</v>
      </c>
      <c r="D14">
        <v>28468</v>
      </c>
      <c r="E14">
        <v>379</v>
      </c>
      <c r="F14">
        <v>0</v>
      </c>
      <c r="G14">
        <v>883</v>
      </c>
      <c r="H14">
        <v>1676</v>
      </c>
      <c r="I14">
        <v>419</v>
      </c>
      <c r="J14">
        <v>26</v>
      </c>
      <c r="K14">
        <v>2790</v>
      </c>
      <c r="L14">
        <v>46</v>
      </c>
      <c r="M14">
        <v>3925</v>
      </c>
      <c r="N14">
        <v>13971</v>
      </c>
      <c r="O14">
        <v>1024</v>
      </c>
      <c r="P14">
        <v>18669</v>
      </c>
      <c r="Q14">
        <v>0</v>
      </c>
      <c r="R14">
        <v>5000</v>
      </c>
      <c r="S14">
        <v>2087</v>
      </c>
      <c r="T14">
        <v>922</v>
      </c>
      <c r="U14" s="128">
        <v>57</v>
      </c>
      <c r="V14" s="128">
        <v>1079</v>
      </c>
      <c r="W14" s="128">
        <v>22277</v>
      </c>
      <c r="X14" s="128">
        <v>21198</v>
      </c>
      <c r="Y14" s="128">
        <v>4456</v>
      </c>
      <c r="Z14" s="128">
        <v>1078538</v>
      </c>
      <c r="AA14" s="128">
        <v>10527</v>
      </c>
      <c r="AB14" s="128">
        <v>3723</v>
      </c>
      <c r="AC14" s="128" t="s">
        <v>128</v>
      </c>
      <c r="AD14" s="188">
        <f t="shared" si="0"/>
        <v>0.22238182879202764</v>
      </c>
      <c r="AE14" s="188">
        <v>0.77918929837949458</v>
      </c>
      <c r="AF14" s="188">
        <v>3.9637294070117159E-2</v>
      </c>
      <c r="AG14" s="188">
        <v>1.99757597522108E-2</v>
      </c>
      <c r="AH14" s="188">
        <v>0.76996274184136104</v>
      </c>
      <c r="AI14" s="188">
        <v>0.33525304153768626</v>
      </c>
      <c r="AJ14" s="188">
        <v>4.843560623064147E-2</v>
      </c>
      <c r="AK14" s="188">
        <v>6.7971063747147642E-3</v>
      </c>
      <c r="AL14" s="188">
        <v>4.516099482434846E-2</v>
      </c>
      <c r="AM14" s="129">
        <f t="shared" si="1"/>
        <v>0</v>
      </c>
      <c r="AN14" s="188">
        <v>5.0006733402163668E-2</v>
      </c>
      <c r="AO14" s="188">
        <v>4.8414867351977378E-2</v>
      </c>
      <c r="AP14" s="188">
        <v>0.47255016384611931</v>
      </c>
      <c r="AQ14" s="128">
        <v>3482.9578297072253</v>
      </c>
      <c r="AR14" s="188">
        <v>-3.0000000000000001E-3</v>
      </c>
      <c r="AS14" s="188">
        <v>-1.6E-2</v>
      </c>
      <c r="AT14" s="256">
        <v>7.5</v>
      </c>
    </row>
    <row r="15" spans="1:54" x14ac:dyDescent="0.25">
      <c r="A15" t="s">
        <v>214</v>
      </c>
      <c r="B15">
        <v>730</v>
      </c>
      <c r="C15">
        <v>43139</v>
      </c>
      <c r="D15">
        <v>469124</v>
      </c>
      <c r="E15">
        <v>6168</v>
      </c>
      <c r="F15">
        <v>5156</v>
      </c>
      <c r="G15">
        <v>63683</v>
      </c>
      <c r="H15">
        <v>5562</v>
      </c>
      <c r="I15">
        <v>0</v>
      </c>
      <c r="J15">
        <v>13756</v>
      </c>
      <c r="K15">
        <v>49909</v>
      </c>
      <c r="L15">
        <v>36</v>
      </c>
      <c r="M15">
        <v>26838</v>
      </c>
      <c r="N15">
        <v>185142</v>
      </c>
      <c r="O15">
        <v>74052</v>
      </c>
      <c r="P15">
        <v>318851</v>
      </c>
      <c r="Q15">
        <v>1481</v>
      </c>
      <c r="R15">
        <v>30833</v>
      </c>
      <c r="S15">
        <v>28801</v>
      </c>
      <c r="T15">
        <v>44941</v>
      </c>
      <c r="U15" s="128">
        <v>10</v>
      </c>
      <c r="V15" s="128">
        <v>-26929</v>
      </c>
      <c r="W15" s="128">
        <v>565258</v>
      </c>
      <c r="X15" s="128">
        <v>592187</v>
      </c>
      <c r="Y15" s="128">
        <v>34773</v>
      </c>
      <c r="Z15" s="128">
        <v>3828715</v>
      </c>
      <c r="AA15" s="128">
        <v>351862</v>
      </c>
      <c r="AB15" s="128">
        <v>157310</v>
      </c>
      <c r="AC15" s="128" t="s">
        <v>214</v>
      </c>
      <c r="AD15" s="188">
        <f t="shared" si="0"/>
        <v>5.4483085599849983E-2</v>
      </c>
      <c r="AE15" s="188">
        <v>0.4842443627511685</v>
      </c>
      <c r="AF15" s="188">
        <v>0.12178332725941075</v>
      </c>
      <c r="AG15" s="188">
        <v>2.4335790028624096E-2</v>
      </c>
      <c r="AH15" s="188">
        <v>0.48182330900226089</v>
      </c>
      <c r="AI15" s="188">
        <v>0.27063547634048191</v>
      </c>
      <c r="AJ15" s="188">
        <v>-4.7640192620007148E-2</v>
      </c>
      <c r="AK15" s="188">
        <v>3.8863753128159234E-2</v>
      </c>
      <c r="AL15" s="188">
        <v>4.4655175945079888E-2</v>
      </c>
      <c r="AM15" s="129">
        <f t="shared" si="1"/>
        <v>1</v>
      </c>
      <c r="AN15" s="188">
        <v>1.5379260443903493E-2</v>
      </c>
      <c r="AO15" s="188">
        <v>6.7733937423265127E-3</v>
      </c>
      <c r="AP15" s="188">
        <v>0.62248035410378977</v>
      </c>
      <c r="AQ15" s="128">
        <v>2289.8502638103109</v>
      </c>
      <c r="AR15" s="188">
        <v>4.2999999999999997E-2</v>
      </c>
      <c r="AS15" s="188">
        <v>0.215</v>
      </c>
      <c r="AT15" s="256">
        <v>8.5</v>
      </c>
    </row>
    <row r="16" spans="1:54" x14ac:dyDescent="0.25">
      <c r="A16" t="s">
        <v>240</v>
      </c>
      <c r="B16">
        <v>2019</v>
      </c>
      <c r="C16">
        <v>6063</v>
      </c>
      <c r="D16">
        <v>217819</v>
      </c>
      <c r="E16">
        <v>7693</v>
      </c>
      <c r="F16">
        <v>0</v>
      </c>
      <c r="G16">
        <v>5344</v>
      </c>
      <c r="H16">
        <v>0</v>
      </c>
      <c r="I16">
        <v>-2974</v>
      </c>
      <c r="J16">
        <v>247</v>
      </c>
      <c r="K16">
        <v>75379</v>
      </c>
      <c r="L16">
        <v>106</v>
      </c>
      <c r="M16">
        <v>32034</v>
      </c>
      <c r="N16">
        <v>209653</v>
      </c>
      <c r="O16">
        <v>24157</v>
      </c>
      <c r="P16">
        <v>73375</v>
      </c>
      <c r="Q16">
        <v>278</v>
      </c>
      <c r="R16">
        <v>252</v>
      </c>
      <c r="S16">
        <v>6987</v>
      </c>
      <c r="T16">
        <v>29029</v>
      </c>
      <c r="U16" s="128">
        <v>-6</v>
      </c>
      <c r="V16" s="128">
        <v>-5843</v>
      </c>
      <c r="W16" s="128">
        <v>240985</v>
      </c>
      <c r="X16" s="128">
        <v>246828</v>
      </c>
      <c r="Y16" s="128">
        <v>22008</v>
      </c>
      <c r="Z16" s="128">
        <v>17461461.400000002</v>
      </c>
      <c r="AA16" s="128">
        <v>136636</v>
      </c>
      <c r="AB16" s="128">
        <v>91907</v>
      </c>
      <c r="AC16" s="128" t="s">
        <v>240</v>
      </c>
      <c r="AD16" s="188">
        <f t="shared" si="0"/>
        <v>6.0584683694005854E-4</v>
      </c>
      <c r="AE16" s="188">
        <v>-1.2208228727929125E-2</v>
      </c>
      <c r="AF16" s="188">
        <v>2.2175654086353924E-2</v>
      </c>
      <c r="AG16" s="188">
        <v>-1.1316057015996847E-2</v>
      </c>
      <c r="AH16" s="188">
        <v>-1.625910326368862E-3</v>
      </c>
      <c r="AI16" s="188">
        <v>0.60993334904329255</v>
      </c>
      <c r="AJ16" s="188">
        <v>-2.4246322385210697E-2</v>
      </c>
      <c r="AK16" s="188">
        <v>2.4942139768190243E-2</v>
      </c>
      <c r="AL16" s="188">
        <v>6.6994501958177868E-2</v>
      </c>
      <c r="AM16" s="129">
        <f t="shared" si="1"/>
        <v>1</v>
      </c>
      <c r="AN16" s="188">
        <v>2.2831296553727412E-2</v>
      </c>
      <c r="AO16" s="188">
        <v>7.2458706558499508E-2</v>
      </c>
      <c r="AP16" s="188">
        <v>0.56698964665850571</v>
      </c>
      <c r="AQ16" s="128">
        <v>1822.9689795118979</v>
      </c>
      <c r="AR16" s="188">
        <v>4.2999999999999997E-2</v>
      </c>
      <c r="AS16" s="188">
        <v>0.215</v>
      </c>
      <c r="AT16" s="256">
        <v>7.5</v>
      </c>
    </row>
    <row r="17" spans="1:46" x14ac:dyDescent="0.25">
      <c r="A17" t="s">
        <v>241</v>
      </c>
      <c r="B17">
        <v>35660</v>
      </c>
      <c r="C17">
        <v>8344909</v>
      </c>
      <c r="D17">
        <v>4396826</v>
      </c>
      <c r="E17">
        <v>660303</v>
      </c>
      <c r="F17">
        <v>191185</v>
      </c>
      <c r="G17">
        <v>86794</v>
      </c>
      <c r="H17">
        <v>37771</v>
      </c>
      <c r="I17">
        <v>-425853</v>
      </c>
      <c r="J17">
        <v>7498</v>
      </c>
      <c r="K17">
        <v>598625</v>
      </c>
      <c r="L17">
        <v>3406</v>
      </c>
      <c r="M17">
        <v>511058</v>
      </c>
      <c r="N17">
        <v>7952155</v>
      </c>
      <c r="O17">
        <v>409007</v>
      </c>
      <c r="P17">
        <v>5042838</v>
      </c>
      <c r="Q17">
        <v>19034</v>
      </c>
      <c r="R17">
        <v>258000</v>
      </c>
      <c r="S17">
        <v>325754</v>
      </c>
      <c r="T17">
        <v>441394</v>
      </c>
      <c r="U17" s="128">
        <v>2</v>
      </c>
      <c r="V17" s="128">
        <v>-257677</v>
      </c>
      <c r="W17" s="128">
        <v>5170497</v>
      </c>
      <c r="X17" s="128">
        <v>5428174</v>
      </c>
      <c r="Y17" s="128">
        <v>1795364</v>
      </c>
      <c r="Z17" s="128">
        <v>282833328.30000001</v>
      </c>
      <c r="AA17" s="128">
        <v>2840216</v>
      </c>
      <c r="AB17" s="128">
        <v>873471</v>
      </c>
      <c r="AC17" s="128" t="s">
        <v>241</v>
      </c>
      <c r="AD17" s="188">
        <f t="shared" si="0"/>
        <v>4.9239753934679782E-2</v>
      </c>
      <c r="AE17" s="188">
        <v>0.90091552127387364</v>
      </c>
      <c r="AF17" s="188">
        <v>5.376252998502852E-2</v>
      </c>
      <c r="AG17" s="188">
        <v>-8.0911951017474726E-2</v>
      </c>
      <c r="AH17" s="188">
        <v>0.96400539058430945</v>
      </c>
      <c r="AI17" s="188">
        <v>0.55039139180278873</v>
      </c>
      <c r="AJ17" s="188">
        <v>-4.9836021566205341E-2</v>
      </c>
      <c r="AK17" s="188">
        <v>2.2742409914620065E-2</v>
      </c>
      <c r="AL17" s="188">
        <v>6.5466168659676673E-3</v>
      </c>
      <c r="AM17" s="129">
        <f t="shared" si="1"/>
        <v>1</v>
      </c>
      <c r="AN17" s="188">
        <v>8.6808096010886376E-2</v>
      </c>
      <c r="AO17" s="188">
        <v>5.4701381375910282E-2</v>
      </c>
      <c r="AP17" s="188">
        <v>0.5493119907041818</v>
      </c>
      <c r="AQ17" s="128">
        <v>3776.8193082540811</v>
      </c>
      <c r="AR17" s="188">
        <v>3.5000000000000003E-2</v>
      </c>
      <c r="AS17" s="188">
        <v>0.17499999999999999</v>
      </c>
      <c r="AT17" s="256">
        <v>6.5</v>
      </c>
    </row>
    <row r="18" spans="1:46" x14ac:dyDescent="0.25">
      <c r="A18" t="s">
        <v>166</v>
      </c>
      <c r="B18">
        <v>911</v>
      </c>
      <c r="C18">
        <v>71275</v>
      </c>
      <c r="D18">
        <v>523333</v>
      </c>
      <c r="E18">
        <v>1664</v>
      </c>
      <c r="F18">
        <v>71</v>
      </c>
      <c r="G18">
        <v>50549</v>
      </c>
      <c r="H18">
        <v>0</v>
      </c>
      <c r="I18">
        <v>37762</v>
      </c>
      <c r="J18">
        <v>255</v>
      </c>
      <c r="K18">
        <v>39926</v>
      </c>
      <c r="L18">
        <v>471</v>
      </c>
      <c r="M18">
        <v>32337</v>
      </c>
      <c r="N18">
        <v>128405</v>
      </c>
      <c r="O18">
        <v>14622</v>
      </c>
      <c r="P18">
        <v>495314</v>
      </c>
      <c r="Q18">
        <v>61</v>
      </c>
      <c r="R18">
        <v>59000</v>
      </c>
      <c r="S18">
        <v>6988</v>
      </c>
      <c r="T18">
        <v>54164</v>
      </c>
      <c r="U18" s="128">
        <v>1742</v>
      </c>
      <c r="V18" s="128">
        <v>10125</v>
      </c>
      <c r="W18" s="128">
        <v>577813</v>
      </c>
      <c r="X18" s="128">
        <v>567688</v>
      </c>
      <c r="Y18" s="128">
        <v>72611</v>
      </c>
      <c r="Z18" s="128">
        <v>-4343736</v>
      </c>
      <c r="AA18" s="128">
        <v>385733</v>
      </c>
      <c r="AB18" s="128">
        <v>163776</v>
      </c>
      <c r="AC18" s="128" t="s">
        <v>166</v>
      </c>
      <c r="AD18" s="188">
        <f t="shared" si="0"/>
        <v>0.10129401726856267</v>
      </c>
      <c r="AE18" s="188">
        <v>0.8517859584329186</v>
      </c>
      <c r="AF18" s="188">
        <v>8.7606197852938578E-2</v>
      </c>
      <c r="AG18" s="188">
        <v>6.5794642903499928E-2</v>
      </c>
      <c r="AH18" s="188">
        <v>0.81624245214282132</v>
      </c>
      <c r="AI18" s="188">
        <v>0.16927601726442679</v>
      </c>
      <c r="AJ18" s="188">
        <v>1.7522970234314563E-2</v>
      </c>
      <c r="AK18" s="188">
        <v>4.7088856920057008E-2</v>
      </c>
      <c r="AL18" s="188">
        <v>5.811842224175752E-2</v>
      </c>
      <c r="AM18" s="129">
        <f t="shared" si="1"/>
        <v>0</v>
      </c>
      <c r="AN18" s="188">
        <v>3.1416305967501598E-2</v>
      </c>
      <c r="AO18" s="188">
        <v>-7.5175463341946268E-3</v>
      </c>
      <c r="AP18" s="188">
        <v>0.66757411134744282</v>
      </c>
      <c r="AQ18" s="128">
        <v>2020.3049897420867</v>
      </c>
      <c r="AR18" s="188">
        <v>3.2000000000000001E-2</v>
      </c>
      <c r="AS18" s="188">
        <v>0.16</v>
      </c>
      <c r="AT18" s="256">
        <v>7.5</v>
      </c>
    </row>
    <row r="19" spans="1:46" x14ac:dyDescent="0.25">
      <c r="A19" t="s">
        <v>119</v>
      </c>
      <c r="B19">
        <v>6</v>
      </c>
      <c r="C19">
        <v>2236</v>
      </c>
      <c r="D19">
        <v>18210</v>
      </c>
      <c r="E19">
        <v>678</v>
      </c>
      <c r="F19">
        <v>0</v>
      </c>
      <c r="G19">
        <v>238</v>
      </c>
      <c r="H19">
        <v>0</v>
      </c>
      <c r="I19">
        <v>2558</v>
      </c>
      <c r="J19">
        <v>0</v>
      </c>
      <c r="K19">
        <v>2150</v>
      </c>
      <c r="L19">
        <v>94332</v>
      </c>
      <c r="M19">
        <v>4712</v>
      </c>
      <c r="N19">
        <v>19865</v>
      </c>
      <c r="O19">
        <v>1628</v>
      </c>
      <c r="P19">
        <v>6640</v>
      </c>
      <c r="Q19">
        <v>8</v>
      </c>
      <c r="R19">
        <v>0</v>
      </c>
      <c r="S19">
        <v>2602</v>
      </c>
      <c r="T19">
        <v>94398</v>
      </c>
      <c r="U19" s="128">
        <v>1</v>
      </c>
      <c r="V19" s="128">
        <v>3071</v>
      </c>
      <c r="W19" s="128">
        <v>53319</v>
      </c>
      <c r="X19" s="128">
        <v>50248</v>
      </c>
      <c r="Y19" s="128">
        <v>153</v>
      </c>
      <c r="Z19" s="128">
        <v>-1202034</v>
      </c>
      <c r="AA19" s="128">
        <v>39531</v>
      </c>
      <c r="AB19" s="128">
        <v>11679</v>
      </c>
      <c r="AC19" s="128" t="s">
        <v>119</v>
      </c>
      <c r="AD19" s="188">
        <f>SUM(R19,-L19)/W19</f>
        <v>-1.7692004726270185</v>
      </c>
      <c r="AE19" s="188">
        <v>4.1561169564320412E-2</v>
      </c>
      <c r="AF19" s="188">
        <v>4.4636996192726798E-3</v>
      </c>
      <c r="AG19" s="188">
        <v>4.7975393386972751E-2</v>
      </c>
      <c r="AH19" s="188">
        <v>8.5140381477522079E-3</v>
      </c>
      <c r="AI19" s="188">
        <v>0.15874094021943247</v>
      </c>
      <c r="AJ19" s="188">
        <v>5.7596729120951255E-2</v>
      </c>
      <c r="AK19" s="188">
        <v>1.4706207567615382E-2</v>
      </c>
      <c r="AL19" s="188">
        <v>-8.2781772750681899E-3</v>
      </c>
      <c r="AM19" s="129">
        <f>COUNTIF(AJ19:AL19,"&lt;0")</f>
        <v>1</v>
      </c>
      <c r="AN19" s="188">
        <v>7.1738029595453778E-4</v>
      </c>
      <c r="AO19" s="188">
        <v>-2.2544196252742926E-2</v>
      </c>
      <c r="AP19" s="188">
        <v>0.74140550272885841</v>
      </c>
      <c r="AQ19" s="128">
        <v>2278.1358849216545</v>
      </c>
      <c r="AR19" s="188">
        <v>0.01</v>
      </c>
      <c r="AS19" s="188">
        <v>4.9000000000000002E-2</v>
      </c>
      <c r="AT19" s="256">
        <v>6</v>
      </c>
    </row>
    <row r="20" spans="1:46" x14ac:dyDescent="0.25">
      <c r="A20" t="s">
        <v>167</v>
      </c>
      <c r="B20">
        <v>10883</v>
      </c>
      <c r="C20">
        <v>81673</v>
      </c>
      <c r="D20">
        <v>603164</v>
      </c>
      <c r="E20">
        <v>4741</v>
      </c>
      <c r="F20">
        <v>0</v>
      </c>
      <c r="G20">
        <v>66983</v>
      </c>
      <c r="H20">
        <v>11699</v>
      </c>
      <c r="I20">
        <v>45824</v>
      </c>
      <c r="J20">
        <v>326</v>
      </c>
      <c r="K20">
        <v>46468</v>
      </c>
      <c r="L20">
        <v>676</v>
      </c>
      <c r="M20">
        <v>59448</v>
      </c>
      <c r="N20">
        <v>160602</v>
      </c>
      <c r="O20">
        <v>10229</v>
      </c>
      <c r="P20">
        <v>667242</v>
      </c>
      <c r="Q20">
        <v>144</v>
      </c>
      <c r="R20">
        <v>31000</v>
      </c>
      <c r="S20">
        <v>9551</v>
      </c>
      <c r="T20">
        <v>53115</v>
      </c>
      <c r="U20" s="128">
        <v>-7</v>
      </c>
      <c r="V20" s="128">
        <v>9818</v>
      </c>
      <c r="W20" s="128">
        <v>739945</v>
      </c>
      <c r="X20" s="128">
        <v>730127</v>
      </c>
      <c r="Y20" s="128">
        <v>34148</v>
      </c>
      <c r="Z20" s="128">
        <v>-10479442</v>
      </c>
      <c r="AA20" s="128">
        <v>522896</v>
      </c>
      <c r="AB20" s="128">
        <v>161326</v>
      </c>
      <c r="AC20" s="128" t="s">
        <v>167</v>
      </c>
      <c r="AD20" s="188">
        <f t="shared" si="0"/>
        <v>4.0981424295048953E-2</v>
      </c>
      <c r="AE20" s="188">
        <v>0.77813621282662904</v>
      </c>
      <c r="AF20" s="188">
        <v>9.0524295724682236E-2</v>
      </c>
      <c r="AG20" s="188">
        <v>6.2369500435843203E-2</v>
      </c>
      <c r="AH20" s="188">
        <v>0.74534047800850067</v>
      </c>
      <c r="AI20" s="188">
        <v>0.17234137761929341</v>
      </c>
      <c r="AJ20" s="188">
        <v>1.3268553743859341E-2</v>
      </c>
      <c r="AK20" s="188">
        <v>1.9239190315426667E-2</v>
      </c>
      <c r="AL20" s="188">
        <v>-5.311064227847324E-4</v>
      </c>
      <c r="AM20" s="129">
        <f t="shared" si="1"/>
        <v>1</v>
      </c>
      <c r="AN20" s="188">
        <v>1.1537343991783173E-2</v>
      </c>
      <c r="AO20" s="188">
        <v>-1.4162460723432146E-2</v>
      </c>
      <c r="AP20" s="188">
        <v>0.7066687388927555</v>
      </c>
      <c r="AQ20" s="128">
        <v>2495.8593159193188</v>
      </c>
      <c r="AR20" s="188">
        <v>3.9E-2</v>
      </c>
      <c r="AS20" s="188">
        <v>0.19600000000000001</v>
      </c>
      <c r="AT20" s="256">
        <v>7</v>
      </c>
    </row>
    <row r="21" spans="1:46" x14ac:dyDescent="0.25">
      <c r="A21" t="s">
        <v>107</v>
      </c>
      <c r="B21">
        <v>235</v>
      </c>
      <c r="C21">
        <v>26802</v>
      </c>
      <c r="D21">
        <v>389156</v>
      </c>
      <c r="E21">
        <v>330</v>
      </c>
      <c r="F21">
        <v>0</v>
      </c>
      <c r="G21">
        <v>3748</v>
      </c>
      <c r="H21">
        <v>0</v>
      </c>
      <c r="I21">
        <v>22019</v>
      </c>
      <c r="J21">
        <v>0</v>
      </c>
      <c r="K21">
        <v>25268</v>
      </c>
      <c r="L21">
        <v>0</v>
      </c>
      <c r="M21">
        <v>7545</v>
      </c>
      <c r="N21">
        <v>149908</v>
      </c>
      <c r="O21">
        <v>32508</v>
      </c>
      <c r="P21">
        <v>221760</v>
      </c>
      <c r="Q21">
        <v>146</v>
      </c>
      <c r="R21">
        <v>28672</v>
      </c>
      <c r="S21">
        <v>8356</v>
      </c>
      <c r="T21">
        <v>33754</v>
      </c>
      <c r="U21" s="128">
        <v>-23</v>
      </c>
      <c r="V21" s="128">
        <v>-18514</v>
      </c>
      <c r="W21" s="128">
        <v>293055</v>
      </c>
      <c r="X21" s="128">
        <v>311569</v>
      </c>
      <c r="Y21" s="128">
        <v>79376</v>
      </c>
      <c r="Z21" s="128">
        <v>-2273311</v>
      </c>
      <c r="AA21" s="128">
        <v>220867</v>
      </c>
      <c r="AB21" s="128">
        <v>68571</v>
      </c>
      <c r="AC21" s="128" t="s">
        <v>107</v>
      </c>
      <c r="AD21" s="188">
        <f t="shared" si="0"/>
        <v>9.7838289740833626E-2</v>
      </c>
      <c r="AE21" s="188">
        <v>0.8739895241507567</v>
      </c>
      <c r="AF21" s="188">
        <v>1.2789408131579397E-2</v>
      </c>
      <c r="AG21" s="188">
        <v>7.5136066608657084E-2</v>
      </c>
      <c r="AH21" s="188">
        <v>0.82292900650048628</v>
      </c>
      <c r="AI21" s="188">
        <v>0.3155267057317977</v>
      </c>
      <c r="AJ21" s="188">
        <v>-6.3175854361809211E-2</v>
      </c>
      <c r="AK21" s="188">
        <v>-2.240504948605393E-2</v>
      </c>
      <c r="AL21" s="188">
        <v>-4.93726161386739E-2</v>
      </c>
      <c r="AM21" s="129">
        <f t="shared" si="1"/>
        <v>3</v>
      </c>
      <c r="AN21" s="188">
        <v>6.7714251590998281E-2</v>
      </c>
      <c r="AO21" s="188">
        <v>-7.7572844687857235E-3</v>
      </c>
      <c r="AP21" s="188">
        <v>0.75367081264609037</v>
      </c>
      <c r="AQ21" s="128">
        <v>2430.8147467588337</v>
      </c>
      <c r="AR21" s="188">
        <v>5.5999999999999994E-2</v>
      </c>
      <c r="AS21" s="188">
        <v>0.28199999999999997</v>
      </c>
      <c r="AT21" s="256">
        <v>4</v>
      </c>
    </row>
    <row r="22" spans="1:46" x14ac:dyDescent="0.25">
      <c r="A22" t="s">
        <v>344</v>
      </c>
      <c r="B22">
        <v>914</v>
      </c>
      <c r="C22">
        <v>2966</v>
      </c>
      <c r="D22">
        <v>23522</v>
      </c>
      <c r="E22">
        <v>34</v>
      </c>
      <c r="F22">
        <v>0</v>
      </c>
      <c r="G22">
        <v>2339</v>
      </c>
      <c r="H22">
        <v>0</v>
      </c>
      <c r="I22">
        <v>2986</v>
      </c>
      <c r="J22">
        <v>8</v>
      </c>
      <c r="K22">
        <v>3013</v>
      </c>
      <c r="L22">
        <v>11654</v>
      </c>
      <c r="M22">
        <v>1605</v>
      </c>
      <c r="N22">
        <v>30699</v>
      </c>
      <c r="O22">
        <v>12534</v>
      </c>
      <c r="P22">
        <v>0</v>
      </c>
      <c r="Q22">
        <v>0</v>
      </c>
      <c r="R22">
        <v>0</v>
      </c>
      <c r="S22">
        <v>1320</v>
      </c>
      <c r="T22">
        <v>4488</v>
      </c>
      <c r="U22" s="128">
        <v>-29</v>
      </c>
      <c r="V22" s="128">
        <v>-2862</v>
      </c>
      <c r="W22" s="128">
        <v>41557</v>
      </c>
      <c r="X22" s="128">
        <v>44419</v>
      </c>
      <c r="Y22" s="128">
        <v>5157</v>
      </c>
      <c r="Z22" s="128">
        <v>1529008</v>
      </c>
      <c r="AA22" s="128">
        <v>25946</v>
      </c>
      <c r="AB22" s="128">
        <v>16728</v>
      </c>
      <c r="AC22" s="128" t="s">
        <v>344</v>
      </c>
      <c r="AD22" s="188">
        <f t="shared" si="0"/>
        <v>-0.2804341025579325</v>
      </c>
      <c r="AE22" s="188">
        <v>-0.3080828741246962</v>
      </c>
      <c r="AF22" s="188">
        <v>5.6284139856101256E-2</v>
      </c>
      <c r="AG22" s="188">
        <v>7.2045624082585358E-2</v>
      </c>
      <c r="AH22" s="188">
        <v>-0.35176071419977384</v>
      </c>
      <c r="AI22" s="188">
        <v>0.62598641952651868</v>
      </c>
      <c r="AJ22" s="188">
        <v>-6.8869263902591626E-2</v>
      </c>
      <c r="AK22" s="188">
        <v>-6.4462434743133845E-2</v>
      </c>
      <c r="AL22" s="188">
        <v>2.5941390242016547E-2</v>
      </c>
      <c r="AM22" s="129">
        <f t="shared" si="1"/>
        <v>2</v>
      </c>
      <c r="AN22" s="188">
        <v>3.1023654258007075E-2</v>
      </c>
      <c r="AO22" s="188">
        <v>3.6793031258271769E-2</v>
      </c>
      <c r="AP22" s="188">
        <v>0.62434728204634593</v>
      </c>
      <c r="AQ22" s="128">
        <v>1818.7358919177427</v>
      </c>
      <c r="AR22" s="188">
        <v>5.2000000000000005E-2</v>
      </c>
      <c r="AS22" s="188">
        <v>0.25800000000000001</v>
      </c>
      <c r="AT22" s="256">
        <v>7</v>
      </c>
    </row>
    <row r="23" spans="1:46" x14ac:dyDescent="0.25">
      <c r="A23" t="s">
        <v>345</v>
      </c>
      <c r="B23">
        <v>195</v>
      </c>
      <c r="C23">
        <v>299</v>
      </c>
      <c r="D23">
        <v>14821</v>
      </c>
      <c r="E23">
        <v>12</v>
      </c>
      <c r="F23">
        <v>0</v>
      </c>
      <c r="G23">
        <v>138</v>
      </c>
      <c r="H23">
        <v>487</v>
      </c>
      <c r="I23">
        <v>1628</v>
      </c>
      <c r="J23">
        <v>0</v>
      </c>
      <c r="K23">
        <v>3936</v>
      </c>
      <c r="L23">
        <v>264</v>
      </c>
      <c r="M23">
        <v>211</v>
      </c>
      <c r="N23">
        <v>16285</v>
      </c>
      <c r="O23">
        <v>1577</v>
      </c>
      <c r="P23">
        <v>0</v>
      </c>
      <c r="Q23">
        <v>0</v>
      </c>
      <c r="R23">
        <v>2000</v>
      </c>
      <c r="S23">
        <v>1702</v>
      </c>
      <c r="T23">
        <v>429</v>
      </c>
      <c r="U23" s="128">
        <v>24</v>
      </c>
      <c r="V23" s="128">
        <v>-75</v>
      </c>
      <c r="W23" s="128">
        <v>17037</v>
      </c>
      <c r="X23" s="128">
        <v>17112</v>
      </c>
      <c r="Y23" s="128">
        <v>-394</v>
      </c>
      <c r="Z23" s="128">
        <v>990020</v>
      </c>
      <c r="AA23" s="128">
        <v>11706</v>
      </c>
      <c r="AB23" s="128">
        <v>6856</v>
      </c>
      <c r="AC23" s="128" t="s">
        <v>345</v>
      </c>
      <c r="AD23" s="188">
        <f t="shared" si="0"/>
        <v>0.10189587368668193</v>
      </c>
      <c r="AE23" s="188">
        <v>-5.3119680694958031E-2</v>
      </c>
      <c r="AF23" s="188">
        <v>8.1000176087339323E-3</v>
      </c>
      <c r="AG23" s="188">
        <v>9.5556729471151028E-2</v>
      </c>
      <c r="AH23" s="188">
        <v>-0.11903738921171567</v>
      </c>
      <c r="AI23" s="188">
        <v>0.74046287455099347</v>
      </c>
      <c r="AJ23" s="188">
        <v>-4.4021834830075719E-3</v>
      </c>
      <c r="AK23" s="188">
        <v>-7.8447669586343582E-2</v>
      </c>
      <c r="AL23" s="188">
        <v>6.1456321708508461E-2</v>
      </c>
      <c r="AM23" s="129">
        <f t="shared" si="1"/>
        <v>2</v>
      </c>
      <c r="AN23" s="188">
        <v>-5.7815343076832778E-3</v>
      </c>
      <c r="AO23" s="188">
        <v>5.8109995891295417E-2</v>
      </c>
      <c r="AP23" s="188">
        <v>0.68709279802782175</v>
      </c>
      <c r="AQ23" s="128">
        <v>1833.325845974329</v>
      </c>
      <c r="AR23" s="188">
        <v>3.7000000000000005E-2</v>
      </c>
      <c r="AS23" s="188">
        <v>0.187</v>
      </c>
      <c r="AT23" s="256">
        <v>6</v>
      </c>
    </row>
    <row r="24" spans="1:46" x14ac:dyDescent="0.25">
      <c r="A24" t="s">
        <v>215</v>
      </c>
      <c r="B24">
        <v>479</v>
      </c>
      <c r="C24">
        <v>953</v>
      </c>
      <c r="D24">
        <v>47424</v>
      </c>
      <c r="E24">
        <v>992</v>
      </c>
      <c r="F24">
        <v>0</v>
      </c>
      <c r="G24">
        <v>1156</v>
      </c>
      <c r="H24">
        <v>0</v>
      </c>
      <c r="I24">
        <v>0</v>
      </c>
      <c r="J24">
        <v>138</v>
      </c>
      <c r="K24">
        <v>877</v>
      </c>
      <c r="L24">
        <v>5374</v>
      </c>
      <c r="M24">
        <v>3777</v>
      </c>
      <c r="N24">
        <v>19626</v>
      </c>
      <c r="O24">
        <v>9364</v>
      </c>
      <c r="P24">
        <v>25897</v>
      </c>
      <c r="Q24">
        <v>12</v>
      </c>
      <c r="R24">
        <v>690</v>
      </c>
      <c r="S24">
        <v>2358</v>
      </c>
      <c r="T24">
        <v>3224</v>
      </c>
      <c r="U24" s="128">
        <v>-5</v>
      </c>
      <c r="V24" s="128">
        <v>-4452</v>
      </c>
      <c r="W24" s="128">
        <v>58444</v>
      </c>
      <c r="X24" s="128">
        <v>62896</v>
      </c>
      <c r="Y24" s="128">
        <v>-3050</v>
      </c>
      <c r="Z24" s="128">
        <v>2775329</v>
      </c>
      <c r="AA24" s="128">
        <v>39277</v>
      </c>
      <c r="AB24" s="128">
        <v>24838</v>
      </c>
      <c r="AC24" s="128" t="s">
        <v>215</v>
      </c>
      <c r="AD24" s="188">
        <f t="shared" si="0"/>
        <v>-8.0145096160427073E-2</v>
      </c>
      <c r="AE24" s="188">
        <v>0.35926699062350281</v>
      </c>
      <c r="AF24" s="188">
        <v>1.9779618095955104E-2</v>
      </c>
      <c r="AG24" s="188">
        <v>2.3612346861953321E-3</v>
      </c>
      <c r="AH24" s="188">
        <v>0.35998768051468072</v>
      </c>
      <c r="AI24" s="188">
        <v>0.32083830573310884</v>
      </c>
      <c r="AJ24" s="188">
        <v>-7.6175484224214635E-2</v>
      </c>
      <c r="AK24" s="188">
        <v>1.0762717945038388E-3</v>
      </c>
      <c r="AL24" s="188">
        <v>-5.3186444387699268E-2</v>
      </c>
      <c r="AM24" s="129">
        <f t="shared" si="1"/>
        <v>2</v>
      </c>
      <c r="AN24" s="188">
        <v>-1.304667716104305E-2</v>
      </c>
      <c r="AO24" s="188">
        <v>4.7486978988433376E-2</v>
      </c>
      <c r="AP24" s="188">
        <v>0.67204503456300047</v>
      </c>
      <c r="AQ24" s="128">
        <v>1716.4999999999998</v>
      </c>
      <c r="AR24" s="188">
        <v>4.2000000000000003E-2</v>
      </c>
      <c r="AS24" s="188">
        <v>0.20800000000000002</v>
      </c>
      <c r="AT24" s="256">
        <v>7</v>
      </c>
    </row>
    <row r="25" spans="1:46" x14ac:dyDescent="0.25">
      <c r="A25" t="s">
        <v>286</v>
      </c>
      <c r="B25">
        <v>15372</v>
      </c>
      <c r="C25">
        <v>38917</v>
      </c>
      <c r="D25">
        <v>125311</v>
      </c>
      <c r="E25">
        <v>1027</v>
      </c>
      <c r="F25">
        <v>72</v>
      </c>
      <c r="G25">
        <v>938</v>
      </c>
      <c r="H25">
        <v>0</v>
      </c>
      <c r="I25">
        <v>20756</v>
      </c>
      <c r="J25">
        <v>0</v>
      </c>
      <c r="K25">
        <v>3834</v>
      </c>
      <c r="L25">
        <v>1418</v>
      </c>
      <c r="M25">
        <v>19948</v>
      </c>
      <c r="N25">
        <v>40743</v>
      </c>
      <c r="O25">
        <v>30348</v>
      </c>
      <c r="P25">
        <v>127833</v>
      </c>
      <c r="Q25">
        <v>15</v>
      </c>
      <c r="R25">
        <v>14500</v>
      </c>
      <c r="S25">
        <v>13608</v>
      </c>
      <c r="T25">
        <v>547</v>
      </c>
      <c r="U25" s="128">
        <v>0</v>
      </c>
      <c r="V25" s="128">
        <v>-7814</v>
      </c>
      <c r="W25" s="128">
        <v>107724</v>
      </c>
      <c r="X25" s="128">
        <v>115538</v>
      </c>
      <c r="Y25" s="128">
        <v>53383</v>
      </c>
      <c r="Z25" s="128">
        <v>5264706</v>
      </c>
      <c r="AA25" s="128">
        <v>66990</v>
      </c>
      <c r="AB25" s="128">
        <v>48741</v>
      </c>
      <c r="AC25" s="128" t="s">
        <v>286</v>
      </c>
      <c r="AD25" s="188">
        <f t="shared" si="0"/>
        <v>0.12143997623556496</v>
      </c>
      <c r="AE25" s="188">
        <v>1.2095076306115629</v>
      </c>
      <c r="AF25" s="188">
        <v>9.3758122609632014E-3</v>
      </c>
      <c r="AG25" s="188">
        <v>0.19267758345401209</v>
      </c>
      <c r="AH25" s="188">
        <v>1.0757584196650698</v>
      </c>
      <c r="AI25" s="188">
        <v>0.17901614278056538</v>
      </c>
      <c r="AJ25" s="188">
        <v>-7.2537224759570751E-2</v>
      </c>
      <c r="AK25" s="188">
        <v>-2.671051881142944E-2</v>
      </c>
      <c r="AL25" s="188">
        <v>-4.0565076834506886E-2</v>
      </c>
      <c r="AM25" s="129">
        <f t="shared" si="1"/>
        <v>3</v>
      </c>
      <c r="AN25" s="188">
        <v>0.12388836285321748</v>
      </c>
      <c r="AO25" s="188">
        <v>4.8872173331848054E-2</v>
      </c>
      <c r="AP25" s="188">
        <v>0.6218669934276484</v>
      </c>
      <c r="AQ25" s="128">
        <v>1589.2007139779651</v>
      </c>
      <c r="AR25" s="188">
        <v>0.04</v>
      </c>
      <c r="AS25" s="188">
        <v>0.19899999999999998</v>
      </c>
      <c r="AT25" s="256">
        <v>5</v>
      </c>
    </row>
    <row r="26" spans="1:46" x14ac:dyDescent="0.25">
      <c r="A26" t="s">
        <v>168</v>
      </c>
      <c r="B26">
        <v>358</v>
      </c>
      <c r="C26">
        <v>53024</v>
      </c>
      <c r="D26">
        <v>197022</v>
      </c>
      <c r="E26">
        <v>87</v>
      </c>
      <c r="F26">
        <v>449</v>
      </c>
      <c r="G26">
        <v>14218</v>
      </c>
      <c r="H26">
        <v>0</v>
      </c>
      <c r="I26">
        <v>55986</v>
      </c>
      <c r="J26">
        <v>0</v>
      </c>
      <c r="K26">
        <v>15048</v>
      </c>
      <c r="L26">
        <v>0</v>
      </c>
      <c r="M26">
        <v>1131</v>
      </c>
      <c r="N26">
        <v>91828</v>
      </c>
      <c r="O26">
        <v>16193</v>
      </c>
      <c r="P26">
        <v>189288</v>
      </c>
      <c r="Q26">
        <v>0</v>
      </c>
      <c r="R26">
        <v>14659</v>
      </c>
      <c r="S26">
        <v>10597</v>
      </c>
      <c r="T26">
        <v>14755</v>
      </c>
      <c r="U26" s="128">
        <v>-3953</v>
      </c>
      <c r="V26" s="128">
        <v>-155</v>
      </c>
      <c r="W26" s="128">
        <v>180260</v>
      </c>
      <c r="X26" s="128">
        <v>180415</v>
      </c>
      <c r="Y26" s="128">
        <v>70241</v>
      </c>
      <c r="Z26" s="128">
        <v>7637677.0000000019</v>
      </c>
      <c r="AA26" s="128">
        <v>85808</v>
      </c>
      <c r="AB26" s="128">
        <v>58938</v>
      </c>
      <c r="AC26" s="128" t="s">
        <v>168</v>
      </c>
      <c r="AD26" s="188">
        <f t="shared" si="0"/>
        <v>8.1321424608898255E-2</v>
      </c>
      <c r="AE26" s="188">
        <v>1.1009264395872629</v>
      </c>
      <c r="AF26" s="188">
        <v>8.1365804948407852E-2</v>
      </c>
      <c r="AG26" s="188">
        <v>0.31058471097303897</v>
      </c>
      <c r="AH26" s="188">
        <v>0.89328103849994456</v>
      </c>
      <c r="AI26" s="188">
        <v>0.27222815131032846</v>
      </c>
      <c r="AJ26" s="188">
        <v>-8.5986907799844665E-4</v>
      </c>
      <c r="AK26" s="188">
        <v>-3.5042031288895696E-3</v>
      </c>
      <c r="AL26" s="188">
        <v>0.10215488079490261</v>
      </c>
      <c r="AM26" s="129">
        <f t="shared" si="1"/>
        <v>2</v>
      </c>
      <c r="AN26" s="188">
        <v>9.7416232109175632E-2</v>
      </c>
      <c r="AO26" s="188">
        <v>4.2370337290580283E-2</v>
      </c>
      <c r="AP26" s="188">
        <v>0.4760235215799401</v>
      </c>
      <c r="AQ26" s="128">
        <v>1751.4383928874411</v>
      </c>
      <c r="AR26" s="188">
        <v>8.0000000000000002E-3</v>
      </c>
      <c r="AS26" s="188">
        <v>4.0999999999999995E-2</v>
      </c>
      <c r="AT26" s="256">
        <v>8.5</v>
      </c>
    </row>
    <row r="27" spans="1:46" x14ac:dyDescent="0.25">
      <c r="A27" t="s">
        <v>400</v>
      </c>
      <c r="B27">
        <v>4</v>
      </c>
      <c r="C27">
        <v>4910</v>
      </c>
      <c r="D27">
        <v>24850</v>
      </c>
      <c r="E27">
        <v>129</v>
      </c>
      <c r="F27">
        <v>0</v>
      </c>
      <c r="G27">
        <v>944</v>
      </c>
      <c r="H27">
        <v>0</v>
      </c>
      <c r="I27">
        <v>-871</v>
      </c>
      <c r="J27">
        <v>0</v>
      </c>
      <c r="K27">
        <v>19935</v>
      </c>
      <c r="L27">
        <v>264</v>
      </c>
      <c r="M27">
        <v>1013</v>
      </c>
      <c r="N27">
        <v>28263</v>
      </c>
      <c r="O27">
        <v>7488</v>
      </c>
      <c r="P27">
        <v>10000</v>
      </c>
      <c r="Q27">
        <v>0</v>
      </c>
      <c r="R27">
        <v>0</v>
      </c>
      <c r="S27">
        <v>3002</v>
      </c>
      <c r="T27">
        <v>2428</v>
      </c>
      <c r="U27" s="128">
        <v>-16</v>
      </c>
      <c r="V27" s="128">
        <v>2342</v>
      </c>
      <c r="W27" s="128">
        <v>45497</v>
      </c>
      <c r="X27" s="128">
        <v>43155</v>
      </c>
      <c r="Y27" s="128">
        <v>4797</v>
      </c>
      <c r="Z27" s="128">
        <v>-255454</v>
      </c>
      <c r="AA27" s="128">
        <v>26311</v>
      </c>
      <c r="AB27" s="128">
        <v>15895</v>
      </c>
      <c r="AC27" s="128" t="s">
        <v>400</v>
      </c>
      <c r="AD27" s="188">
        <f t="shared" si="0"/>
        <v>-5.8025803899158183E-3</v>
      </c>
      <c r="AE27" s="188">
        <v>-0.14783392311580984</v>
      </c>
      <c r="AF27" s="188">
        <v>2.0748620788183837E-2</v>
      </c>
      <c r="AG27" s="188">
        <v>-1.9144119392487415E-2</v>
      </c>
      <c r="AH27" s="188">
        <v>-0.13194320504648657</v>
      </c>
      <c r="AI27" s="188">
        <v>0.55221664289482431</v>
      </c>
      <c r="AJ27" s="188">
        <v>5.1475921489328967E-2</v>
      </c>
      <c r="AK27" s="188">
        <v>-4.0999227401493692E-2</v>
      </c>
      <c r="AL27" s="188">
        <v>-8.3135581922410343E-2</v>
      </c>
      <c r="AM27" s="129">
        <f t="shared" si="1"/>
        <v>2</v>
      </c>
      <c r="AN27" s="188">
        <v>2.6358880805327823E-2</v>
      </c>
      <c r="AO27" s="188">
        <v>-5.614743829263468E-3</v>
      </c>
      <c r="AP27" s="188">
        <v>0.57830186605710265</v>
      </c>
      <c r="AQ27" s="128">
        <v>1932.0057879836427</v>
      </c>
      <c r="AR27" s="188">
        <v>2.7000000000000003E-2</v>
      </c>
      <c r="AS27" s="188">
        <v>0.13699999999999998</v>
      </c>
      <c r="AT27" s="256">
        <v>8</v>
      </c>
    </row>
    <row r="28" spans="1:46" x14ac:dyDescent="0.25">
      <c r="A28" t="s">
        <v>599</v>
      </c>
      <c r="B28">
        <v>1186</v>
      </c>
      <c r="C28">
        <v>7279</v>
      </c>
      <c r="D28">
        <v>88172</v>
      </c>
      <c r="E28">
        <v>804</v>
      </c>
      <c r="F28">
        <v>74</v>
      </c>
      <c r="G28">
        <v>5157</v>
      </c>
      <c r="H28">
        <v>11742</v>
      </c>
      <c r="I28">
        <v>2675</v>
      </c>
      <c r="J28">
        <v>121</v>
      </c>
      <c r="K28">
        <v>32219</v>
      </c>
      <c r="L28">
        <v>833</v>
      </c>
      <c r="M28">
        <v>5204</v>
      </c>
      <c r="N28">
        <v>94276</v>
      </c>
      <c r="O28">
        <v>11566</v>
      </c>
      <c r="P28">
        <v>37523</v>
      </c>
      <c r="Q28">
        <v>0</v>
      </c>
      <c r="R28">
        <v>0</v>
      </c>
      <c r="S28">
        <v>6576</v>
      </c>
      <c r="T28">
        <v>5525</v>
      </c>
      <c r="U28" s="128">
        <v>-4</v>
      </c>
      <c r="V28" s="128">
        <v>4876</v>
      </c>
      <c r="W28" s="128">
        <v>89895</v>
      </c>
      <c r="X28" s="128">
        <v>85019</v>
      </c>
      <c r="Y28" s="128">
        <v>24266</v>
      </c>
      <c r="Z28" s="128">
        <v>649108.00000000093</v>
      </c>
      <c r="AA28" s="128">
        <v>63497</v>
      </c>
      <c r="AB28" s="128">
        <v>35965</v>
      </c>
      <c r="AC28" s="128" t="s">
        <v>599</v>
      </c>
      <c r="AD28" s="188">
        <f t="shared" si="0"/>
        <v>-9.2663663162578565E-3</v>
      </c>
      <c r="AE28" s="188">
        <v>-6.235052005117081E-2</v>
      </c>
      <c r="AF28" s="188">
        <v>5.8190110684687692E-2</v>
      </c>
      <c r="AG28" s="188">
        <v>3.1102953445686636E-2</v>
      </c>
      <c r="AH28" s="188">
        <v>-7.713977418098894E-2</v>
      </c>
      <c r="AI28" s="188">
        <v>0.60640911839244593</v>
      </c>
      <c r="AJ28" s="188">
        <v>5.4241059013293284E-2</v>
      </c>
      <c r="AK28" s="188">
        <v>-1.4110262974717146E-2</v>
      </c>
      <c r="AL28" s="188">
        <v>-2.4710912232510745E-2</v>
      </c>
      <c r="AM28" s="129">
        <f t="shared" si="1"/>
        <v>2</v>
      </c>
      <c r="AN28" s="188">
        <v>6.748428722398353E-2</v>
      </c>
      <c r="AO28" s="188">
        <v>7.2207353022971351E-3</v>
      </c>
      <c r="AP28" s="188">
        <v>0.70634629289726902</v>
      </c>
      <c r="AQ28" s="128">
        <v>1543.4068677881273</v>
      </c>
      <c r="AR28" s="188">
        <v>2.4E-2</v>
      </c>
      <c r="AS28" s="188">
        <v>0.122</v>
      </c>
      <c r="AT28" s="256">
        <v>8</v>
      </c>
    </row>
    <row r="29" spans="1:46" x14ac:dyDescent="0.25">
      <c r="A29" t="s">
        <v>242</v>
      </c>
      <c r="B29">
        <v>92</v>
      </c>
      <c r="C29">
        <v>3201</v>
      </c>
      <c r="D29">
        <v>16184</v>
      </c>
      <c r="E29">
        <v>230</v>
      </c>
      <c r="F29">
        <v>420</v>
      </c>
      <c r="G29">
        <v>0</v>
      </c>
      <c r="H29">
        <v>0</v>
      </c>
      <c r="I29">
        <v>0</v>
      </c>
      <c r="J29">
        <v>0</v>
      </c>
      <c r="K29">
        <v>4037</v>
      </c>
      <c r="L29">
        <v>0</v>
      </c>
      <c r="M29">
        <v>609</v>
      </c>
      <c r="N29">
        <v>9331</v>
      </c>
      <c r="O29">
        <v>1188</v>
      </c>
      <c r="P29">
        <v>11298</v>
      </c>
      <c r="Q29">
        <v>0</v>
      </c>
      <c r="R29">
        <v>611</v>
      </c>
      <c r="S29">
        <v>355</v>
      </c>
      <c r="T29">
        <v>1993</v>
      </c>
      <c r="U29" s="128">
        <v>1</v>
      </c>
      <c r="V29" s="128">
        <v>1107</v>
      </c>
      <c r="W29" s="128">
        <v>21255</v>
      </c>
      <c r="X29" s="128">
        <v>20148</v>
      </c>
      <c r="Y29" s="128">
        <v>617</v>
      </c>
      <c r="Z29" s="128">
        <v>1319228.9999999995</v>
      </c>
      <c r="AA29" s="128">
        <v>12983</v>
      </c>
      <c r="AB29" s="128">
        <v>10020</v>
      </c>
      <c r="AC29" s="128" t="s">
        <v>242</v>
      </c>
      <c r="AD29" s="188">
        <f t="shared" si="0"/>
        <v>2.874617737003058E-2</v>
      </c>
      <c r="AE29" s="188">
        <v>0.43241590214067277</v>
      </c>
      <c r="AF29" s="188">
        <v>1.9760056457304165E-2</v>
      </c>
      <c r="AG29" s="188">
        <v>0</v>
      </c>
      <c r="AH29" s="188">
        <v>0.43478710891554928</v>
      </c>
      <c r="AI29" s="188">
        <v>0.37661446561188244</v>
      </c>
      <c r="AJ29" s="188">
        <v>5.2081863091037406E-2</v>
      </c>
      <c r="AK29" s="188">
        <v>-8.0544101108552452E-2</v>
      </c>
      <c r="AL29" s="188">
        <v>-4.9675937320534908E-2</v>
      </c>
      <c r="AM29" s="129">
        <f t="shared" si="1"/>
        <v>2</v>
      </c>
      <c r="AN29" s="188">
        <v>7.2571159727123028E-3</v>
      </c>
      <c r="AO29" s="188">
        <v>6.2066760762173587E-2</v>
      </c>
      <c r="AP29" s="188">
        <v>0.61082098329804757</v>
      </c>
      <c r="AQ29" s="128">
        <v>1171.0801397205589</v>
      </c>
      <c r="AR29" s="188">
        <v>0.01</v>
      </c>
      <c r="AS29" s="188">
        <v>0.05</v>
      </c>
      <c r="AT29" s="256">
        <v>7</v>
      </c>
    </row>
    <row r="30" spans="1:46" x14ac:dyDescent="0.25">
      <c r="A30" t="s">
        <v>401</v>
      </c>
      <c r="B30">
        <v>4397</v>
      </c>
      <c r="C30">
        <v>1712</v>
      </c>
      <c r="D30">
        <v>17071</v>
      </c>
      <c r="E30">
        <v>302</v>
      </c>
      <c r="F30">
        <v>0</v>
      </c>
      <c r="G30">
        <v>102</v>
      </c>
      <c r="H30">
        <v>2065</v>
      </c>
      <c r="I30">
        <v>1577</v>
      </c>
      <c r="J30">
        <v>0</v>
      </c>
      <c r="K30">
        <v>3106</v>
      </c>
      <c r="L30">
        <v>2084</v>
      </c>
      <c r="M30">
        <v>1057</v>
      </c>
      <c r="N30">
        <v>21342</v>
      </c>
      <c r="O30">
        <v>8508</v>
      </c>
      <c r="P30">
        <v>507</v>
      </c>
      <c r="Q30">
        <v>0</v>
      </c>
      <c r="R30">
        <v>0</v>
      </c>
      <c r="S30">
        <v>2260</v>
      </c>
      <c r="T30">
        <v>857</v>
      </c>
      <c r="U30" s="128">
        <v>-3</v>
      </c>
      <c r="V30" s="128">
        <v>-2606</v>
      </c>
      <c r="W30" s="128">
        <v>34864</v>
      </c>
      <c r="X30" s="128">
        <v>37470</v>
      </c>
      <c r="Y30" s="128">
        <v>5825</v>
      </c>
      <c r="Z30" s="128">
        <v>640522</v>
      </c>
      <c r="AA30" s="128">
        <v>23596</v>
      </c>
      <c r="AB30" s="128">
        <v>13485</v>
      </c>
      <c r="AC30" s="128" t="s">
        <v>401</v>
      </c>
      <c r="AD30" s="188">
        <f t="shared" si="0"/>
        <v>-5.9775126204681048E-2</v>
      </c>
      <c r="AE30" s="188">
        <v>-0.13739100504818724</v>
      </c>
      <c r="AF30" s="188">
        <v>2.9256539697108765E-3</v>
      </c>
      <c r="AG30" s="188">
        <v>4.5232905002294634E-2</v>
      </c>
      <c r="AH30" s="188">
        <v>-0.16870296007342817</v>
      </c>
      <c r="AI30" s="188">
        <v>0.63756945689191613</v>
      </c>
      <c r="AJ30" s="188">
        <v>-7.4747590637907299E-2</v>
      </c>
      <c r="AK30" s="188">
        <v>-2.0457516339869281E-2</v>
      </c>
      <c r="AL30" s="188">
        <v>-2.3967648605996844E-2</v>
      </c>
      <c r="AM30" s="129">
        <f t="shared" si="1"/>
        <v>3</v>
      </c>
      <c r="AN30" s="188">
        <v>4.1769446994033961E-2</v>
      </c>
      <c r="AO30" s="188">
        <v>1.8372016980266179E-2</v>
      </c>
      <c r="AP30" s="188">
        <v>0.67680128499311609</v>
      </c>
      <c r="AQ30" s="128">
        <v>1743.9362995921394</v>
      </c>
      <c r="AR30" s="188">
        <v>5.0999999999999997E-2</v>
      </c>
      <c r="AS30" s="188">
        <v>0.25700000000000001</v>
      </c>
      <c r="AT30" s="256">
        <v>6</v>
      </c>
    </row>
    <row r="31" spans="1:46" x14ac:dyDescent="0.25">
      <c r="A31" t="s">
        <v>527</v>
      </c>
      <c r="B31">
        <v>3394</v>
      </c>
      <c r="C31">
        <v>3073</v>
      </c>
      <c r="D31">
        <v>72229</v>
      </c>
      <c r="E31">
        <v>1041</v>
      </c>
      <c r="F31">
        <v>1269</v>
      </c>
      <c r="G31">
        <v>9803</v>
      </c>
      <c r="H31">
        <v>0</v>
      </c>
      <c r="I31">
        <v>1767</v>
      </c>
      <c r="J31">
        <v>3</v>
      </c>
      <c r="K31">
        <v>8832</v>
      </c>
      <c r="L31">
        <v>59</v>
      </c>
      <c r="M31">
        <v>1095</v>
      </c>
      <c r="N31">
        <v>48682</v>
      </c>
      <c r="O31">
        <v>6114</v>
      </c>
      <c r="P31">
        <v>23473</v>
      </c>
      <c r="Q31">
        <v>0</v>
      </c>
      <c r="R31">
        <v>14472</v>
      </c>
      <c r="S31">
        <v>7336</v>
      </c>
      <c r="T31">
        <v>2488</v>
      </c>
      <c r="U31" s="128">
        <v>-2</v>
      </c>
      <c r="V31" s="128">
        <v>-5600</v>
      </c>
      <c r="W31" s="128">
        <v>86784</v>
      </c>
      <c r="X31" s="128">
        <v>92384</v>
      </c>
      <c r="Y31" s="128">
        <v>8245</v>
      </c>
      <c r="Z31" s="128">
        <v>3727644</v>
      </c>
      <c r="AA31" s="128">
        <v>63326</v>
      </c>
      <c r="AB31" s="128">
        <v>34936</v>
      </c>
      <c r="AC31" s="128" t="s">
        <v>527</v>
      </c>
      <c r="AD31" s="188">
        <f t="shared" si="0"/>
        <v>0.16607900073746312</v>
      </c>
      <c r="AE31" s="188">
        <v>0.30778714970501475</v>
      </c>
      <c r="AF31" s="188">
        <v>0.1275811209439528</v>
      </c>
      <c r="AG31" s="188">
        <v>2.039546460176991E-2</v>
      </c>
      <c r="AH31" s="188">
        <v>0.30882005899705012</v>
      </c>
      <c r="AI31" s="188">
        <v>0.47464534685321502</v>
      </c>
      <c r="AJ31" s="188">
        <v>-6.4528023598820053E-2</v>
      </c>
      <c r="AK31" s="188">
        <v>2.3895963762658904E-2</v>
      </c>
      <c r="AL31" s="188">
        <v>-7.644056745880078E-3</v>
      </c>
      <c r="AM31" s="129">
        <f t="shared" si="1"/>
        <v>2</v>
      </c>
      <c r="AN31" s="188">
        <v>2.3751497971976402E-2</v>
      </c>
      <c r="AO31" s="188">
        <v>4.2953124999999995E-2</v>
      </c>
      <c r="AP31" s="188">
        <v>0.72969671828908556</v>
      </c>
      <c r="AQ31" s="128">
        <v>1801.6486718571102</v>
      </c>
      <c r="AR31" s="188">
        <v>0.05</v>
      </c>
      <c r="AS31" s="188">
        <v>0.249</v>
      </c>
      <c r="AT31" s="256">
        <v>6</v>
      </c>
    </row>
    <row r="32" spans="1:46" x14ac:dyDescent="0.25">
      <c r="A32" t="s">
        <v>346</v>
      </c>
      <c r="B32">
        <v>175</v>
      </c>
      <c r="C32">
        <v>5426</v>
      </c>
      <c r="D32">
        <v>32879</v>
      </c>
      <c r="E32">
        <v>185</v>
      </c>
      <c r="F32">
        <v>0</v>
      </c>
      <c r="G32">
        <v>350</v>
      </c>
      <c r="H32">
        <v>0</v>
      </c>
      <c r="I32">
        <v>13088</v>
      </c>
      <c r="J32">
        <v>0</v>
      </c>
      <c r="K32">
        <v>8706</v>
      </c>
      <c r="L32">
        <v>356</v>
      </c>
      <c r="M32">
        <v>0</v>
      </c>
      <c r="N32">
        <v>23925</v>
      </c>
      <c r="O32">
        <v>8621</v>
      </c>
      <c r="P32">
        <v>21981</v>
      </c>
      <c r="Q32">
        <v>8</v>
      </c>
      <c r="R32">
        <v>1500</v>
      </c>
      <c r="S32">
        <v>4671</v>
      </c>
      <c r="T32">
        <v>457</v>
      </c>
      <c r="U32" s="128">
        <v>28</v>
      </c>
      <c r="V32" s="128">
        <v>1395</v>
      </c>
      <c r="W32" s="128">
        <v>47683</v>
      </c>
      <c r="X32" s="128">
        <v>46288</v>
      </c>
      <c r="Y32" s="128">
        <v>7491</v>
      </c>
      <c r="Z32" s="128">
        <v>2495908</v>
      </c>
      <c r="AA32" s="128">
        <v>26271</v>
      </c>
      <c r="AB32" s="128">
        <v>18663</v>
      </c>
      <c r="AC32" s="128" t="s">
        <v>346</v>
      </c>
      <c r="AD32" s="188">
        <f t="shared" si="0"/>
        <v>2.3991779040748274E-2</v>
      </c>
      <c r="AE32" s="188">
        <v>0.40276408783004425</v>
      </c>
      <c r="AF32" s="188">
        <v>7.3401421890401195E-3</v>
      </c>
      <c r="AG32" s="188">
        <v>0.27447937420044882</v>
      </c>
      <c r="AH32" s="188">
        <v>0.21150934295241491</v>
      </c>
      <c r="AI32" s="188">
        <v>0.39116786292366301</v>
      </c>
      <c r="AJ32" s="188">
        <v>2.9255709582031331E-2</v>
      </c>
      <c r="AK32" s="188">
        <v>5.2168036941096972E-2</v>
      </c>
      <c r="AL32" s="188">
        <v>7.6821024701497251E-2</v>
      </c>
      <c r="AM32" s="129">
        <f t="shared" si="1"/>
        <v>0</v>
      </c>
      <c r="AN32" s="188">
        <v>3.9275003670071092E-2</v>
      </c>
      <c r="AO32" s="188">
        <v>5.2343770316464984E-2</v>
      </c>
      <c r="AP32" s="188">
        <v>0.55095107270935129</v>
      </c>
      <c r="AQ32" s="128">
        <v>1595.6134062047902</v>
      </c>
      <c r="AR32" s="188">
        <v>3.5000000000000003E-2</v>
      </c>
      <c r="AS32" s="188">
        <v>0.17699999999999999</v>
      </c>
      <c r="AT32" s="256">
        <v>9.5</v>
      </c>
    </row>
    <row r="33" spans="1:46" x14ac:dyDescent="0.25">
      <c r="A33" t="s">
        <v>436</v>
      </c>
      <c r="B33">
        <v>318</v>
      </c>
      <c r="C33">
        <v>86</v>
      </c>
      <c r="D33">
        <v>21686</v>
      </c>
      <c r="E33">
        <v>641</v>
      </c>
      <c r="F33">
        <v>0</v>
      </c>
      <c r="G33">
        <v>127</v>
      </c>
      <c r="H33">
        <v>0</v>
      </c>
      <c r="I33">
        <v>2265</v>
      </c>
      <c r="J33">
        <v>0</v>
      </c>
      <c r="K33">
        <v>4286</v>
      </c>
      <c r="L33">
        <v>262</v>
      </c>
      <c r="M33">
        <v>0</v>
      </c>
      <c r="N33">
        <v>12894</v>
      </c>
      <c r="O33">
        <v>3637</v>
      </c>
      <c r="P33">
        <v>1500</v>
      </c>
      <c r="Q33">
        <v>0</v>
      </c>
      <c r="R33">
        <v>8000</v>
      </c>
      <c r="S33">
        <v>1337</v>
      </c>
      <c r="T33">
        <v>2303</v>
      </c>
      <c r="U33" s="128">
        <v>-17</v>
      </c>
      <c r="V33" s="128">
        <v>-1572</v>
      </c>
      <c r="W33" s="128">
        <v>42903</v>
      </c>
      <c r="X33" s="128">
        <v>44475</v>
      </c>
      <c r="Y33" s="128">
        <v>5971</v>
      </c>
      <c r="Z33" s="128">
        <v>723832.39999999991</v>
      </c>
      <c r="AA33" s="128">
        <v>23471</v>
      </c>
      <c r="AB33" s="128">
        <v>13098</v>
      </c>
      <c r="AC33" s="128" t="s">
        <v>436</v>
      </c>
      <c r="AD33" s="188">
        <f t="shared" si="0"/>
        <v>0.18036034776122881</v>
      </c>
      <c r="AE33" s="188">
        <v>0.19730554972845721</v>
      </c>
      <c r="AF33" s="188">
        <v>2.9601659557606692E-3</v>
      </c>
      <c r="AG33" s="188">
        <v>5.2793510943290677E-2</v>
      </c>
      <c r="AH33" s="188">
        <v>0.16070531198284502</v>
      </c>
      <c r="AI33" s="188">
        <v>0.4345657375888915</v>
      </c>
      <c r="AJ33" s="188">
        <v>-3.6640794350045448E-2</v>
      </c>
      <c r="AK33" s="188">
        <v>1.7695930917179119E-2</v>
      </c>
      <c r="AL33" s="188">
        <v>3.8800011246380071E-2</v>
      </c>
      <c r="AM33" s="129">
        <f t="shared" si="1"/>
        <v>1</v>
      </c>
      <c r="AN33" s="188">
        <v>3.4793604176864092E-2</v>
      </c>
      <c r="AO33" s="188">
        <v>1.6871370300445186E-2</v>
      </c>
      <c r="AP33" s="188">
        <v>0.54707130037526508</v>
      </c>
      <c r="AQ33" s="128">
        <v>2620.6377309512905</v>
      </c>
      <c r="AR33" s="188">
        <v>4.2999999999999997E-2</v>
      </c>
      <c r="AS33" s="188">
        <v>0.21600000000000003</v>
      </c>
      <c r="AT33" s="256">
        <v>6</v>
      </c>
    </row>
    <row r="34" spans="1:46" x14ac:dyDescent="0.25">
      <c r="A34" t="s">
        <v>437</v>
      </c>
      <c r="B34">
        <v>0</v>
      </c>
      <c r="C34">
        <v>562</v>
      </c>
      <c r="D34">
        <v>94314</v>
      </c>
      <c r="E34">
        <v>504</v>
      </c>
      <c r="F34">
        <v>0</v>
      </c>
      <c r="G34">
        <v>8484</v>
      </c>
      <c r="H34">
        <v>1333</v>
      </c>
      <c r="I34">
        <v>3926</v>
      </c>
      <c r="J34">
        <v>1045</v>
      </c>
      <c r="K34">
        <v>11341</v>
      </c>
      <c r="L34">
        <v>4706</v>
      </c>
      <c r="M34">
        <v>11127</v>
      </c>
      <c r="N34">
        <v>38138</v>
      </c>
      <c r="O34">
        <v>11379</v>
      </c>
      <c r="P34">
        <v>74516</v>
      </c>
      <c r="Q34">
        <v>37</v>
      </c>
      <c r="R34">
        <v>0</v>
      </c>
      <c r="S34">
        <v>2705</v>
      </c>
      <c r="T34">
        <v>10567</v>
      </c>
      <c r="U34" s="128">
        <v>0</v>
      </c>
      <c r="V34" s="128">
        <v>3866</v>
      </c>
      <c r="W34" s="128">
        <v>77508</v>
      </c>
      <c r="X34" s="128">
        <v>73642</v>
      </c>
      <c r="Y34" s="128">
        <v>2301</v>
      </c>
      <c r="Z34" s="128">
        <v>6225139</v>
      </c>
      <c r="AA34" s="128">
        <v>40631</v>
      </c>
      <c r="AB34" s="128">
        <v>29860</v>
      </c>
      <c r="AC34" s="128" t="s">
        <v>437</v>
      </c>
      <c r="AD34" s="188">
        <f t="shared" si="0"/>
        <v>-6.071631315477112E-2</v>
      </c>
      <c r="AE34" s="188">
        <v>0.65585487949631005</v>
      </c>
      <c r="AF34" s="188">
        <v>0.10945966867936213</v>
      </c>
      <c r="AG34" s="188">
        <v>6.4135315064251436E-2</v>
      </c>
      <c r="AH34" s="188">
        <v>0.62409531919285754</v>
      </c>
      <c r="AI34" s="188">
        <v>0.27768635959866611</v>
      </c>
      <c r="AJ34" s="188">
        <v>4.9878722196418437E-2</v>
      </c>
      <c r="AK34" s="188">
        <v>3.8163080131634185E-2</v>
      </c>
      <c r="AL34" s="188">
        <v>6.5323195916971402E-2</v>
      </c>
      <c r="AM34" s="129">
        <f t="shared" si="1"/>
        <v>0</v>
      </c>
      <c r="AN34" s="188">
        <v>7.4218145223718841E-3</v>
      </c>
      <c r="AO34" s="188">
        <v>8.0316083501057955E-2</v>
      </c>
      <c r="AP34" s="188">
        <v>0.52421685503431903</v>
      </c>
      <c r="AQ34" s="128">
        <v>1571.9329872739452</v>
      </c>
      <c r="AR34" s="188">
        <v>7.0000000000000001E-3</v>
      </c>
      <c r="AS34" s="188">
        <v>3.7000000000000005E-2</v>
      </c>
      <c r="AT34" s="256">
        <v>9.5</v>
      </c>
    </row>
    <row r="35" spans="1:46" x14ac:dyDescent="0.25">
      <c r="A35" t="s">
        <v>347</v>
      </c>
      <c r="B35">
        <v>134</v>
      </c>
      <c r="C35">
        <v>52494</v>
      </c>
      <c r="D35">
        <v>246201</v>
      </c>
      <c r="E35">
        <v>1922</v>
      </c>
      <c r="F35">
        <v>0</v>
      </c>
      <c r="G35">
        <v>2681</v>
      </c>
      <c r="H35">
        <v>330</v>
      </c>
      <c r="I35">
        <v>7214</v>
      </c>
      <c r="J35">
        <v>9</v>
      </c>
      <c r="K35">
        <v>20012</v>
      </c>
      <c r="L35">
        <v>156</v>
      </c>
      <c r="M35">
        <v>8408</v>
      </c>
      <c r="N35">
        <v>25575</v>
      </c>
      <c r="O35">
        <v>16330</v>
      </c>
      <c r="P35">
        <v>239044</v>
      </c>
      <c r="Q35">
        <v>178</v>
      </c>
      <c r="R35">
        <v>22599</v>
      </c>
      <c r="S35">
        <v>23428</v>
      </c>
      <c r="T35">
        <v>12409</v>
      </c>
      <c r="U35" s="128">
        <v>14345</v>
      </c>
      <c r="V35" s="128">
        <v>-3133</v>
      </c>
      <c r="W35" s="128">
        <v>317668</v>
      </c>
      <c r="X35" s="128">
        <v>320801</v>
      </c>
      <c r="Y35" s="128">
        <v>38028</v>
      </c>
      <c r="Z35" s="128">
        <v>3234148</v>
      </c>
      <c r="AA35" s="128">
        <v>166405</v>
      </c>
      <c r="AB35" s="128">
        <v>67485</v>
      </c>
      <c r="AC35" s="128" t="s">
        <v>347</v>
      </c>
      <c r="AD35" s="188">
        <f t="shared" si="0"/>
        <v>7.0649231272901264E-2</v>
      </c>
      <c r="AE35" s="188">
        <v>0.83757570797184477</v>
      </c>
      <c r="AF35" s="188">
        <v>8.4396287948424135E-3</v>
      </c>
      <c r="AG35" s="188">
        <v>2.2737575078383723E-2</v>
      </c>
      <c r="AH35" s="188">
        <v>0.82267216087235717</v>
      </c>
      <c r="AI35" s="188">
        <v>7.531739323777914E-2</v>
      </c>
      <c r="AJ35" s="188">
        <v>-9.862497953838598E-3</v>
      </c>
      <c r="AK35" s="188">
        <v>-1.9203910614525139E-3</v>
      </c>
      <c r="AL35" s="188">
        <v>-1.8090031194000131E-2</v>
      </c>
      <c r="AM35" s="129">
        <f t="shared" si="1"/>
        <v>3</v>
      </c>
      <c r="AN35" s="188">
        <v>2.9927471448178602E-2</v>
      </c>
      <c r="AO35" s="188">
        <v>1.018090585139202E-2</v>
      </c>
      <c r="AP35" s="188">
        <v>0.52383305841318606</v>
      </c>
      <c r="AQ35" s="128">
        <v>3177.596636289546</v>
      </c>
      <c r="AR35" s="188">
        <v>3.2000000000000001E-2</v>
      </c>
      <c r="AS35" s="188">
        <v>0.158</v>
      </c>
      <c r="AT35" s="256">
        <v>5</v>
      </c>
    </row>
    <row r="36" spans="1:46" x14ac:dyDescent="0.25">
      <c r="A36" t="s">
        <v>169</v>
      </c>
      <c r="B36">
        <v>185</v>
      </c>
      <c r="C36">
        <v>6209</v>
      </c>
      <c r="D36">
        <v>93833</v>
      </c>
      <c r="E36">
        <v>6740</v>
      </c>
      <c r="F36">
        <v>32886</v>
      </c>
      <c r="G36">
        <v>8446</v>
      </c>
      <c r="H36">
        <v>0</v>
      </c>
      <c r="I36">
        <v>4325</v>
      </c>
      <c r="J36">
        <v>-1528</v>
      </c>
      <c r="K36">
        <v>14029</v>
      </c>
      <c r="L36">
        <v>3434</v>
      </c>
      <c r="M36">
        <v>8475</v>
      </c>
      <c r="N36">
        <v>94647</v>
      </c>
      <c r="O36">
        <v>11057</v>
      </c>
      <c r="P36">
        <v>43954</v>
      </c>
      <c r="Q36">
        <v>0</v>
      </c>
      <c r="R36">
        <v>11853</v>
      </c>
      <c r="S36">
        <v>3752</v>
      </c>
      <c r="T36">
        <v>11773</v>
      </c>
      <c r="U36" s="128">
        <v>-35</v>
      </c>
      <c r="V36" s="128">
        <v>253</v>
      </c>
      <c r="W36" s="128">
        <v>110355</v>
      </c>
      <c r="X36" s="128">
        <v>110102</v>
      </c>
      <c r="Y36" s="128">
        <v>10028</v>
      </c>
      <c r="Z36" s="128">
        <v>4429669.9999999991</v>
      </c>
      <c r="AA36" s="128">
        <v>74806</v>
      </c>
      <c r="AB36" s="128">
        <v>43783</v>
      </c>
      <c r="AC36" s="128" t="s">
        <v>169</v>
      </c>
      <c r="AD36" s="188">
        <f t="shared" si="0"/>
        <v>7.6290154501381907E-2</v>
      </c>
      <c r="AE36" s="188">
        <v>3.6808481718091611E-2</v>
      </c>
      <c r="AF36" s="188">
        <v>0.37453672239590413</v>
      </c>
      <c r="AG36" s="188">
        <v>2.5345475963934574E-2</v>
      </c>
      <c r="AH36" s="188">
        <v>6.4011055230845909E-2</v>
      </c>
      <c r="AI36" s="188">
        <v>0.53462007727241911</v>
      </c>
      <c r="AJ36" s="188">
        <v>2.2926011508314077E-3</v>
      </c>
      <c r="AK36" s="188">
        <v>1.5991756039845807E-2</v>
      </c>
      <c r="AL36" s="188">
        <v>-7.6902419860159332E-2</v>
      </c>
      <c r="AM36" s="129">
        <f t="shared" si="1"/>
        <v>1</v>
      </c>
      <c r="AN36" s="188">
        <v>2.271759322187486E-2</v>
      </c>
      <c r="AO36" s="188">
        <v>4.014018395179194E-2</v>
      </c>
      <c r="AP36" s="188">
        <v>0.67786688414661778</v>
      </c>
      <c r="AQ36" s="128">
        <v>1664.9265011534158</v>
      </c>
      <c r="AR36" s="188">
        <v>0.04</v>
      </c>
      <c r="AS36" s="188">
        <v>0.20100000000000001</v>
      </c>
      <c r="AT36" s="256">
        <v>8.5</v>
      </c>
    </row>
    <row r="37" spans="1:46" x14ac:dyDescent="0.25">
      <c r="A37" t="s">
        <v>348</v>
      </c>
      <c r="B37">
        <v>0</v>
      </c>
      <c r="C37">
        <v>35026</v>
      </c>
      <c r="D37">
        <v>43897</v>
      </c>
      <c r="E37">
        <v>55</v>
      </c>
      <c r="F37">
        <v>0</v>
      </c>
      <c r="G37">
        <v>2686</v>
      </c>
      <c r="H37">
        <v>96</v>
      </c>
      <c r="I37">
        <v>10536</v>
      </c>
      <c r="J37">
        <v>14</v>
      </c>
      <c r="K37">
        <v>9807</v>
      </c>
      <c r="L37">
        <v>13170</v>
      </c>
      <c r="M37">
        <v>2955</v>
      </c>
      <c r="N37">
        <v>43288</v>
      </c>
      <c r="O37">
        <v>18677</v>
      </c>
      <c r="P37">
        <v>48120</v>
      </c>
      <c r="Q37">
        <v>2</v>
      </c>
      <c r="R37">
        <v>0</v>
      </c>
      <c r="S37">
        <v>5789</v>
      </c>
      <c r="T37">
        <v>2360</v>
      </c>
      <c r="U37" s="128">
        <v>0</v>
      </c>
      <c r="V37" s="128">
        <v>-3342</v>
      </c>
      <c r="W37" s="128">
        <v>71663</v>
      </c>
      <c r="X37" s="128">
        <v>75005</v>
      </c>
      <c r="Y37" s="128">
        <v>35560</v>
      </c>
      <c r="Z37" s="128">
        <v>1598814</v>
      </c>
      <c r="AA37" s="128">
        <v>44098</v>
      </c>
      <c r="AB37" s="128">
        <v>31200</v>
      </c>
      <c r="AC37" s="128" t="s">
        <v>348</v>
      </c>
      <c r="AD37" s="188">
        <f t="shared" si="0"/>
        <v>-0.18377684439669006</v>
      </c>
      <c r="AE37" s="188">
        <v>0.38453595300224663</v>
      </c>
      <c r="AF37" s="188">
        <v>3.7480987399355313E-2</v>
      </c>
      <c r="AG37" s="188">
        <v>0.1472168343496644</v>
      </c>
      <c r="AH37" s="188">
        <v>0.2859818874454042</v>
      </c>
      <c r="AI37" s="188">
        <v>0.36611522717277312</v>
      </c>
      <c r="AJ37" s="188">
        <v>-4.6634944113419757E-2</v>
      </c>
      <c r="AK37" s="188">
        <v>8.4076811963633272E-2</v>
      </c>
      <c r="AL37" s="188">
        <v>5.3842086711314768E-2</v>
      </c>
      <c r="AM37" s="129">
        <f t="shared" si="1"/>
        <v>1</v>
      </c>
      <c r="AN37" s="188">
        <v>0.1240528585183428</v>
      </c>
      <c r="AO37" s="188">
        <v>2.2310174008902783E-2</v>
      </c>
      <c r="AP37" s="188">
        <v>0.61535241337928914</v>
      </c>
      <c r="AQ37" s="128">
        <v>1570.0778846153846</v>
      </c>
      <c r="AR37" s="188">
        <v>5.4000000000000006E-2</v>
      </c>
      <c r="AS37" s="188">
        <v>0.26800000000000002</v>
      </c>
      <c r="AT37" s="256">
        <v>7</v>
      </c>
    </row>
    <row r="38" spans="1:46" x14ac:dyDescent="0.25">
      <c r="A38" t="s">
        <v>349</v>
      </c>
      <c r="B38">
        <v>398</v>
      </c>
      <c r="C38">
        <v>5363</v>
      </c>
      <c r="D38">
        <v>44330</v>
      </c>
      <c r="E38">
        <v>77</v>
      </c>
      <c r="F38">
        <v>0</v>
      </c>
      <c r="G38">
        <v>6614</v>
      </c>
      <c r="H38">
        <v>177</v>
      </c>
      <c r="I38">
        <v>39778</v>
      </c>
      <c r="J38">
        <v>17</v>
      </c>
      <c r="K38">
        <v>11256</v>
      </c>
      <c r="L38">
        <v>409</v>
      </c>
      <c r="M38">
        <v>1765</v>
      </c>
      <c r="N38">
        <v>87103</v>
      </c>
      <c r="O38">
        <v>13867</v>
      </c>
      <c r="P38">
        <v>28</v>
      </c>
      <c r="Q38">
        <v>150</v>
      </c>
      <c r="R38">
        <v>0</v>
      </c>
      <c r="S38">
        <v>7489</v>
      </c>
      <c r="T38">
        <v>1547</v>
      </c>
      <c r="U38" s="128">
        <v>6</v>
      </c>
      <c r="V38" s="128">
        <v>-5079</v>
      </c>
      <c r="W38" s="128">
        <v>72377</v>
      </c>
      <c r="X38" s="128">
        <v>77456</v>
      </c>
      <c r="Y38" s="128">
        <v>4717</v>
      </c>
      <c r="Z38" s="128">
        <v>3969216</v>
      </c>
      <c r="AA38" s="128">
        <v>44858</v>
      </c>
      <c r="AB38" s="128">
        <v>29968</v>
      </c>
      <c r="AC38" s="128" t="s">
        <v>349</v>
      </c>
      <c r="AD38" s="188">
        <f t="shared" si="0"/>
        <v>-5.6509664672478822E-3</v>
      </c>
      <c r="AE38" s="188">
        <v>-0.15207869903422358</v>
      </c>
      <c r="AF38" s="188">
        <v>9.1382621551045221E-2</v>
      </c>
      <c r="AG38" s="188">
        <v>0.54982936568246821</v>
      </c>
      <c r="AH38" s="188">
        <v>-0.52599334042582591</v>
      </c>
      <c r="AI38" s="188">
        <v>0.7905231249546214</v>
      </c>
      <c r="AJ38" s="188">
        <v>-7.0174226618953534E-2</v>
      </c>
      <c r="AK38" s="188">
        <v>-5.2991982866723963E-2</v>
      </c>
      <c r="AL38" s="188">
        <v>-6.2076749435665914E-2</v>
      </c>
      <c r="AM38" s="129">
        <f t="shared" si="1"/>
        <v>3</v>
      </c>
      <c r="AN38" s="188">
        <v>1.6293159429100406E-2</v>
      </c>
      <c r="AO38" s="188">
        <v>5.484084723047377E-2</v>
      </c>
      <c r="AP38" s="188">
        <v>0.61978252759854646</v>
      </c>
      <c r="AQ38" s="128">
        <v>1570.0017351841964</v>
      </c>
      <c r="AR38" s="188">
        <v>4.8000000000000001E-2</v>
      </c>
      <c r="AS38" s="188">
        <v>0.24100000000000002</v>
      </c>
      <c r="AT38" s="256">
        <v>7</v>
      </c>
    </row>
    <row r="39" spans="1:46" x14ac:dyDescent="0.25">
      <c r="A39" t="s">
        <v>170</v>
      </c>
      <c r="B39">
        <v>3756</v>
      </c>
      <c r="C39">
        <v>4949</v>
      </c>
      <c r="D39">
        <v>37573</v>
      </c>
      <c r="E39">
        <v>0</v>
      </c>
      <c r="F39">
        <v>0</v>
      </c>
      <c r="G39">
        <v>6345</v>
      </c>
      <c r="H39">
        <v>346</v>
      </c>
      <c r="I39">
        <v>43847</v>
      </c>
      <c r="J39">
        <v>0</v>
      </c>
      <c r="K39">
        <v>3507</v>
      </c>
      <c r="L39">
        <v>15983</v>
      </c>
      <c r="M39">
        <v>4240</v>
      </c>
      <c r="N39">
        <v>6104</v>
      </c>
      <c r="O39">
        <v>37447</v>
      </c>
      <c r="P39">
        <v>69775</v>
      </c>
      <c r="Q39">
        <v>0</v>
      </c>
      <c r="R39">
        <v>697</v>
      </c>
      <c r="S39">
        <v>1606</v>
      </c>
      <c r="T39">
        <v>4918</v>
      </c>
      <c r="U39" s="128">
        <v>-4</v>
      </c>
      <c r="V39" s="128">
        <v>2998</v>
      </c>
      <c r="W39" s="128">
        <v>66290</v>
      </c>
      <c r="X39" s="128">
        <v>63292</v>
      </c>
      <c r="Y39" s="128">
        <v>1053</v>
      </c>
      <c r="Z39" s="128">
        <v>-1067736</v>
      </c>
      <c r="AA39" s="128">
        <v>40236</v>
      </c>
      <c r="AB39" s="128">
        <v>25866</v>
      </c>
      <c r="AC39" s="128" t="s">
        <v>170</v>
      </c>
      <c r="AD39" s="188">
        <f t="shared" si="0"/>
        <v>-0.23059284960024137</v>
      </c>
      <c r="AE39" s="188">
        <v>0.70259465982802838</v>
      </c>
      <c r="AF39" s="188">
        <v>9.5715794237441545E-2</v>
      </c>
      <c r="AG39" s="188">
        <v>0.66144214813697388</v>
      </c>
      <c r="AH39" s="188">
        <v>0.25107105144063968</v>
      </c>
      <c r="AI39" s="188">
        <v>5.0635851576563501E-2</v>
      </c>
      <c r="AJ39" s="188">
        <v>4.5225524211796653E-2</v>
      </c>
      <c r="AK39" s="188">
        <v>6.6728171714405149E-2</v>
      </c>
      <c r="AL39" s="188">
        <v>5.3872652876388864E-2</v>
      </c>
      <c r="AM39" s="129">
        <f t="shared" si="1"/>
        <v>0</v>
      </c>
      <c r="AN39" s="188">
        <v>3.9711872077236388E-3</v>
      </c>
      <c r="AO39" s="188">
        <v>-1.6107044803137731E-2</v>
      </c>
      <c r="AP39" s="188">
        <v>0.60696937697993669</v>
      </c>
      <c r="AQ39" s="128">
        <v>1514.2534601407253</v>
      </c>
      <c r="AR39" s="188">
        <v>2.2000000000000002E-2</v>
      </c>
      <c r="AS39" s="188">
        <v>0.111</v>
      </c>
      <c r="AT39" s="256">
        <v>7.5</v>
      </c>
    </row>
    <row r="40" spans="1:46" x14ac:dyDescent="0.25">
      <c r="A40" t="s">
        <v>243</v>
      </c>
      <c r="B40">
        <v>1884</v>
      </c>
      <c r="C40">
        <v>2999</v>
      </c>
      <c r="D40">
        <v>87331</v>
      </c>
      <c r="E40">
        <v>219</v>
      </c>
      <c r="F40">
        <v>0</v>
      </c>
      <c r="G40">
        <v>16910</v>
      </c>
      <c r="H40">
        <v>15</v>
      </c>
      <c r="I40">
        <v>3112</v>
      </c>
      <c r="J40">
        <v>0</v>
      </c>
      <c r="K40">
        <v>28357</v>
      </c>
      <c r="L40">
        <v>1155</v>
      </c>
      <c r="M40">
        <v>649</v>
      </c>
      <c r="N40">
        <v>36289</v>
      </c>
      <c r="O40">
        <v>8881</v>
      </c>
      <c r="P40">
        <v>88252</v>
      </c>
      <c r="Q40">
        <v>31</v>
      </c>
      <c r="R40">
        <v>0</v>
      </c>
      <c r="S40">
        <v>4937</v>
      </c>
      <c r="T40">
        <v>4244</v>
      </c>
      <c r="U40" s="128">
        <v>6</v>
      </c>
      <c r="V40" s="128">
        <v>1232</v>
      </c>
      <c r="W40" s="128">
        <v>117975</v>
      </c>
      <c r="X40" s="128">
        <v>116743</v>
      </c>
      <c r="Y40" s="128">
        <v>-9670</v>
      </c>
      <c r="Z40" s="128">
        <v>2511013</v>
      </c>
      <c r="AA40" s="128">
        <v>81803</v>
      </c>
      <c r="AB40" s="128">
        <v>41569</v>
      </c>
      <c r="AC40" s="128" t="s">
        <v>243</v>
      </c>
      <c r="AD40" s="188">
        <f t="shared" si="0"/>
        <v>-9.7902097902097911E-3</v>
      </c>
      <c r="AE40" s="188">
        <v>0.42702267429540158</v>
      </c>
      <c r="AF40" s="188">
        <v>0.1433354524263615</v>
      </c>
      <c r="AG40" s="188">
        <v>2.6378470014833653E-2</v>
      </c>
      <c r="AH40" s="188">
        <v>0.42575799957618143</v>
      </c>
      <c r="AI40" s="188">
        <v>0.25442040467209781</v>
      </c>
      <c r="AJ40" s="188">
        <v>1.0442890442890443E-2</v>
      </c>
      <c r="AK40" s="188">
        <v>-4.3064813931918064E-2</v>
      </c>
      <c r="AL40" s="188">
        <v>2.5796701149125778E-3</v>
      </c>
      <c r="AM40" s="129">
        <f t="shared" si="1"/>
        <v>1</v>
      </c>
      <c r="AN40" s="188">
        <v>-2.0491629582538674E-2</v>
      </c>
      <c r="AO40" s="188">
        <v>2.1284280567916931E-2</v>
      </c>
      <c r="AP40" s="188">
        <v>0.69339266793812249</v>
      </c>
      <c r="AQ40" s="128">
        <v>1729.4771103466521</v>
      </c>
      <c r="AR40" s="188">
        <v>2.8999999999999998E-2</v>
      </c>
      <c r="AS40" s="188">
        <v>0.14599999999999999</v>
      </c>
      <c r="AT40" s="256">
        <v>9</v>
      </c>
    </row>
    <row r="41" spans="1:46" x14ac:dyDescent="0.25">
      <c r="A41" t="s">
        <v>350</v>
      </c>
      <c r="B41">
        <v>6145</v>
      </c>
      <c r="C41">
        <v>4704</v>
      </c>
      <c r="D41">
        <v>50703</v>
      </c>
      <c r="E41">
        <v>159</v>
      </c>
      <c r="F41">
        <v>0</v>
      </c>
      <c r="G41">
        <v>1348</v>
      </c>
      <c r="H41">
        <v>0</v>
      </c>
      <c r="I41">
        <v>3270</v>
      </c>
      <c r="J41">
        <v>0</v>
      </c>
      <c r="K41">
        <v>13922</v>
      </c>
      <c r="L41">
        <v>206</v>
      </c>
      <c r="M41">
        <v>3045</v>
      </c>
      <c r="N41">
        <v>24699</v>
      </c>
      <c r="O41">
        <v>6465</v>
      </c>
      <c r="P41">
        <v>47688</v>
      </c>
      <c r="Q41">
        <v>3</v>
      </c>
      <c r="R41">
        <v>0</v>
      </c>
      <c r="S41">
        <v>2435</v>
      </c>
      <c r="T41">
        <v>2214</v>
      </c>
      <c r="U41" s="128">
        <v>-11</v>
      </c>
      <c r="V41" s="128">
        <v>1996</v>
      </c>
      <c r="W41" s="128">
        <v>49947</v>
      </c>
      <c r="X41" s="128">
        <v>47951</v>
      </c>
      <c r="Y41" s="128">
        <v>23230</v>
      </c>
      <c r="Z41" s="128">
        <v>2936725</v>
      </c>
      <c r="AA41" s="128">
        <v>33128</v>
      </c>
      <c r="AB41" s="128">
        <v>20401</v>
      </c>
      <c r="AC41" s="128" t="s">
        <v>350</v>
      </c>
      <c r="AD41" s="188">
        <f t="shared" si="0"/>
        <v>-4.1243718341441929E-3</v>
      </c>
      <c r="AE41" s="188">
        <v>0.67709772358700226</v>
      </c>
      <c r="AF41" s="188">
        <v>2.6988607924399863E-2</v>
      </c>
      <c r="AG41" s="188">
        <v>6.5469397561415094E-2</v>
      </c>
      <c r="AH41" s="188">
        <v>0.63450777824493965</v>
      </c>
      <c r="AI41" s="188">
        <v>0.2957822379766239</v>
      </c>
      <c r="AJ41" s="188">
        <v>3.9962360101707811E-2</v>
      </c>
      <c r="AK41" s="188">
        <v>1.1050648807032231E-2</v>
      </c>
      <c r="AL41" s="188">
        <v>9.9667078456416591E-3</v>
      </c>
      <c r="AM41" s="129">
        <f t="shared" si="1"/>
        <v>0</v>
      </c>
      <c r="AN41" s="188">
        <v>0.11627324964462329</v>
      </c>
      <c r="AO41" s="188">
        <v>5.8796824634112156E-2</v>
      </c>
      <c r="AP41" s="188">
        <v>0.66326305884237291</v>
      </c>
      <c r="AQ41" s="128">
        <v>1487.2421449928925</v>
      </c>
      <c r="AR41" s="188">
        <v>2.7999999999999997E-2</v>
      </c>
      <c r="AS41" s="188">
        <v>0.14199999999999999</v>
      </c>
      <c r="AT41" s="256">
        <v>9</v>
      </c>
    </row>
    <row r="42" spans="1:46" x14ac:dyDescent="0.25">
      <c r="A42" t="s">
        <v>244</v>
      </c>
      <c r="B42">
        <v>0</v>
      </c>
      <c r="C42">
        <v>188</v>
      </c>
      <c r="D42">
        <v>22289</v>
      </c>
      <c r="E42">
        <v>0</v>
      </c>
      <c r="F42">
        <v>14</v>
      </c>
      <c r="G42">
        <v>2583</v>
      </c>
      <c r="H42">
        <v>0</v>
      </c>
      <c r="I42">
        <v>1347</v>
      </c>
      <c r="J42">
        <v>0</v>
      </c>
      <c r="K42">
        <v>49597</v>
      </c>
      <c r="L42">
        <v>326</v>
      </c>
      <c r="M42">
        <v>491</v>
      </c>
      <c r="N42">
        <v>46545</v>
      </c>
      <c r="O42">
        <v>1926</v>
      </c>
      <c r="P42">
        <v>23000</v>
      </c>
      <c r="Q42">
        <v>3</v>
      </c>
      <c r="R42">
        <v>0</v>
      </c>
      <c r="S42">
        <v>983</v>
      </c>
      <c r="T42">
        <v>4378</v>
      </c>
      <c r="U42" s="128">
        <v>4</v>
      </c>
      <c r="V42" s="128">
        <v>6544</v>
      </c>
      <c r="W42" s="128">
        <v>44942</v>
      </c>
      <c r="X42" s="128">
        <v>38398</v>
      </c>
      <c r="Y42" s="128">
        <v>1278</v>
      </c>
      <c r="Z42" s="128">
        <v>2149489.4</v>
      </c>
      <c r="AA42" s="128">
        <v>12664</v>
      </c>
      <c r="AB42" s="128">
        <v>11509</v>
      </c>
      <c r="AC42" s="128" t="s">
        <v>244</v>
      </c>
      <c r="AD42" s="188">
        <f t="shared" si="0"/>
        <v>-7.2537937786480355E-3</v>
      </c>
      <c r="AE42" s="188">
        <v>-0.54841796092741757</v>
      </c>
      <c r="AF42" s="188">
        <v>5.7785590316407814E-2</v>
      </c>
      <c r="AG42" s="188">
        <v>2.9971963864536513E-2</v>
      </c>
      <c r="AH42" s="188">
        <v>-0.56246406479462419</v>
      </c>
      <c r="AI42" s="188">
        <v>0.6057786165159107</v>
      </c>
      <c r="AJ42" s="188">
        <v>0.14560989720083664</v>
      </c>
      <c r="AK42" s="188">
        <v>0.21660053725016634</v>
      </c>
      <c r="AL42" s="188">
        <v>0.13095393449040846</v>
      </c>
      <c r="AM42" s="129">
        <f t="shared" si="1"/>
        <v>0</v>
      </c>
      <c r="AN42" s="188">
        <v>7.1091629210983049E-3</v>
      </c>
      <c r="AO42" s="188">
        <v>4.7828076187085573E-2</v>
      </c>
      <c r="AP42" s="188">
        <v>0.28178541230919851</v>
      </c>
      <c r="AQ42" s="128">
        <v>1448.8621948040666</v>
      </c>
      <c r="AR42" s="188">
        <v>4.0999999999999995E-2</v>
      </c>
      <c r="AS42" s="188">
        <v>0.20300000000000001</v>
      </c>
      <c r="AT42" s="256">
        <v>9</v>
      </c>
    </row>
    <row r="43" spans="1:46" x14ac:dyDescent="0.25">
      <c r="A43" t="s">
        <v>245</v>
      </c>
      <c r="B43">
        <v>0</v>
      </c>
      <c r="C43">
        <v>682</v>
      </c>
      <c r="D43">
        <v>55449</v>
      </c>
      <c r="E43">
        <v>379</v>
      </c>
      <c r="F43">
        <v>-31</v>
      </c>
      <c r="G43">
        <v>832</v>
      </c>
      <c r="H43">
        <v>0</v>
      </c>
      <c r="I43">
        <v>0</v>
      </c>
      <c r="J43">
        <v>0</v>
      </c>
      <c r="K43">
        <v>6716</v>
      </c>
      <c r="L43">
        <v>0</v>
      </c>
      <c r="M43">
        <v>1275</v>
      </c>
      <c r="N43">
        <v>25604</v>
      </c>
      <c r="O43">
        <v>3375</v>
      </c>
      <c r="P43">
        <v>22650</v>
      </c>
      <c r="Q43">
        <v>2</v>
      </c>
      <c r="R43">
        <v>7419</v>
      </c>
      <c r="S43">
        <v>3536</v>
      </c>
      <c r="T43">
        <v>2711</v>
      </c>
      <c r="U43" s="128">
        <v>3</v>
      </c>
      <c r="V43" s="128">
        <v>-4113</v>
      </c>
      <c r="W43" s="128">
        <v>51371</v>
      </c>
      <c r="X43" s="128">
        <v>55484</v>
      </c>
      <c r="Y43" s="128">
        <v>-1015</v>
      </c>
      <c r="Z43" s="128">
        <v>4312458</v>
      </c>
      <c r="AA43" s="128">
        <v>24085</v>
      </c>
      <c r="AB43" s="128">
        <v>23554</v>
      </c>
      <c r="AC43" s="128" t="s">
        <v>245</v>
      </c>
      <c r="AD43" s="188">
        <f t="shared" si="0"/>
        <v>0.14442000350392245</v>
      </c>
      <c r="AE43" s="188">
        <v>0.53582760701563137</v>
      </c>
      <c r="AF43" s="188">
        <v>1.5592454886998501E-2</v>
      </c>
      <c r="AG43" s="188">
        <v>0</v>
      </c>
      <c r="AH43" s="188">
        <v>0.53769870160207123</v>
      </c>
      <c r="AI43" s="188">
        <v>0.39211602370706156</v>
      </c>
      <c r="AJ43" s="188">
        <v>-8.0064627902902419E-2</v>
      </c>
      <c r="AK43" s="188">
        <v>5.697160380739974E-2</v>
      </c>
      <c r="AL43" s="188">
        <v>-1.0995960667509894E-2</v>
      </c>
      <c r="AM43" s="129">
        <f t="shared" si="1"/>
        <v>2</v>
      </c>
      <c r="AN43" s="188">
        <v>-4.93955733779759E-3</v>
      </c>
      <c r="AO43" s="188">
        <v>8.3947324365887366E-2</v>
      </c>
      <c r="AP43" s="188">
        <v>0.46884428957972396</v>
      </c>
      <c r="AQ43" s="128">
        <v>1560.5723019444681</v>
      </c>
      <c r="AR43" s="188">
        <v>2.5000000000000001E-2</v>
      </c>
      <c r="AS43" s="188">
        <v>0.126</v>
      </c>
      <c r="AT43" s="256">
        <v>6.5</v>
      </c>
    </row>
    <row r="44" spans="1:46" x14ac:dyDescent="0.25">
      <c r="A44" t="s">
        <v>287</v>
      </c>
      <c r="B44">
        <v>109</v>
      </c>
      <c r="C44">
        <v>5562</v>
      </c>
      <c r="D44">
        <v>140981</v>
      </c>
      <c r="E44">
        <v>546</v>
      </c>
      <c r="F44">
        <v>0</v>
      </c>
      <c r="G44">
        <v>1637</v>
      </c>
      <c r="H44">
        <v>0</v>
      </c>
      <c r="I44">
        <v>11826</v>
      </c>
      <c r="J44">
        <v>0</v>
      </c>
      <c r="K44">
        <v>10982</v>
      </c>
      <c r="L44">
        <v>390</v>
      </c>
      <c r="M44">
        <v>7421</v>
      </c>
      <c r="N44">
        <v>16973</v>
      </c>
      <c r="O44">
        <v>6114</v>
      </c>
      <c r="P44">
        <v>133510</v>
      </c>
      <c r="Q44">
        <v>7</v>
      </c>
      <c r="R44">
        <v>6500</v>
      </c>
      <c r="S44">
        <v>8770</v>
      </c>
      <c r="T44">
        <v>7580</v>
      </c>
      <c r="U44" s="128">
        <v>2</v>
      </c>
      <c r="V44" s="128">
        <v>1022</v>
      </c>
      <c r="W44" s="128">
        <v>86321</v>
      </c>
      <c r="X44" s="128">
        <v>85299</v>
      </c>
      <c r="Y44" s="128">
        <v>37407</v>
      </c>
      <c r="Z44" s="128">
        <v>1805374</v>
      </c>
      <c r="AA44" s="128">
        <v>45928</v>
      </c>
      <c r="AB44" s="128">
        <v>34852</v>
      </c>
      <c r="AC44" s="128" t="s">
        <v>287</v>
      </c>
      <c r="AD44" s="188">
        <f t="shared" si="0"/>
        <v>7.078231253113379E-2</v>
      </c>
      <c r="AE44" s="188">
        <v>1.5747848148191055</v>
      </c>
      <c r="AF44" s="188">
        <v>1.8964099118406876E-2</v>
      </c>
      <c r="AG44" s="188">
        <v>0.13700026644733032</v>
      </c>
      <c r="AH44" s="188">
        <v>1.4811603202001831</v>
      </c>
      <c r="AI44" s="188">
        <v>9.4581341179355155E-2</v>
      </c>
      <c r="AJ44" s="188">
        <v>1.1839529199152002E-2</v>
      </c>
      <c r="AK44" s="188">
        <v>7.8817381344405468E-2</v>
      </c>
      <c r="AL44" s="188">
        <v>2.4442243087259884E-3</v>
      </c>
      <c r="AM44" s="129">
        <f t="shared" si="1"/>
        <v>0</v>
      </c>
      <c r="AN44" s="188">
        <v>0.10833690527218175</v>
      </c>
      <c r="AO44" s="188">
        <v>2.0914655761633903E-2</v>
      </c>
      <c r="AP44" s="188">
        <v>0.53206056463664697</v>
      </c>
      <c r="AQ44" s="128">
        <v>1389.8460059680936</v>
      </c>
      <c r="AR44" s="188">
        <v>0.03</v>
      </c>
      <c r="AS44" s="188">
        <v>0.151</v>
      </c>
      <c r="AT44" s="256">
        <v>6.5</v>
      </c>
    </row>
    <row r="45" spans="1:46" x14ac:dyDescent="0.25">
      <c r="A45" t="s">
        <v>351</v>
      </c>
      <c r="B45">
        <v>138</v>
      </c>
      <c r="C45">
        <v>3775</v>
      </c>
      <c r="D45">
        <v>19397</v>
      </c>
      <c r="E45">
        <v>1</v>
      </c>
      <c r="F45">
        <v>0</v>
      </c>
      <c r="G45">
        <v>133</v>
      </c>
      <c r="H45">
        <v>215</v>
      </c>
      <c r="I45">
        <v>11957</v>
      </c>
      <c r="J45">
        <v>0</v>
      </c>
      <c r="K45">
        <v>2300</v>
      </c>
      <c r="L45">
        <v>258</v>
      </c>
      <c r="M45">
        <v>866</v>
      </c>
      <c r="N45">
        <v>8856</v>
      </c>
      <c r="O45">
        <v>8196</v>
      </c>
      <c r="P45">
        <v>18740</v>
      </c>
      <c r="Q45">
        <v>97</v>
      </c>
      <c r="R45">
        <v>0</v>
      </c>
      <c r="S45">
        <v>2277</v>
      </c>
      <c r="T45">
        <v>872</v>
      </c>
      <c r="U45" s="128">
        <v>7</v>
      </c>
      <c r="V45" s="128">
        <v>861</v>
      </c>
      <c r="W45" s="128">
        <v>30739</v>
      </c>
      <c r="X45" s="128">
        <v>29878</v>
      </c>
      <c r="Y45" s="128">
        <v>2904</v>
      </c>
      <c r="Z45" s="128">
        <v>307824.60000000009</v>
      </c>
      <c r="AA45" s="128">
        <v>15408</v>
      </c>
      <c r="AB45" s="128">
        <v>10778</v>
      </c>
      <c r="AC45" s="128" t="s">
        <v>351</v>
      </c>
      <c r="AD45" s="188">
        <f t="shared" si="0"/>
        <v>-8.3932463645531741E-3</v>
      </c>
      <c r="AE45" s="188">
        <v>0.59253716776733145</v>
      </c>
      <c r="AF45" s="188">
        <v>4.3267510328898143E-3</v>
      </c>
      <c r="AG45" s="188">
        <v>0.38898467744559029</v>
      </c>
      <c r="AH45" s="188">
        <v>0.32076710367936501</v>
      </c>
      <c r="AI45" s="188">
        <v>0.22685588401045134</v>
      </c>
      <c r="AJ45" s="188">
        <v>2.8010019844497219E-2</v>
      </c>
      <c r="AK45" s="188">
        <v>0.10033193461514374</v>
      </c>
      <c r="AL45" s="188">
        <v>-0.140699224223369</v>
      </c>
      <c r="AM45" s="129">
        <f t="shared" si="1"/>
        <v>1</v>
      </c>
      <c r="AN45" s="188">
        <v>2.361820488630079E-2</v>
      </c>
      <c r="AO45" s="188">
        <v>1.0014138390969131E-2</v>
      </c>
      <c r="AP45" s="188">
        <v>0.50125248056215232</v>
      </c>
      <c r="AQ45" s="128">
        <v>1375.5352570050102</v>
      </c>
      <c r="AR45" s="188">
        <v>1.3999999999999999E-2</v>
      </c>
      <c r="AS45" s="188">
        <v>7.0000000000000007E-2</v>
      </c>
      <c r="AT45" s="256">
        <v>7.5</v>
      </c>
    </row>
    <row r="46" spans="1:46" x14ac:dyDescent="0.25">
      <c r="A46" t="s">
        <v>108</v>
      </c>
      <c r="B46">
        <v>11</v>
      </c>
      <c r="C46">
        <v>4335</v>
      </c>
      <c r="D46">
        <v>52827</v>
      </c>
      <c r="E46">
        <v>204</v>
      </c>
      <c r="F46">
        <v>3100</v>
      </c>
      <c r="G46">
        <v>440</v>
      </c>
      <c r="H46">
        <v>0</v>
      </c>
      <c r="I46">
        <v>3338</v>
      </c>
      <c r="J46">
        <v>0</v>
      </c>
      <c r="K46">
        <v>9412</v>
      </c>
      <c r="L46">
        <v>67</v>
      </c>
      <c r="M46">
        <v>1024</v>
      </c>
      <c r="N46">
        <v>22233</v>
      </c>
      <c r="O46">
        <v>3395</v>
      </c>
      <c r="P46">
        <v>39630</v>
      </c>
      <c r="Q46">
        <v>5</v>
      </c>
      <c r="R46">
        <v>4099</v>
      </c>
      <c r="S46">
        <v>2179</v>
      </c>
      <c r="T46">
        <v>3214</v>
      </c>
      <c r="U46" s="128">
        <v>41</v>
      </c>
      <c r="V46" s="128">
        <v>99</v>
      </c>
      <c r="W46" s="128">
        <v>69004</v>
      </c>
      <c r="X46" s="128">
        <v>68905</v>
      </c>
      <c r="Y46" s="128">
        <v>9920</v>
      </c>
      <c r="Z46" s="128">
        <v>-424211</v>
      </c>
      <c r="AA46" s="128">
        <v>50755</v>
      </c>
      <c r="AB46" s="128">
        <v>25516</v>
      </c>
      <c r="AC46" s="128" t="s">
        <v>108</v>
      </c>
      <c r="AD46" s="188">
        <f t="shared" si="0"/>
        <v>5.8431395281432957E-2</v>
      </c>
      <c r="AE46" s="188">
        <v>0.50843429366413539</v>
      </c>
      <c r="AF46" s="188">
        <v>5.1301373833400964E-2</v>
      </c>
      <c r="AG46" s="188">
        <v>4.837400730392441E-2</v>
      </c>
      <c r="AH46" s="188">
        <v>0.48072865341139648</v>
      </c>
      <c r="AI46" s="188">
        <v>0.29741154437830247</v>
      </c>
      <c r="AJ46" s="188">
        <v>1.4346994377137556E-3</v>
      </c>
      <c r="AK46" s="188">
        <v>3.7265724888514672E-3</v>
      </c>
      <c r="AL46" s="188">
        <v>-3.4294205052005942E-2</v>
      </c>
      <c r="AM46" s="129">
        <f t="shared" si="1"/>
        <v>1</v>
      </c>
      <c r="AN46" s="188">
        <v>3.5939945510405191E-2</v>
      </c>
      <c r="AO46" s="188">
        <v>-6.1476291229493945E-3</v>
      </c>
      <c r="AP46" s="188">
        <v>0.73553707031476434</v>
      </c>
      <c r="AQ46" s="128">
        <v>1728.5433061608403</v>
      </c>
      <c r="AR46" s="188">
        <v>3.6000000000000004E-2</v>
      </c>
      <c r="AS46" s="188">
        <v>0.182</v>
      </c>
      <c r="AT46" s="256">
        <v>7</v>
      </c>
    </row>
    <row r="47" spans="1:46" x14ac:dyDescent="0.25">
      <c r="A47" t="s">
        <v>142</v>
      </c>
      <c r="B47">
        <v>1</v>
      </c>
      <c r="C47">
        <v>3084</v>
      </c>
      <c r="D47">
        <v>47002</v>
      </c>
      <c r="E47">
        <v>738</v>
      </c>
      <c r="F47">
        <v>2703</v>
      </c>
      <c r="G47">
        <v>600</v>
      </c>
      <c r="H47">
        <v>76</v>
      </c>
      <c r="I47">
        <v>81567</v>
      </c>
      <c r="J47">
        <v>0</v>
      </c>
      <c r="K47">
        <v>2992</v>
      </c>
      <c r="L47">
        <v>20</v>
      </c>
      <c r="M47">
        <v>7933</v>
      </c>
      <c r="N47">
        <v>30056</v>
      </c>
      <c r="O47">
        <v>21008</v>
      </c>
      <c r="P47">
        <v>67769</v>
      </c>
      <c r="Q47">
        <v>90</v>
      </c>
      <c r="R47">
        <v>19866</v>
      </c>
      <c r="S47">
        <v>2143</v>
      </c>
      <c r="T47">
        <v>5784</v>
      </c>
      <c r="U47" s="128">
        <v>-15</v>
      </c>
      <c r="V47" s="128">
        <v>-5190</v>
      </c>
      <c r="W47" s="128">
        <v>53692</v>
      </c>
      <c r="X47" s="128">
        <v>58882</v>
      </c>
      <c r="Y47" s="128">
        <v>168</v>
      </c>
      <c r="Z47" s="128">
        <v>-30596</v>
      </c>
      <c r="AA47" s="128">
        <v>36677</v>
      </c>
      <c r="AB47" s="128">
        <v>23330</v>
      </c>
      <c r="AC47" s="128" t="s">
        <v>142</v>
      </c>
      <c r="AD47" s="188">
        <f t="shared" si="0"/>
        <v>0.36962676003873945</v>
      </c>
      <c r="AE47" s="188">
        <v>1.5147135513670567</v>
      </c>
      <c r="AF47" s="188">
        <v>6.1517544513149072E-2</v>
      </c>
      <c r="AG47" s="188">
        <v>1.5191648662743054</v>
      </c>
      <c r="AH47" s="188">
        <v>0.45868025031662096</v>
      </c>
      <c r="AI47" s="188">
        <v>0.20485836582240519</v>
      </c>
      <c r="AJ47" s="188">
        <v>-9.666244505699173E-2</v>
      </c>
      <c r="AK47" s="188">
        <v>-1.315688921720967E-2</v>
      </c>
      <c r="AL47" s="188">
        <v>-4.1899097260105232E-2</v>
      </c>
      <c r="AM47" s="129">
        <f t="shared" si="1"/>
        <v>3</v>
      </c>
      <c r="AN47" s="188">
        <v>7.8223943976756319E-4</v>
      </c>
      <c r="AO47" s="188">
        <v>-5.6984280712210384E-4</v>
      </c>
      <c r="AP47" s="188">
        <v>0.68309990315130742</v>
      </c>
      <c r="AQ47" s="128">
        <v>1649.0040720102872</v>
      </c>
      <c r="AR47" s="188">
        <v>4.5999999999999999E-2</v>
      </c>
      <c r="AS47" s="188">
        <v>0.23300000000000001</v>
      </c>
      <c r="AT47" s="256">
        <v>3</v>
      </c>
    </row>
    <row r="48" spans="1:46" x14ac:dyDescent="0.25">
      <c r="A48" t="s">
        <v>330</v>
      </c>
      <c r="B48">
        <v>88</v>
      </c>
      <c r="C48">
        <v>8111</v>
      </c>
      <c r="D48">
        <v>25471</v>
      </c>
      <c r="E48">
        <v>284</v>
      </c>
      <c r="F48">
        <v>0</v>
      </c>
      <c r="G48">
        <v>4218</v>
      </c>
      <c r="H48">
        <v>871</v>
      </c>
      <c r="I48">
        <v>-367</v>
      </c>
      <c r="J48">
        <v>0</v>
      </c>
      <c r="K48">
        <v>6560</v>
      </c>
      <c r="L48">
        <v>1617</v>
      </c>
      <c r="M48">
        <v>109</v>
      </c>
      <c r="N48">
        <v>21974</v>
      </c>
      <c r="O48">
        <v>6497</v>
      </c>
      <c r="P48">
        <v>10249</v>
      </c>
      <c r="Q48">
        <v>0</v>
      </c>
      <c r="R48">
        <v>3500</v>
      </c>
      <c r="S48">
        <v>4692</v>
      </c>
      <c r="T48">
        <v>50</v>
      </c>
      <c r="U48" s="128">
        <v>-1</v>
      </c>
      <c r="V48" s="128">
        <v>-2701</v>
      </c>
      <c r="W48" s="128">
        <v>54460</v>
      </c>
      <c r="X48" s="128">
        <v>57161</v>
      </c>
      <c r="Y48" s="128">
        <v>3789</v>
      </c>
      <c r="Z48" s="128">
        <v>612498</v>
      </c>
      <c r="AA48" s="128">
        <v>33793</v>
      </c>
      <c r="AB48" s="128">
        <v>22741</v>
      </c>
      <c r="AC48" s="128" t="s">
        <v>330</v>
      </c>
      <c r="AD48" s="188">
        <f t="shared" si="0"/>
        <v>3.4575835475578409E-2</v>
      </c>
      <c r="AE48" s="188">
        <v>9.3940506793977224E-2</v>
      </c>
      <c r="AF48" s="188">
        <v>7.7451340433345575E-2</v>
      </c>
      <c r="AG48" s="188">
        <v>-6.7388909291222912E-3</v>
      </c>
      <c r="AH48" s="188">
        <v>0.10795189129636429</v>
      </c>
      <c r="AI48" s="188">
        <v>0.46791022528853116</v>
      </c>
      <c r="AJ48" s="188">
        <v>-4.9596033786265148E-2</v>
      </c>
      <c r="AK48" s="188">
        <v>4.24714642005425E-2</v>
      </c>
      <c r="AL48" s="188">
        <v>-2.978669236784201E-2</v>
      </c>
      <c r="AM48" s="129">
        <f t="shared" si="1"/>
        <v>2</v>
      </c>
      <c r="AN48" s="188">
        <v>1.7393499816378995E-2</v>
      </c>
      <c r="AO48" s="188">
        <v>1.1246749908189498E-2</v>
      </c>
      <c r="AP48" s="188">
        <v>0.62051046639735585</v>
      </c>
      <c r="AQ48" s="128">
        <v>1796.3382437008047</v>
      </c>
      <c r="AR48" s="188">
        <v>5.2999999999999999E-2</v>
      </c>
      <c r="AS48" s="188">
        <v>0.26300000000000001</v>
      </c>
      <c r="AT48" s="256">
        <v>6.5</v>
      </c>
    </row>
    <row r="49" spans="1:46" x14ac:dyDescent="0.25">
      <c r="A49" t="s">
        <v>353</v>
      </c>
      <c r="B49">
        <v>120</v>
      </c>
      <c r="C49">
        <v>1880</v>
      </c>
      <c r="D49">
        <v>63178</v>
      </c>
      <c r="E49">
        <v>138</v>
      </c>
      <c r="F49">
        <v>0</v>
      </c>
      <c r="G49">
        <v>7703</v>
      </c>
      <c r="H49">
        <v>0</v>
      </c>
      <c r="I49">
        <v>16550</v>
      </c>
      <c r="J49">
        <v>0</v>
      </c>
      <c r="K49">
        <v>14467</v>
      </c>
      <c r="L49">
        <v>347</v>
      </c>
      <c r="M49">
        <v>1241</v>
      </c>
      <c r="N49">
        <v>15682</v>
      </c>
      <c r="O49">
        <v>26580</v>
      </c>
      <c r="P49">
        <v>39047</v>
      </c>
      <c r="Q49">
        <v>0</v>
      </c>
      <c r="R49">
        <v>4000</v>
      </c>
      <c r="S49">
        <v>12236</v>
      </c>
      <c r="T49">
        <v>8079</v>
      </c>
      <c r="U49" s="128">
        <v>-2</v>
      </c>
      <c r="V49" s="128">
        <v>-7008</v>
      </c>
      <c r="W49" s="128">
        <v>88235</v>
      </c>
      <c r="X49" s="128">
        <v>95243</v>
      </c>
      <c r="Y49" s="128">
        <v>-5191</v>
      </c>
      <c r="Z49" s="128">
        <v>1546820</v>
      </c>
      <c r="AA49" s="128">
        <v>60181</v>
      </c>
      <c r="AB49" s="128">
        <v>30808</v>
      </c>
      <c r="AC49" s="128" t="s">
        <v>353</v>
      </c>
      <c r="AD49" s="188">
        <f>SUM(R49,-L49)/W49</f>
        <v>4.1400804669348895E-2</v>
      </c>
      <c r="AE49" s="188">
        <v>0.44884682948943161</v>
      </c>
      <c r="AF49" s="188">
        <v>8.7300957669858903E-2</v>
      </c>
      <c r="AG49" s="188">
        <v>0.18756729189097296</v>
      </c>
      <c r="AH49" s="188">
        <v>0.32802584008613367</v>
      </c>
      <c r="AI49" s="188">
        <v>0.1484700446868136</v>
      </c>
      <c r="AJ49" s="188">
        <v>-7.9424264747549156E-2</v>
      </c>
      <c r="AK49" s="188">
        <v>4.2467187180443436E-3</v>
      </c>
      <c r="AL49" s="188">
        <v>-3.0311944741889554E-2</v>
      </c>
      <c r="AM49" s="129">
        <f>COUNTIF(AJ49:AL49,"&lt;0")</f>
        <v>2</v>
      </c>
      <c r="AN49" s="188">
        <v>-1.4707882359607865E-2</v>
      </c>
      <c r="AO49" s="188">
        <v>1.7530685102283672E-2</v>
      </c>
      <c r="AP49" s="188">
        <v>0.6820536068453561</v>
      </c>
      <c r="AQ49" s="128">
        <v>1921.4860750454427</v>
      </c>
      <c r="AR49" s="188">
        <v>4.7E-2</v>
      </c>
      <c r="AS49" s="188">
        <v>0.23600000000000002</v>
      </c>
      <c r="AT49" s="256">
        <v>6.5</v>
      </c>
    </row>
    <row r="50" spans="1:46" x14ac:dyDescent="0.25">
      <c r="A50" t="s">
        <v>354</v>
      </c>
      <c r="B50">
        <v>3337</v>
      </c>
      <c r="C50">
        <v>62653</v>
      </c>
      <c r="D50">
        <v>380070</v>
      </c>
      <c r="E50">
        <v>2076</v>
      </c>
      <c r="F50">
        <v>15858</v>
      </c>
      <c r="G50">
        <v>152121</v>
      </c>
      <c r="H50">
        <v>12729</v>
      </c>
      <c r="I50">
        <v>46925</v>
      </c>
      <c r="J50">
        <v>75</v>
      </c>
      <c r="K50">
        <v>30025</v>
      </c>
      <c r="L50">
        <v>75</v>
      </c>
      <c r="M50">
        <v>55725</v>
      </c>
      <c r="N50">
        <v>133712</v>
      </c>
      <c r="O50">
        <v>50854</v>
      </c>
      <c r="P50">
        <v>440088</v>
      </c>
      <c r="Q50">
        <v>526</v>
      </c>
      <c r="R50">
        <v>58725</v>
      </c>
      <c r="S50">
        <v>25122</v>
      </c>
      <c r="T50">
        <v>52642</v>
      </c>
      <c r="U50" s="128">
        <v>708</v>
      </c>
      <c r="V50" s="128">
        <v>-6071</v>
      </c>
      <c r="W50" s="128">
        <v>670205</v>
      </c>
      <c r="X50" s="128">
        <v>676276</v>
      </c>
      <c r="Y50" s="128">
        <v>35701</v>
      </c>
      <c r="Z50" s="128">
        <v>22823604</v>
      </c>
      <c r="AA50" s="128">
        <v>422451</v>
      </c>
      <c r="AB50" s="128">
        <v>184437</v>
      </c>
      <c r="AC50" s="128" t="s">
        <v>354</v>
      </c>
      <c r="AD50" s="188">
        <f t="shared" si="0"/>
        <v>8.7510537820517598E-2</v>
      </c>
      <c r="AE50" s="188">
        <v>0.46339552823389857</v>
      </c>
      <c r="AF50" s="188">
        <v>0.25063823755418119</v>
      </c>
      <c r="AG50" s="188">
        <v>7.0127796718914365E-2</v>
      </c>
      <c r="AH50" s="188">
        <v>0.44438265903716023</v>
      </c>
      <c r="AI50" s="188">
        <v>0.17555132216225158</v>
      </c>
      <c r="AJ50" s="188">
        <v>-9.0584224229899798E-3</v>
      </c>
      <c r="AK50" s="188">
        <v>-5.8494855689568805E-3</v>
      </c>
      <c r="AL50" s="188">
        <v>-2.9372397042812221E-2</v>
      </c>
      <c r="AM50" s="129">
        <f t="shared" si="1"/>
        <v>3</v>
      </c>
      <c r="AN50" s="188">
        <v>1.3317193992882774E-2</v>
      </c>
      <c r="AO50" s="188">
        <v>3.4054660887340438E-2</v>
      </c>
      <c r="AP50" s="188">
        <v>0.63033101812132108</v>
      </c>
      <c r="AQ50" s="128">
        <v>2231.5259953263171</v>
      </c>
      <c r="AR50" s="188">
        <v>3.6000000000000004E-2</v>
      </c>
      <c r="AS50" s="188">
        <v>0.17899999999999999</v>
      </c>
      <c r="AT50" s="256">
        <v>6.5</v>
      </c>
    </row>
    <row r="51" spans="1:46" x14ac:dyDescent="0.25">
      <c r="A51" t="s">
        <v>288</v>
      </c>
      <c r="B51">
        <v>458</v>
      </c>
      <c r="C51">
        <v>20542</v>
      </c>
      <c r="D51">
        <v>83241</v>
      </c>
      <c r="E51">
        <v>78</v>
      </c>
      <c r="F51">
        <v>1800</v>
      </c>
      <c r="G51">
        <v>252</v>
      </c>
      <c r="H51">
        <v>0</v>
      </c>
      <c r="I51">
        <v>13635</v>
      </c>
      <c r="J51">
        <v>0</v>
      </c>
      <c r="K51">
        <v>6584</v>
      </c>
      <c r="L51">
        <v>5352</v>
      </c>
      <c r="M51">
        <v>1622</v>
      </c>
      <c r="N51">
        <v>109854</v>
      </c>
      <c r="O51">
        <v>11331</v>
      </c>
      <c r="P51">
        <v>4660</v>
      </c>
      <c r="Q51">
        <v>16</v>
      </c>
      <c r="R51">
        <v>2331</v>
      </c>
      <c r="S51">
        <v>2920</v>
      </c>
      <c r="T51">
        <v>2453</v>
      </c>
      <c r="U51" s="128">
        <v>0</v>
      </c>
      <c r="V51" s="128">
        <v>-3404</v>
      </c>
      <c r="W51" s="128">
        <v>44889</v>
      </c>
      <c r="X51" s="128">
        <v>48293</v>
      </c>
      <c r="Y51" s="128">
        <v>8355</v>
      </c>
      <c r="Z51" s="128">
        <v>2311764</v>
      </c>
      <c r="AA51" s="128">
        <v>24451</v>
      </c>
      <c r="AB51" s="128">
        <v>17278</v>
      </c>
      <c r="AC51" s="128" t="s">
        <v>288</v>
      </c>
      <c r="AD51" s="188">
        <f t="shared" si="0"/>
        <v>-6.7299338367974332E-2</v>
      </c>
      <c r="AE51" s="188">
        <v>-7.1955267437456838E-2</v>
      </c>
      <c r="AF51" s="188">
        <v>4.5712758136737287E-2</v>
      </c>
      <c r="AG51" s="188">
        <v>0.30374924814542537</v>
      </c>
      <c r="AH51" s="188">
        <v>-0.27909421016284608</v>
      </c>
      <c r="AI51" s="188">
        <v>0.82247594804028001</v>
      </c>
      <c r="AJ51" s="188">
        <v>-7.5831495466595386E-2</v>
      </c>
      <c r="AK51" s="188">
        <v>-0.12020310516551118</v>
      </c>
      <c r="AL51" s="188">
        <v>-0.26774814917960499</v>
      </c>
      <c r="AM51" s="129">
        <f t="shared" si="1"/>
        <v>3</v>
      </c>
      <c r="AN51" s="188">
        <v>4.653144422909844E-2</v>
      </c>
      <c r="AO51" s="188">
        <v>5.1499565595134668E-2</v>
      </c>
      <c r="AP51" s="188">
        <v>0.5446991467842901</v>
      </c>
      <c r="AQ51" s="128">
        <v>1799.411911100822</v>
      </c>
      <c r="AR51" s="188">
        <v>3.7999999999999999E-2</v>
      </c>
      <c r="AS51" s="188">
        <v>0.191</v>
      </c>
      <c r="AT51" s="256">
        <v>7.5</v>
      </c>
    </row>
    <row r="52" spans="1:46" x14ac:dyDescent="0.25">
      <c r="A52" t="s">
        <v>171</v>
      </c>
      <c r="B52">
        <v>0</v>
      </c>
      <c r="C52">
        <v>5222</v>
      </c>
      <c r="D52">
        <v>56868</v>
      </c>
      <c r="E52">
        <v>7289</v>
      </c>
      <c r="F52">
        <v>191</v>
      </c>
      <c r="G52">
        <v>1822</v>
      </c>
      <c r="H52">
        <v>0</v>
      </c>
      <c r="I52">
        <v>1067</v>
      </c>
      <c r="J52">
        <v>0</v>
      </c>
      <c r="K52">
        <v>7418</v>
      </c>
      <c r="L52">
        <v>11264</v>
      </c>
      <c r="M52">
        <v>1897</v>
      </c>
      <c r="N52">
        <v>57658</v>
      </c>
      <c r="O52">
        <v>10124</v>
      </c>
      <c r="P52">
        <v>15926</v>
      </c>
      <c r="Q52">
        <v>9</v>
      </c>
      <c r="R52">
        <v>0</v>
      </c>
      <c r="S52">
        <v>7119</v>
      </c>
      <c r="T52">
        <v>2202</v>
      </c>
      <c r="U52" s="128">
        <v>-171</v>
      </c>
      <c r="V52" s="128">
        <v>-4098</v>
      </c>
      <c r="W52" s="128">
        <v>77405</v>
      </c>
      <c r="X52" s="128">
        <v>81503</v>
      </c>
      <c r="Y52" s="128">
        <v>-1045</v>
      </c>
      <c r="Z52" s="128">
        <v>2821682</v>
      </c>
      <c r="AA52" s="128">
        <v>55410</v>
      </c>
      <c r="AB52" s="128">
        <v>36028</v>
      </c>
      <c r="AC52" s="128" t="s">
        <v>171</v>
      </c>
      <c r="AD52" s="188">
        <f t="shared" si="0"/>
        <v>-0.14552031522511466</v>
      </c>
      <c r="AE52" s="188">
        <v>3.4416381370712484E-2</v>
      </c>
      <c r="AF52" s="188">
        <v>2.6006071959175765E-2</v>
      </c>
      <c r="AG52" s="188">
        <v>1.3784639235191526E-2</v>
      </c>
      <c r="AH52" s="188">
        <v>2.788786254117951E-2</v>
      </c>
      <c r="AI52" s="188">
        <v>0.61972527354414331</v>
      </c>
      <c r="AJ52" s="188">
        <v>-5.2942316387830243E-2</v>
      </c>
      <c r="AK52" s="188">
        <v>4.0336488461184025E-2</v>
      </c>
      <c r="AL52" s="188">
        <v>-2.9996946875636067E-2</v>
      </c>
      <c r="AM52" s="129">
        <f t="shared" si="1"/>
        <v>2</v>
      </c>
      <c r="AN52" s="188">
        <v>-3.3751049673793683E-3</v>
      </c>
      <c r="AO52" s="188">
        <v>3.6453484916995023E-2</v>
      </c>
      <c r="AP52" s="188">
        <v>0.71584522963632835</v>
      </c>
      <c r="AQ52" s="128">
        <v>1596.0985622293772</v>
      </c>
      <c r="AR52" s="188">
        <v>5.2000000000000005E-2</v>
      </c>
      <c r="AS52" s="188">
        <v>0.25800000000000001</v>
      </c>
      <c r="AT52" s="256">
        <v>6.5</v>
      </c>
    </row>
    <row r="53" spans="1:46" x14ac:dyDescent="0.25">
      <c r="A53" t="s">
        <v>172</v>
      </c>
      <c r="B53">
        <v>0</v>
      </c>
      <c r="C53">
        <v>1548</v>
      </c>
      <c r="D53">
        <v>52665</v>
      </c>
      <c r="E53">
        <v>42</v>
      </c>
      <c r="F53">
        <v>337</v>
      </c>
      <c r="G53">
        <v>4169</v>
      </c>
      <c r="H53">
        <v>1555</v>
      </c>
      <c r="I53">
        <v>12140</v>
      </c>
      <c r="J53">
        <v>9</v>
      </c>
      <c r="K53">
        <v>3815</v>
      </c>
      <c r="L53">
        <v>9</v>
      </c>
      <c r="M53">
        <v>5024</v>
      </c>
      <c r="N53">
        <v>3596</v>
      </c>
      <c r="O53">
        <v>4862</v>
      </c>
      <c r="P53">
        <v>62353</v>
      </c>
      <c r="Q53">
        <v>0</v>
      </c>
      <c r="R53">
        <v>2765</v>
      </c>
      <c r="S53">
        <v>1645</v>
      </c>
      <c r="T53">
        <v>6092</v>
      </c>
      <c r="U53" s="128">
        <v>-196</v>
      </c>
      <c r="V53" s="128">
        <v>-4381</v>
      </c>
      <c r="W53" s="128">
        <v>47214</v>
      </c>
      <c r="X53" s="128">
        <v>51595</v>
      </c>
      <c r="Y53" s="128">
        <v>8508</v>
      </c>
      <c r="Z53" s="128">
        <v>1987540.0000000005</v>
      </c>
      <c r="AA53" s="128">
        <v>34873</v>
      </c>
      <c r="AB53" s="128">
        <v>20770</v>
      </c>
      <c r="AC53" s="128" t="s">
        <v>172</v>
      </c>
      <c r="AD53" s="188">
        <f t="shared" si="0"/>
        <v>5.8372516626424363E-2</v>
      </c>
      <c r="AE53" s="188">
        <v>1.2273054602448425</v>
      </c>
      <c r="AF53" s="188">
        <v>9.5437793874698182E-2</v>
      </c>
      <c r="AG53" s="188">
        <v>0.25731774473673064</v>
      </c>
      <c r="AH53" s="188">
        <v>1.0586355741940947</v>
      </c>
      <c r="AI53" s="188">
        <v>4.4224170796797559E-2</v>
      </c>
      <c r="AJ53" s="188">
        <v>-9.2790274071250053E-2</v>
      </c>
      <c r="AK53" s="188">
        <v>2.0154675415983126E-3</v>
      </c>
      <c r="AL53" s="188">
        <v>-4.2859939839453215E-2</v>
      </c>
      <c r="AM53" s="129">
        <f t="shared" si="1"/>
        <v>2</v>
      </c>
      <c r="AN53" s="188">
        <v>4.5050196975473376E-2</v>
      </c>
      <c r="AO53" s="188">
        <v>4.2096412081162375E-2</v>
      </c>
      <c r="AP53" s="188">
        <v>0.73861566484517305</v>
      </c>
      <c r="AQ53" s="128">
        <v>1672.5613866153105</v>
      </c>
      <c r="AR53" s="188">
        <v>5.0999999999999997E-2</v>
      </c>
      <c r="AS53" s="188">
        <v>0.255</v>
      </c>
      <c r="AT53" s="256">
        <v>5</v>
      </c>
    </row>
    <row r="54" spans="1:46" x14ac:dyDescent="0.25">
      <c r="A54" t="s">
        <v>402</v>
      </c>
      <c r="B54">
        <v>678</v>
      </c>
      <c r="C54">
        <v>1650</v>
      </c>
      <c r="D54">
        <v>51615</v>
      </c>
      <c r="E54">
        <v>331</v>
      </c>
      <c r="F54">
        <v>0</v>
      </c>
      <c r="G54">
        <v>2124</v>
      </c>
      <c r="H54">
        <v>2513</v>
      </c>
      <c r="I54">
        <v>4873</v>
      </c>
      <c r="J54">
        <v>0</v>
      </c>
      <c r="K54">
        <v>11986</v>
      </c>
      <c r="L54">
        <v>779</v>
      </c>
      <c r="M54">
        <v>1755</v>
      </c>
      <c r="N54">
        <v>55335</v>
      </c>
      <c r="O54">
        <v>4369</v>
      </c>
      <c r="P54">
        <v>7233</v>
      </c>
      <c r="Q54">
        <v>6105</v>
      </c>
      <c r="R54">
        <v>1</v>
      </c>
      <c r="S54">
        <v>3145</v>
      </c>
      <c r="T54">
        <v>2114</v>
      </c>
      <c r="U54" s="128">
        <v>369</v>
      </c>
      <c r="V54" s="128">
        <v>-7202</v>
      </c>
      <c r="W54" s="128">
        <v>91758</v>
      </c>
      <c r="X54" s="128">
        <v>98960</v>
      </c>
      <c r="Y54" s="128">
        <v>1731</v>
      </c>
      <c r="Z54" s="128">
        <v>-657680</v>
      </c>
      <c r="AA54" s="128">
        <v>70587</v>
      </c>
      <c r="AB54" s="128">
        <v>27853</v>
      </c>
      <c r="AC54" s="128" t="s">
        <v>402</v>
      </c>
      <c r="AD54" s="188">
        <f t="shared" si="0"/>
        <v>-8.4788247346280435E-3</v>
      </c>
      <c r="AE54" s="188">
        <v>-6.0921118594563966E-3</v>
      </c>
      <c r="AF54" s="188">
        <v>2.314784541947296E-2</v>
      </c>
      <c r="AG54" s="188">
        <v>5.3107086030645831E-2</v>
      </c>
      <c r="AH54" s="188">
        <v>-4.0489330630571724E-2</v>
      </c>
      <c r="AI54" s="188">
        <v>0.70668693009118544</v>
      </c>
      <c r="AJ54" s="188">
        <v>-7.8489069072996354E-2</v>
      </c>
      <c r="AK54" s="188">
        <v>-5.3460413961981361E-2</v>
      </c>
      <c r="AL54" s="188">
        <v>4.8043040211230561E-3</v>
      </c>
      <c r="AM54" s="129">
        <f t="shared" si="1"/>
        <v>2</v>
      </c>
      <c r="AN54" s="188">
        <v>4.7162100307330153E-3</v>
      </c>
      <c r="AO54" s="188">
        <v>-7.16754942348351E-3</v>
      </c>
      <c r="AP54" s="188">
        <v>0.76927352383443404</v>
      </c>
      <c r="AQ54" s="128">
        <v>2261.1173661724051</v>
      </c>
      <c r="AR54" s="188">
        <v>5.5999999999999994E-2</v>
      </c>
      <c r="AS54" s="188">
        <v>0.28100000000000003</v>
      </c>
      <c r="AT54" s="256">
        <v>4</v>
      </c>
    </row>
    <row r="55" spans="1:46" x14ac:dyDescent="0.25">
      <c r="A55" t="s">
        <v>216</v>
      </c>
      <c r="B55">
        <v>362</v>
      </c>
      <c r="C55">
        <v>4515</v>
      </c>
      <c r="D55">
        <v>30683</v>
      </c>
      <c r="E55">
        <v>0</v>
      </c>
      <c r="F55">
        <v>0</v>
      </c>
      <c r="G55">
        <v>0</v>
      </c>
      <c r="H55">
        <v>61</v>
      </c>
      <c r="I55">
        <v>-965</v>
      </c>
      <c r="J55">
        <v>5</v>
      </c>
      <c r="K55">
        <v>1042</v>
      </c>
      <c r="L55">
        <v>9098</v>
      </c>
      <c r="M55">
        <v>3914</v>
      </c>
      <c r="N55">
        <v>29990</v>
      </c>
      <c r="O55">
        <v>4705</v>
      </c>
      <c r="P55">
        <v>10000</v>
      </c>
      <c r="Q55">
        <v>3</v>
      </c>
      <c r="R55">
        <v>0</v>
      </c>
      <c r="S55">
        <v>1755</v>
      </c>
      <c r="T55">
        <v>2262</v>
      </c>
      <c r="U55" s="128">
        <v>-3</v>
      </c>
      <c r="V55" s="128">
        <v>-184</v>
      </c>
      <c r="W55" s="128">
        <v>44556</v>
      </c>
      <c r="X55" s="128">
        <v>44740</v>
      </c>
      <c r="Y55" s="128">
        <v>828</v>
      </c>
      <c r="Z55" s="128">
        <v>290861</v>
      </c>
      <c r="AA55" s="128">
        <v>18290</v>
      </c>
      <c r="AB55" s="128">
        <v>15183</v>
      </c>
      <c r="AC55" s="128" t="s">
        <v>216</v>
      </c>
      <c r="AD55" s="188">
        <f t="shared" si="0"/>
        <v>-0.20419247688302361</v>
      </c>
      <c r="AE55" s="188">
        <v>-2.1321483077475535E-3</v>
      </c>
      <c r="AF55" s="188">
        <v>0</v>
      </c>
      <c r="AG55" s="188">
        <v>-2.1545919741448961E-2</v>
      </c>
      <c r="AH55" s="188">
        <v>1.2949995511266719E-2</v>
      </c>
      <c r="AI55" s="188">
        <v>0.6156214718259263</v>
      </c>
      <c r="AJ55" s="188">
        <v>-4.1296346171110516E-3</v>
      </c>
      <c r="AK55" s="188">
        <v>-3.0805421754228745E-2</v>
      </c>
      <c r="AL55" s="188">
        <v>-5.1182970646057896E-2</v>
      </c>
      <c r="AM55" s="129">
        <f t="shared" si="1"/>
        <v>3</v>
      </c>
      <c r="AN55" s="188">
        <v>4.6458389442499328E-3</v>
      </c>
      <c r="AO55" s="188">
        <v>6.5279872519974861E-3</v>
      </c>
      <c r="AP55" s="188">
        <v>0.41049465840739741</v>
      </c>
      <c r="AQ55" s="128">
        <v>1527.7288414674304</v>
      </c>
      <c r="AR55" s="188">
        <v>2.4E-2</v>
      </c>
      <c r="AS55" s="188">
        <v>0.11800000000000001</v>
      </c>
      <c r="AT55" s="256">
        <v>7.5</v>
      </c>
    </row>
    <row r="56" spans="1:46" x14ac:dyDescent="0.25">
      <c r="A56" t="s">
        <v>217</v>
      </c>
      <c r="B56">
        <v>153</v>
      </c>
      <c r="C56">
        <v>2573</v>
      </c>
      <c r="D56">
        <v>30875</v>
      </c>
      <c r="E56">
        <v>356</v>
      </c>
      <c r="F56">
        <v>32</v>
      </c>
      <c r="G56">
        <v>3002</v>
      </c>
      <c r="H56">
        <v>0</v>
      </c>
      <c r="I56">
        <v>11696</v>
      </c>
      <c r="J56">
        <v>0</v>
      </c>
      <c r="K56">
        <v>9865</v>
      </c>
      <c r="L56">
        <v>66</v>
      </c>
      <c r="M56">
        <v>1843</v>
      </c>
      <c r="N56">
        <v>16043</v>
      </c>
      <c r="O56">
        <v>5486</v>
      </c>
      <c r="P56">
        <v>30715</v>
      </c>
      <c r="Q56">
        <v>0</v>
      </c>
      <c r="R56">
        <v>0</v>
      </c>
      <c r="S56">
        <v>3748</v>
      </c>
      <c r="T56">
        <v>4469</v>
      </c>
      <c r="U56" s="128">
        <v>0</v>
      </c>
      <c r="V56" s="128">
        <v>924</v>
      </c>
      <c r="W56" s="128">
        <v>51407</v>
      </c>
      <c r="X56" s="128">
        <v>50483</v>
      </c>
      <c r="Y56" s="128">
        <v>10920</v>
      </c>
      <c r="Z56" s="128">
        <v>2555948</v>
      </c>
      <c r="AA56" s="128">
        <v>26866</v>
      </c>
      <c r="AB56" s="128">
        <v>21873</v>
      </c>
      <c r="AC56" s="128" t="s">
        <v>217</v>
      </c>
      <c r="AD56" s="188">
        <f t="shared" si="0"/>
        <v>-1.2838718462466201E-3</v>
      </c>
      <c r="AE56" s="188">
        <v>0.46927461240687068</v>
      </c>
      <c r="AF56" s="188">
        <v>5.9019199719882509E-2</v>
      </c>
      <c r="AG56" s="188">
        <v>0.22751765323788589</v>
      </c>
      <c r="AH56" s="188">
        <v>0.31709455910673651</v>
      </c>
      <c r="AI56" s="188">
        <v>0.26534460230561852</v>
      </c>
      <c r="AJ56" s="188">
        <v>1.7974205847452681E-2</v>
      </c>
      <c r="AK56" s="188">
        <v>6.1004969630038652E-2</v>
      </c>
      <c r="AL56" s="188">
        <v>3.6574452355939459E-2</v>
      </c>
      <c r="AM56" s="129">
        <f t="shared" si="1"/>
        <v>0</v>
      </c>
      <c r="AN56" s="188">
        <v>5.3105608185655649E-2</v>
      </c>
      <c r="AO56" s="188">
        <v>4.9719843601066002E-2</v>
      </c>
      <c r="AP56" s="188">
        <v>0.52261365183729847</v>
      </c>
      <c r="AQ56" s="128">
        <v>1660.6460019201756</v>
      </c>
      <c r="AR56" s="188">
        <v>4.2000000000000003E-2</v>
      </c>
      <c r="AS56" s="188">
        <v>0.21</v>
      </c>
      <c r="AT56" s="256">
        <v>8.5</v>
      </c>
    </row>
    <row r="57" spans="1:46" x14ac:dyDescent="0.25">
      <c r="A57" t="s">
        <v>173</v>
      </c>
      <c r="B57">
        <v>0</v>
      </c>
      <c r="C57">
        <v>3276</v>
      </c>
      <c r="D57">
        <v>23067</v>
      </c>
      <c r="E57">
        <v>96</v>
      </c>
      <c r="F57">
        <v>0</v>
      </c>
      <c r="G57">
        <v>338</v>
      </c>
      <c r="H57">
        <v>184</v>
      </c>
      <c r="I57">
        <v>11310</v>
      </c>
      <c r="J57">
        <v>2024</v>
      </c>
      <c r="K57">
        <v>8163</v>
      </c>
      <c r="L57">
        <v>0</v>
      </c>
      <c r="M57">
        <v>90</v>
      </c>
      <c r="N57">
        <v>16302</v>
      </c>
      <c r="O57">
        <v>15044</v>
      </c>
      <c r="P57">
        <v>6100</v>
      </c>
      <c r="Q57">
        <v>71</v>
      </c>
      <c r="R57">
        <v>4010</v>
      </c>
      <c r="S57">
        <v>3771</v>
      </c>
      <c r="T57">
        <v>3246</v>
      </c>
      <c r="U57" s="128">
        <v>4</v>
      </c>
      <c r="V57" s="128">
        <v>3939</v>
      </c>
      <c r="W57" s="128">
        <v>76311</v>
      </c>
      <c r="X57" s="128">
        <v>72372</v>
      </c>
      <c r="Y57" s="128">
        <v>-1046</v>
      </c>
      <c r="Z57" s="128">
        <v>1838784</v>
      </c>
      <c r="AA57" s="128">
        <v>36802</v>
      </c>
      <c r="AB57" s="128">
        <v>26715</v>
      </c>
      <c r="AC57" s="128" t="s">
        <v>173</v>
      </c>
      <c r="AD57" s="188">
        <f t="shared" si="0"/>
        <v>5.2548125434078968E-2</v>
      </c>
      <c r="AE57" s="188">
        <v>0.11037727195292946</v>
      </c>
      <c r="AF57" s="188">
        <v>4.4292434904535391E-3</v>
      </c>
      <c r="AG57" s="188">
        <v>0.17473234527132392</v>
      </c>
      <c r="AH57" s="188">
        <v>-1.1403860518142864E-2</v>
      </c>
      <c r="AI57" s="188">
        <v>0.33581905075807517</v>
      </c>
      <c r="AJ57" s="188">
        <v>5.1617722215670084E-2</v>
      </c>
      <c r="AK57" s="188">
        <v>-0.18536639608584454</v>
      </c>
      <c r="AL57" s="188">
        <v>-4.3051620482343997E-2</v>
      </c>
      <c r="AM57" s="129">
        <f t="shared" si="1"/>
        <v>2</v>
      </c>
      <c r="AN57" s="188">
        <v>-3.4267667832946756E-3</v>
      </c>
      <c r="AO57" s="188">
        <v>2.409592326139089E-2</v>
      </c>
      <c r="AP57" s="188">
        <v>0.4822633696321631</v>
      </c>
      <c r="AQ57" s="128">
        <v>2197.1635410817894</v>
      </c>
      <c r="AR57" s="188">
        <v>2.7000000000000003E-2</v>
      </c>
      <c r="AS57" s="188">
        <v>0.13699999999999998</v>
      </c>
      <c r="AT57" s="256">
        <v>7</v>
      </c>
    </row>
    <row r="58" spans="1:46" x14ac:dyDescent="0.25">
      <c r="A58" t="s">
        <v>289</v>
      </c>
      <c r="B58">
        <v>0</v>
      </c>
      <c r="C58">
        <v>16442</v>
      </c>
      <c r="D58">
        <v>169583</v>
      </c>
      <c r="E58">
        <v>12233</v>
      </c>
      <c r="F58">
        <v>0</v>
      </c>
      <c r="G58">
        <v>512</v>
      </c>
      <c r="H58">
        <v>0</v>
      </c>
      <c r="I58">
        <v>5207</v>
      </c>
      <c r="J58">
        <v>0</v>
      </c>
      <c r="K58">
        <v>26901</v>
      </c>
      <c r="L58">
        <v>19810</v>
      </c>
      <c r="M58">
        <v>352</v>
      </c>
      <c r="N58">
        <v>84367</v>
      </c>
      <c r="O58">
        <v>30964</v>
      </c>
      <c r="P58">
        <v>92521</v>
      </c>
      <c r="Q58">
        <v>4167</v>
      </c>
      <c r="R58">
        <v>18000</v>
      </c>
      <c r="S58">
        <v>15669</v>
      </c>
      <c r="T58">
        <v>5353</v>
      </c>
      <c r="U58" s="128">
        <v>-3</v>
      </c>
      <c r="V58" s="128">
        <v>811</v>
      </c>
      <c r="W58" s="128">
        <v>203906</v>
      </c>
      <c r="X58" s="128">
        <v>203095</v>
      </c>
      <c r="Y58" s="128">
        <v>52899</v>
      </c>
      <c r="Z58" s="128">
        <v>3660093</v>
      </c>
      <c r="AA58" s="128">
        <v>147827</v>
      </c>
      <c r="AB58" s="128">
        <v>67113</v>
      </c>
      <c r="AC58" s="128" t="s">
        <v>289</v>
      </c>
      <c r="AD58" s="188">
        <f t="shared" si="0"/>
        <v>-8.8766392357262653E-3</v>
      </c>
      <c r="AE58" s="188">
        <v>0.43223348013300245</v>
      </c>
      <c r="AF58" s="188">
        <v>2.5109609329789216E-3</v>
      </c>
      <c r="AG58" s="188">
        <v>2.5536276519572743E-2</v>
      </c>
      <c r="AH58" s="188">
        <v>0.41465940188125899</v>
      </c>
      <c r="AI58" s="188">
        <v>0.33606861030668295</v>
      </c>
      <c r="AJ58" s="188">
        <v>3.9773228840740337E-3</v>
      </c>
      <c r="AK58" s="188">
        <v>-5.0319887000955504E-3</v>
      </c>
      <c r="AL58" s="188">
        <v>-1.4875549338809361E-2</v>
      </c>
      <c r="AM58" s="129">
        <f t="shared" si="1"/>
        <v>2</v>
      </c>
      <c r="AN58" s="188">
        <v>6.4857091012525375E-2</v>
      </c>
      <c r="AO58" s="188">
        <v>1.7949903386854725E-2</v>
      </c>
      <c r="AP58" s="188">
        <v>0.72497621453022476</v>
      </c>
      <c r="AQ58" s="128">
        <v>1941.0257476196862</v>
      </c>
      <c r="AR58" s="188">
        <v>3.1E-2</v>
      </c>
      <c r="AS58" s="188">
        <v>0.153</v>
      </c>
      <c r="AT58" s="256">
        <v>7</v>
      </c>
    </row>
    <row r="59" spans="1:46" x14ac:dyDescent="0.25">
      <c r="A59" t="s">
        <v>246</v>
      </c>
      <c r="B59">
        <v>1029</v>
      </c>
      <c r="C59">
        <v>3130</v>
      </c>
      <c r="D59">
        <v>55244</v>
      </c>
      <c r="E59">
        <v>206</v>
      </c>
      <c r="F59">
        <v>0</v>
      </c>
      <c r="G59">
        <v>3190</v>
      </c>
      <c r="H59">
        <v>0</v>
      </c>
      <c r="I59">
        <v>4033</v>
      </c>
      <c r="J59">
        <v>0</v>
      </c>
      <c r="K59">
        <v>11197</v>
      </c>
      <c r="L59">
        <v>1647</v>
      </c>
      <c r="M59">
        <v>2960</v>
      </c>
      <c r="N59">
        <v>19407</v>
      </c>
      <c r="O59">
        <v>11717</v>
      </c>
      <c r="P59">
        <v>37349</v>
      </c>
      <c r="Q59">
        <v>21</v>
      </c>
      <c r="R59">
        <v>8000</v>
      </c>
      <c r="S59">
        <v>2108</v>
      </c>
      <c r="T59">
        <v>4034</v>
      </c>
      <c r="U59" s="128">
        <v>0</v>
      </c>
      <c r="V59" s="128">
        <v>-3082</v>
      </c>
      <c r="W59" s="128">
        <v>71862</v>
      </c>
      <c r="X59" s="128">
        <v>74944</v>
      </c>
      <c r="Y59" s="128">
        <v>-4593</v>
      </c>
      <c r="Z59" s="128">
        <v>4633486</v>
      </c>
      <c r="AA59" s="128">
        <v>45759</v>
      </c>
      <c r="AB59" s="128">
        <v>35966</v>
      </c>
      <c r="AC59" s="128" t="s">
        <v>246</v>
      </c>
      <c r="AD59" s="188">
        <f t="shared" si="0"/>
        <v>8.8405555091703544E-2</v>
      </c>
      <c r="AE59" s="188">
        <v>0.4525061924243689</v>
      </c>
      <c r="AF59" s="188">
        <v>4.4390637610976592E-2</v>
      </c>
      <c r="AG59" s="188">
        <v>5.612145501099329E-2</v>
      </c>
      <c r="AH59" s="188">
        <v>0.41854805042999083</v>
      </c>
      <c r="AI59" s="188">
        <v>0.23484921825838617</v>
      </c>
      <c r="AJ59" s="188">
        <v>-4.2887757089978017E-2</v>
      </c>
      <c r="AK59" s="188">
        <v>4.8317542258176213E-3</v>
      </c>
      <c r="AL59" s="188">
        <v>-1.8257456394947066E-2</v>
      </c>
      <c r="AM59" s="129">
        <f t="shared" si="1"/>
        <v>2</v>
      </c>
      <c r="AN59" s="188">
        <v>-1.5978542205894633E-2</v>
      </c>
      <c r="AO59" s="188">
        <v>6.4477554201107679E-2</v>
      </c>
      <c r="AP59" s="188">
        <v>0.63676212741087079</v>
      </c>
      <c r="AQ59" s="128">
        <v>1385.4155313351498</v>
      </c>
      <c r="AR59" s="188">
        <v>4.7E-2</v>
      </c>
      <c r="AS59" s="188">
        <v>0.23300000000000001</v>
      </c>
      <c r="AT59" s="256">
        <v>6</v>
      </c>
    </row>
    <row r="60" spans="1:46" x14ac:dyDescent="0.25">
      <c r="A60" t="s">
        <v>109</v>
      </c>
      <c r="B60">
        <v>0</v>
      </c>
      <c r="C60">
        <v>9930</v>
      </c>
      <c r="D60">
        <v>84773</v>
      </c>
      <c r="E60">
        <v>1983</v>
      </c>
      <c r="F60">
        <v>0</v>
      </c>
      <c r="G60">
        <v>5213</v>
      </c>
      <c r="H60">
        <v>0</v>
      </c>
      <c r="I60">
        <v>13365</v>
      </c>
      <c r="J60">
        <v>0</v>
      </c>
      <c r="K60">
        <v>9115</v>
      </c>
      <c r="L60">
        <v>0</v>
      </c>
      <c r="M60">
        <v>2158</v>
      </c>
      <c r="N60">
        <v>39606</v>
      </c>
      <c r="O60">
        <v>4238</v>
      </c>
      <c r="P60">
        <v>67829</v>
      </c>
      <c r="Q60">
        <v>14</v>
      </c>
      <c r="R60">
        <v>4073</v>
      </c>
      <c r="S60">
        <v>4170</v>
      </c>
      <c r="T60">
        <v>6605</v>
      </c>
      <c r="U60" s="128">
        <v>-102</v>
      </c>
      <c r="V60" s="128">
        <v>539</v>
      </c>
      <c r="W60" s="128">
        <v>105937</v>
      </c>
      <c r="X60" s="128">
        <v>105398</v>
      </c>
      <c r="Y60" s="128">
        <v>1648</v>
      </c>
      <c r="Z60" s="128">
        <v>459627.00000000186</v>
      </c>
      <c r="AA60" s="128">
        <v>71398</v>
      </c>
      <c r="AB60" s="128">
        <v>35356</v>
      </c>
      <c r="AC60" s="128" t="s">
        <v>109</v>
      </c>
      <c r="AD60" s="188">
        <f t="shared" si="0"/>
        <v>3.8447379102674234E-2</v>
      </c>
      <c r="AE60" s="188">
        <v>0.6249469024042591</v>
      </c>
      <c r="AF60" s="188">
        <v>4.9208491839489506E-2</v>
      </c>
      <c r="AG60" s="188">
        <v>0.12615988748029489</v>
      </c>
      <c r="AH60" s="188">
        <v>0.54254000018879134</v>
      </c>
      <c r="AI60" s="188">
        <v>0.31300430710870508</v>
      </c>
      <c r="AJ60" s="188">
        <v>5.0879296185468723E-3</v>
      </c>
      <c r="AK60" s="188">
        <v>4.1426886370947567E-2</v>
      </c>
      <c r="AL60" s="188">
        <v>5.9279440086429614E-3</v>
      </c>
      <c r="AM60" s="129">
        <f t="shared" si="1"/>
        <v>0</v>
      </c>
      <c r="AN60" s="188">
        <v>3.8891039013753455E-3</v>
      </c>
      <c r="AO60" s="188">
        <v>4.3386824244598379E-3</v>
      </c>
      <c r="AP60" s="188">
        <v>0.67396660279222553</v>
      </c>
      <c r="AQ60" s="128">
        <v>1791.5802975449712</v>
      </c>
      <c r="AR60" s="188">
        <v>0.02</v>
      </c>
      <c r="AS60" s="188">
        <v>0.1</v>
      </c>
      <c r="AT60" s="256">
        <v>9.5</v>
      </c>
    </row>
    <row r="61" spans="1:46" x14ac:dyDescent="0.25">
      <c r="A61" t="s">
        <v>355</v>
      </c>
      <c r="B61">
        <v>712</v>
      </c>
      <c r="C61">
        <v>3942</v>
      </c>
      <c r="D61">
        <v>49584</v>
      </c>
      <c r="E61">
        <v>39</v>
      </c>
      <c r="F61">
        <v>1832</v>
      </c>
      <c r="G61">
        <v>0</v>
      </c>
      <c r="H61">
        <v>0</v>
      </c>
      <c r="I61">
        <v>1148</v>
      </c>
      <c r="J61">
        <v>-795</v>
      </c>
      <c r="K61">
        <v>4582</v>
      </c>
      <c r="L61">
        <v>1034</v>
      </c>
      <c r="M61">
        <v>3292</v>
      </c>
      <c r="N61">
        <v>18363</v>
      </c>
      <c r="O61">
        <v>3482</v>
      </c>
      <c r="P61">
        <v>26412</v>
      </c>
      <c r="Q61">
        <v>15</v>
      </c>
      <c r="R61">
        <v>6318</v>
      </c>
      <c r="S61">
        <v>4759</v>
      </c>
      <c r="T61">
        <v>6016</v>
      </c>
      <c r="U61" s="128">
        <v>1</v>
      </c>
      <c r="V61" s="128">
        <v>-577</v>
      </c>
      <c r="W61" s="128">
        <v>68170</v>
      </c>
      <c r="X61" s="128">
        <v>68747</v>
      </c>
      <c r="Y61" s="128">
        <v>5291</v>
      </c>
      <c r="Z61" s="128">
        <v>1021302</v>
      </c>
      <c r="AA61" s="128">
        <v>34465</v>
      </c>
      <c r="AB61" s="128">
        <v>21119</v>
      </c>
      <c r="AC61" s="128" t="s">
        <v>355</v>
      </c>
      <c r="AD61" s="188">
        <f t="shared" si="0"/>
        <v>7.7512102097696933E-2</v>
      </c>
      <c r="AE61" s="188">
        <v>0.48085668182484964</v>
      </c>
      <c r="AF61" s="188">
        <v>2.6873991491858588E-2</v>
      </c>
      <c r="AG61" s="188">
        <v>5.1782308933548482E-3</v>
      </c>
      <c r="AH61" s="188">
        <v>0.48045679917852424</v>
      </c>
      <c r="AI61" s="188">
        <v>0.28093016140136157</v>
      </c>
      <c r="AJ61" s="188">
        <v>-8.4641337831890869E-3</v>
      </c>
      <c r="AK61" s="188">
        <v>-3.1714708577066743E-2</v>
      </c>
      <c r="AL61" s="188">
        <v>-3.5925995524198368E-2</v>
      </c>
      <c r="AM61" s="129">
        <f t="shared" si="1"/>
        <v>3</v>
      </c>
      <c r="AN61" s="188">
        <v>1.9403696640751065E-2</v>
      </c>
      <c r="AO61" s="188">
        <v>1.4981692826756638E-2</v>
      </c>
      <c r="AP61" s="188">
        <v>0.50557429954525446</v>
      </c>
      <c r="AQ61" s="128">
        <v>2416.9302997301011</v>
      </c>
      <c r="AR61" s="188">
        <v>3.6000000000000004E-2</v>
      </c>
      <c r="AS61" s="188">
        <v>0.18100000000000002</v>
      </c>
      <c r="AT61" s="256">
        <v>5.5</v>
      </c>
    </row>
    <row r="62" spans="1:46" x14ac:dyDescent="0.25">
      <c r="A62" t="s">
        <v>174</v>
      </c>
      <c r="B62">
        <v>78</v>
      </c>
      <c r="C62">
        <v>10232</v>
      </c>
      <c r="D62">
        <v>75313</v>
      </c>
      <c r="E62">
        <v>627</v>
      </c>
      <c r="F62">
        <v>11644</v>
      </c>
      <c r="G62">
        <v>15364</v>
      </c>
      <c r="H62">
        <v>0</v>
      </c>
      <c r="I62">
        <v>1843</v>
      </c>
      <c r="J62">
        <v>0</v>
      </c>
      <c r="K62">
        <v>13094</v>
      </c>
      <c r="L62">
        <v>585</v>
      </c>
      <c r="M62">
        <v>780</v>
      </c>
      <c r="N62">
        <v>40222</v>
      </c>
      <c r="O62">
        <v>8958</v>
      </c>
      <c r="P62">
        <v>60354</v>
      </c>
      <c r="Q62">
        <v>0</v>
      </c>
      <c r="R62">
        <v>12239</v>
      </c>
      <c r="S62">
        <v>6788</v>
      </c>
      <c r="T62">
        <v>999</v>
      </c>
      <c r="U62" s="128">
        <v>1</v>
      </c>
      <c r="V62" s="128">
        <v>-2304</v>
      </c>
      <c r="W62" s="128">
        <v>76865</v>
      </c>
      <c r="X62" s="128">
        <v>79169</v>
      </c>
      <c r="Y62" s="128">
        <v>-5867</v>
      </c>
      <c r="Z62" s="128">
        <v>732544</v>
      </c>
      <c r="AA62" s="128">
        <v>53791</v>
      </c>
      <c r="AB62" s="128">
        <v>28920</v>
      </c>
      <c r="AC62" s="128" t="s">
        <v>174</v>
      </c>
      <c r="AD62" s="188">
        <f t="shared" si="0"/>
        <v>0.15161647043517856</v>
      </c>
      <c r="AE62" s="188">
        <v>0.50625121967085152</v>
      </c>
      <c r="AF62" s="188">
        <v>0.35136928380927601</v>
      </c>
      <c r="AG62" s="188">
        <v>2.3977102712547972E-2</v>
      </c>
      <c r="AH62" s="188">
        <v>0.53163156182918103</v>
      </c>
      <c r="AI62" s="188">
        <v>0.31045075640629827</v>
      </c>
      <c r="AJ62" s="188">
        <v>-2.9974630846288947E-2</v>
      </c>
      <c r="AK62" s="188">
        <v>6.8160134335763081E-2</v>
      </c>
      <c r="AL62" s="188">
        <v>1.9873919542470916E-2</v>
      </c>
      <c r="AM62" s="129">
        <f t="shared" si="1"/>
        <v>1</v>
      </c>
      <c r="AN62" s="188">
        <v>-1.9082157028556559E-2</v>
      </c>
      <c r="AO62" s="188">
        <v>9.5302673518506478E-3</v>
      </c>
      <c r="AP62" s="188">
        <v>0.69981135757496915</v>
      </c>
      <c r="AQ62" s="128">
        <v>1751.3381051175656</v>
      </c>
      <c r="AR62" s="188">
        <v>4.0999999999999995E-2</v>
      </c>
      <c r="AS62" s="188">
        <v>0.20699999999999999</v>
      </c>
      <c r="AT62" s="256">
        <v>6.5</v>
      </c>
    </row>
    <row r="63" spans="1:46" x14ac:dyDescent="0.25">
      <c r="A63" t="s">
        <v>143</v>
      </c>
      <c r="B63">
        <v>495</v>
      </c>
      <c r="C63">
        <v>14989</v>
      </c>
      <c r="D63">
        <v>37707</v>
      </c>
      <c r="E63">
        <v>142</v>
      </c>
      <c r="F63">
        <v>933</v>
      </c>
      <c r="G63">
        <v>4261</v>
      </c>
      <c r="H63">
        <v>0</v>
      </c>
      <c r="I63">
        <v>13652</v>
      </c>
      <c r="J63">
        <v>0</v>
      </c>
      <c r="K63">
        <v>5822</v>
      </c>
      <c r="L63">
        <v>136</v>
      </c>
      <c r="M63">
        <v>6770</v>
      </c>
      <c r="N63">
        <v>44251</v>
      </c>
      <c r="O63">
        <v>10717</v>
      </c>
      <c r="P63">
        <v>17732</v>
      </c>
      <c r="Q63">
        <v>0</v>
      </c>
      <c r="R63">
        <v>5000</v>
      </c>
      <c r="S63">
        <v>4641</v>
      </c>
      <c r="T63">
        <v>2566</v>
      </c>
      <c r="U63" s="128">
        <v>528</v>
      </c>
      <c r="V63" s="128">
        <v>-2443</v>
      </c>
      <c r="W63" s="128">
        <v>73887</v>
      </c>
      <c r="X63" s="128">
        <v>76330</v>
      </c>
      <c r="Y63" s="128">
        <v>21163</v>
      </c>
      <c r="Z63" s="128">
        <v>2878165</v>
      </c>
      <c r="AA63" s="128">
        <v>40210</v>
      </c>
      <c r="AB63" s="128">
        <v>28592</v>
      </c>
      <c r="AC63" s="128" t="s">
        <v>143</v>
      </c>
      <c r="AD63" s="188">
        <f t="shared" si="0"/>
        <v>6.5830254307252964E-2</v>
      </c>
      <c r="AE63" s="188">
        <v>0.16264024794618809</v>
      </c>
      <c r="AF63" s="188">
        <v>7.0296533896355248E-2</v>
      </c>
      <c r="AG63" s="188">
        <v>0.18476863318310394</v>
      </c>
      <c r="AH63" s="188">
        <v>4.1737788785577962E-2</v>
      </c>
      <c r="AI63" s="188">
        <v>0.52117022153650461</v>
      </c>
      <c r="AJ63" s="188">
        <v>-3.3064003139929896E-2</v>
      </c>
      <c r="AK63" s="188">
        <v>3.3043372282567297E-2</v>
      </c>
      <c r="AL63" s="188">
        <v>-6.3611668068042165E-2</v>
      </c>
      <c r="AM63" s="129">
        <f t="shared" si="1"/>
        <v>2</v>
      </c>
      <c r="AN63" s="188">
        <v>7.16059658667966E-2</v>
      </c>
      <c r="AO63" s="188">
        <v>3.8953604828995625E-2</v>
      </c>
      <c r="AP63" s="188">
        <v>0.54420940084182601</v>
      </c>
      <c r="AQ63" s="128">
        <v>1810.4699566312252</v>
      </c>
      <c r="AR63" s="188">
        <v>5.0999999999999997E-2</v>
      </c>
      <c r="AS63" s="188">
        <v>0.253</v>
      </c>
      <c r="AT63" s="256">
        <v>5.5</v>
      </c>
    </row>
    <row r="64" spans="1:46" x14ac:dyDescent="0.25">
      <c r="A64" t="s">
        <v>129</v>
      </c>
      <c r="B64">
        <v>1300</v>
      </c>
      <c r="C64">
        <v>5917</v>
      </c>
      <c r="D64">
        <v>28342</v>
      </c>
      <c r="E64">
        <v>100</v>
      </c>
      <c r="F64">
        <v>0</v>
      </c>
      <c r="G64">
        <v>1248</v>
      </c>
      <c r="H64">
        <v>28</v>
      </c>
      <c r="I64">
        <v>2219</v>
      </c>
      <c r="J64">
        <v>0</v>
      </c>
      <c r="K64">
        <v>9332</v>
      </c>
      <c r="L64">
        <v>0</v>
      </c>
      <c r="M64">
        <v>501</v>
      </c>
      <c r="N64">
        <v>6502</v>
      </c>
      <c r="O64">
        <v>7211</v>
      </c>
      <c r="P64">
        <v>27949</v>
      </c>
      <c r="Q64">
        <v>21</v>
      </c>
      <c r="R64">
        <v>546</v>
      </c>
      <c r="S64">
        <v>3613</v>
      </c>
      <c r="T64">
        <v>3144</v>
      </c>
      <c r="U64" s="128">
        <v>2</v>
      </c>
      <c r="V64" s="128">
        <v>-4119</v>
      </c>
      <c r="W64" s="128">
        <v>52438</v>
      </c>
      <c r="X64" s="128">
        <v>56557</v>
      </c>
      <c r="Y64" s="128">
        <v>-3732</v>
      </c>
      <c r="Z64" s="128">
        <v>708258</v>
      </c>
      <c r="AA64" s="128">
        <v>42170</v>
      </c>
      <c r="AB64" s="128">
        <v>18945</v>
      </c>
      <c r="AC64" s="128" t="s">
        <v>129</v>
      </c>
      <c r="AD64" s="188">
        <f t="shared" si="0"/>
        <v>1.0412296426255768E-2</v>
      </c>
      <c r="AE64" s="188">
        <v>0.46081086235172969</v>
      </c>
      <c r="AF64" s="188">
        <v>2.3799534688584614E-2</v>
      </c>
      <c r="AG64" s="188">
        <v>4.2316640604142038E-2</v>
      </c>
      <c r="AH64" s="188">
        <v>0.43404515809146038</v>
      </c>
      <c r="AI64" s="188">
        <v>0.13273180092271261</v>
      </c>
      <c r="AJ64" s="188">
        <v>-7.8549906556314122E-2</v>
      </c>
      <c r="AK64" s="188">
        <v>-3.5888556587439002E-2</v>
      </c>
      <c r="AL64" s="188">
        <v>-0.10241387391610031</v>
      </c>
      <c r="AM64" s="129">
        <f t="shared" si="1"/>
        <v>3</v>
      </c>
      <c r="AN64" s="188">
        <v>-1.7792440596513977E-2</v>
      </c>
      <c r="AO64" s="188">
        <v>1.3506579198291317E-2</v>
      </c>
      <c r="AP64" s="188">
        <v>0.80418780273847212</v>
      </c>
      <c r="AQ64" s="128">
        <v>1807.0870414357346</v>
      </c>
      <c r="AR64" s="188">
        <v>5.7000000000000002E-2</v>
      </c>
      <c r="AS64" s="188">
        <v>0.28600000000000003</v>
      </c>
      <c r="AT64" s="256">
        <v>5</v>
      </c>
    </row>
    <row r="65" spans="1:54" x14ac:dyDescent="0.25">
      <c r="A65" t="s">
        <v>218</v>
      </c>
      <c r="B65">
        <v>942</v>
      </c>
      <c r="C65">
        <v>1551</v>
      </c>
      <c r="D65">
        <v>100462</v>
      </c>
      <c r="E65">
        <v>549</v>
      </c>
      <c r="F65">
        <v>76</v>
      </c>
      <c r="G65">
        <v>300</v>
      </c>
      <c r="H65">
        <v>0</v>
      </c>
      <c r="I65">
        <v>10274</v>
      </c>
      <c r="J65">
        <v>6</v>
      </c>
      <c r="K65">
        <v>11318</v>
      </c>
      <c r="L65">
        <v>0</v>
      </c>
      <c r="M65">
        <v>2071</v>
      </c>
      <c r="N65">
        <v>21779</v>
      </c>
      <c r="O65">
        <v>9664</v>
      </c>
      <c r="P65">
        <v>82075</v>
      </c>
      <c r="Q65">
        <v>0</v>
      </c>
      <c r="R65">
        <v>5980</v>
      </c>
      <c r="S65">
        <v>3173</v>
      </c>
      <c r="T65">
        <v>4877</v>
      </c>
      <c r="U65" s="128">
        <v>5</v>
      </c>
      <c r="V65" s="128">
        <v>1882</v>
      </c>
      <c r="W65" s="128">
        <v>111745</v>
      </c>
      <c r="X65" s="128">
        <v>109863</v>
      </c>
      <c r="Y65" s="128">
        <v>9811</v>
      </c>
      <c r="Z65" s="128">
        <v>5056443</v>
      </c>
      <c r="AA65" s="128">
        <v>60715</v>
      </c>
      <c r="AB65" s="128">
        <v>43123</v>
      </c>
      <c r="AC65" s="128" t="s">
        <v>218</v>
      </c>
      <c r="AD65" s="188">
        <f t="shared" ref="AD65:AD128" si="2">SUM(R65,-L65)/W65</f>
        <v>5.3514698644234644E-2</v>
      </c>
      <c r="AE65" s="188">
        <v>0.73685623517830778</v>
      </c>
      <c r="AF65" s="188">
        <v>3.3648037943532147E-3</v>
      </c>
      <c r="AG65" s="188">
        <v>9.1995167569018751E-2</v>
      </c>
      <c r="AH65" s="188">
        <v>0.67286339433531706</v>
      </c>
      <c r="AI65" s="188">
        <v>0.17075140339323236</v>
      </c>
      <c r="AJ65" s="188">
        <v>1.6841916864289229E-2</v>
      </c>
      <c r="AK65" s="188">
        <v>-1.1653662500139132E-2</v>
      </c>
      <c r="AL65" s="188">
        <v>1.5421560950143565E-2</v>
      </c>
      <c r="AM65" s="129">
        <f t="shared" ref="AM65:AM128" si="3">COUNTIF(AJ65:AL65,"&lt;0")</f>
        <v>1</v>
      </c>
      <c r="AN65" s="188">
        <v>2.1949527943084701E-2</v>
      </c>
      <c r="AO65" s="188">
        <v>4.5249836681730729E-2</v>
      </c>
      <c r="AP65" s="188">
        <v>0.54333527227168998</v>
      </c>
      <c r="AQ65" s="128">
        <v>1483.0951696310553</v>
      </c>
      <c r="AR65" s="188">
        <v>2.7999999999999997E-2</v>
      </c>
      <c r="AS65" s="188">
        <v>0.13800000000000001</v>
      </c>
      <c r="AT65" s="256">
        <v>9.5</v>
      </c>
    </row>
    <row r="66" spans="1:54" x14ac:dyDescent="0.25">
      <c r="A66" t="s">
        <v>529</v>
      </c>
      <c r="B66">
        <v>557</v>
      </c>
      <c r="C66">
        <v>9896</v>
      </c>
      <c r="D66">
        <v>96785</v>
      </c>
      <c r="E66">
        <v>580</v>
      </c>
      <c r="F66">
        <v>0</v>
      </c>
      <c r="G66">
        <v>7544</v>
      </c>
      <c r="H66">
        <v>0</v>
      </c>
      <c r="I66">
        <v>16554</v>
      </c>
      <c r="J66">
        <v>22</v>
      </c>
      <c r="K66">
        <v>10622</v>
      </c>
      <c r="L66">
        <v>7627</v>
      </c>
      <c r="M66">
        <v>1602</v>
      </c>
      <c r="N66">
        <v>40190</v>
      </c>
      <c r="O66">
        <v>14236</v>
      </c>
      <c r="P66">
        <v>79178</v>
      </c>
      <c r="Q66">
        <v>37</v>
      </c>
      <c r="R66">
        <v>5000</v>
      </c>
      <c r="S66">
        <v>10440</v>
      </c>
      <c r="T66">
        <v>2710</v>
      </c>
      <c r="U66" s="128">
        <v>-1</v>
      </c>
      <c r="V66" s="128">
        <v>-3343</v>
      </c>
      <c r="W66" s="128">
        <v>131936</v>
      </c>
      <c r="X66" s="128">
        <v>135279</v>
      </c>
      <c r="Y66" s="128">
        <v>16421</v>
      </c>
      <c r="Z66" s="128">
        <v>2839036</v>
      </c>
      <c r="AA66" s="128">
        <v>78674</v>
      </c>
      <c r="AB66" s="128">
        <v>51561</v>
      </c>
      <c r="AC66" s="128" t="s">
        <v>529</v>
      </c>
      <c r="AD66" s="188">
        <f t="shared" si="2"/>
        <v>-1.9911169051661411E-2</v>
      </c>
      <c r="AE66" s="188">
        <v>0.5303328886732962</v>
      </c>
      <c r="AF66" s="188">
        <v>5.7179238418627217E-2</v>
      </c>
      <c r="AG66" s="188">
        <v>0.12563667232597622</v>
      </c>
      <c r="AH66" s="188">
        <v>0.4492487266553481</v>
      </c>
      <c r="AI66" s="188">
        <v>0.26477195617658489</v>
      </c>
      <c r="AJ66" s="188">
        <v>-2.533804268736357E-2</v>
      </c>
      <c r="AK66" s="188">
        <v>-1.8132755335088662E-2</v>
      </c>
      <c r="AL66" s="188">
        <v>-4.6918130428359267E-2</v>
      </c>
      <c r="AM66" s="129">
        <f t="shared" si="3"/>
        <v>3</v>
      </c>
      <c r="AN66" s="188">
        <v>3.1115465073975262E-2</v>
      </c>
      <c r="AO66" s="188">
        <v>2.151828159107446E-2</v>
      </c>
      <c r="AP66" s="188">
        <v>0.596304268736357</v>
      </c>
      <c r="AQ66" s="128">
        <v>1982.8996916273927</v>
      </c>
      <c r="AR66" s="188">
        <v>3.3000000000000002E-2</v>
      </c>
      <c r="AS66" s="188">
        <v>0.16699999999999998</v>
      </c>
      <c r="AT66" s="256">
        <v>8</v>
      </c>
    </row>
    <row r="67" spans="1:54" x14ac:dyDescent="0.25">
      <c r="A67" t="s">
        <v>219</v>
      </c>
      <c r="B67">
        <v>5341</v>
      </c>
      <c r="C67">
        <v>7937</v>
      </c>
      <c r="D67">
        <v>73700</v>
      </c>
      <c r="E67">
        <v>134</v>
      </c>
      <c r="F67">
        <v>0</v>
      </c>
      <c r="G67">
        <v>2024</v>
      </c>
      <c r="H67">
        <v>0</v>
      </c>
      <c r="I67">
        <v>16823</v>
      </c>
      <c r="J67">
        <v>7</v>
      </c>
      <c r="K67">
        <v>12894</v>
      </c>
      <c r="L67">
        <v>66</v>
      </c>
      <c r="M67">
        <v>1133</v>
      </c>
      <c r="N67">
        <v>30355</v>
      </c>
      <c r="O67">
        <v>3914</v>
      </c>
      <c r="P67">
        <v>50530</v>
      </c>
      <c r="Q67">
        <v>0</v>
      </c>
      <c r="R67">
        <v>20247</v>
      </c>
      <c r="S67">
        <v>13455</v>
      </c>
      <c r="T67">
        <v>1556</v>
      </c>
      <c r="U67" s="128">
        <v>2</v>
      </c>
      <c r="V67" s="128">
        <v>-5938</v>
      </c>
      <c r="W67" s="128">
        <v>89676</v>
      </c>
      <c r="X67" s="128">
        <v>95614</v>
      </c>
      <c r="Y67" s="128">
        <v>12161</v>
      </c>
      <c r="Z67" s="128">
        <v>7703009</v>
      </c>
      <c r="AA67" s="128">
        <v>57880</v>
      </c>
      <c r="AB67" s="128">
        <v>44435</v>
      </c>
      <c r="AC67" s="128" t="s">
        <v>219</v>
      </c>
      <c r="AD67" s="188">
        <f t="shared" si="2"/>
        <v>0.22504348989696241</v>
      </c>
      <c r="AE67" s="188">
        <v>0.77691913109416122</v>
      </c>
      <c r="AF67" s="188">
        <v>2.2570141397921406E-2</v>
      </c>
      <c r="AG67" s="188">
        <v>0.1876756322761943</v>
      </c>
      <c r="AH67" s="188">
        <v>0.64825460546857583</v>
      </c>
      <c r="AI67" s="188">
        <v>0.25283823517162679</v>
      </c>
      <c r="AJ67" s="188">
        <v>-6.621615593915875E-2</v>
      </c>
      <c r="AK67" s="188">
        <v>6.4853298218180325E-2</v>
      </c>
      <c r="AL67" s="188">
        <v>-8.9090289158481721E-4</v>
      </c>
      <c r="AM67" s="129">
        <f t="shared" si="3"/>
        <v>2</v>
      </c>
      <c r="AN67" s="188">
        <v>3.390260493331549E-2</v>
      </c>
      <c r="AO67" s="188">
        <v>8.5898222489852363E-2</v>
      </c>
      <c r="AP67" s="188">
        <v>0.64543467594451132</v>
      </c>
      <c r="AQ67" s="128">
        <v>1464.467109260718</v>
      </c>
      <c r="AR67" s="188">
        <v>5.0999999999999997E-2</v>
      </c>
      <c r="AS67" s="188">
        <v>0.254</v>
      </c>
      <c r="AT67" s="256">
        <v>6.5</v>
      </c>
    </row>
    <row r="68" spans="1:54" x14ac:dyDescent="0.25">
      <c r="A68" t="s">
        <v>117</v>
      </c>
      <c r="B68">
        <v>162</v>
      </c>
      <c r="C68">
        <v>1161</v>
      </c>
      <c r="D68">
        <v>44401</v>
      </c>
      <c r="E68">
        <v>1671</v>
      </c>
      <c r="F68">
        <v>5659</v>
      </c>
      <c r="G68">
        <v>3780</v>
      </c>
      <c r="H68">
        <v>0</v>
      </c>
      <c r="I68">
        <v>290</v>
      </c>
      <c r="J68">
        <v>0</v>
      </c>
      <c r="K68">
        <v>13611</v>
      </c>
      <c r="L68">
        <v>6</v>
      </c>
      <c r="M68">
        <v>1656</v>
      </c>
      <c r="N68">
        <v>38776</v>
      </c>
      <c r="O68">
        <v>3938</v>
      </c>
      <c r="P68">
        <v>14852</v>
      </c>
      <c r="Q68">
        <v>0</v>
      </c>
      <c r="R68">
        <v>11265</v>
      </c>
      <c r="S68">
        <v>2301</v>
      </c>
      <c r="T68">
        <v>1261</v>
      </c>
      <c r="U68" s="128">
        <v>0</v>
      </c>
      <c r="V68" s="128">
        <v>-1537</v>
      </c>
      <c r="W68" s="128">
        <v>51991</v>
      </c>
      <c r="X68" s="128">
        <v>53528</v>
      </c>
      <c r="Y68" s="128">
        <v>4290</v>
      </c>
      <c r="Z68" s="128">
        <v>2300992</v>
      </c>
      <c r="AA68" s="128">
        <v>35318</v>
      </c>
      <c r="AB68" s="128">
        <v>24291</v>
      </c>
      <c r="AC68" s="128" t="s">
        <v>117</v>
      </c>
      <c r="AD68" s="188">
        <f t="shared" si="2"/>
        <v>0.21655671173857013</v>
      </c>
      <c r="AE68" s="188">
        <v>9.5535765805620204E-2</v>
      </c>
      <c r="AF68" s="188">
        <v>0.1815506529976342</v>
      </c>
      <c r="AG68" s="188">
        <v>5.5778884806985821E-3</v>
      </c>
      <c r="AH68" s="188">
        <v>0.1134173222288473</v>
      </c>
      <c r="AI68" s="188">
        <v>0.53563189811169587</v>
      </c>
      <c r="AJ68" s="188">
        <v>-2.9562808947702485E-2</v>
      </c>
      <c r="AK68" s="188">
        <v>1.8412350558631892E-2</v>
      </c>
      <c r="AL68" s="188">
        <v>1.2066801814846992E-2</v>
      </c>
      <c r="AM68" s="129">
        <f t="shared" si="3"/>
        <v>1</v>
      </c>
      <c r="AN68" s="188">
        <v>2.0628570329480102E-2</v>
      </c>
      <c r="AO68" s="188">
        <v>4.4257506106826182E-2</v>
      </c>
      <c r="AP68" s="188">
        <v>0.67930988055625008</v>
      </c>
      <c r="AQ68" s="128">
        <v>1576.6954015890658</v>
      </c>
      <c r="AR68" s="188">
        <v>4.7E-2</v>
      </c>
      <c r="AS68" s="188">
        <v>0.23600000000000002</v>
      </c>
      <c r="AT68" s="256">
        <v>7.5</v>
      </c>
    </row>
    <row r="69" spans="1:54" x14ac:dyDescent="0.25">
      <c r="A69" t="s">
        <v>290</v>
      </c>
      <c r="B69">
        <v>93566</v>
      </c>
      <c r="C69">
        <v>32100</v>
      </c>
      <c r="D69">
        <v>265182</v>
      </c>
      <c r="E69">
        <v>2366</v>
      </c>
      <c r="F69">
        <v>48294</v>
      </c>
      <c r="G69">
        <v>45027</v>
      </c>
      <c r="H69">
        <v>0</v>
      </c>
      <c r="I69">
        <v>1518</v>
      </c>
      <c r="J69">
        <v>0</v>
      </c>
      <c r="K69">
        <v>36892</v>
      </c>
      <c r="L69">
        <v>6838</v>
      </c>
      <c r="M69">
        <v>17665</v>
      </c>
      <c r="N69">
        <v>143068</v>
      </c>
      <c r="O69">
        <v>17422</v>
      </c>
      <c r="P69">
        <v>294024</v>
      </c>
      <c r="Q69">
        <v>3641</v>
      </c>
      <c r="R69">
        <v>49000</v>
      </c>
      <c r="S69">
        <v>22960</v>
      </c>
      <c r="T69">
        <v>19333</v>
      </c>
      <c r="U69" s="128">
        <v>22</v>
      </c>
      <c r="V69" s="128">
        <v>854</v>
      </c>
      <c r="W69" s="128">
        <v>405518</v>
      </c>
      <c r="X69" s="128">
        <v>404664</v>
      </c>
      <c r="Y69" s="128">
        <v>159455</v>
      </c>
      <c r="Z69" s="128">
        <v>3184043.799999997</v>
      </c>
      <c r="AA69" s="128">
        <v>252104</v>
      </c>
      <c r="AB69" s="128">
        <v>103808</v>
      </c>
      <c r="AC69" s="128" t="s">
        <v>290</v>
      </c>
      <c r="AD69" s="188">
        <f t="shared" si="2"/>
        <v>0.1039707238642921</v>
      </c>
      <c r="AE69" s="188">
        <v>0.57763650442150538</v>
      </c>
      <c r="AF69" s="188">
        <v>0.23012788581517959</v>
      </c>
      <c r="AG69" s="188">
        <v>3.7433603440537779E-3</v>
      </c>
      <c r="AH69" s="188">
        <v>0.60263149847848929</v>
      </c>
      <c r="AI69" s="188">
        <v>0.2603849681862524</v>
      </c>
      <c r="AJ69" s="188">
        <v>2.105948441252916E-3</v>
      </c>
      <c r="AK69" s="188">
        <v>2.2374678227075836E-2</v>
      </c>
      <c r="AL69" s="188">
        <v>-7.2380809250598942E-3</v>
      </c>
      <c r="AM69" s="129">
        <f t="shared" si="3"/>
        <v>1</v>
      </c>
      <c r="AN69" s="188">
        <v>9.8303281235358239E-2</v>
      </c>
      <c r="AO69" s="188">
        <v>7.8517940017459077E-3</v>
      </c>
      <c r="AP69" s="188">
        <v>0.62168387099956102</v>
      </c>
      <c r="AQ69" s="128">
        <v>2143.5351225339086</v>
      </c>
      <c r="AR69" s="188">
        <v>3.1E-2</v>
      </c>
      <c r="AS69" s="188">
        <v>0.157</v>
      </c>
      <c r="AT69" s="256">
        <v>6</v>
      </c>
    </row>
    <row r="70" spans="1:54" x14ac:dyDescent="0.25">
      <c r="A70" t="s">
        <v>120</v>
      </c>
      <c r="B70">
        <v>286</v>
      </c>
      <c r="C70">
        <v>2526</v>
      </c>
      <c r="D70">
        <v>86277</v>
      </c>
      <c r="E70">
        <v>545</v>
      </c>
      <c r="F70">
        <v>7</v>
      </c>
      <c r="G70">
        <v>0</v>
      </c>
      <c r="H70">
        <v>1181</v>
      </c>
      <c r="I70">
        <v>2861</v>
      </c>
      <c r="J70">
        <v>0</v>
      </c>
      <c r="K70">
        <v>52346</v>
      </c>
      <c r="L70">
        <v>35</v>
      </c>
      <c r="M70">
        <v>1</v>
      </c>
      <c r="N70">
        <v>40108</v>
      </c>
      <c r="O70">
        <v>4324</v>
      </c>
      <c r="P70">
        <v>56947</v>
      </c>
      <c r="Q70">
        <v>0</v>
      </c>
      <c r="R70">
        <v>0</v>
      </c>
      <c r="S70">
        <v>8385</v>
      </c>
      <c r="T70">
        <v>36298</v>
      </c>
      <c r="U70" s="128">
        <v>-18</v>
      </c>
      <c r="V70" s="128">
        <v>4792</v>
      </c>
      <c r="W70" s="128">
        <v>109086</v>
      </c>
      <c r="X70" s="128">
        <v>104294</v>
      </c>
      <c r="Y70" s="128">
        <v>5372</v>
      </c>
      <c r="Z70" s="128">
        <v>-5248369</v>
      </c>
      <c r="AA70" s="128">
        <v>74103</v>
      </c>
      <c r="AB70" s="128">
        <v>24665</v>
      </c>
      <c r="AC70" s="128" t="s">
        <v>120</v>
      </c>
      <c r="AD70" s="188">
        <f>SUM(R70,-L70)/W70</f>
        <v>-3.2084777148305005E-4</v>
      </c>
      <c r="AE70" s="188">
        <v>0.44056982564215391</v>
      </c>
      <c r="AF70" s="188">
        <v>6.416955429661001E-5</v>
      </c>
      <c r="AG70" s="188">
        <v>2.6227013548943037E-2</v>
      </c>
      <c r="AH70" s="188">
        <v>0.42221861650440939</v>
      </c>
      <c r="AI70" s="188">
        <v>0.27459571962591228</v>
      </c>
      <c r="AJ70" s="188">
        <v>4.3928643455622168E-2</v>
      </c>
      <c r="AK70" s="188">
        <v>4.6166041219321309E-2</v>
      </c>
      <c r="AL70" s="188">
        <v>4.9225413737727305E-2</v>
      </c>
      <c r="AM70" s="129">
        <f>COUNTIF(AJ70:AL70,"&lt;0")</f>
        <v>0</v>
      </c>
      <c r="AN70" s="188">
        <v>1.2311387345763893E-2</v>
      </c>
      <c r="AO70" s="188">
        <v>-4.8112214216306397E-2</v>
      </c>
      <c r="AP70" s="188">
        <v>0.6793080688630988</v>
      </c>
      <c r="AQ70" s="128">
        <v>2500.5061423069128</v>
      </c>
      <c r="AR70" s="188">
        <v>1.4999999999999999E-2</v>
      </c>
      <c r="AS70" s="188">
        <v>7.5999999999999998E-2</v>
      </c>
      <c r="AT70" s="256">
        <v>8.5</v>
      </c>
    </row>
    <row r="71" spans="1:54" x14ac:dyDescent="0.25">
      <c r="A71" t="s">
        <v>247</v>
      </c>
      <c r="B71">
        <v>849</v>
      </c>
      <c r="C71">
        <v>10655</v>
      </c>
      <c r="D71">
        <v>93563</v>
      </c>
      <c r="E71">
        <v>14014</v>
      </c>
      <c r="F71">
        <v>808</v>
      </c>
      <c r="G71">
        <v>59841</v>
      </c>
      <c r="H71">
        <v>1356</v>
      </c>
      <c r="I71">
        <v>11242</v>
      </c>
      <c r="J71">
        <v>28</v>
      </c>
      <c r="K71">
        <v>29784</v>
      </c>
      <c r="L71">
        <v>1915</v>
      </c>
      <c r="M71">
        <v>6145</v>
      </c>
      <c r="N71">
        <v>62075</v>
      </c>
      <c r="O71">
        <v>12985</v>
      </c>
      <c r="P71">
        <v>109604</v>
      </c>
      <c r="Q71">
        <v>100</v>
      </c>
      <c r="R71">
        <v>585</v>
      </c>
      <c r="S71">
        <v>16891</v>
      </c>
      <c r="T71">
        <v>27960</v>
      </c>
      <c r="U71" s="128">
        <v>7</v>
      </c>
      <c r="V71" s="128">
        <v>364</v>
      </c>
      <c r="W71" s="128">
        <v>193997</v>
      </c>
      <c r="X71" s="128">
        <v>193633</v>
      </c>
      <c r="Y71" s="128">
        <v>22130</v>
      </c>
      <c r="Z71" s="128">
        <v>-1326175</v>
      </c>
      <c r="AA71" s="128">
        <v>143493</v>
      </c>
      <c r="AB71" s="128">
        <v>56218</v>
      </c>
      <c r="AC71" s="128" t="s">
        <v>247</v>
      </c>
      <c r="AD71" s="188">
        <f t="shared" si="2"/>
        <v>-6.8557761202492819E-3</v>
      </c>
      <c r="AE71" s="188">
        <v>0.28500956200353611</v>
      </c>
      <c r="AF71" s="188">
        <v>0.31262854580225469</v>
      </c>
      <c r="AG71" s="188">
        <v>5.8093681861059704E-2</v>
      </c>
      <c r="AH71" s="188">
        <v>0.2818594101970649</v>
      </c>
      <c r="AI71" s="188">
        <v>0.26965682015638576</v>
      </c>
      <c r="AJ71" s="188">
        <v>1.8763176750155931E-3</v>
      </c>
      <c r="AK71" s="188">
        <v>-2.4760278471036384E-2</v>
      </c>
      <c r="AL71" s="188">
        <v>-2.3253911024511985E-2</v>
      </c>
      <c r="AM71" s="129">
        <f t="shared" si="3"/>
        <v>2</v>
      </c>
      <c r="AN71" s="188">
        <v>2.8518482244570792E-2</v>
      </c>
      <c r="AO71" s="188">
        <v>-6.8360593205049561E-3</v>
      </c>
      <c r="AP71" s="188">
        <v>0.73966607731047385</v>
      </c>
      <c r="AQ71" s="128">
        <v>1995.9522750720409</v>
      </c>
      <c r="AR71" s="188">
        <v>4.2999999999999997E-2</v>
      </c>
      <c r="AS71" s="188">
        <v>0.21340000000000001</v>
      </c>
      <c r="AT71" s="256">
        <v>6.5</v>
      </c>
      <c r="BB71" s="129"/>
    </row>
    <row r="72" spans="1:54" x14ac:dyDescent="0.25">
      <c r="A72" t="s">
        <v>357</v>
      </c>
      <c r="B72">
        <v>537</v>
      </c>
      <c r="C72">
        <v>14286</v>
      </c>
      <c r="D72">
        <v>82459</v>
      </c>
      <c r="E72">
        <v>254</v>
      </c>
      <c r="F72">
        <v>0</v>
      </c>
      <c r="G72">
        <v>693</v>
      </c>
      <c r="H72">
        <v>4976</v>
      </c>
      <c r="I72">
        <v>26137</v>
      </c>
      <c r="J72">
        <v>5</v>
      </c>
      <c r="K72">
        <v>2025</v>
      </c>
      <c r="L72">
        <v>52716</v>
      </c>
      <c r="M72">
        <v>11716</v>
      </c>
      <c r="N72">
        <v>37106</v>
      </c>
      <c r="O72">
        <v>47388</v>
      </c>
      <c r="P72">
        <v>85250</v>
      </c>
      <c r="Q72">
        <v>835</v>
      </c>
      <c r="R72">
        <v>1000</v>
      </c>
      <c r="S72">
        <v>5975</v>
      </c>
      <c r="T72">
        <v>18246</v>
      </c>
      <c r="U72" s="128">
        <v>-6</v>
      </c>
      <c r="V72" s="128">
        <v>-3907</v>
      </c>
      <c r="W72" s="128">
        <v>113567</v>
      </c>
      <c r="X72" s="128">
        <v>117474</v>
      </c>
      <c r="Y72" s="128">
        <v>15422</v>
      </c>
      <c r="Z72" s="128">
        <v>1647585.9999999991</v>
      </c>
      <c r="AA72" s="128">
        <v>56509</v>
      </c>
      <c r="AB72" s="128">
        <v>32457</v>
      </c>
      <c r="AC72" s="128" t="s">
        <v>357</v>
      </c>
      <c r="AD72" s="188">
        <f t="shared" si="2"/>
        <v>-0.4553787631970555</v>
      </c>
      <c r="AE72" s="188">
        <v>0.34499458469449751</v>
      </c>
      <c r="AF72" s="188">
        <v>6.1021247369394275E-3</v>
      </c>
      <c r="AG72" s="188">
        <v>0.23019010804194881</v>
      </c>
      <c r="AH72" s="188">
        <v>0.18459376403356606</v>
      </c>
      <c r="AI72" s="188">
        <v>0.18950970377936671</v>
      </c>
      <c r="AJ72" s="188">
        <v>-3.4402599346641187E-2</v>
      </c>
      <c r="AK72" s="188">
        <v>-6.3771636805344672E-3</v>
      </c>
      <c r="AL72" s="188">
        <v>4.2667112858696558E-2</v>
      </c>
      <c r="AM72" s="129">
        <f t="shared" si="3"/>
        <v>2</v>
      </c>
      <c r="AN72" s="188">
        <v>3.3949122544401106E-2</v>
      </c>
      <c r="AO72" s="188">
        <v>1.4507612246515264E-2</v>
      </c>
      <c r="AP72" s="188">
        <v>0.49758292461718634</v>
      </c>
      <c r="AQ72" s="128">
        <v>2657.4061065409619</v>
      </c>
      <c r="AR72" s="188">
        <v>0.04</v>
      </c>
      <c r="AS72" s="188">
        <v>0.20199999999999999</v>
      </c>
      <c r="AT72" s="256">
        <v>6.5</v>
      </c>
      <c r="BB72" s="129"/>
    </row>
    <row r="73" spans="1:54" x14ac:dyDescent="0.25">
      <c r="A73" t="s">
        <v>144</v>
      </c>
      <c r="B73">
        <v>3399</v>
      </c>
      <c r="C73">
        <v>28931</v>
      </c>
      <c r="D73">
        <v>218149</v>
      </c>
      <c r="E73">
        <v>23330</v>
      </c>
      <c r="F73">
        <v>30690</v>
      </c>
      <c r="G73">
        <v>5808</v>
      </c>
      <c r="H73">
        <v>0</v>
      </c>
      <c r="I73">
        <v>55813</v>
      </c>
      <c r="J73">
        <v>8491</v>
      </c>
      <c r="K73">
        <v>14894</v>
      </c>
      <c r="L73">
        <v>24387</v>
      </c>
      <c r="M73">
        <v>41256</v>
      </c>
      <c r="N73">
        <v>81208</v>
      </c>
      <c r="O73">
        <v>11918</v>
      </c>
      <c r="P73">
        <v>319154</v>
      </c>
      <c r="Q73">
        <v>52</v>
      </c>
      <c r="R73">
        <v>3711</v>
      </c>
      <c r="S73">
        <v>14084</v>
      </c>
      <c r="T73">
        <v>25024</v>
      </c>
      <c r="U73" s="128">
        <v>-119</v>
      </c>
      <c r="V73" s="128">
        <v>7020</v>
      </c>
      <c r="W73" s="128">
        <v>372170</v>
      </c>
      <c r="X73" s="128">
        <v>365150</v>
      </c>
      <c r="Y73" s="128">
        <v>8470</v>
      </c>
      <c r="Z73" s="128">
        <v>-2530150</v>
      </c>
      <c r="AA73" s="128">
        <v>244227</v>
      </c>
      <c r="AB73" s="128">
        <v>100662</v>
      </c>
      <c r="AC73" s="128" t="s">
        <v>144</v>
      </c>
      <c r="AD73" s="188">
        <f t="shared" si="2"/>
        <v>-5.5555257006206844E-2</v>
      </c>
      <c r="AE73" s="188">
        <v>0.65827444447429939</v>
      </c>
      <c r="AF73" s="188">
        <v>9.8068087164467854E-2</v>
      </c>
      <c r="AG73" s="188">
        <v>0.1727812558776903</v>
      </c>
      <c r="AH73" s="188">
        <v>0.54909573581965232</v>
      </c>
      <c r="AI73" s="188">
        <v>0.17841990899723389</v>
      </c>
      <c r="AJ73" s="188">
        <v>1.8862347851788162E-2</v>
      </c>
      <c r="AK73" s="188">
        <v>-4.5340927249069782E-3</v>
      </c>
      <c r="AL73" s="188">
        <v>-5.8650865648407248E-3</v>
      </c>
      <c r="AM73" s="129">
        <f t="shared" si="3"/>
        <v>2</v>
      </c>
      <c r="AN73" s="188">
        <v>5.689604213128409E-3</v>
      </c>
      <c r="AO73" s="188">
        <v>-6.7983717118521112E-3</v>
      </c>
      <c r="AP73" s="188">
        <v>0.65622430609667626</v>
      </c>
      <c r="AQ73" s="128">
        <v>2235.5397866126245</v>
      </c>
      <c r="AR73" s="188">
        <v>0.03</v>
      </c>
      <c r="AS73" s="188">
        <v>0.14800000000000002</v>
      </c>
      <c r="AT73" s="256">
        <v>7</v>
      </c>
    </row>
    <row r="74" spans="1:54" x14ac:dyDescent="0.25">
      <c r="A74" t="s">
        <v>248</v>
      </c>
      <c r="B74">
        <v>99</v>
      </c>
      <c r="C74">
        <v>10059</v>
      </c>
      <c r="D74">
        <v>67605</v>
      </c>
      <c r="E74">
        <v>1588</v>
      </c>
      <c r="F74">
        <v>0</v>
      </c>
      <c r="G74">
        <v>7723</v>
      </c>
      <c r="H74">
        <v>0</v>
      </c>
      <c r="I74">
        <v>-8696</v>
      </c>
      <c r="J74">
        <v>0</v>
      </c>
      <c r="K74">
        <v>11122</v>
      </c>
      <c r="L74">
        <v>7979</v>
      </c>
      <c r="M74">
        <v>6318</v>
      </c>
      <c r="N74">
        <v>21695</v>
      </c>
      <c r="O74">
        <v>15435</v>
      </c>
      <c r="P74">
        <v>45000</v>
      </c>
      <c r="Q74">
        <v>1657</v>
      </c>
      <c r="R74">
        <v>0</v>
      </c>
      <c r="S74">
        <v>17296</v>
      </c>
      <c r="T74">
        <v>2716</v>
      </c>
      <c r="U74" s="128">
        <v>1025</v>
      </c>
      <c r="V74" s="128">
        <v>-425</v>
      </c>
      <c r="W74" s="128">
        <v>84888</v>
      </c>
      <c r="X74" s="128">
        <v>85313</v>
      </c>
      <c r="Y74" s="128">
        <v>8875</v>
      </c>
      <c r="Z74" s="128">
        <v>3321102</v>
      </c>
      <c r="AA74" s="128">
        <v>49163</v>
      </c>
      <c r="AB74" s="128">
        <v>30767</v>
      </c>
      <c r="AC74" s="128" t="s">
        <v>248</v>
      </c>
      <c r="AD74" s="188">
        <f t="shared" si="2"/>
        <v>-9.3994439732353219E-2</v>
      </c>
      <c r="AE74" s="188">
        <v>0.39495570634247479</v>
      </c>
      <c r="AF74" s="188">
        <v>9.0978701347658092E-2</v>
      </c>
      <c r="AG74" s="188">
        <v>-0.10244086325511262</v>
      </c>
      <c r="AH74" s="188">
        <v>0.47758175478277259</v>
      </c>
      <c r="AI74" s="188">
        <v>0.20900972071021878</v>
      </c>
      <c r="AJ74" s="188">
        <v>-5.0065969277165202E-3</v>
      </c>
      <c r="AK74" s="188">
        <v>4.560968741199662E-2</v>
      </c>
      <c r="AL74" s="188">
        <v>-2.8108551644085097E-2</v>
      </c>
      <c r="AM74" s="129">
        <f t="shared" si="3"/>
        <v>2</v>
      </c>
      <c r="AN74" s="188">
        <v>2.6137381019696541E-2</v>
      </c>
      <c r="AO74" s="188">
        <v>3.9123338987842801E-2</v>
      </c>
      <c r="AP74" s="188">
        <v>0.57915135237018189</v>
      </c>
      <c r="AQ74" s="128">
        <v>1596.897585074918</v>
      </c>
      <c r="AR74" s="188">
        <v>2.8999999999999998E-2</v>
      </c>
      <c r="AS74" s="188">
        <v>0.14699999999999999</v>
      </c>
      <c r="AT74" s="256">
        <v>8.5</v>
      </c>
    </row>
    <row r="75" spans="1:54" x14ac:dyDescent="0.25">
      <c r="A75" t="s">
        <v>867</v>
      </c>
      <c r="B75">
        <f>SUM(B73:B74)</f>
        <v>3498</v>
      </c>
      <c r="C75">
        <f t="shared" ref="C75" si="4">SUM(C73:C74)</f>
        <v>38990</v>
      </c>
      <c r="D75">
        <f t="shared" ref="D75" si="5">SUM(D73:D74)</f>
        <v>285754</v>
      </c>
      <c r="E75">
        <f t="shared" ref="E75" si="6">SUM(E73:E74)</f>
        <v>24918</v>
      </c>
      <c r="F75">
        <f t="shared" ref="F75" si="7">SUM(F73:F74)</f>
        <v>30690</v>
      </c>
      <c r="G75">
        <f t="shared" ref="G75" si="8">SUM(G73:G74)</f>
        <v>13531</v>
      </c>
      <c r="H75">
        <f t="shared" ref="H75" si="9">SUM(H73:H74)</f>
        <v>0</v>
      </c>
      <c r="I75">
        <f t="shared" ref="I75" si="10">SUM(I73:I74)</f>
        <v>47117</v>
      </c>
      <c r="J75">
        <f t="shared" ref="J75" si="11">SUM(J73:J74)</f>
        <v>8491</v>
      </c>
      <c r="K75">
        <f t="shared" ref="K75" si="12">SUM(K73:K74)</f>
        <v>26016</v>
      </c>
      <c r="L75">
        <f t="shared" ref="L75" si="13">SUM(L73:L74)</f>
        <v>32366</v>
      </c>
      <c r="M75">
        <f t="shared" ref="M75" si="14">SUM(M73:M74)</f>
        <v>47574</v>
      </c>
      <c r="N75">
        <f t="shared" ref="N75" si="15">SUM(N73:N74)</f>
        <v>102903</v>
      </c>
      <c r="O75">
        <f t="shared" ref="O75" si="16">SUM(O73:O74)</f>
        <v>27353</v>
      </c>
      <c r="P75">
        <f t="shared" ref="P75" si="17">SUM(P73:P74)</f>
        <v>364154</v>
      </c>
      <c r="Q75">
        <f t="shared" ref="Q75" si="18">SUM(Q73:Q74)</f>
        <v>1709</v>
      </c>
      <c r="R75">
        <f t="shared" ref="R75" si="19">SUM(R73:R74)</f>
        <v>3711</v>
      </c>
      <c r="S75">
        <f t="shared" ref="S75" si="20">SUM(S73:S74)</f>
        <v>31380</v>
      </c>
      <c r="T75">
        <f t="shared" ref="T75" si="21">SUM(T73:T74)</f>
        <v>27740</v>
      </c>
      <c r="U75">
        <f t="shared" ref="U75" si="22">SUM(U73:U74)</f>
        <v>906</v>
      </c>
      <c r="V75" s="128">
        <f t="shared" ref="V75" si="23">SUM(V73:V74)</f>
        <v>6595</v>
      </c>
      <c r="W75" s="128">
        <f t="shared" ref="W75" si="24">SUM(W73:W74)</f>
        <v>457058</v>
      </c>
      <c r="X75" s="128">
        <f t="shared" ref="X75" si="25">SUM(X73:X74)</f>
        <v>450463</v>
      </c>
      <c r="Y75" s="128">
        <f t="shared" ref="Y75" si="26">SUM(Y73:Y74)</f>
        <v>17345</v>
      </c>
      <c r="Z75" s="128">
        <f t="shared" ref="Z75" si="27">SUM(Z73:Z74)</f>
        <v>790952</v>
      </c>
      <c r="AA75" s="128">
        <f t="shared" ref="AA75" si="28">SUM(AA73:AA74)</f>
        <v>293390</v>
      </c>
      <c r="AB75" s="128">
        <f t="shared" ref="AB75" si="29">SUM(AB73:AB74)</f>
        <v>131429</v>
      </c>
      <c r="AC75" s="128" t="s">
        <v>867</v>
      </c>
      <c r="AD75" s="188">
        <f>SUM(R75,-L75)/W75</f>
        <v>-6.2694450157310455E-2</v>
      </c>
      <c r="AE75" s="188">
        <f>SUM(P75,Q75,R75,S75,T75,-F75,-G75,-H75,-K75,-L75,-M75)/W75</f>
        <v>0.60936905163020882</v>
      </c>
      <c r="AF75" s="188">
        <f>SUM(F75,G75)/W75</f>
        <v>9.675139697806405E-2</v>
      </c>
      <c r="AG75" s="188">
        <f>SUM(I75,J75)/W75</f>
        <v>0.12166508408123258</v>
      </c>
      <c r="AH75" s="188">
        <f>SUM(AE75,0.12*AF75,-0.8*AG75)</f>
        <v>0.52364715200259038</v>
      </c>
      <c r="AI75" s="188">
        <f>N75/SUM(N75,O75,P75,Q75,R75,S75,T75)</f>
        <v>0.18410054566598086</v>
      </c>
      <c r="AJ75" s="188">
        <f>V75/W75</f>
        <v>1.4429240927847233E-2</v>
      </c>
      <c r="AK75" s="188">
        <v>-8.0000000000000002E-3</v>
      </c>
      <c r="AL75" s="188">
        <v>5.0000000000000001E-3</v>
      </c>
      <c r="AM75" s="129">
        <v>2</v>
      </c>
      <c r="AN75" s="188">
        <f>Y75/(4*W75)</f>
        <v>9.4873079565394331E-3</v>
      </c>
      <c r="AO75" s="188">
        <f>Z75/(W75*1000)</f>
        <v>1.730528729395394E-3</v>
      </c>
      <c r="AP75" s="188">
        <f>AA75/W75</f>
        <v>0.64190977950282024</v>
      </c>
      <c r="AQ75" s="128">
        <v>1613</v>
      </c>
      <c r="AR75" s="188">
        <v>3.9E-2</v>
      </c>
      <c r="AS75" s="188">
        <f>5*AR75</f>
        <v>0.19500000000000001</v>
      </c>
      <c r="AT75" s="256">
        <v>7.5</v>
      </c>
    </row>
    <row r="76" spans="1:54" x14ac:dyDescent="0.25">
      <c r="A76" t="s">
        <v>145</v>
      </c>
      <c r="B76">
        <v>217</v>
      </c>
      <c r="C76">
        <v>14614</v>
      </c>
      <c r="D76">
        <v>43707</v>
      </c>
      <c r="E76">
        <v>2520</v>
      </c>
      <c r="F76">
        <v>0</v>
      </c>
      <c r="G76">
        <v>4602</v>
      </c>
      <c r="H76">
        <v>0</v>
      </c>
      <c r="I76">
        <v>5271</v>
      </c>
      <c r="J76">
        <v>0</v>
      </c>
      <c r="K76">
        <v>11076</v>
      </c>
      <c r="L76">
        <v>3621</v>
      </c>
      <c r="M76">
        <v>2248</v>
      </c>
      <c r="N76">
        <v>39533</v>
      </c>
      <c r="O76">
        <v>6536</v>
      </c>
      <c r="P76">
        <v>37193</v>
      </c>
      <c r="Q76">
        <v>0</v>
      </c>
      <c r="R76">
        <v>0</v>
      </c>
      <c r="S76">
        <v>2834</v>
      </c>
      <c r="T76">
        <v>1782</v>
      </c>
      <c r="U76" s="128">
        <v>-2</v>
      </c>
      <c r="V76" s="128">
        <v>1624</v>
      </c>
      <c r="W76" s="128">
        <v>71060</v>
      </c>
      <c r="X76" s="128">
        <v>69436</v>
      </c>
      <c r="Y76" s="128">
        <v>7377</v>
      </c>
      <c r="Z76" s="128">
        <v>1314680</v>
      </c>
      <c r="AA76" s="128">
        <v>38923</v>
      </c>
      <c r="AB76" s="128">
        <v>26473</v>
      </c>
      <c r="AC76" s="128" t="s">
        <v>145</v>
      </c>
      <c r="AD76" s="188">
        <f t="shared" si="2"/>
        <v>-5.0956937799043062E-2</v>
      </c>
      <c r="AE76" s="188">
        <v>0.28513931888544891</v>
      </c>
      <c r="AF76" s="188">
        <v>6.4762172811708416E-2</v>
      </c>
      <c r="AG76" s="188">
        <v>7.4176752040529134E-2</v>
      </c>
      <c r="AH76" s="188">
        <v>0.24098705319448355</v>
      </c>
      <c r="AI76" s="188">
        <v>0.44986230911035752</v>
      </c>
      <c r="AJ76" s="188">
        <v>2.2853926259499016E-2</v>
      </c>
      <c r="AK76" s="188">
        <v>7.73633257403189E-2</v>
      </c>
      <c r="AL76" s="188">
        <v>-0.11373332885410017</v>
      </c>
      <c r="AM76" s="129">
        <f t="shared" si="3"/>
        <v>1</v>
      </c>
      <c r="AN76" s="188">
        <v>2.595341964537011E-2</v>
      </c>
      <c r="AO76" s="188">
        <v>1.8500985083028429E-2</v>
      </c>
      <c r="AP76" s="188">
        <v>0.54774838164931039</v>
      </c>
      <c r="AQ76" s="128">
        <v>1637.96936501341</v>
      </c>
      <c r="AR76" s="188">
        <v>2.7999999999999997E-2</v>
      </c>
      <c r="AS76" s="188">
        <v>0.14099999999999999</v>
      </c>
      <c r="AT76" s="256">
        <v>9</v>
      </c>
    </row>
    <row r="77" spans="1:54" x14ac:dyDescent="0.25">
      <c r="A77" t="s">
        <v>175</v>
      </c>
      <c r="B77">
        <v>0</v>
      </c>
      <c r="C77">
        <v>1365</v>
      </c>
      <c r="D77">
        <v>18531</v>
      </c>
      <c r="E77">
        <v>101</v>
      </c>
      <c r="F77">
        <v>931</v>
      </c>
      <c r="G77">
        <v>3850</v>
      </c>
      <c r="H77">
        <v>0</v>
      </c>
      <c r="I77">
        <v>407</v>
      </c>
      <c r="J77">
        <v>1</v>
      </c>
      <c r="K77">
        <v>781</v>
      </c>
      <c r="L77">
        <v>3820</v>
      </c>
      <c r="M77">
        <v>4161</v>
      </c>
      <c r="N77">
        <v>26211</v>
      </c>
      <c r="O77">
        <v>2743</v>
      </c>
      <c r="P77">
        <v>0</v>
      </c>
      <c r="Q77">
        <v>0</v>
      </c>
      <c r="R77">
        <v>0</v>
      </c>
      <c r="S77">
        <v>3115</v>
      </c>
      <c r="T77">
        <v>1876</v>
      </c>
      <c r="U77" s="128">
        <v>-5</v>
      </c>
      <c r="V77" s="128">
        <v>-1033</v>
      </c>
      <c r="W77" s="128">
        <v>32992</v>
      </c>
      <c r="X77" s="128">
        <v>34025</v>
      </c>
      <c r="Y77" s="128">
        <v>4759</v>
      </c>
      <c r="Z77" s="128">
        <v>413798</v>
      </c>
      <c r="AA77" s="128">
        <v>24669</v>
      </c>
      <c r="AB77" s="128">
        <v>11077</v>
      </c>
      <c r="AC77" s="128" t="s">
        <v>175</v>
      </c>
      <c r="AD77" s="188">
        <f t="shared" si="2"/>
        <v>-0.11578564500484965</v>
      </c>
      <c r="AE77" s="188">
        <v>-0.25921435499515033</v>
      </c>
      <c r="AF77" s="188">
        <v>0.14491391852570321</v>
      </c>
      <c r="AG77" s="188">
        <v>1.2366634335596509E-2</v>
      </c>
      <c r="AH77" s="188">
        <v>-0.25048132880698348</v>
      </c>
      <c r="AI77" s="188">
        <v>0.77216084843128585</v>
      </c>
      <c r="AJ77" s="188">
        <v>-3.1310620756547045E-2</v>
      </c>
      <c r="AK77" s="188">
        <v>-3.5549785155646234E-3</v>
      </c>
      <c r="AL77" s="188">
        <v>-4.7481394919736762E-2</v>
      </c>
      <c r="AM77" s="129">
        <f t="shared" si="3"/>
        <v>3</v>
      </c>
      <c r="AN77" s="188">
        <v>3.6061772550921432E-2</v>
      </c>
      <c r="AO77" s="188">
        <v>1.2542373908826383E-2</v>
      </c>
      <c r="AP77" s="188">
        <v>0.74772672162948595</v>
      </c>
      <c r="AQ77" s="128">
        <v>2064.080617495712</v>
      </c>
      <c r="AR77" s="188">
        <v>4.5999999999999999E-2</v>
      </c>
      <c r="AS77" s="188">
        <v>0.22800000000000001</v>
      </c>
      <c r="AT77" s="256">
        <v>7</v>
      </c>
    </row>
    <row r="78" spans="1:54" x14ac:dyDescent="0.25">
      <c r="A78" t="s">
        <v>176</v>
      </c>
      <c r="B78">
        <v>16992</v>
      </c>
      <c r="C78">
        <v>16075</v>
      </c>
      <c r="D78">
        <v>184483</v>
      </c>
      <c r="E78">
        <v>506</v>
      </c>
      <c r="F78">
        <v>3322</v>
      </c>
      <c r="G78">
        <v>11946</v>
      </c>
      <c r="H78">
        <v>6</v>
      </c>
      <c r="I78">
        <v>44999</v>
      </c>
      <c r="J78">
        <v>0</v>
      </c>
      <c r="K78">
        <v>24156</v>
      </c>
      <c r="L78">
        <v>5201</v>
      </c>
      <c r="M78">
        <v>9029</v>
      </c>
      <c r="N78">
        <v>56701</v>
      </c>
      <c r="O78">
        <v>12304</v>
      </c>
      <c r="P78">
        <v>190908</v>
      </c>
      <c r="Q78">
        <v>322</v>
      </c>
      <c r="R78">
        <v>26653</v>
      </c>
      <c r="S78">
        <v>12838</v>
      </c>
      <c r="T78">
        <v>16989</v>
      </c>
      <c r="U78" s="128">
        <v>9</v>
      </c>
      <c r="V78" s="128">
        <v>1257</v>
      </c>
      <c r="W78" s="128">
        <v>264061</v>
      </c>
      <c r="X78" s="128">
        <v>262804</v>
      </c>
      <c r="Y78" s="128">
        <v>37313</v>
      </c>
      <c r="Z78" s="128">
        <v>2443036</v>
      </c>
      <c r="AA78" s="128">
        <v>173955</v>
      </c>
      <c r="AB78" s="128">
        <v>57962</v>
      </c>
      <c r="AC78" s="128" t="s">
        <v>176</v>
      </c>
      <c r="AD78" s="188">
        <f t="shared" si="2"/>
        <v>8.1238804670133044E-2</v>
      </c>
      <c r="AE78" s="188">
        <v>0.73486807972400314</v>
      </c>
      <c r="AF78" s="188">
        <v>5.7819973415233601E-2</v>
      </c>
      <c r="AG78" s="188">
        <v>0.17041138221850255</v>
      </c>
      <c r="AH78" s="188">
        <v>0.62251850898087935</v>
      </c>
      <c r="AI78" s="188">
        <v>0.17902846407653569</v>
      </c>
      <c r="AJ78" s="188">
        <v>4.7602637269418806E-3</v>
      </c>
      <c r="AK78" s="188">
        <v>7.4748538891815288E-3</v>
      </c>
      <c r="AL78" s="188">
        <v>-7.0407239077247153E-3</v>
      </c>
      <c r="AM78" s="129">
        <f t="shared" si="3"/>
        <v>1</v>
      </c>
      <c r="AN78" s="188">
        <v>3.5326117828835005E-2</v>
      </c>
      <c r="AO78" s="188">
        <v>9.2517865190240144E-3</v>
      </c>
      <c r="AP78" s="188">
        <v>0.65876823915686145</v>
      </c>
      <c r="AQ78" s="128">
        <v>2435.1048445533283</v>
      </c>
      <c r="AR78" s="188">
        <v>4.2999999999999997E-2</v>
      </c>
      <c r="AS78" s="188">
        <v>0.214</v>
      </c>
      <c r="AT78" s="256">
        <v>7</v>
      </c>
    </row>
    <row r="79" spans="1:54" x14ac:dyDescent="0.25">
      <c r="A79" t="s">
        <v>358</v>
      </c>
      <c r="B79">
        <v>958</v>
      </c>
      <c r="C79">
        <v>12416</v>
      </c>
      <c r="D79">
        <v>55352</v>
      </c>
      <c r="E79">
        <v>271</v>
      </c>
      <c r="F79">
        <v>4265</v>
      </c>
      <c r="G79">
        <v>1472</v>
      </c>
      <c r="H79">
        <v>2</v>
      </c>
      <c r="I79">
        <v>5632</v>
      </c>
      <c r="J79">
        <v>0</v>
      </c>
      <c r="K79">
        <v>9013</v>
      </c>
      <c r="L79">
        <v>53</v>
      </c>
      <c r="M79">
        <v>1666</v>
      </c>
      <c r="N79">
        <v>8884</v>
      </c>
      <c r="O79">
        <v>7956</v>
      </c>
      <c r="P79">
        <v>62156</v>
      </c>
      <c r="Q79">
        <v>28</v>
      </c>
      <c r="R79">
        <v>4500</v>
      </c>
      <c r="S79">
        <v>2802</v>
      </c>
      <c r="T79">
        <v>4775</v>
      </c>
      <c r="U79" s="128">
        <v>-7</v>
      </c>
      <c r="V79" s="128">
        <v>-3478</v>
      </c>
      <c r="W79" s="128">
        <v>58613</v>
      </c>
      <c r="X79" s="128">
        <v>62091</v>
      </c>
      <c r="Y79" s="128">
        <v>30024</v>
      </c>
      <c r="Z79" s="128">
        <v>2013566</v>
      </c>
      <c r="AA79" s="128">
        <v>37261</v>
      </c>
      <c r="AB79" s="128">
        <v>26175</v>
      </c>
      <c r="AC79" s="128" t="s">
        <v>358</v>
      </c>
      <c r="AD79" s="188">
        <f t="shared" si="2"/>
        <v>7.5870540665040176E-2</v>
      </c>
      <c r="AE79" s="188">
        <v>0.98595874635319813</v>
      </c>
      <c r="AF79" s="188">
        <v>9.7879310050671353E-2</v>
      </c>
      <c r="AG79" s="188">
        <v>9.6087898589050216E-2</v>
      </c>
      <c r="AH79" s="188">
        <v>0.93044273454694348</v>
      </c>
      <c r="AI79" s="188">
        <v>9.7518139208131641E-2</v>
      </c>
      <c r="AJ79" s="188">
        <v>-5.9338372033507926E-2</v>
      </c>
      <c r="AK79" s="188">
        <v>-1.9598363703979174E-2</v>
      </c>
      <c r="AL79" s="188">
        <v>-5.6835347432024168E-2</v>
      </c>
      <c r="AM79" s="129">
        <f t="shared" si="3"/>
        <v>3</v>
      </c>
      <c r="AN79" s="188">
        <v>0.12806032791360278</v>
      </c>
      <c r="AO79" s="188">
        <v>3.4353573439339397E-2</v>
      </c>
      <c r="AP79" s="188">
        <v>0.63571221401395595</v>
      </c>
      <c r="AQ79" s="128">
        <v>1501.5167908309459</v>
      </c>
      <c r="AR79" s="188">
        <v>4.4999999999999998E-2</v>
      </c>
      <c r="AS79" s="188">
        <v>0.22600000000000001</v>
      </c>
      <c r="AT79" s="256">
        <v>6</v>
      </c>
    </row>
    <row r="80" spans="1:54" x14ac:dyDescent="0.25">
      <c r="A80" t="s">
        <v>291</v>
      </c>
      <c r="B80">
        <v>5227</v>
      </c>
      <c r="C80">
        <v>96832</v>
      </c>
      <c r="D80">
        <v>549887</v>
      </c>
      <c r="E80">
        <v>19698</v>
      </c>
      <c r="F80">
        <v>10636</v>
      </c>
      <c r="G80">
        <v>10279</v>
      </c>
      <c r="H80">
        <v>20240</v>
      </c>
      <c r="I80">
        <v>36055</v>
      </c>
      <c r="J80">
        <v>4950</v>
      </c>
      <c r="K80">
        <v>62706</v>
      </c>
      <c r="L80">
        <v>8338</v>
      </c>
      <c r="M80">
        <v>8941</v>
      </c>
      <c r="N80">
        <v>422406</v>
      </c>
      <c r="O80">
        <v>21016</v>
      </c>
      <c r="P80">
        <v>274900</v>
      </c>
      <c r="Q80">
        <v>-12</v>
      </c>
      <c r="R80">
        <v>65000</v>
      </c>
      <c r="S80">
        <v>18052</v>
      </c>
      <c r="T80">
        <v>32426</v>
      </c>
      <c r="U80" s="128">
        <v>-25</v>
      </c>
      <c r="V80" s="128">
        <v>-1446</v>
      </c>
      <c r="W80" s="128">
        <v>500563</v>
      </c>
      <c r="X80" s="128">
        <v>502009</v>
      </c>
      <c r="Y80" s="128">
        <v>62706</v>
      </c>
      <c r="Z80" s="128">
        <v>5871236</v>
      </c>
      <c r="AA80" s="128">
        <v>347543</v>
      </c>
      <c r="AB80" s="128">
        <v>119232</v>
      </c>
      <c r="AC80" s="128" t="s">
        <v>291</v>
      </c>
      <c r="AD80" s="188">
        <f t="shared" si="2"/>
        <v>0.11319654069517723</v>
      </c>
      <c r="AE80" s="188">
        <v>0.53784638497052317</v>
      </c>
      <c r="AF80" s="188">
        <v>4.1782952395602549E-2</v>
      </c>
      <c r="AG80" s="188">
        <v>8.1917760601562639E-2</v>
      </c>
      <c r="AH80" s="188">
        <v>0.48551790683690166</v>
      </c>
      <c r="AI80" s="188">
        <v>0.50661079315125668</v>
      </c>
      <c r="AJ80" s="188">
        <v>-2.8887472705733342E-3</v>
      </c>
      <c r="AK80" s="188">
        <v>-1.197904522731308E-3</v>
      </c>
      <c r="AL80" s="188">
        <v>-1.1105796784740919E-2</v>
      </c>
      <c r="AM80" s="129">
        <f t="shared" si="3"/>
        <v>3</v>
      </c>
      <c r="AN80" s="188">
        <v>3.1317736229006139E-2</v>
      </c>
      <c r="AO80" s="188">
        <v>1.1729264847781399E-2</v>
      </c>
      <c r="AP80" s="188">
        <v>0.69430421345564897</v>
      </c>
      <c r="AQ80" s="128">
        <v>2332.436141304348</v>
      </c>
      <c r="AR80" s="188">
        <v>4.0999999999999995E-2</v>
      </c>
      <c r="AS80" s="188">
        <v>0.20399999999999999</v>
      </c>
      <c r="AT80" s="256">
        <v>7</v>
      </c>
    </row>
    <row r="81" spans="1:46" x14ac:dyDescent="0.25">
      <c r="A81" t="s">
        <v>249</v>
      </c>
      <c r="B81">
        <v>120</v>
      </c>
      <c r="C81">
        <v>3410</v>
      </c>
      <c r="D81">
        <v>27135</v>
      </c>
      <c r="E81">
        <v>168</v>
      </c>
      <c r="F81">
        <v>5012</v>
      </c>
      <c r="G81">
        <v>1402</v>
      </c>
      <c r="H81">
        <v>0</v>
      </c>
      <c r="I81">
        <v>9142</v>
      </c>
      <c r="J81">
        <v>4</v>
      </c>
      <c r="K81">
        <v>1291</v>
      </c>
      <c r="L81">
        <v>104</v>
      </c>
      <c r="M81">
        <v>6045</v>
      </c>
      <c r="N81">
        <v>29567</v>
      </c>
      <c r="O81">
        <v>4943</v>
      </c>
      <c r="P81">
        <v>14468</v>
      </c>
      <c r="Q81">
        <v>8</v>
      </c>
      <c r="R81">
        <v>0</v>
      </c>
      <c r="S81">
        <v>2777</v>
      </c>
      <c r="T81">
        <v>2071</v>
      </c>
      <c r="U81" s="128">
        <v>0</v>
      </c>
      <c r="V81" s="128">
        <v>-3693</v>
      </c>
      <c r="W81" s="128">
        <v>40735</v>
      </c>
      <c r="X81" s="128">
        <v>44428</v>
      </c>
      <c r="Y81" s="128">
        <v>4718</v>
      </c>
      <c r="Z81" s="128">
        <v>2543631</v>
      </c>
      <c r="AA81" s="128">
        <v>27194</v>
      </c>
      <c r="AB81" s="128">
        <v>19724</v>
      </c>
      <c r="AC81" s="128" t="s">
        <v>249</v>
      </c>
      <c r="AD81" s="188">
        <f t="shared" si="2"/>
        <v>-2.5530870258991039E-3</v>
      </c>
      <c r="AE81" s="188">
        <v>0.13428255799680863</v>
      </c>
      <c r="AF81" s="188">
        <v>0.15745673253958511</v>
      </c>
      <c r="AG81" s="188">
        <v>0.22452436479685775</v>
      </c>
      <c r="AH81" s="188">
        <v>-3.9896894562415908E-3</v>
      </c>
      <c r="AI81" s="188">
        <v>0.54922539658951597</v>
      </c>
      <c r="AJ81" s="188">
        <v>-9.0659138333128761E-2</v>
      </c>
      <c r="AK81" s="188">
        <v>3.3345139907908716E-2</v>
      </c>
      <c r="AL81" s="188">
        <v>-6.0209636792069553E-2</v>
      </c>
      <c r="AM81" s="129">
        <f t="shared" si="3"/>
        <v>2</v>
      </c>
      <c r="AN81" s="188">
        <v>2.8955443721615317E-2</v>
      </c>
      <c r="AO81" s="188">
        <v>6.2443377930526574E-2</v>
      </c>
      <c r="AP81" s="188">
        <v>0.66758315944519453</v>
      </c>
      <c r="AQ81" s="128">
        <v>1536.0675826404381</v>
      </c>
      <c r="AR81" s="188">
        <v>6.2E-2</v>
      </c>
      <c r="AS81" s="188">
        <v>0.309</v>
      </c>
      <c r="AT81" s="256">
        <v>7.5</v>
      </c>
    </row>
    <row r="82" spans="1:46" x14ac:dyDescent="0.25">
      <c r="A82" t="s">
        <v>359</v>
      </c>
      <c r="B82">
        <v>356</v>
      </c>
      <c r="C82">
        <v>2602</v>
      </c>
      <c r="D82">
        <v>57357</v>
      </c>
      <c r="E82">
        <v>212</v>
      </c>
      <c r="F82">
        <v>0</v>
      </c>
      <c r="G82">
        <v>707</v>
      </c>
      <c r="H82">
        <v>1403</v>
      </c>
      <c r="I82">
        <v>-95</v>
      </c>
      <c r="J82">
        <v>6</v>
      </c>
      <c r="K82">
        <v>6679</v>
      </c>
      <c r="L82">
        <v>0</v>
      </c>
      <c r="M82">
        <v>2454</v>
      </c>
      <c r="N82">
        <v>46766</v>
      </c>
      <c r="O82">
        <v>6620</v>
      </c>
      <c r="P82">
        <v>3075</v>
      </c>
      <c r="Q82">
        <v>170</v>
      </c>
      <c r="R82">
        <v>4907</v>
      </c>
      <c r="S82">
        <v>4722</v>
      </c>
      <c r="T82">
        <v>5421</v>
      </c>
      <c r="U82" s="128">
        <v>4</v>
      </c>
      <c r="V82" s="128">
        <v>-4082</v>
      </c>
      <c r="W82" s="128">
        <v>52842</v>
      </c>
      <c r="X82" s="128">
        <v>56924</v>
      </c>
      <c r="Y82" s="128">
        <v>7135</v>
      </c>
      <c r="Z82" s="128">
        <v>2536537</v>
      </c>
      <c r="AA82" s="128">
        <v>36388</v>
      </c>
      <c r="AB82" s="128">
        <v>27257</v>
      </c>
      <c r="AC82" s="128" t="s">
        <v>359</v>
      </c>
      <c r="AD82" s="188">
        <f t="shared" si="2"/>
        <v>9.2861738768403923E-2</v>
      </c>
      <c r="AE82" s="188">
        <v>0.13345444911244844</v>
      </c>
      <c r="AF82" s="188">
        <v>1.3379508724120965E-2</v>
      </c>
      <c r="AG82" s="188">
        <v>-1.6842663033193293E-3</v>
      </c>
      <c r="AH82" s="188">
        <v>0.13623897657166648</v>
      </c>
      <c r="AI82" s="188">
        <v>0.65241835353859456</v>
      </c>
      <c r="AJ82" s="188">
        <v>-7.7249157866848342E-2</v>
      </c>
      <c r="AK82" s="188">
        <v>-1.552369830467523E-2</v>
      </c>
      <c r="AL82" s="188">
        <v>-1.5699445442474421E-2</v>
      </c>
      <c r="AM82" s="129">
        <f t="shared" si="3"/>
        <v>3</v>
      </c>
      <c r="AN82" s="188">
        <v>3.3756292343211841E-2</v>
      </c>
      <c r="AO82" s="188">
        <v>4.8002289845198894E-2</v>
      </c>
      <c r="AP82" s="188">
        <v>0.68861890163127815</v>
      </c>
      <c r="AQ82" s="128">
        <v>1456.6166489342188</v>
      </c>
      <c r="AR82" s="188">
        <v>5.4000000000000006E-2</v>
      </c>
      <c r="AS82" s="188">
        <v>0.26899999999999996</v>
      </c>
      <c r="AT82" s="256">
        <v>6.5</v>
      </c>
    </row>
    <row r="83" spans="1:46" x14ac:dyDescent="0.25">
      <c r="A83" t="s">
        <v>430</v>
      </c>
      <c r="B83">
        <v>12799</v>
      </c>
      <c r="C83">
        <v>9965</v>
      </c>
      <c r="D83">
        <v>51884</v>
      </c>
      <c r="E83">
        <v>38</v>
      </c>
      <c r="F83">
        <v>694</v>
      </c>
      <c r="G83">
        <v>13949</v>
      </c>
      <c r="H83">
        <v>3472</v>
      </c>
      <c r="I83">
        <v>26710</v>
      </c>
      <c r="J83">
        <v>0</v>
      </c>
      <c r="K83">
        <v>41212</v>
      </c>
      <c r="L83">
        <v>792</v>
      </c>
      <c r="M83">
        <v>1908</v>
      </c>
      <c r="N83">
        <v>87164</v>
      </c>
      <c r="O83">
        <v>44359</v>
      </c>
      <c r="P83">
        <v>19343</v>
      </c>
      <c r="Q83">
        <v>660</v>
      </c>
      <c r="R83">
        <v>0</v>
      </c>
      <c r="S83">
        <v>4570</v>
      </c>
      <c r="T83">
        <v>7327</v>
      </c>
      <c r="U83" s="128">
        <v>-617</v>
      </c>
      <c r="V83" s="128">
        <v>-8566</v>
      </c>
      <c r="W83" s="128">
        <v>105051</v>
      </c>
      <c r="X83" s="128">
        <v>113617</v>
      </c>
      <c r="Y83" s="128">
        <v>28378</v>
      </c>
      <c r="Z83" s="128">
        <v>1054498</v>
      </c>
      <c r="AA83" s="128">
        <v>69578</v>
      </c>
      <c r="AB83" s="128">
        <v>41532</v>
      </c>
      <c r="AC83" s="128" t="s">
        <v>430</v>
      </c>
      <c r="AD83" s="188">
        <f t="shared" si="2"/>
        <v>-7.5391952480223894E-3</v>
      </c>
      <c r="AE83" s="188">
        <v>-0.28678451418834661</v>
      </c>
      <c r="AF83" s="188">
        <v>0.13938943941514123</v>
      </c>
      <c r="AG83" s="188">
        <v>0.25425745590237125</v>
      </c>
      <c r="AH83" s="188">
        <v>-0.4480380005901895</v>
      </c>
      <c r="AI83" s="188">
        <v>0.53336433672126937</v>
      </c>
      <c r="AJ83" s="188">
        <v>-8.1541346584040136E-2</v>
      </c>
      <c r="AK83" s="188">
        <v>0.14151600903525935</v>
      </c>
      <c r="AL83" s="188">
        <v>1.705032984269041E-2</v>
      </c>
      <c r="AM83" s="129">
        <f t="shared" si="3"/>
        <v>1</v>
      </c>
      <c r="AN83" s="188">
        <v>6.7533864503907623E-2</v>
      </c>
      <c r="AO83" s="188">
        <v>1.0037962513445851E-2</v>
      </c>
      <c r="AP83" s="188">
        <v>0.66232591788750228</v>
      </c>
      <c r="AQ83" s="128">
        <v>1899.0975392468458</v>
      </c>
      <c r="AR83" s="188">
        <v>5.2000000000000005E-2</v>
      </c>
      <c r="AS83" s="188">
        <v>0.25800000000000001</v>
      </c>
      <c r="AT83" s="256">
        <v>6</v>
      </c>
    </row>
    <row r="84" spans="1:46" x14ac:dyDescent="0.25">
      <c r="A84" t="s">
        <v>177</v>
      </c>
      <c r="B84">
        <v>141</v>
      </c>
      <c r="C84">
        <v>943</v>
      </c>
      <c r="D84">
        <v>45588</v>
      </c>
      <c r="E84">
        <v>1359</v>
      </c>
      <c r="F84">
        <v>0</v>
      </c>
      <c r="G84">
        <v>8999</v>
      </c>
      <c r="H84">
        <v>26</v>
      </c>
      <c r="I84">
        <v>4450</v>
      </c>
      <c r="J84">
        <v>0</v>
      </c>
      <c r="K84">
        <v>5604</v>
      </c>
      <c r="L84">
        <v>62</v>
      </c>
      <c r="M84">
        <v>1469</v>
      </c>
      <c r="N84">
        <v>16666</v>
      </c>
      <c r="O84">
        <v>3596</v>
      </c>
      <c r="P84">
        <v>34452</v>
      </c>
      <c r="Q84">
        <v>11</v>
      </c>
      <c r="R84">
        <v>7559</v>
      </c>
      <c r="S84">
        <v>4519</v>
      </c>
      <c r="T84">
        <v>1837</v>
      </c>
      <c r="U84" s="128">
        <v>4037</v>
      </c>
      <c r="V84" s="128">
        <v>1558</v>
      </c>
      <c r="W84" s="128">
        <v>47126</v>
      </c>
      <c r="X84" s="128">
        <v>45568</v>
      </c>
      <c r="Y84" s="128">
        <v>3705</v>
      </c>
      <c r="Z84" s="128">
        <v>1465006</v>
      </c>
      <c r="AA84" s="128">
        <v>32122</v>
      </c>
      <c r="AB84" s="128">
        <v>18920</v>
      </c>
      <c r="AC84" s="128" t="s">
        <v>177</v>
      </c>
      <c r="AD84" s="188">
        <f t="shared" si="2"/>
        <v>0.15908415736536094</v>
      </c>
      <c r="AE84" s="188">
        <v>0.68365658023171927</v>
      </c>
      <c r="AF84" s="188">
        <v>0.19095616008148369</v>
      </c>
      <c r="AG84" s="188">
        <v>9.4427704451894925E-2</v>
      </c>
      <c r="AH84" s="188">
        <v>0.64047192632517091</v>
      </c>
      <c r="AI84" s="188">
        <v>0.2428030303030303</v>
      </c>
      <c r="AJ84" s="188">
        <v>3.3060306412596017E-2</v>
      </c>
      <c r="AK84" s="188">
        <v>5.7694719678916345E-2</v>
      </c>
      <c r="AL84" s="188">
        <v>7.0372976776917663E-4</v>
      </c>
      <c r="AM84" s="129">
        <f t="shared" si="3"/>
        <v>0</v>
      </c>
      <c r="AN84" s="188">
        <v>1.9654755336756778E-2</v>
      </c>
      <c r="AO84" s="188">
        <v>3.1087000806348939E-2</v>
      </c>
      <c r="AP84" s="188">
        <v>0.68161948818062212</v>
      </c>
      <c r="AQ84" s="128">
        <v>1642.8238900634249</v>
      </c>
      <c r="AR84" s="188">
        <v>2.5000000000000001E-2</v>
      </c>
      <c r="AS84" s="188">
        <v>0.124</v>
      </c>
      <c r="AT84" s="256">
        <v>9</v>
      </c>
    </row>
    <row r="85" spans="1:46" x14ac:dyDescent="0.25">
      <c r="A85" t="s">
        <v>178</v>
      </c>
      <c r="B85">
        <v>381</v>
      </c>
      <c r="C85">
        <v>6921</v>
      </c>
      <c r="D85">
        <v>48352</v>
      </c>
      <c r="E85">
        <v>703</v>
      </c>
      <c r="F85">
        <v>0</v>
      </c>
      <c r="G85">
        <v>8521</v>
      </c>
      <c r="H85">
        <v>0</v>
      </c>
      <c r="I85">
        <v>30089</v>
      </c>
      <c r="J85">
        <v>0</v>
      </c>
      <c r="K85">
        <v>1740</v>
      </c>
      <c r="L85">
        <v>2593</v>
      </c>
      <c r="M85">
        <v>5677</v>
      </c>
      <c r="N85">
        <v>29727</v>
      </c>
      <c r="O85">
        <v>30531</v>
      </c>
      <c r="P85">
        <v>36410</v>
      </c>
      <c r="Q85">
        <v>37</v>
      </c>
      <c r="R85">
        <v>4000</v>
      </c>
      <c r="S85">
        <v>1984</v>
      </c>
      <c r="T85">
        <v>2328</v>
      </c>
      <c r="U85" s="128">
        <v>-8</v>
      </c>
      <c r="V85" s="128">
        <v>-2657</v>
      </c>
      <c r="W85" s="128">
        <v>62261</v>
      </c>
      <c r="X85" s="128">
        <v>64918</v>
      </c>
      <c r="Y85" s="128">
        <v>2209</v>
      </c>
      <c r="Z85" s="128">
        <v>1480098</v>
      </c>
      <c r="AA85" s="128">
        <v>41584</v>
      </c>
      <c r="AB85" s="128">
        <v>25183</v>
      </c>
      <c r="AC85" s="128" t="s">
        <v>178</v>
      </c>
      <c r="AD85" s="188">
        <f t="shared" si="2"/>
        <v>2.2598416344099839E-2</v>
      </c>
      <c r="AE85" s="188">
        <v>0.42125889401069688</v>
      </c>
      <c r="AF85" s="188">
        <v>0.1368593501549927</v>
      </c>
      <c r="AG85" s="188">
        <v>0.48327203225132909</v>
      </c>
      <c r="AH85" s="188">
        <v>9.9391593453365679E-2</v>
      </c>
      <c r="AI85" s="188">
        <v>0.28306845558338173</v>
      </c>
      <c r="AJ85" s="188">
        <v>-4.2675189926278084E-2</v>
      </c>
      <c r="AK85" s="188">
        <v>7.5100985619647759E-2</v>
      </c>
      <c r="AL85" s="188">
        <v>-3.3243394593493868E-2</v>
      </c>
      <c r="AM85" s="129">
        <f t="shared" si="3"/>
        <v>2</v>
      </c>
      <c r="AN85" s="188">
        <v>8.8699185686063504E-3</v>
      </c>
      <c r="AO85" s="188">
        <v>2.3772473940347889E-2</v>
      </c>
      <c r="AP85" s="188">
        <v>0.66789804211304027</v>
      </c>
      <c r="AQ85" s="128">
        <v>1742.2972640273201</v>
      </c>
      <c r="AR85" s="188">
        <v>3.7999999999999999E-2</v>
      </c>
      <c r="AS85" s="188">
        <v>0.192</v>
      </c>
      <c r="AT85" s="256">
        <v>7.5</v>
      </c>
    </row>
    <row r="86" spans="1:46" x14ac:dyDescent="0.25">
      <c r="A86" t="s">
        <v>403</v>
      </c>
      <c r="B86">
        <v>37</v>
      </c>
      <c r="C86">
        <v>1201</v>
      </c>
      <c r="D86">
        <v>95596</v>
      </c>
      <c r="E86">
        <v>5884</v>
      </c>
      <c r="F86">
        <v>0</v>
      </c>
      <c r="G86">
        <v>3091</v>
      </c>
      <c r="H86">
        <v>0</v>
      </c>
      <c r="I86">
        <v>115</v>
      </c>
      <c r="J86">
        <v>75</v>
      </c>
      <c r="K86">
        <v>19616</v>
      </c>
      <c r="L86">
        <v>7643</v>
      </c>
      <c r="M86">
        <v>765</v>
      </c>
      <c r="N86">
        <v>51032</v>
      </c>
      <c r="O86">
        <v>9394</v>
      </c>
      <c r="P86">
        <v>46840</v>
      </c>
      <c r="Q86">
        <v>0</v>
      </c>
      <c r="R86">
        <v>17785</v>
      </c>
      <c r="S86">
        <v>8564</v>
      </c>
      <c r="T86">
        <v>407</v>
      </c>
      <c r="U86" s="128">
        <v>-9</v>
      </c>
      <c r="V86" s="128">
        <v>-1980</v>
      </c>
      <c r="W86" s="128">
        <v>80578</v>
      </c>
      <c r="X86" s="128">
        <v>82558</v>
      </c>
      <c r="Y86" s="128">
        <v>12768</v>
      </c>
      <c r="Z86" s="128">
        <v>1480823.7000000011</v>
      </c>
      <c r="AA86" s="128">
        <v>56571</v>
      </c>
      <c r="AB86" s="128">
        <v>31692</v>
      </c>
      <c r="AC86" s="128" t="s">
        <v>403</v>
      </c>
      <c r="AD86" s="188">
        <f t="shared" si="2"/>
        <v>0.12586562088907643</v>
      </c>
      <c r="AE86" s="188">
        <v>0.52720345503735511</v>
      </c>
      <c r="AF86" s="188">
        <v>3.8360346496562336E-2</v>
      </c>
      <c r="AG86" s="188">
        <v>2.3579637121795031E-3</v>
      </c>
      <c r="AH86" s="188">
        <v>0.53015612201841689</v>
      </c>
      <c r="AI86" s="188">
        <v>0.38077330587515484</v>
      </c>
      <c r="AJ86" s="188">
        <v>-2.4572463947975874E-2</v>
      </c>
      <c r="AK86" s="188">
        <v>4.1295370571614864E-2</v>
      </c>
      <c r="AL86" s="188">
        <v>3.0939156778591263E-2</v>
      </c>
      <c r="AM86" s="129">
        <f t="shared" si="3"/>
        <v>1</v>
      </c>
      <c r="AN86" s="188">
        <v>3.9613790364615653E-2</v>
      </c>
      <c r="AO86" s="188">
        <v>1.8377518677554681E-2</v>
      </c>
      <c r="AP86" s="188">
        <v>0.70206507979845612</v>
      </c>
      <c r="AQ86" s="128">
        <v>1745.5159346207245</v>
      </c>
      <c r="AR86" s="188">
        <v>4.2000000000000003E-2</v>
      </c>
      <c r="AS86" s="188">
        <v>0.21199999999999999</v>
      </c>
      <c r="AT86" s="256">
        <v>7</v>
      </c>
    </row>
    <row r="87" spans="1:46" x14ac:dyDescent="0.25">
      <c r="A87" t="s">
        <v>250</v>
      </c>
      <c r="B87">
        <v>0</v>
      </c>
      <c r="C87">
        <v>7313</v>
      </c>
      <c r="D87">
        <v>99315</v>
      </c>
      <c r="E87">
        <v>1034</v>
      </c>
      <c r="F87">
        <v>0</v>
      </c>
      <c r="G87">
        <v>10676</v>
      </c>
      <c r="H87">
        <v>130</v>
      </c>
      <c r="I87">
        <v>-8280</v>
      </c>
      <c r="J87">
        <v>0</v>
      </c>
      <c r="K87">
        <v>7818</v>
      </c>
      <c r="L87">
        <v>945</v>
      </c>
      <c r="M87">
        <v>1572</v>
      </c>
      <c r="N87">
        <v>74139</v>
      </c>
      <c r="O87">
        <v>13949</v>
      </c>
      <c r="P87">
        <v>19506</v>
      </c>
      <c r="Q87">
        <v>16</v>
      </c>
      <c r="R87">
        <v>0</v>
      </c>
      <c r="S87">
        <v>8828</v>
      </c>
      <c r="T87">
        <v>4082</v>
      </c>
      <c r="U87" s="128">
        <v>17</v>
      </c>
      <c r="V87" s="128">
        <v>1002</v>
      </c>
      <c r="W87" s="128">
        <v>87673</v>
      </c>
      <c r="X87" s="128">
        <v>86671</v>
      </c>
      <c r="Y87" s="128">
        <v>27486</v>
      </c>
      <c r="Z87" s="128">
        <v>4308184</v>
      </c>
      <c r="AA87" s="128">
        <v>49328</v>
      </c>
      <c r="AB87" s="128">
        <v>36199</v>
      </c>
      <c r="AC87" s="128" t="s">
        <v>250</v>
      </c>
      <c r="AD87" s="188">
        <f t="shared" si="2"/>
        <v>-1.0778688992050004E-2</v>
      </c>
      <c r="AE87" s="188">
        <v>0.12878537291982708</v>
      </c>
      <c r="AF87" s="188">
        <v>0.12177067055992152</v>
      </c>
      <c r="AG87" s="188">
        <v>-9.4441846406533372E-2</v>
      </c>
      <c r="AH87" s="188">
        <v>0.20950714587159103</v>
      </c>
      <c r="AI87" s="188">
        <v>0.61515930965814802</v>
      </c>
      <c r="AJ87" s="188">
        <v>1.1428832137602226E-2</v>
      </c>
      <c r="AK87" s="188">
        <v>5.4611150180662996E-2</v>
      </c>
      <c r="AL87" s="188">
        <v>1.9955540135949527E-2</v>
      </c>
      <c r="AM87" s="129">
        <f t="shared" si="3"/>
        <v>0</v>
      </c>
      <c r="AN87" s="188">
        <v>7.8376467099335032E-2</v>
      </c>
      <c r="AO87" s="188">
        <v>4.9139233287329054E-2</v>
      </c>
      <c r="AP87" s="188">
        <v>0.56263615936491285</v>
      </c>
      <c r="AQ87" s="128">
        <v>1387.3973866681399</v>
      </c>
      <c r="AR87" s="188">
        <v>3.6000000000000004E-2</v>
      </c>
      <c r="AS87" s="188">
        <v>0.17800000000000002</v>
      </c>
      <c r="AT87" s="256">
        <v>9</v>
      </c>
    </row>
    <row r="88" spans="1:46" x14ac:dyDescent="0.25">
      <c r="A88" t="s">
        <v>179</v>
      </c>
      <c r="B88">
        <v>1799</v>
      </c>
      <c r="C88">
        <v>28186</v>
      </c>
      <c r="D88">
        <v>231047</v>
      </c>
      <c r="E88">
        <v>3001</v>
      </c>
      <c r="F88">
        <v>11502</v>
      </c>
      <c r="G88">
        <v>62023</v>
      </c>
      <c r="H88">
        <v>0</v>
      </c>
      <c r="I88">
        <v>71375</v>
      </c>
      <c r="J88">
        <v>207</v>
      </c>
      <c r="K88">
        <v>11126</v>
      </c>
      <c r="L88">
        <v>2475</v>
      </c>
      <c r="M88">
        <v>30203</v>
      </c>
      <c r="N88">
        <v>123010</v>
      </c>
      <c r="O88">
        <v>46754</v>
      </c>
      <c r="P88">
        <v>181787</v>
      </c>
      <c r="Q88">
        <v>1002</v>
      </c>
      <c r="R88">
        <v>17427</v>
      </c>
      <c r="S88">
        <v>8276</v>
      </c>
      <c r="T88">
        <v>74688</v>
      </c>
      <c r="U88" s="128">
        <v>1669</v>
      </c>
      <c r="V88" s="128">
        <v>-1190</v>
      </c>
      <c r="W88" s="128">
        <v>361728</v>
      </c>
      <c r="X88" s="128">
        <v>362918</v>
      </c>
      <c r="Y88" s="128">
        <v>38760</v>
      </c>
      <c r="Z88" s="128">
        <v>9731476</v>
      </c>
      <c r="AA88" s="128">
        <v>229499</v>
      </c>
      <c r="AB88" s="128">
        <v>117159</v>
      </c>
      <c r="AC88" s="128" t="s">
        <v>179</v>
      </c>
      <c r="AD88" s="188">
        <f t="shared" si="2"/>
        <v>4.1334925690021229E-2</v>
      </c>
      <c r="AE88" s="188">
        <v>0.45849643931351736</v>
      </c>
      <c r="AF88" s="188">
        <v>0.20326046089879687</v>
      </c>
      <c r="AG88" s="188">
        <v>0.19788902158527955</v>
      </c>
      <c r="AH88" s="188">
        <v>0.34436537951167734</v>
      </c>
      <c r="AI88" s="188">
        <v>0.27157882652160092</v>
      </c>
      <c r="AJ88" s="188">
        <v>-3.2897646850672327E-3</v>
      </c>
      <c r="AK88" s="188">
        <v>-1.598919711888612E-2</v>
      </c>
      <c r="AL88" s="188">
        <v>-1.9146292647678063E-2</v>
      </c>
      <c r="AM88" s="129">
        <f t="shared" si="3"/>
        <v>3</v>
      </c>
      <c r="AN88" s="188">
        <v>2.6788083864118895E-2</v>
      </c>
      <c r="AO88" s="188">
        <v>2.6902744603680116E-2</v>
      </c>
      <c r="AP88" s="188">
        <v>0.6344518533262562</v>
      </c>
      <c r="AQ88" s="128">
        <v>1792.4279227374764</v>
      </c>
      <c r="AR88" s="188">
        <v>4.2000000000000003E-2</v>
      </c>
      <c r="AS88" s="188">
        <v>0.21</v>
      </c>
      <c r="AT88" s="256">
        <v>7</v>
      </c>
    </row>
    <row r="89" spans="1:46" x14ac:dyDescent="0.25">
      <c r="A89" t="s">
        <v>220</v>
      </c>
      <c r="B89">
        <v>1783</v>
      </c>
      <c r="C89">
        <v>1831</v>
      </c>
      <c r="D89">
        <v>35648</v>
      </c>
      <c r="E89">
        <v>8</v>
      </c>
      <c r="F89">
        <v>5987</v>
      </c>
      <c r="G89">
        <v>682</v>
      </c>
      <c r="H89">
        <v>0</v>
      </c>
      <c r="I89">
        <v>1375</v>
      </c>
      <c r="J89">
        <v>0</v>
      </c>
      <c r="K89">
        <v>6693</v>
      </c>
      <c r="L89">
        <v>249</v>
      </c>
      <c r="M89">
        <v>10663</v>
      </c>
      <c r="N89">
        <v>16985</v>
      </c>
      <c r="O89">
        <v>2536</v>
      </c>
      <c r="P89">
        <v>38703</v>
      </c>
      <c r="Q89">
        <v>0</v>
      </c>
      <c r="R89">
        <v>0</v>
      </c>
      <c r="S89">
        <v>2039</v>
      </c>
      <c r="T89">
        <v>4656</v>
      </c>
      <c r="U89" s="128">
        <v>-1</v>
      </c>
      <c r="V89" s="128">
        <v>-1703</v>
      </c>
      <c r="W89" s="128">
        <v>21567</v>
      </c>
      <c r="X89" s="128">
        <v>23270</v>
      </c>
      <c r="Y89" s="128">
        <v>24330</v>
      </c>
      <c r="Z89" s="128">
        <v>1096153</v>
      </c>
      <c r="AA89" s="128">
        <v>11595</v>
      </c>
      <c r="AB89" s="128">
        <v>9231</v>
      </c>
      <c r="AC89" s="128" t="s">
        <v>220</v>
      </c>
      <c r="AD89" s="188">
        <f t="shared" si="2"/>
        <v>-1.1545416608707748E-2</v>
      </c>
      <c r="AE89" s="188">
        <v>0.97945935920619465</v>
      </c>
      <c r="AF89" s="188">
        <v>0.3092224231464738</v>
      </c>
      <c r="AG89" s="188">
        <v>6.3754810590253633E-2</v>
      </c>
      <c r="AH89" s="188">
        <v>0.97193768257059387</v>
      </c>
      <c r="AI89" s="188">
        <v>0.26163372818435282</v>
      </c>
      <c r="AJ89" s="188">
        <v>-7.8963230861965036E-2</v>
      </c>
      <c r="AK89" s="188">
        <v>-2.7451900516189582E-2</v>
      </c>
      <c r="AL89" s="188">
        <v>-0.14142921080113383</v>
      </c>
      <c r="AM89" s="129">
        <f t="shared" si="3"/>
        <v>3</v>
      </c>
      <c r="AN89" s="188">
        <v>0.28202809848379468</v>
      </c>
      <c r="AO89" s="188">
        <v>5.0825474103955118E-2</v>
      </c>
      <c r="AP89" s="188">
        <v>0.53762693003199336</v>
      </c>
      <c r="AQ89" s="128">
        <v>1835.7786805329868</v>
      </c>
      <c r="AR89" s="188">
        <v>4.4000000000000004E-2</v>
      </c>
      <c r="AS89" s="188">
        <v>0.21899999999999997</v>
      </c>
      <c r="AT89" s="256">
        <v>5.5</v>
      </c>
    </row>
    <row r="90" spans="1:46" x14ac:dyDescent="0.25">
      <c r="A90" t="s">
        <v>754</v>
      </c>
      <c r="B90">
        <v>327</v>
      </c>
      <c r="C90">
        <v>6345</v>
      </c>
      <c r="D90">
        <v>145241</v>
      </c>
      <c r="E90">
        <v>1406</v>
      </c>
      <c r="F90">
        <v>7</v>
      </c>
      <c r="G90">
        <v>1829</v>
      </c>
      <c r="H90">
        <v>1181</v>
      </c>
      <c r="I90">
        <v>6661</v>
      </c>
      <c r="J90">
        <v>0</v>
      </c>
      <c r="K90">
        <v>64503</v>
      </c>
      <c r="L90">
        <v>94503</v>
      </c>
      <c r="M90">
        <v>9085</v>
      </c>
      <c r="N90">
        <v>76550</v>
      </c>
      <c r="O90">
        <v>6023</v>
      </c>
      <c r="P90">
        <v>92305</v>
      </c>
      <c r="Q90">
        <v>14</v>
      </c>
      <c r="R90">
        <v>1000</v>
      </c>
      <c r="S90">
        <v>15028</v>
      </c>
      <c r="T90">
        <v>140185</v>
      </c>
      <c r="U90" s="128">
        <v>-19</v>
      </c>
      <c r="V90" s="128">
        <v>8732</v>
      </c>
      <c r="W90" s="128">
        <v>197713</v>
      </c>
      <c r="X90" s="128">
        <v>188981</v>
      </c>
      <c r="Y90" s="128">
        <v>18590</v>
      </c>
      <c r="Z90" s="128">
        <v>-6322699</v>
      </c>
      <c r="AA90" s="128">
        <v>138412</v>
      </c>
      <c r="AB90" s="128">
        <v>45885</v>
      </c>
      <c r="AC90" s="128" t="s">
        <v>754</v>
      </c>
      <c r="AJ90" s="188">
        <f>SUM(W90,-X90)/W90</f>
        <v>4.4165027084713704E-2</v>
      </c>
      <c r="AK90" s="188">
        <v>1.6903382122560297E-2</v>
      </c>
      <c r="AL90" s="188">
        <v>4.0998469452203881E-2</v>
      </c>
      <c r="AM90" s="129">
        <v>0</v>
      </c>
      <c r="AN90" s="188">
        <f>Y90/(4*W90)</f>
        <v>2.3506294477348481E-2</v>
      </c>
      <c r="AO90" s="188">
        <f>Z90/(W90*1000)</f>
        <v>-3.1979176887710972E-2</v>
      </c>
      <c r="AP90" s="188">
        <f>AA90/W90</f>
        <v>0.70006524608902798</v>
      </c>
      <c r="AQ90" s="128"/>
      <c r="AR90" s="188"/>
      <c r="AS90" s="188"/>
    </row>
    <row r="91" spans="1:46" x14ac:dyDescent="0.25">
      <c r="A91" t="s">
        <v>360</v>
      </c>
      <c r="B91">
        <v>568</v>
      </c>
      <c r="C91">
        <v>1732</v>
      </c>
      <c r="D91">
        <v>45696</v>
      </c>
      <c r="E91">
        <v>0</v>
      </c>
      <c r="F91">
        <v>803</v>
      </c>
      <c r="G91">
        <v>311</v>
      </c>
      <c r="H91">
        <v>0</v>
      </c>
      <c r="I91">
        <v>4898</v>
      </c>
      <c r="J91">
        <v>0</v>
      </c>
      <c r="K91">
        <v>25924</v>
      </c>
      <c r="L91">
        <v>1058</v>
      </c>
      <c r="M91">
        <v>3371</v>
      </c>
      <c r="N91">
        <v>46468</v>
      </c>
      <c r="O91">
        <v>22918</v>
      </c>
      <c r="P91">
        <v>9551</v>
      </c>
      <c r="Q91">
        <v>15</v>
      </c>
      <c r="R91">
        <v>0</v>
      </c>
      <c r="S91">
        <v>3704</v>
      </c>
      <c r="T91">
        <v>1705</v>
      </c>
      <c r="U91" s="128">
        <v>-32</v>
      </c>
      <c r="V91" s="128">
        <v>4041</v>
      </c>
      <c r="W91" s="128">
        <v>48133</v>
      </c>
      <c r="X91" s="128">
        <v>44092</v>
      </c>
      <c r="Y91" s="128">
        <v>3713</v>
      </c>
      <c r="Z91" s="128">
        <v>2883633</v>
      </c>
      <c r="AA91" s="128">
        <v>28508</v>
      </c>
      <c r="AB91" s="128">
        <v>19277</v>
      </c>
      <c r="AC91" s="128" t="s">
        <v>360</v>
      </c>
      <c r="AD91" s="188">
        <f t="shared" si="2"/>
        <v>-2.1980761639623543E-2</v>
      </c>
      <c r="AE91" s="188">
        <v>-0.34263395175866868</v>
      </c>
      <c r="AF91" s="188">
        <v>2.3144204599754845E-2</v>
      </c>
      <c r="AG91" s="188">
        <v>0.10175970747719859</v>
      </c>
      <c r="AH91" s="188">
        <v>-0.41108844244073711</v>
      </c>
      <c r="AI91" s="188">
        <v>0.55082324770924951</v>
      </c>
      <c r="AJ91" s="188">
        <v>8.3954875033760618E-2</v>
      </c>
      <c r="AK91" s="188">
        <v>8.0211223485187499E-2</v>
      </c>
      <c r="AL91" s="188">
        <v>7.226671633451294E-2</v>
      </c>
      <c r="AM91" s="129">
        <f t="shared" si="3"/>
        <v>0</v>
      </c>
      <c r="AN91" s="188">
        <v>1.9285105852533607E-2</v>
      </c>
      <c r="AO91" s="188">
        <v>5.9909687740219805E-2</v>
      </c>
      <c r="AP91" s="188">
        <v>0.59227556977541396</v>
      </c>
      <c r="AQ91" s="128">
        <v>1446.2373813352699</v>
      </c>
      <c r="AR91" s="188">
        <v>1.6E-2</v>
      </c>
      <c r="AS91" s="188">
        <v>7.9000000000000001E-2</v>
      </c>
      <c r="AT91" s="256">
        <v>10</v>
      </c>
    </row>
    <row r="92" spans="1:46" x14ac:dyDescent="0.25">
      <c r="A92" t="s">
        <v>404</v>
      </c>
      <c r="B92">
        <v>6531</v>
      </c>
      <c r="C92">
        <v>5314</v>
      </c>
      <c r="D92">
        <v>72210</v>
      </c>
      <c r="E92">
        <v>610</v>
      </c>
      <c r="F92">
        <v>0</v>
      </c>
      <c r="G92">
        <v>5842</v>
      </c>
      <c r="H92">
        <v>0</v>
      </c>
      <c r="I92">
        <v>81</v>
      </c>
      <c r="J92">
        <v>0</v>
      </c>
      <c r="K92">
        <v>9161</v>
      </c>
      <c r="L92">
        <v>6109</v>
      </c>
      <c r="M92">
        <v>49</v>
      </c>
      <c r="N92">
        <v>19431</v>
      </c>
      <c r="O92">
        <v>5045</v>
      </c>
      <c r="P92">
        <v>71145</v>
      </c>
      <c r="Q92">
        <v>4</v>
      </c>
      <c r="R92">
        <v>0</v>
      </c>
      <c r="S92">
        <v>5830</v>
      </c>
      <c r="T92">
        <v>4450</v>
      </c>
      <c r="U92" s="128">
        <v>-6</v>
      </c>
      <c r="V92" s="128">
        <v>-3677</v>
      </c>
      <c r="W92" s="128">
        <v>54419</v>
      </c>
      <c r="X92" s="128">
        <v>58096</v>
      </c>
      <c r="Y92" s="128">
        <v>16844</v>
      </c>
      <c r="Z92" s="128">
        <v>1613572.0000000009</v>
      </c>
      <c r="AA92" s="128">
        <v>35556</v>
      </c>
      <c r="AB92" s="128">
        <v>25743</v>
      </c>
      <c r="AC92" s="128" t="s">
        <v>404</v>
      </c>
      <c r="AD92" s="188">
        <f t="shared" si="2"/>
        <v>-0.11225858615557066</v>
      </c>
      <c r="AE92" s="188">
        <v>1.1074808430878922</v>
      </c>
      <c r="AF92" s="188">
        <v>0.10735221154376229</v>
      </c>
      <c r="AG92" s="188">
        <v>1.4884507249306308E-3</v>
      </c>
      <c r="AH92" s="188">
        <v>1.1193211929656921</v>
      </c>
      <c r="AI92" s="188">
        <v>0.18347575657428827</v>
      </c>
      <c r="AJ92" s="188">
        <v>-6.7568312537900369E-2</v>
      </c>
      <c r="AK92" s="188">
        <v>-5.5106065353213293E-3</v>
      </c>
      <c r="AL92" s="188">
        <v>-2.8526790880685104E-2</v>
      </c>
      <c r="AM92" s="129">
        <f t="shared" si="3"/>
        <v>3</v>
      </c>
      <c r="AN92" s="188">
        <v>7.7381061761517114E-2</v>
      </c>
      <c r="AO92" s="188">
        <v>2.9650893989231722E-2</v>
      </c>
      <c r="AP92" s="188">
        <v>0.65337474043991983</v>
      </c>
      <c r="AQ92" s="128">
        <v>1514.2999261935283</v>
      </c>
      <c r="AR92" s="188">
        <v>4.5999999999999999E-2</v>
      </c>
      <c r="AS92" s="188">
        <v>0.22899999999999998</v>
      </c>
      <c r="AT92" s="256">
        <v>5.5</v>
      </c>
    </row>
    <row r="93" spans="1:46" x14ac:dyDescent="0.25">
      <c r="A93" t="s">
        <v>361</v>
      </c>
      <c r="B93">
        <v>127159</v>
      </c>
      <c r="C93">
        <v>153437</v>
      </c>
      <c r="D93">
        <v>384602</v>
      </c>
      <c r="E93">
        <v>8119</v>
      </c>
      <c r="F93">
        <v>10803</v>
      </c>
      <c r="G93">
        <v>13863</v>
      </c>
      <c r="H93">
        <v>0</v>
      </c>
      <c r="I93">
        <v>75704</v>
      </c>
      <c r="J93">
        <v>15998</v>
      </c>
      <c r="K93">
        <v>68436</v>
      </c>
      <c r="L93">
        <v>6166</v>
      </c>
      <c r="M93">
        <v>28961</v>
      </c>
      <c r="N93">
        <v>301553</v>
      </c>
      <c r="O93">
        <v>21082</v>
      </c>
      <c r="P93">
        <v>399732</v>
      </c>
      <c r="Q93">
        <v>515</v>
      </c>
      <c r="R93">
        <v>35000</v>
      </c>
      <c r="S93">
        <v>55425</v>
      </c>
      <c r="T93">
        <v>79942</v>
      </c>
      <c r="U93" s="128">
        <v>85</v>
      </c>
      <c r="V93" s="128">
        <v>50908</v>
      </c>
      <c r="W93" s="128">
        <v>931448</v>
      </c>
      <c r="X93" s="128">
        <v>880540</v>
      </c>
      <c r="Y93" s="128">
        <v>65433</v>
      </c>
      <c r="Z93" s="128">
        <v>7184591.700000003</v>
      </c>
      <c r="AA93" s="128">
        <v>643776</v>
      </c>
      <c r="AB93" s="128">
        <v>234525</v>
      </c>
      <c r="AC93" s="128" t="s">
        <v>361</v>
      </c>
      <c r="AD93" s="188">
        <f t="shared" si="2"/>
        <v>3.0956102756138828E-2</v>
      </c>
      <c r="AE93" s="188">
        <v>0.47494331406584156</v>
      </c>
      <c r="AF93" s="188">
        <v>2.6481349468784086E-2</v>
      </c>
      <c r="AG93" s="188">
        <v>9.8451013905231421E-2</v>
      </c>
      <c r="AH93" s="188">
        <v>0.40920536626843362</v>
      </c>
      <c r="AI93" s="188">
        <v>0.33759119797503273</v>
      </c>
      <c r="AJ93" s="188">
        <v>5.4654688184418238E-2</v>
      </c>
      <c r="AK93" s="188">
        <v>-7.8428423768908875E-3</v>
      </c>
      <c r="AL93" s="188">
        <v>7.7303118652268396E-2</v>
      </c>
      <c r="AM93" s="129">
        <f t="shared" si="3"/>
        <v>1</v>
      </c>
      <c r="AN93" s="188">
        <v>1.7562172016043837E-2</v>
      </c>
      <c r="AO93" s="188">
        <v>7.7133578041930443E-3</v>
      </c>
      <c r="AP93" s="188">
        <v>0.69115613539349485</v>
      </c>
      <c r="AQ93" s="128">
        <v>2054.8682144760687</v>
      </c>
      <c r="AR93" s="188">
        <v>2.3E-2</v>
      </c>
      <c r="AS93" s="188">
        <v>0.11599999999999999</v>
      </c>
      <c r="AT93" s="256">
        <v>10</v>
      </c>
    </row>
    <row r="94" spans="1:46" x14ac:dyDescent="0.25">
      <c r="A94" t="s">
        <v>180</v>
      </c>
      <c r="B94">
        <v>922</v>
      </c>
      <c r="C94">
        <v>12464</v>
      </c>
      <c r="D94">
        <v>45356</v>
      </c>
      <c r="E94">
        <v>2101</v>
      </c>
      <c r="F94">
        <v>167</v>
      </c>
      <c r="G94">
        <v>4097</v>
      </c>
      <c r="H94">
        <v>0</v>
      </c>
      <c r="I94">
        <v>-246</v>
      </c>
      <c r="J94">
        <v>0</v>
      </c>
      <c r="K94">
        <v>6680</v>
      </c>
      <c r="L94">
        <v>2117</v>
      </c>
      <c r="M94">
        <v>286</v>
      </c>
      <c r="N94">
        <v>44819</v>
      </c>
      <c r="O94">
        <v>8546</v>
      </c>
      <c r="P94">
        <v>15361</v>
      </c>
      <c r="Q94">
        <v>1</v>
      </c>
      <c r="R94">
        <v>0</v>
      </c>
      <c r="S94">
        <v>2062</v>
      </c>
      <c r="T94">
        <v>3154</v>
      </c>
      <c r="U94" s="128">
        <v>2205</v>
      </c>
      <c r="V94" s="128">
        <v>52</v>
      </c>
      <c r="W94" s="128">
        <v>56377</v>
      </c>
      <c r="X94" s="128">
        <v>56325</v>
      </c>
      <c r="Y94" s="128">
        <v>3953</v>
      </c>
      <c r="Z94" s="128">
        <v>2135580</v>
      </c>
      <c r="AA94" s="128">
        <v>37095</v>
      </c>
      <c r="AB94" s="128">
        <v>23154</v>
      </c>
      <c r="AC94" s="128" t="s">
        <v>180</v>
      </c>
      <c r="AD94" s="188">
        <f t="shared" si="2"/>
        <v>-3.7550774251911237E-2</v>
      </c>
      <c r="AE94" s="188">
        <v>0.12826152509001898</v>
      </c>
      <c r="AF94" s="188">
        <v>7.5633680401582207E-2</v>
      </c>
      <c r="AG94" s="188">
        <v>-4.3634815616297425E-3</v>
      </c>
      <c r="AH94" s="188">
        <v>0.14039200383134967</v>
      </c>
      <c r="AI94" s="188">
        <v>0.6061290453457393</v>
      </c>
      <c r="AJ94" s="188">
        <v>9.2236195611685617E-4</v>
      </c>
      <c r="AK94" s="188">
        <v>3.4779641968371196E-2</v>
      </c>
      <c r="AL94" s="188">
        <v>9.6339779005524869E-3</v>
      </c>
      <c r="AM94" s="129">
        <f t="shared" si="3"/>
        <v>0</v>
      </c>
      <c r="AN94" s="188">
        <v>1.7529311598701598E-2</v>
      </c>
      <c r="AO94" s="188">
        <v>3.7880341273923764E-2</v>
      </c>
      <c r="AP94" s="188">
        <v>0.65798109157989959</v>
      </c>
      <c r="AQ94" s="128">
        <v>1650.5798566122485</v>
      </c>
      <c r="AR94" s="188">
        <v>4.5999999999999999E-2</v>
      </c>
      <c r="AS94" s="188">
        <v>0.22899999999999998</v>
      </c>
      <c r="AT94" s="256">
        <v>9</v>
      </c>
    </row>
    <row r="95" spans="1:46" x14ac:dyDescent="0.25">
      <c r="A95" t="s">
        <v>110</v>
      </c>
      <c r="B95">
        <v>3153</v>
      </c>
      <c r="C95">
        <v>58152</v>
      </c>
      <c r="D95">
        <v>423684</v>
      </c>
      <c r="E95">
        <v>17844</v>
      </c>
      <c r="F95">
        <v>3287</v>
      </c>
      <c r="G95">
        <v>74436</v>
      </c>
      <c r="H95">
        <v>0</v>
      </c>
      <c r="I95">
        <v>60333</v>
      </c>
      <c r="J95">
        <v>41</v>
      </c>
      <c r="K95">
        <v>48013</v>
      </c>
      <c r="L95">
        <v>2642</v>
      </c>
      <c r="M95">
        <v>12005</v>
      </c>
      <c r="N95">
        <v>27172</v>
      </c>
      <c r="O95">
        <v>59322</v>
      </c>
      <c r="P95">
        <v>521559</v>
      </c>
      <c r="Q95">
        <v>208</v>
      </c>
      <c r="R95">
        <v>30000</v>
      </c>
      <c r="S95">
        <v>26960</v>
      </c>
      <c r="T95">
        <v>38368</v>
      </c>
      <c r="U95" s="128">
        <v>0</v>
      </c>
      <c r="V95" s="128">
        <v>2012</v>
      </c>
      <c r="W95" s="128">
        <v>446320</v>
      </c>
      <c r="X95" s="128">
        <v>444308</v>
      </c>
      <c r="Y95" s="128">
        <v>116433</v>
      </c>
      <c r="Z95" s="128">
        <v>-3781199</v>
      </c>
      <c r="AA95" s="128">
        <v>332413</v>
      </c>
      <c r="AB95" s="128">
        <v>107056</v>
      </c>
      <c r="AC95" s="128" t="s">
        <v>110</v>
      </c>
      <c r="AD95" s="188">
        <f t="shared" si="2"/>
        <v>6.1296827388420863E-2</v>
      </c>
      <c r="AE95" s="188">
        <v>1.0680946406165979</v>
      </c>
      <c r="AF95" s="188">
        <v>0.17414187130310091</v>
      </c>
      <c r="AG95" s="188">
        <v>0.13527065782398279</v>
      </c>
      <c r="AH95" s="188">
        <v>0.99430220469618213</v>
      </c>
      <c r="AI95" s="188">
        <v>3.8619137024598169E-2</v>
      </c>
      <c r="AJ95" s="188">
        <v>4.5079763398458506E-3</v>
      </c>
      <c r="AK95" s="188">
        <v>-3.6079713086454884E-2</v>
      </c>
      <c r="AL95" s="188">
        <v>-6.709443833642946E-2</v>
      </c>
      <c r="AM95" s="129">
        <f t="shared" si="3"/>
        <v>2</v>
      </c>
      <c r="AN95" s="188">
        <v>6.521834110055566E-2</v>
      </c>
      <c r="AO95" s="188">
        <v>-8.4719461373005921E-3</v>
      </c>
      <c r="AP95" s="188">
        <v>0.7447862520164904</v>
      </c>
      <c r="AQ95" s="128">
        <v>1990.639880062771</v>
      </c>
      <c r="AR95" s="188">
        <v>4.0999999999999995E-2</v>
      </c>
      <c r="AS95" s="188">
        <v>0.20300000000000001</v>
      </c>
      <c r="AT95" s="256">
        <v>4</v>
      </c>
    </row>
    <row r="96" spans="1:46" x14ac:dyDescent="0.25">
      <c r="A96" t="s">
        <v>251</v>
      </c>
      <c r="B96">
        <v>33</v>
      </c>
      <c r="C96">
        <v>10653</v>
      </c>
      <c r="D96">
        <v>34088</v>
      </c>
      <c r="E96">
        <v>432</v>
      </c>
      <c r="F96">
        <v>0</v>
      </c>
      <c r="G96">
        <v>5323</v>
      </c>
      <c r="H96">
        <v>0</v>
      </c>
      <c r="I96">
        <v>905</v>
      </c>
      <c r="J96">
        <v>2</v>
      </c>
      <c r="K96">
        <v>1990</v>
      </c>
      <c r="L96">
        <v>440</v>
      </c>
      <c r="M96">
        <v>5976</v>
      </c>
      <c r="N96">
        <v>16982</v>
      </c>
      <c r="O96">
        <v>2008</v>
      </c>
      <c r="P96">
        <v>31930</v>
      </c>
      <c r="Q96">
        <v>28</v>
      </c>
      <c r="R96">
        <v>0</v>
      </c>
      <c r="S96">
        <v>6231</v>
      </c>
      <c r="T96">
        <v>2664</v>
      </c>
      <c r="U96" s="128">
        <v>5</v>
      </c>
      <c r="V96" s="128">
        <v>-4333</v>
      </c>
      <c r="W96" s="128">
        <v>52570</v>
      </c>
      <c r="X96" s="128">
        <v>56903</v>
      </c>
      <c r="Y96" s="128">
        <v>7703</v>
      </c>
      <c r="Z96" s="128">
        <v>928458</v>
      </c>
      <c r="AA96" s="128">
        <v>36131</v>
      </c>
      <c r="AB96" s="128">
        <v>18611</v>
      </c>
      <c r="AC96" s="128" t="s">
        <v>251</v>
      </c>
      <c r="AD96" s="188">
        <f t="shared" si="2"/>
        <v>-8.3697926574091679E-3</v>
      </c>
      <c r="AE96" s="188">
        <v>0.51595967281719612</v>
      </c>
      <c r="AF96" s="188">
        <v>0.10125546889861138</v>
      </c>
      <c r="AG96" s="188">
        <v>1.7253186227886626E-2</v>
      </c>
      <c r="AH96" s="188">
        <v>0.51603309872550884</v>
      </c>
      <c r="AI96" s="188">
        <v>0.28377588021990874</v>
      </c>
      <c r="AJ96" s="188">
        <v>-8.2423435419440749E-2</v>
      </c>
      <c r="AK96" s="188">
        <v>6.5864278516152341E-2</v>
      </c>
      <c r="AL96" s="188">
        <v>-5.575706282996816E-2</v>
      </c>
      <c r="AM96" s="129">
        <f t="shared" si="3"/>
        <v>2</v>
      </c>
      <c r="AN96" s="188">
        <v>3.6632109568194786E-2</v>
      </c>
      <c r="AO96" s="188">
        <v>1.7661365797983639E-2</v>
      </c>
      <c r="AP96" s="188">
        <v>0.68729313296556971</v>
      </c>
      <c r="AQ96" s="128">
        <v>2222.7229058083931</v>
      </c>
      <c r="AR96" s="188">
        <v>0.05</v>
      </c>
      <c r="AS96" s="188">
        <v>0.248</v>
      </c>
      <c r="AT96" s="256">
        <v>7</v>
      </c>
    </row>
    <row r="97" spans="1:46" x14ac:dyDescent="0.25">
      <c r="A97" t="s">
        <v>146</v>
      </c>
      <c r="B97">
        <v>11797</v>
      </c>
      <c r="C97">
        <v>55963</v>
      </c>
      <c r="D97">
        <v>396142</v>
      </c>
      <c r="E97">
        <v>2172</v>
      </c>
      <c r="F97">
        <v>655</v>
      </c>
      <c r="G97">
        <v>44522</v>
      </c>
      <c r="H97">
        <v>3481</v>
      </c>
      <c r="I97">
        <v>28875</v>
      </c>
      <c r="J97">
        <v>3975</v>
      </c>
      <c r="K97">
        <v>56749</v>
      </c>
      <c r="L97">
        <v>2471</v>
      </c>
      <c r="M97">
        <v>22825</v>
      </c>
      <c r="N97">
        <v>123373</v>
      </c>
      <c r="O97">
        <v>54557</v>
      </c>
      <c r="P97">
        <v>325777</v>
      </c>
      <c r="Q97">
        <v>914</v>
      </c>
      <c r="R97">
        <v>40000</v>
      </c>
      <c r="S97">
        <v>55334</v>
      </c>
      <c r="T97">
        <v>29671</v>
      </c>
      <c r="U97" s="128">
        <v>797</v>
      </c>
      <c r="V97" s="128">
        <v>-4796</v>
      </c>
      <c r="W97" s="128">
        <v>731498</v>
      </c>
      <c r="X97" s="128">
        <v>736294</v>
      </c>
      <c r="Y97" s="128">
        <v>-50897.380000000005</v>
      </c>
      <c r="Z97" s="128">
        <v>-11965100</v>
      </c>
      <c r="AA97" s="128">
        <v>491267</v>
      </c>
      <c r="AB97" s="128">
        <v>159939</v>
      </c>
      <c r="AC97" s="128" t="s">
        <v>146</v>
      </c>
      <c r="AD97" s="188">
        <f t="shared" si="2"/>
        <v>5.1304309786219512E-2</v>
      </c>
      <c r="AE97" s="188">
        <v>0.4388159639534216</v>
      </c>
      <c r="AF97" s="188">
        <v>6.1759567353567614E-2</v>
      </c>
      <c r="AG97" s="188">
        <v>4.4907846637994908E-2</v>
      </c>
      <c r="AH97" s="188">
        <v>0.41479161938925324</v>
      </c>
      <c r="AI97" s="188">
        <v>0.19594648251501684</v>
      </c>
      <c r="AJ97" s="188">
        <v>-6.5564089033736247E-3</v>
      </c>
      <c r="AK97" s="188">
        <v>6.0053625430510496E-3</v>
      </c>
      <c r="AL97" s="188">
        <v>3.4648787801635127E-2</v>
      </c>
      <c r="AM97" s="129">
        <f t="shared" si="3"/>
        <v>1</v>
      </c>
      <c r="AN97" s="188">
        <v>-1.7394914271809357E-2</v>
      </c>
      <c r="AO97" s="188">
        <v>-1.6356982520799784E-2</v>
      </c>
      <c r="AP97" s="188">
        <v>0.67159035294696634</v>
      </c>
      <c r="AQ97" s="128">
        <v>2549.8020307742327</v>
      </c>
      <c r="AR97" s="188">
        <v>3.2000000000000001E-2</v>
      </c>
      <c r="AS97" s="188">
        <v>0.161</v>
      </c>
      <c r="AT97" s="256">
        <v>5.5</v>
      </c>
    </row>
    <row r="98" spans="1:46" x14ac:dyDescent="0.25">
      <c r="A98" t="s">
        <v>181</v>
      </c>
      <c r="B98">
        <v>166</v>
      </c>
      <c r="C98">
        <v>3993</v>
      </c>
      <c r="D98">
        <v>51644</v>
      </c>
      <c r="E98">
        <v>0</v>
      </c>
      <c r="F98">
        <v>0</v>
      </c>
      <c r="G98">
        <v>4759</v>
      </c>
      <c r="H98">
        <v>195</v>
      </c>
      <c r="I98">
        <v>-394</v>
      </c>
      <c r="J98">
        <v>0</v>
      </c>
      <c r="K98">
        <v>2596</v>
      </c>
      <c r="L98">
        <v>2</v>
      </c>
      <c r="M98">
        <v>10798</v>
      </c>
      <c r="N98">
        <v>57376</v>
      </c>
      <c r="O98">
        <v>8387</v>
      </c>
      <c r="P98">
        <v>0</v>
      </c>
      <c r="Q98">
        <v>0</v>
      </c>
      <c r="R98">
        <v>1</v>
      </c>
      <c r="S98">
        <v>5898</v>
      </c>
      <c r="T98">
        <v>2099</v>
      </c>
      <c r="U98" s="128">
        <v>0</v>
      </c>
      <c r="V98" s="128">
        <v>2783</v>
      </c>
      <c r="W98" s="128">
        <v>76857</v>
      </c>
      <c r="X98" s="128">
        <v>74074</v>
      </c>
      <c r="Y98" s="128">
        <v>5548</v>
      </c>
      <c r="Z98" s="128">
        <v>4740078</v>
      </c>
      <c r="AA98" s="128">
        <v>55255</v>
      </c>
      <c r="AB98" s="128">
        <v>33183</v>
      </c>
      <c r="AC98" s="128" t="s">
        <v>181</v>
      </c>
      <c r="AD98" s="188">
        <f t="shared" si="2"/>
        <v>-1.3011176600700001E-5</v>
      </c>
      <c r="AE98" s="188">
        <v>-0.1346917001704464</v>
      </c>
      <c r="AF98" s="188">
        <v>6.1920189442731303E-2</v>
      </c>
      <c r="AG98" s="188">
        <v>-5.1264035806758007E-3</v>
      </c>
      <c r="AH98" s="188">
        <v>-0.1236727949308456</v>
      </c>
      <c r="AI98" s="188">
        <v>0.77786364067732272</v>
      </c>
      <c r="AJ98" s="188">
        <v>3.6210104479748102E-2</v>
      </c>
      <c r="AK98" s="188">
        <v>-0.13015744564376583</v>
      </c>
      <c r="AL98" s="188">
        <v>5.459630660774948E-2</v>
      </c>
      <c r="AM98" s="129">
        <f t="shared" si="3"/>
        <v>1</v>
      </c>
      <c r="AN98" s="188">
        <v>1.8046501945170903E-2</v>
      </c>
      <c r="AO98" s="188">
        <v>6.1673991959092865E-2</v>
      </c>
      <c r="AP98" s="188">
        <v>0.71893256307167852</v>
      </c>
      <c r="AQ98" s="128">
        <v>1467.6223367386915</v>
      </c>
      <c r="AR98" s="188">
        <v>3.4000000000000002E-2</v>
      </c>
      <c r="AS98" s="188">
        <v>0.17100000000000001</v>
      </c>
      <c r="AT98" s="256">
        <v>9</v>
      </c>
    </row>
    <row r="99" spans="1:46" x14ac:dyDescent="0.25">
      <c r="A99" t="s">
        <v>182</v>
      </c>
      <c r="B99">
        <v>0</v>
      </c>
      <c r="C99">
        <v>1372</v>
      </c>
      <c r="D99">
        <v>50016</v>
      </c>
      <c r="E99">
        <v>795</v>
      </c>
      <c r="F99">
        <v>0</v>
      </c>
      <c r="G99">
        <v>4381</v>
      </c>
      <c r="H99">
        <v>4003</v>
      </c>
      <c r="I99">
        <v>1303</v>
      </c>
      <c r="J99">
        <v>0</v>
      </c>
      <c r="K99">
        <v>28030</v>
      </c>
      <c r="L99">
        <v>241</v>
      </c>
      <c r="M99">
        <v>5474</v>
      </c>
      <c r="N99">
        <v>45670</v>
      </c>
      <c r="O99">
        <v>16397</v>
      </c>
      <c r="P99">
        <v>19750</v>
      </c>
      <c r="Q99">
        <v>1</v>
      </c>
      <c r="R99">
        <v>0</v>
      </c>
      <c r="S99">
        <v>2669</v>
      </c>
      <c r="T99">
        <v>11127</v>
      </c>
      <c r="U99" s="128">
        <v>-8</v>
      </c>
      <c r="V99" s="128">
        <v>-3400</v>
      </c>
      <c r="W99" s="128">
        <v>76707</v>
      </c>
      <c r="X99" s="128">
        <v>80107</v>
      </c>
      <c r="Y99" s="128">
        <v>18834</v>
      </c>
      <c r="Z99" s="128">
        <v>1503042</v>
      </c>
      <c r="AA99" s="128">
        <v>51096</v>
      </c>
      <c r="AB99" s="128">
        <v>26983</v>
      </c>
      <c r="AC99" s="128" t="s">
        <v>182</v>
      </c>
      <c r="AD99" s="188">
        <f t="shared" si="2"/>
        <v>-3.1418253875135256E-3</v>
      </c>
      <c r="AE99" s="188">
        <v>-0.11188027168315799</v>
      </c>
      <c r="AF99" s="188">
        <v>5.7113431629447119E-2</v>
      </c>
      <c r="AG99" s="188">
        <v>1.6986715684357358E-2</v>
      </c>
      <c r="AH99" s="188">
        <v>-0.11691736086667449</v>
      </c>
      <c r="AI99" s="188">
        <v>0.47764971656870331</v>
      </c>
      <c r="AJ99" s="188">
        <v>-4.4324507541684592E-2</v>
      </c>
      <c r="AK99" s="188">
        <v>-3.9288002847988605E-2</v>
      </c>
      <c r="AL99" s="188">
        <v>-3.0431791509853912E-2</v>
      </c>
      <c r="AM99" s="129">
        <f t="shared" si="3"/>
        <v>3</v>
      </c>
      <c r="AN99" s="188">
        <v>6.1382924635300561E-2</v>
      </c>
      <c r="AO99" s="188">
        <v>1.9594587195431966E-2</v>
      </c>
      <c r="AP99" s="188">
        <v>0.66611912863232825</v>
      </c>
      <c r="AQ99" s="128">
        <v>2034.545825149168</v>
      </c>
      <c r="AR99" s="188">
        <v>5.2999999999999999E-2</v>
      </c>
      <c r="AS99" s="188">
        <v>0.26700000000000002</v>
      </c>
      <c r="AT99" s="256">
        <v>6</v>
      </c>
    </row>
    <row r="100" spans="1:46" x14ac:dyDescent="0.25">
      <c r="A100" t="s">
        <v>362</v>
      </c>
      <c r="B100">
        <v>0</v>
      </c>
      <c r="C100">
        <v>9665</v>
      </c>
      <c r="D100">
        <v>115252</v>
      </c>
      <c r="E100">
        <v>202</v>
      </c>
      <c r="F100">
        <v>0</v>
      </c>
      <c r="G100">
        <v>1193</v>
      </c>
      <c r="H100">
        <v>1004</v>
      </c>
      <c r="I100">
        <v>5279</v>
      </c>
      <c r="J100">
        <v>12</v>
      </c>
      <c r="K100">
        <v>10519</v>
      </c>
      <c r="L100">
        <v>2538</v>
      </c>
      <c r="M100">
        <v>4873</v>
      </c>
      <c r="N100">
        <v>35424</v>
      </c>
      <c r="O100">
        <v>32818</v>
      </c>
      <c r="P100">
        <v>63500</v>
      </c>
      <c r="Q100">
        <v>182</v>
      </c>
      <c r="R100">
        <v>8800</v>
      </c>
      <c r="S100">
        <v>1695</v>
      </c>
      <c r="T100">
        <v>8119</v>
      </c>
      <c r="U100" s="128">
        <v>-1719</v>
      </c>
      <c r="V100" s="128">
        <v>-4671</v>
      </c>
      <c r="W100" s="128">
        <v>118029</v>
      </c>
      <c r="X100" s="128">
        <v>122700</v>
      </c>
      <c r="Y100" s="128">
        <v>26171</v>
      </c>
      <c r="Z100" s="128">
        <v>4629858</v>
      </c>
      <c r="AA100" s="128">
        <v>76518</v>
      </c>
      <c r="AB100" s="128">
        <v>43888</v>
      </c>
      <c r="AC100" s="128" t="s">
        <v>362</v>
      </c>
      <c r="AD100" s="188">
        <f t="shared" si="2"/>
        <v>5.3054757729032696E-2</v>
      </c>
      <c r="AE100" s="188">
        <v>0.52672648247464604</v>
      </c>
      <c r="AF100" s="188">
        <v>1.0107685399351007E-2</v>
      </c>
      <c r="AG100" s="188">
        <v>4.4827966008353877E-2</v>
      </c>
      <c r="AH100" s="188">
        <v>0.49655982851672048</v>
      </c>
      <c r="AI100" s="188">
        <v>0.23531599994685728</v>
      </c>
      <c r="AJ100" s="188">
        <v>-3.9575019698548659E-2</v>
      </c>
      <c r="AK100" s="188">
        <v>-0.11919982952426615</v>
      </c>
      <c r="AL100" s="188">
        <v>-4.2252681256335772E-2</v>
      </c>
      <c r="AM100" s="129">
        <f t="shared" si="3"/>
        <v>3</v>
      </c>
      <c r="AN100" s="188">
        <v>5.543341043302917E-2</v>
      </c>
      <c r="AO100" s="188">
        <v>3.9226444348422845E-2</v>
      </c>
      <c r="AP100" s="188">
        <v>0.6482982995704446</v>
      </c>
      <c r="AQ100" s="128">
        <v>1676.7869121399926</v>
      </c>
      <c r="AR100" s="188">
        <v>0.04</v>
      </c>
      <c r="AS100" s="188">
        <v>0.20100000000000001</v>
      </c>
      <c r="AT100" s="256">
        <v>7</v>
      </c>
    </row>
    <row r="101" spans="1:46" x14ac:dyDescent="0.25">
      <c r="A101" t="s">
        <v>363</v>
      </c>
      <c r="B101">
        <v>224</v>
      </c>
      <c r="C101">
        <v>6070</v>
      </c>
      <c r="D101">
        <v>37637</v>
      </c>
      <c r="E101">
        <v>401</v>
      </c>
      <c r="F101">
        <v>0</v>
      </c>
      <c r="G101">
        <v>2176</v>
      </c>
      <c r="H101">
        <v>12</v>
      </c>
      <c r="I101">
        <v>-531</v>
      </c>
      <c r="J101">
        <v>1510</v>
      </c>
      <c r="K101">
        <v>3242</v>
      </c>
      <c r="L101">
        <v>12</v>
      </c>
      <c r="M101">
        <v>7445</v>
      </c>
      <c r="N101">
        <v>12490</v>
      </c>
      <c r="O101">
        <v>9369</v>
      </c>
      <c r="P101">
        <v>24028</v>
      </c>
      <c r="Q101">
        <v>9</v>
      </c>
      <c r="R101">
        <v>2856</v>
      </c>
      <c r="S101">
        <v>3995</v>
      </c>
      <c r="T101">
        <v>5450</v>
      </c>
      <c r="U101" s="128">
        <v>-3</v>
      </c>
      <c r="V101" s="128">
        <v>-914</v>
      </c>
      <c r="W101" s="128">
        <v>57500</v>
      </c>
      <c r="X101" s="128">
        <v>58414</v>
      </c>
      <c r="Y101" s="128">
        <v>5769</v>
      </c>
      <c r="Z101" s="128">
        <v>1116978</v>
      </c>
      <c r="AA101" s="128">
        <v>35303</v>
      </c>
      <c r="AB101" s="128">
        <v>21553</v>
      </c>
      <c r="AC101" s="128" t="s">
        <v>363</v>
      </c>
      <c r="AD101" s="188">
        <f t="shared" si="2"/>
        <v>4.9460869565217391E-2</v>
      </c>
      <c r="AE101" s="188">
        <v>0.40784347826086959</v>
      </c>
      <c r="AF101" s="188">
        <v>3.7843478260869562E-2</v>
      </c>
      <c r="AG101" s="188">
        <v>1.702608695652174E-2</v>
      </c>
      <c r="AH101" s="188">
        <v>0.40046643478260874</v>
      </c>
      <c r="AI101" s="188">
        <v>0.21461587367046411</v>
      </c>
      <c r="AJ101" s="188">
        <v>-1.5895652173913043E-2</v>
      </c>
      <c r="AK101" s="188">
        <v>-1.5457460135465104E-2</v>
      </c>
      <c r="AL101" s="188">
        <v>-1.8864765306691969E-2</v>
      </c>
      <c r="AM101" s="129">
        <f t="shared" si="3"/>
        <v>3</v>
      </c>
      <c r="AN101" s="188">
        <v>2.5082608695652174E-2</v>
      </c>
      <c r="AO101" s="188">
        <v>1.9425704347826089E-2</v>
      </c>
      <c r="AP101" s="188">
        <v>0.61396521739130439</v>
      </c>
      <c r="AQ101" s="128">
        <v>1623.5490186980931</v>
      </c>
      <c r="AR101" s="188">
        <v>3.9E-2</v>
      </c>
      <c r="AS101" s="188">
        <v>0.19399999999999998</v>
      </c>
      <c r="AT101" s="256">
        <v>8.5</v>
      </c>
    </row>
    <row r="102" spans="1:46" x14ac:dyDescent="0.25">
      <c r="A102" t="s">
        <v>364</v>
      </c>
      <c r="B102">
        <v>1326</v>
      </c>
      <c r="C102">
        <v>5245</v>
      </c>
      <c r="D102">
        <v>87390</v>
      </c>
      <c r="E102">
        <v>170</v>
      </c>
      <c r="F102">
        <v>0</v>
      </c>
      <c r="G102">
        <v>11669</v>
      </c>
      <c r="H102">
        <v>0</v>
      </c>
      <c r="I102">
        <v>16228</v>
      </c>
      <c r="J102">
        <v>0</v>
      </c>
      <c r="K102">
        <v>12507</v>
      </c>
      <c r="L102">
        <v>13</v>
      </c>
      <c r="M102">
        <v>13373</v>
      </c>
      <c r="N102">
        <v>43297</v>
      </c>
      <c r="O102">
        <v>13731</v>
      </c>
      <c r="P102">
        <v>46968</v>
      </c>
      <c r="Q102">
        <v>342</v>
      </c>
      <c r="R102">
        <v>30058</v>
      </c>
      <c r="S102">
        <v>4787</v>
      </c>
      <c r="T102">
        <v>8739</v>
      </c>
      <c r="U102" s="128">
        <v>8</v>
      </c>
      <c r="V102" s="128">
        <v>-5875</v>
      </c>
      <c r="W102" s="128">
        <v>91312</v>
      </c>
      <c r="X102" s="128">
        <v>97187</v>
      </c>
      <c r="Y102" s="128">
        <v>17548</v>
      </c>
      <c r="Z102" s="128">
        <v>5744152</v>
      </c>
      <c r="AA102" s="128">
        <v>63703</v>
      </c>
      <c r="AB102" s="128">
        <v>39743</v>
      </c>
      <c r="AC102" s="128" t="s">
        <v>364</v>
      </c>
      <c r="AD102" s="188">
        <f t="shared" si="2"/>
        <v>0.32903670930436307</v>
      </c>
      <c r="AE102" s="188">
        <v>0.58406343087436485</v>
      </c>
      <c r="AF102" s="188">
        <v>0.12779262309444542</v>
      </c>
      <c r="AG102" s="188">
        <v>0.17772034343788329</v>
      </c>
      <c r="AH102" s="188">
        <v>0.47499430523917996</v>
      </c>
      <c r="AI102" s="188">
        <v>0.29270155892970617</v>
      </c>
      <c r="AJ102" s="188">
        <v>-6.433984580339934E-2</v>
      </c>
      <c r="AK102" s="188">
        <v>7.2094144503153559E-2</v>
      </c>
      <c r="AL102" s="188">
        <v>-5.6523276891109246E-2</v>
      </c>
      <c r="AM102" s="129">
        <f t="shared" si="3"/>
        <v>2</v>
      </c>
      <c r="AN102" s="188">
        <v>4.8044068687576658E-2</v>
      </c>
      <c r="AO102" s="188">
        <v>6.2906868757666018E-2</v>
      </c>
      <c r="AP102" s="188">
        <v>0.69764105484492733</v>
      </c>
      <c r="AQ102" s="128">
        <v>1527.3498729335984</v>
      </c>
      <c r="AR102" s="188">
        <v>4.7E-2</v>
      </c>
      <c r="AS102" s="188">
        <v>0.23699999999999999</v>
      </c>
      <c r="AT102" s="256">
        <v>7</v>
      </c>
    </row>
    <row r="103" spans="1:46" x14ac:dyDescent="0.25">
      <c r="A103" t="s">
        <v>365</v>
      </c>
      <c r="B103">
        <v>669</v>
      </c>
      <c r="C103">
        <v>16358</v>
      </c>
      <c r="D103">
        <v>64412</v>
      </c>
      <c r="E103">
        <v>106</v>
      </c>
      <c r="F103">
        <v>0</v>
      </c>
      <c r="G103">
        <v>32154</v>
      </c>
      <c r="H103">
        <v>72</v>
      </c>
      <c r="I103">
        <v>28630</v>
      </c>
      <c r="J103">
        <v>3</v>
      </c>
      <c r="K103">
        <v>19677</v>
      </c>
      <c r="L103">
        <v>727</v>
      </c>
      <c r="M103">
        <v>3370</v>
      </c>
      <c r="N103">
        <v>12695</v>
      </c>
      <c r="O103">
        <v>30236</v>
      </c>
      <c r="P103">
        <v>114511</v>
      </c>
      <c r="Q103">
        <v>25</v>
      </c>
      <c r="R103">
        <v>0</v>
      </c>
      <c r="S103">
        <v>8712</v>
      </c>
      <c r="T103">
        <v>0</v>
      </c>
      <c r="U103" s="128">
        <v>1</v>
      </c>
      <c r="V103" s="128">
        <v>4300</v>
      </c>
      <c r="W103" s="128">
        <v>79553</v>
      </c>
      <c r="X103" s="128">
        <v>75253</v>
      </c>
      <c r="Y103" s="128">
        <v>-2575</v>
      </c>
      <c r="Z103" s="128">
        <v>706375.08999999892</v>
      </c>
      <c r="AA103" s="128">
        <v>50065</v>
      </c>
      <c r="AB103" s="128">
        <v>30706</v>
      </c>
      <c r="AC103" s="128" t="s">
        <v>365</v>
      </c>
      <c r="AD103" s="188">
        <f t="shared" si="2"/>
        <v>-9.1385617135745986E-3</v>
      </c>
      <c r="AE103" s="188">
        <v>0.84532324362374767</v>
      </c>
      <c r="AF103" s="188">
        <v>0.40418337460560883</v>
      </c>
      <c r="AG103" s="188">
        <v>0.35992357296393601</v>
      </c>
      <c r="AH103" s="188">
        <v>0.64187874750166563</v>
      </c>
      <c r="AI103" s="188">
        <v>7.6393527461351918E-2</v>
      </c>
      <c r="AJ103" s="188">
        <v>5.4052015637373829E-2</v>
      </c>
      <c r="AK103" s="188">
        <v>-2.1337031752170375E-4</v>
      </c>
      <c r="AL103" s="188">
        <v>3.3066156528477338E-2</v>
      </c>
      <c r="AM103" s="129">
        <f t="shared" si="3"/>
        <v>1</v>
      </c>
      <c r="AN103" s="188">
        <v>-8.0920895503626515E-3</v>
      </c>
      <c r="AO103" s="188">
        <v>8.8793017233793677E-3</v>
      </c>
      <c r="AP103" s="188">
        <v>0.62932887508956292</v>
      </c>
      <c r="AQ103" s="128">
        <v>1424.0030287240279</v>
      </c>
      <c r="AR103" s="188">
        <v>2.3E-2</v>
      </c>
      <c r="AS103" s="188">
        <v>0.115</v>
      </c>
      <c r="AT103" s="256">
        <v>7.5</v>
      </c>
    </row>
    <row r="104" spans="1:46" x14ac:dyDescent="0.25">
      <c r="A104" t="s">
        <v>405</v>
      </c>
      <c r="B104">
        <v>0</v>
      </c>
      <c r="C104">
        <v>205</v>
      </c>
      <c r="D104">
        <v>36090</v>
      </c>
      <c r="E104">
        <v>132</v>
      </c>
      <c r="F104">
        <v>0</v>
      </c>
      <c r="G104">
        <v>24</v>
      </c>
      <c r="H104">
        <v>484</v>
      </c>
      <c r="I104">
        <v>2153</v>
      </c>
      <c r="J104">
        <v>0</v>
      </c>
      <c r="K104">
        <v>5791</v>
      </c>
      <c r="L104">
        <v>254</v>
      </c>
      <c r="M104">
        <v>6764</v>
      </c>
      <c r="N104">
        <v>20007</v>
      </c>
      <c r="O104">
        <v>8010</v>
      </c>
      <c r="P104">
        <v>15991</v>
      </c>
      <c r="Q104">
        <v>13</v>
      </c>
      <c r="R104">
        <v>0</v>
      </c>
      <c r="S104">
        <v>1122</v>
      </c>
      <c r="T104">
        <v>6756</v>
      </c>
      <c r="U104" s="128">
        <v>9</v>
      </c>
      <c r="V104" s="128">
        <v>102</v>
      </c>
      <c r="W104" s="128">
        <v>49356</v>
      </c>
      <c r="X104" s="128">
        <v>49254</v>
      </c>
      <c r="Y104" s="128">
        <v>3026</v>
      </c>
      <c r="Z104" s="128">
        <v>1559635</v>
      </c>
      <c r="AA104" s="128">
        <v>34921</v>
      </c>
      <c r="AB104" s="128">
        <v>16945</v>
      </c>
      <c r="AC104" s="128" t="s">
        <v>405</v>
      </c>
      <c r="AD104" s="188">
        <f t="shared" si="2"/>
        <v>-5.1462841397195884E-3</v>
      </c>
      <c r="AE104" s="188">
        <v>0.21405705486668289</v>
      </c>
      <c r="AF104" s="188">
        <v>4.8626306831996109E-4</v>
      </c>
      <c r="AG104" s="188">
        <v>4.3621849420536513E-2</v>
      </c>
      <c r="AH104" s="188">
        <v>0.18358011184050571</v>
      </c>
      <c r="AI104" s="188">
        <v>0.38549875720148752</v>
      </c>
      <c r="AJ104" s="188">
        <v>2.0666180403598345E-3</v>
      </c>
      <c r="AK104" s="188">
        <v>5.7794610214759517E-3</v>
      </c>
      <c r="AL104" s="188">
        <v>2.1081907350006368E-2</v>
      </c>
      <c r="AM104" s="129">
        <f t="shared" si="3"/>
        <v>0</v>
      </c>
      <c r="AN104" s="188">
        <v>1.5327417132668773E-2</v>
      </c>
      <c r="AO104" s="188">
        <v>3.1599704189966771E-2</v>
      </c>
      <c r="AP104" s="188">
        <v>0.70753302536672336</v>
      </c>
      <c r="AQ104" s="128">
        <v>1855.5155503098258</v>
      </c>
      <c r="AR104" s="188">
        <v>3.6000000000000004E-2</v>
      </c>
      <c r="AS104" s="188">
        <v>0.18</v>
      </c>
      <c r="AT104" s="256">
        <v>10</v>
      </c>
    </row>
    <row r="105" spans="1:46" x14ac:dyDescent="0.25">
      <c r="A105" t="s">
        <v>366</v>
      </c>
      <c r="B105">
        <v>591</v>
      </c>
      <c r="C105">
        <v>6979</v>
      </c>
      <c r="D105">
        <v>42985</v>
      </c>
      <c r="E105">
        <v>129</v>
      </c>
      <c r="F105">
        <v>75</v>
      </c>
      <c r="G105">
        <v>4175</v>
      </c>
      <c r="H105">
        <v>1969</v>
      </c>
      <c r="I105">
        <v>19849</v>
      </c>
      <c r="J105">
        <v>0</v>
      </c>
      <c r="K105">
        <v>9702</v>
      </c>
      <c r="L105">
        <v>7093</v>
      </c>
      <c r="M105">
        <v>827</v>
      </c>
      <c r="N105">
        <v>18457</v>
      </c>
      <c r="O105">
        <v>11719</v>
      </c>
      <c r="P105">
        <v>21486</v>
      </c>
      <c r="Q105">
        <v>205</v>
      </c>
      <c r="R105">
        <v>34000</v>
      </c>
      <c r="S105">
        <v>4735</v>
      </c>
      <c r="T105">
        <v>3772</v>
      </c>
      <c r="U105" s="128">
        <v>-6</v>
      </c>
      <c r="V105" s="128">
        <v>-7236</v>
      </c>
      <c r="W105" s="128">
        <v>62882</v>
      </c>
      <c r="X105" s="128">
        <v>70118</v>
      </c>
      <c r="Y105" s="128">
        <v>15892</v>
      </c>
      <c r="Z105" s="128">
        <v>2129087</v>
      </c>
      <c r="AA105" s="128">
        <v>42330</v>
      </c>
      <c r="AB105" s="128">
        <v>26453</v>
      </c>
      <c r="AC105" s="128" t="s">
        <v>366</v>
      </c>
      <c r="AD105" s="188">
        <f t="shared" si="2"/>
        <v>0.42789669539772907</v>
      </c>
      <c r="AE105" s="188">
        <v>0.64178938328933555</v>
      </c>
      <c r="AF105" s="188">
        <v>6.7586908813332916E-2</v>
      </c>
      <c r="AG105" s="188">
        <v>0.31565471836137526</v>
      </c>
      <c r="AH105" s="188">
        <v>0.42894150949397281</v>
      </c>
      <c r="AI105" s="188">
        <v>0.19557293322313349</v>
      </c>
      <c r="AJ105" s="188">
        <v>-0.11507267580547692</v>
      </c>
      <c r="AK105" s="188">
        <v>-3.3604521709343152E-2</v>
      </c>
      <c r="AL105" s="188">
        <v>2.1191333288052706E-2</v>
      </c>
      <c r="AM105" s="129">
        <f t="shared" si="3"/>
        <v>2</v>
      </c>
      <c r="AN105" s="188">
        <v>6.3181832638910973E-2</v>
      </c>
      <c r="AO105" s="188">
        <v>3.3858449158741769E-2</v>
      </c>
      <c r="AP105" s="188">
        <v>0.67316561178079581</v>
      </c>
      <c r="AQ105" s="128">
        <v>1765.1230106226137</v>
      </c>
      <c r="AR105" s="188">
        <v>5.4000000000000006E-2</v>
      </c>
      <c r="AS105" s="188">
        <v>0.26899999999999996</v>
      </c>
      <c r="AT105" s="256">
        <v>6</v>
      </c>
    </row>
    <row r="106" spans="1:46" x14ac:dyDescent="0.25">
      <c r="A106" t="s">
        <v>292</v>
      </c>
      <c r="B106">
        <v>64</v>
      </c>
      <c r="C106">
        <v>28992</v>
      </c>
      <c r="D106">
        <v>104175</v>
      </c>
      <c r="E106">
        <v>1371</v>
      </c>
      <c r="F106">
        <v>0</v>
      </c>
      <c r="G106">
        <v>12222</v>
      </c>
      <c r="H106">
        <v>0</v>
      </c>
      <c r="I106">
        <v>-2028</v>
      </c>
      <c r="J106">
        <v>930</v>
      </c>
      <c r="K106">
        <v>5266</v>
      </c>
      <c r="L106">
        <v>4299</v>
      </c>
      <c r="M106">
        <v>12446</v>
      </c>
      <c r="N106">
        <v>38643</v>
      </c>
      <c r="O106">
        <v>39723</v>
      </c>
      <c r="P106">
        <v>53556</v>
      </c>
      <c r="Q106">
        <v>1</v>
      </c>
      <c r="R106">
        <v>20524</v>
      </c>
      <c r="S106">
        <v>3589</v>
      </c>
      <c r="T106">
        <v>11701</v>
      </c>
      <c r="U106" s="128">
        <v>-9</v>
      </c>
      <c r="V106" s="128">
        <v>1247</v>
      </c>
      <c r="W106" s="128">
        <v>125384</v>
      </c>
      <c r="X106" s="128">
        <v>124137</v>
      </c>
      <c r="Y106" s="128">
        <v>6858.9109999999928</v>
      </c>
      <c r="Z106" s="128">
        <v>5879744.0199999996</v>
      </c>
      <c r="AA106" s="128">
        <v>66665</v>
      </c>
      <c r="AB106" s="128">
        <v>50044</v>
      </c>
      <c r="AC106" s="128" t="s">
        <v>292</v>
      </c>
      <c r="AD106" s="188">
        <f t="shared" si="2"/>
        <v>0.12940247559497225</v>
      </c>
      <c r="AE106" s="188">
        <v>0.43975307854271678</v>
      </c>
      <c r="AF106" s="188">
        <v>9.7476552032157215E-2</v>
      </c>
      <c r="AG106" s="188">
        <v>-8.757098194346967E-3</v>
      </c>
      <c r="AH106" s="188">
        <v>0.45758023352261851</v>
      </c>
      <c r="AI106" s="188">
        <v>0.2303785092138288</v>
      </c>
      <c r="AJ106" s="188">
        <v>9.9454475850188229E-3</v>
      </c>
      <c r="AK106" s="188">
        <v>1.3313406170549027E-3</v>
      </c>
      <c r="AL106" s="188">
        <v>-2.9065977468115622E-3</v>
      </c>
      <c r="AM106" s="129">
        <f t="shared" si="3"/>
        <v>1</v>
      </c>
      <c r="AN106" s="188">
        <v>1.3675809911950474E-2</v>
      </c>
      <c r="AO106" s="188">
        <v>4.6893894117271732E-2</v>
      </c>
      <c r="AP106" s="188">
        <v>0.53168665858482744</v>
      </c>
      <c r="AQ106" s="128">
        <v>1862.250679402126</v>
      </c>
      <c r="AR106" s="188">
        <v>2.3E-2</v>
      </c>
      <c r="AS106" s="188">
        <v>0.11599999999999999</v>
      </c>
      <c r="AT106" s="256">
        <v>7</v>
      </c>
    </row>
    <row r="107" spans="1:46" x14ac:dyDescent="0.25">
      <c r="A107" t="s">
        <v>331</v>
      </c>
      <c r="B107">
        <v>262</v>
      </c>
      <c r="C107">
        <v>70843</v>
      </c>
      <c r="D107">
        <v>109597</v>
      </c>
      <c r="E107">
        <v>5113</v>
      </c>
      <c r="F107">
        <v>2069</v>
      </c>
      <c r="G107">
        <v>9367</v>
      </c>
      <c r="H107">
        <v>0</v>
      </c>
      <c r="I107">
        <v>3234</v>
      </c>
      <c r="J107">
        <v>0</v>
      </c>
      <c r="K107">
        <v>17030</v>
      </c>
      <c r="L107">
        <v>7274</v>
      </c>
      <c r="M107">
        <v>3935</v>
      </c>
      <c r="N107">
        <v>64622</v>
      </c>
      <c r="O107">
        <v>11883</v>
      </c>
      <c r="P107">
        <v>116726</v>
      </c>
      <c r="Q107">
        <v>0</v>
      </c>
      <c r="R107">
        <v>15000</v>
      </c>
      <c r="S107">
        <v>6099</v>
      </c>
      <c r="T107">
        <v>14394</v>
      </c>
      <c r="U107" s="128">
        <v>-3256</v>
      </c>
      <c r="V107" s="128">
        <v>1633</v>
      </c>
      <c r="W107" s="128">
        <v>141875</v>
      </c>
      <c r="X107" s="128">
        <v>141323</v>
      </c>
      <c r="Y107" s="128">
        <v>33507</v>
      </c>
      <c r="Z107" s="128">
        <v>1116326</v>
      </c>
      <c r="AA107" s="128">
        <v>86035</v>
      </c>
      <c r="AB107" s="128">
        <v>38079</v>
      </c>
      <c r="AC107" s="128" t="s">
        <v>331</v>
      </c>
      <c r="AD107" s="188">
        <f t="shared" si="2"/>
        <v>5.4456387665198239E-2</v>
      </c>
      <c r="AE107" s="188">
        <v>0.79326167400881054</v>
      </c>
      <c r="AF107" s="188">
        <v>8.0606167400881057E-2</v>
      </c>
      <c r="AG107" s="188">
        <v>2.2794713656387664E-2</v>
      </c>
      <c r="AH107" s="188">
        <v>0.78697811453744482</v>
      </c>
      <c r="AI107" s="188">
        <v>0.28253265944981726</v>
      </c>
      <c r="AJ107" s="188">
        <v>1.1510132158590309E-2</v>
      </c>
      <c r="AK107" s="188">
        <v>6.7990278084656422E-2</v>
      </c>
      <c r="AL107" s="188">
        <v>5.5086155760355332E-2</v>
      </c>
      <c r="AM107" s="129">
        <f t="shared" si="3"/>
        <v>0</v>
      </c>
      <c r="AN107" s="188">
        <v>5.9043171806167402E-2</v>
      </c>
      <c r="AO107" s="188">
        <v>7.8683770925110138E-3</v>
      </c>
      <c r="AP107" s="188">
        <v>0.60641409691629955</v>
      </c>
      <c r="AQ107" s="128">
        <v>1935.7243625095198</v>
      </c>
      <c r="AR107" s="188">
        <v>2.7999999999999997E-2</v>
      </c>
      <c r="AS107" s="188">
        <v>0.13800000000000001</v>
      </c>
      <c r="AT107" s="256">
        <v>10</v>
      </c>
    </row>
    <row r="108" spans="1:46" x14ac:dyDescent="0.25">
      <c r="A108" t="s">
        <v>367</v>
      </c>
      <c r="B108">
        <v>0</v>
      </c>
      <c r="C108">
        <v>2199</v>
      </c>
      <c r="D108">
        <v>60078</v>
      </c>
      <c r="E108">
        <v>0</v>
      </c>
      <c r="F108">
        <v>250</v>
      </c>
      <c r="G108">
        <v>3577</v>
      </c>
      <c r="H108">
        <v>0</v>
      </c>
      <c r="I108">
        <v>-4809</v>
      </c>
      <c r="J108">
        <v>0</v>
      </c>
      <c r="K108">
        <v>5335</v>
      </c>
      <c r="L108">
        <v>5</v>
      </c>
      <c r="M108">
        <v>644</v>
      </c>
      <c r="N108">
        <v>23148</v>
      </c>
      <c r="O108">
        <v>4908</v>
      </c>
      <c r="P108">
        <v>26175</v>
      </c>
      <c r="Q108">
        <v>0</v>
      </c>
      <c r="R108">
        <v>7130</v>
      </c>
      <c r="S108">
        <v>5219</v>
      </c>
      <c r="T108">
        <v>699</v>
      </c>
      <c r="U108" s="128">
        <v>-5</v>
      </c>
      <c r="V108" s="128">
        <v>-7727</v>
      </c>
      <c r="W108" s="128">
        <v>56325</v>
      </c>
      <c r="X108" s="128">
        <v>64052</v>
      </c>
      <c r="Y108" s="128">
        <v>6412</v>
      </c>
      <c r="Z108" s="128">
        <v>1971583</v>
      </c>
      <c r="AA108" s="128">
        <v>37255</v>
      </c>
      <c r="AB108" s="128">
        <v>23889</v>
      </c>
      <c r="AC108" s="128" t="s">
        <v>367</v>
      </c>
      <c r="AD108" s="188">
        <f t="shared" si="2"/>
        <v>0.12649800266311584</v>
      </c>
      <c r="AE108" s="188">
        <v>0.52218375499334224</v>
      </c>
      <c r="AF108" s="188">
        <v>6.7944962272525528E-2</v>
      </c>
      <c r="AG108" s="188">
        <v>-8.5379494007989346E-2</v>
      </c>
      <c r="AH108" s="188">
        <v>0.59010279627163786</v>
      </c>
      <c r="AI108" s="188">
        <v>0.34405981063927821</v>
      </c>
      <c r="AJ108" s="188">
        <v>-0.13718597425654683</v>
      </c>
      <c r="AK108" s="188">
        <v>1.5930460664276534E-2</v>
      </c>
      <c r="AL108" s="188">
        <v>-7.8065905430593011E-2</v>
      </c>
      <c r="AM108" s="129">
        <f t="shared" si="3"/>
        <v>2</v>
      </c>
      <c r="AN108" s="188">
        <v>2.8459831335996451E-2</v>
      </c>
      <c r="AO108" s="188">
        <v>3.5003692853972486E-2</v>
      </c>
      <c r="AP108" s="188">
        <v>0.66142920550377271</v>
      </c>
      <c r="AQ108" s="128">
        <v>1675.5306626480808</v>
      </c>
      <c r="AR108" s="188">
        <v>5.7999999999999996E-2</v>
      </c>
      <c r="AS108" s="188">
        <v>0.28800000000000003</v>
      </c>
      <c r="AT108" s="256">
        <v>6.5</v>
      </c>
    </row>
    <row r="109" spans="1:46" x14ac:dyDescent="0.25">
      <c r="A109" t="s">
        <v>490</v>
      </c>
      <c r="B109">
        <v>0</v>
      </c>
      <c r="C109">
        <v>15047</v>
      </c>
      <c r="D109">
        <v>149408</v>
      </c>
      <c r="E109">
        <v>252</v>
      </c>
      <c r="F109">
        <v>0</v>
      </c>
      <c r="G109">
        <v>25635</v>
      </c>
      <c r="H109">
        <v>0</v>
      </c>
      <c r="I109">
        <v>6360</v>
      </c>
      <c r="J109">
        <v>9</v>
      </c>
      <c r="K109">
        <v>15946</v>
      </c>
      <c r="L109">
        <v>0</v>
      </c>
      <c r="M109">
        <v>6299</v>
      </c>
      <c r="N109">
        <v>52826</v>
      </c>
      <c r="O109">
        <v>25924</v>
      </c>
      <c r="P109">
        <v>117011</v>
      </c>
      <c r="Q109">
        <v>297</v>
      </c>
      <c r="R109">
        <v>6144</v>
      </c>
      <c r="S109">
        <v>5320</v>
      </c>
      <c r="T109">
        <v>11433</v>
      </c>
      <c r="U109" s="128">
        <v>-2</v>
      </c>
      <c r="V109" s="128">
        <v>-5367</v>
      </c>
      <c r="W109" s="128">
        <v>143205</v>
      </c>
      <c r="X109" s="128">
        <v>148572</v>
      </c>
      <c r="Y109" s="128">
        <v>6945</v>
      </c>
      <c r="Z109" s="128">
        <v>13366713</v>
      </c>
      <c r="AA109" s="128">
        <v>87949</v>
      </c>
      <c r="AB109" s="128">
        <v>58078</v>
      </c>
      <c r="AC109" s="128" t="s">
        <v>490</v>
      </c>
      <c r="AD109" s="188">
        <f t="shared" si="2"/>
        <v>4.2903529904682096E-2</v>
      </c>
      <c r="AE109" s="188">
        <v>0.64470514297685133</v>
      </c>
      <c r="AF109" s="188">
        <v>0.1790091128103069</v>
      </c>
      <c r="AG109" s="188">
        <v>4.4474704095527388E-2</v>
      </c>
      <c r="AH109" s="188">
        <v>0.63505394364721901</v>
      </c>
      <c r="AI109" s="188">
        <v>0.24126418670503072</v>
      </c>
      <c r="AJ109" s="188">
        <v>-3.7477741698963028E-2</v>
      </c>
      <c r="AK109" s="188">
        <v>-3.5380777523492751E-2</v>
      </c>
      <c r="AL109" s="188">
        <v>4.5691237355414228E-2</v>
      </c>
      <c r="AM109" s="129">
        <f t="shared" si="3"/>
        <v>2</v>
      </c>
      <c r="AN109" s="188">
        <v>1.2124227506022834E-2</v>
      </c>
      <c r="AO109" s="188">
        <v>9.3339708809049959E-2</v>
      </c>
      <c r="AP109" s="188">
        <v>0.61414755071401139</v>
      </c>
      <c r="AQ109" s="128">
        <v>1615.7745790144288</v>
      </c>
      <c r="AR109" s="188">
        <v>2.1000000000000001E-2</v>
      </c>
      <c r="AS109" s="188">
        <v>0.107</v>
      </c>
      <c r="AT109" s="256">
        <v>9</v>
      </c>
    </row>
    <row r="110" spans="1:46" x14ac:dyDescent="0.25">
      <c r="A110" t="s">
        <v>293</v>
      </c>
      <c r="B110">
        <v>529</v>
      </c>
      <c r="C110">
        <v>18669</v>
      </c>
      <c r="D110">
        <v>142066</v>
      </c>
      <c r="E110">
        <v>1956</v>
      </c>
      <c r="F110">
        <v>252</v>
      </c>
      <c r="G110">
        <v>610</v>
      </c>
      <c r="H110">
        <v>0</v>
      </c>
      <c r="I110">
        <v>66688</v>
      </c>
      <c r="J110">
        <v>0</v>
      </c>
      <c r="K110">
        <v>7798</v>
      </c>
      <c r="L110">
        <v>89</v>
      </c>
      <c r="M110">
        <v>1038</v>
      </c>
      <c r="N110">
        <v>52460</v>
      </c>
      <c r="O110">
        <v>39586</v>
      </c>
      <c r="P110">
        <v>132427</v>
      </c>
      <c r="Q110">
        <v>0</v>
      </c>
      <c r="R110">
        <v>3773</v>
      </c>
      <c r="S110">
        <v>6849</v>
      </c>
      <c r="T110">
        <v>4600</v>
      </c>
      <c r="U110" s="128">
        <v>8</v>
      </c>
      <c r="V110" s="128">
        <v>-1</v>
      </c>
      <c r="W110" s="128">
        <v>127040</v>
      </c>
      <c r="X110" s="128">
        <v>127041</v>
      </c>
      <c r="Y110" s="128">
        <v>-6149</v>
      </c>
      <c r="Z110" s="128">
        <v>577830</v>
      </c>
      <c r="AA110" s="128">
        <v>82037</v>
      </c>
      <c r="AB110" s="128">
        <v>36961</v>
      </c>
      <c r="AC110" s="128" t="s">
        <v>293</v>
      </c>
      <c r="AD110" s="188">
        <f t="shared" si="2"/>
        <v>2.8998740554156171E-2</v>
      </c>
      <c r="AE110" s="188">
        <v>1.0851857682619648</v>
      </c>
      <c r="AF110" s="188">
        <v>6.7852644836272043E-3</v>
      </c>
      <c r="AG110" s="188">
        <v>0.52493702770780859</v>
      </c>
      <c r="AH110" s="188">
        <v>0.71854408060453401</v>
      </c>
      <c r="AI110" s="188">
        <v>0.21886146978451781</v>
      </c>
      <c r="AJ110" s="188">
        <v>-7.8715365239294708E-6</v>
      </c>
      <c r="AK110" s="188">
        <v>-4.7366372038700564E-3</v>
      </c>
      <c r="AL110" s="188">
        <v>-5.2294794117442936E-2</v>
      </c>
      <c r="AM110" s="129">
        <f t="shared" si="3"/>
        <v>3</v>
      </c>
      <c r="AN110" s="188">
        <v>-1.210051952141058E-2</v>
      </c>
      <c r="AO110" s="188">
        <v>4.5484099496221663E-3</v>
      </c>
      <c r="AP110" s="188">
        <v>0.64575724181360206</v>
      </c>
      <c r="AQ110" s="128">
        <v>2194.7805254186846</v>
      </c>
      <c r="AR110" s="188">
        <v>2.4E-2</v>
      </c>
      <c r="AS110" s="188">
        <v>0.12</v>
      </c>
      <c r="AT110" s="256">
        <v>7.5</v>
      </c>
    </row>
    <row r="111" spans="1:46" x14ac:dyDescent="0.25">
      <c r="A111" t="s">
        <v>294</v>
      </c>
      <c r="B111">
        <v>13526</v>
      </c>
      <c r="C111">
        <v>51437</v>
      </c>
      <c r="D111">
        <v>291031</v>
      </c>
      <c r="E111">
        <v>1940</v>
      </c>
      <c r="F111">
        <v>0</v>
      </c>
      <c r="G111">
        <v>1232</v>
      </c>
      <c r="H111">
        <v>18</v>
      </c>
      <c r="I111">
        <v>19468</v>
      </c>
      <c r="J111">
        <v>6</v>
      </c>
      <c r="K111">
        <v>22398</v>
      </c>
      <c r="L111">
        <v>10018</v>
      </c>
      <c r="M111">
        <v>6135</v>
      </c>
      <c r="N111">
        <v>71266</v>
      </c>
      <c r="O111">
        <v>35446</v>
      </c>
      <c r="P111">
        <v>248360</v>
      </c>
      <c r="Q111">
        <v>140</v>
      </c>
      <c r="R111">
        <v>30356</v>
      </c>
      <c r="S111">
        <v>13654</v>
      </c>
      <c r="T111">
        <v>17987</v>
      </c>
      <c r="U111" s="128">
        <v>-154</v>
      </c>
      <c r="V111" s="128">
        <v>7349</v>
      </c>
      <c r="W111" s="128">
        <v>279363</v>
      </c>
      <c r="X111" s="128">
        <v>272014</v>
      </c>
      <c r="Y111" s="128">
        <v>39449</v>
      </c>
      <c r="Z111" s="128">
        <v>2809282</v>
      </c>
      <c r="AA111" s="128">
        <v>189873</v>
      </c>
      <c r="AB111" s="128">
        <v>73456</v>
      </c>
      <c r="AC111" s="128" t="s">
        <v>294</v>
      </c>
      <c r="AD111" s="188">
        <f t="shared" si="2"/>
        <v>7.280133732813579E-2</v>
      </c>
      <c r="AE111" s="188">
        <v>0.9689758486270551</v>
      </c>
      <c r="AF111" s="188">
        <v>4.4100328246761385E-3</v>
      </c>
      <c r="AG111" s="188">
        <v>6.9708587035505781E-2</v>
      </c>
      <c r="AH111" s="188">
        <v>0.92070904164116218</v>
      </c>
      <c r="AI111" s="188">
        <v>0.17081606580874334</v>
      </c>
      <c r="AJ111" s="188">
        <v>2.630627534784492E-2</v>
      </c>
      <c r="AK111" s="188">
        <v>3.1635838601420434E-2</v>
      </c>
      <c r="AL111" s="188">
        <v>3.5765693053287757E-2</v>
      </c>
      <c r="AM111" s="129">
        <f t="shared" si="3"/>
        <v>0</v>
      </c>
      <c r="AN111" s="188">
        <v>3.5302634923021305E-2</v>
      </c>
      <c r="AO111" s="188">
        <v>1.0056027462477137E-2</v>
      </c>
      <c r="AP111" s="188">
        <v>0.67966409295432828</v>
      </c>
      <c r="AQ111" s="128">
        <v>1846.4920496623824</v>
      </c>
      <c r="AR111" s="188">
        <v>1.7000000000000001E-2</v>
      </c>
      <c r="AS111" s="188">
        <v>8.4000000000000005E-2</v>
      </c>
      <c r="AT111" s="256">
        <v>8</v>
      </c>
    </row>
    <row r="112" spans="1:46" x14ac:dyDescent="0.25">
      <c r="A112" t="s">
        <v>121</v>
      </c>
      <c r="B112">
        <v>2605</v>
      </c>
      <c r="C112">
        <v>147802</v>
      </c>
      <c r="D112">
        <v>1178830</v>
      </c>
      <c r="E112">
        <v>19415</v>
      </c>
      <c r="F112">
        <v>284420</v>
      </c>
      <c r="G112">
        <v>96897</v>
      </c>
      <c r="H112">
        <v>0</v>
      </c>
      <c r="I112">
        <v>72703</v>
      </c>
      <c r="J112">
        <v>1981</v>
      </c>
      <c r="K112">
        <v>132997</v>
      </c>
      <c r="L112">
        <v>20063</v>
      </c>
      <c r="M112">
        <v>54794</v>
      </c>
      <c r="N112">
        <v>231962</v>
      </c>
      <c r="O112">
        <v>48122</v>
      </c>
      <c r="P112">
        <v>1465704</v>
      </c>
      <c r="Q112">
        <v>1089</v>
      </c>
      <c r="R112">
        <v>72853</v>
      </c>
      <c r="S112">
        <v>120481</v>
      </c>
      <c r="T112">
        <v>72296</v>
      </c>
      <c r="U112" s="128">
        <v>41</v>
      </c>
      <c r="V112" s="128">
        <v>-29562</v>
      </c>
      <c r="W112" s="128">
        <v>1030079</v>
      </c>
      <c r="X112" s="128">
        <v>1059641</v>
      </c>
      <c r="Y112" s="128">
        <v>344019</v>
      </c>
      <c r="Z112" s="128">
        <v>-25321605</v>
      </c>
      <c r="AA112" s="128">
        <v>713840</v>
      </c>
      <c r="AB112" s="128">
        <v>233053</v>
      </c>
      <c r="AC112" s="128" t="s">
        <v>121</v>
      </c>
      <c r="AD112" s="188">
        <f t="shared" si="2"/>
        <v>5.1248496474542243E-2</v>
      </c>
      <c r="AE112" s="188">
        <v>1.1098682722393136</v>
      </c>
      <c r="AF112" s="188">
        <v>0.37018228698963868</v>
      </c>
      <c r="AG112" s="188">
        <v>7.2503176940797748E-2</v>
      </c>
      <c r="AH112" s="188">
        <v>1.1035379228195117</v>
      </c>
      <c r="AI112" s="188">
        <v>0.11526022021289864</v>
      </c>
      <c r="AJ112" s="188">
        <v>-2.8698769706012841E-2</v>
      </c>
      <c r="AK112" s="188">
        <v>-1.8370860887809429E-2</v>
      </c>
      <c r="AL112" s="188">
        <v>-2.6255596742761171E-2</v>
      </c>
      <c r="AM112" s="129">
        <f t="shared" si="3"/>
        <v>3</v>
      </c>
      <c r="AN112" s="188">
        <v>8.3493353422407407E-2</v>
      </c>
      <c r="AO112" s="188">
        <v>-2.4582197093620976E-2</v>
      </c>
      <c r="AP112" s="188">
        <v>0.69299539161559454</v>
      </c>
      <c r="AQ112" s="128">
        <v>2502.0739316807767</v>
      </c>
      <c r="AR112" s="188">
        <v>3.1E-2</v>
      </c>
      <c r="AS112" s="188">
        <v>0.156</v>
      </c>
      <c r="AT112" s="256">
        <v>5</v>
      </c>
    </row>
    <row r="113" spans="1:46" x14ac:dyDescent="0.25">
      <c r="A113" t="s">
        <v>406</v>
      </c>
      <c r="B113">
        <v>74</v>
      </c>
      <c r="C113">
        <v>-5165</v>
      </c>
      <c r="D113">
        <v>42079</v>
      </c>
      <c r="E113">
        <v>484</v>
      </c>
      <c r="F113">
        <v>4976</v>
      </c>
      <c r="G113">
        <v>913</v>
      </c>
      <c r="H113">
        <v>0</v>
      </c>
      <c r="I113">
        <v>1555</v>
      </c>
      <c r="J113">
        <v>0</v>
      </c>
      <c r="K113">
        <v>996</v>
      </c>
      <c r="L113">
        <v>3349</v>
      </c>
      <c r="M113">
        <v>184</v>
      </c>
      <c r="N113">
        <v>9957</v>
      </c>
      <c r="O113">
        <v>2902</v>
      </c>
      <c r="P113">
        <v>29202</v>
      </c>
      <c r="Q113">
        <v>5</v>
      </c>
      <c r="R113">
        <v>6000</v>
      </c>
      <c r="S113">
        <v>1152</v>
      </c>
      <c r="T113">
        <v>227</v>
      </c>
      <c r="U113" s="128">
        <v>-11</v>
      </c>
      <c r="V113" s="128">
        <v>-1841</v>
      </c>
      <c r="W113" s="128">
        <v>34594</v>
      </c>
      <c r="X113" s="128">
        <v>36435</v>
      </c>
      <c r="Y113" s="128">
        <v>5646</v>
      </c>
      <c r="Z113" s="128">
        <v>-104000</v>
      </c>
      <c r="AA113" s="128">
        <v>23429</v>
      </c>
      <c r="AB113" s="128">
        <v>14183</v>
      </c>
      <c r="AC113" s="128" t="s">
        <v>406</v>
      </c>
      <c r="AD113" s="188">
        <f t="shared" si="2"/>
        <v>7.6631785858819454E-2</v>
      </c>
      <c r="AE113" s="188">
        <v>0.75643175117072325</v>
      </c>
      <c r="AF113" s="188">
        <v>0.17023183210961437</v>
      </c>
      <c r="AG113" s="188">
        <v>4.4949991327975947E-2</v>
      </c>
      <c r="AH113" s="188">
        <v>0.7453945770942938</v>
      </c>
      <c r="AI113" s="188">
        <v>0.20137526544645565</v>
      </c>
      <c r="AJ113" s="188">
        <v>-5.3217320922703357E-2</v>
      </c>
      <c r="AK113" s="188">
        <v>-4.1019630823322592E-3</v>
      </c>
      <c r="AL113" s="188">
        <v>-8.2796660703637448E-2</v>
      </c>
      <c r="AM113" s="129">
        <f t="shared" si="3"/>
        <v>3</v>
      </c>
      <c r="AN113" s="188">
        <v>4.0801873157194891E-2</v>
      </c>
      <c r="AO113" s="188">
        <v>-3.0063016708099669E-3</v>
      </c>
      <c r="AP113" s="188">
        <v>0.67725617159044926</v>
      </c>
      <c r="AQ113" s="128">
        <v>1778.6285694140872</v>
      </c>
      <c r="AR113" s="188">
        <v>4.4000000000000004E-2</v>
      </c>
      <c r="AS113" s="188">
        <v>0.218</v>
      </c>
      <c r="AT113" s="256">
        <v>7</v>
      </c>
    </row>
    <row r="114" spans="1:46" x14ac:dyDescent="0.25">
      <c r="A114" t="s">
        <v>147</v>
      </c>
      <c r="B114">
        <v>1873</v>
      </c>
      <c r="C114">
        <v>2485</v>
      </c>
      <c r="D114">
        <v>46656</v>
      </c>
      <c r="E114">
        <v>682</v>
      </c>
      <c r="F114">
        <v>316</v>
      </c>
      <c r="G114">
        <v>7584</v>
      </c>
      <c r="H114">
        <v>4596</v>
      </c>
      <c r="I114">
        <v>5227</v>
      </c>
      <c r="J114">
        <v>0</v>
      </c>
      <c r="K114">
        <v>5826</v>
      </c>
      <c r="L114">
        <v>211</v>
      </c>
      <c r="M114">
        <v>883</v>
      </c>
      <c r="N114">
        <v>-198</v>
      </c>
      <c r="O114">
        <v>6973</v>
      </c>
      <c r="P114">
        <v>58335</v>
      </c>
      <c r="Q114">
        <v>0</v>
      </c>
      <c r="R114">
        <v>0</v>
      </c>
      <c r="S114">
        <v>5245</v>
      </c>
      <c r="T114">
        <v>5987</v>
      </c>
      <c r="U114" s="128">
        <v>6</v>
      </c>
      <c r="V114" s="128">
        <v>-2888</v>
      </c>
      <c r="W114" s="128">
        <v>56703</v>
      </c>
      <c r="X114" s="128">
        <v>59591</v>
      </c>
      <c r="Y114" s="128">
        <v>-3119</v>
      </c>
      <c r="Z114" s="128">
        <v>1054502</v>
      </c>
      <c r="AA114" s="128">
        <v>39180</v>
      </c>
      <c r="AB114" s="128">
        <v>24326</v>
      </c>
      <c r="AC114" s="128" t="s">
        <v>147</v>
      </c>
      <c r="AD114" s="188">
        <f t="shared" si="2"/>
        <v>-3.7211435021074725E-3</v>
      </c>
      <c r="AE114" s="188">
        <v>0.88445055817152529</v>
      </c>
      <c r="AF114" s="188">
        <v>0.13932243443909492</v>
      </c>
      <c r="AG114" s="188">
        <v>9.2182071495335347E-2</v>
      </c>
      <c r="AH114" s="188">
        <v>0.83664180025748192</v>
      </c>
      <c r="AI114" s="188">
        <v>-2.5935919939220876E-3</v>
      </c>
      <c r="AJ114" s="188">
        <v>-5.0932049450646354E-2</v>
      </c>
      <c r="AK114" s="188">
        <v>4.442936806049675E-2</v>
      </c>
      <c r="AL114" s="188">
        <v>2.9674547624423441E-3</v>
      </c>
      <c r="AM114" s="129">
        <f t="shared" si="3"/>
        <v>1</v>
      </c>
      <c r="AN114" s="188">
        <v>-1.3751476994162567E-2</v>
      </c>
      <c r="AO114" s="188">
        <v>1.859693490644234E-2</v>
      </c>
      <c r="AP114" s="188">
        <v>0.69096873181313156</v>
      </c>
      <c r="AQ114" s="128">
        <v>1604.7770286935788</v>
      </c>
      <c r="AR114" s="188">
        <v>3.7999999999999999E-2</v>
      </c>
      <c r="AS114" s="188">
        <v>0.191</v>
      </c>
      <c r="AT114" s="256">
        <v>7</v>
      </c>
    </row>
    <row r="115" spans="1:46" x14ac:dyDescent="0.25">
      <c r="A115" t="s">
        <v>369</v>
      </c>
      <c r="B115">
        <v>1112</v>
      </c>
      <c r="C115">
        <v>3136</v>
      </c>
      <c r="D115">
        <v>18438</v>
      </c>
      <c r="E115">
        <v>29</v>
      </c>
      <c r="F115">
        <v>1627</v>
      </c>
      <c r="G115">
        <v>653</v>
      </c>
      <c r="H115">
        <v>43</v>
      </c>
      <c r="I115">
        <v>7835</v>
      </c>
      <c r="J115">
        <v>4</v>
      </c>
      <c r="K115">
        <v>7208</v>
      </c>
      <c r="L115">
        <v>0</v>
      </c>
      <c r="M115">
        <v>133</v>
      </c>
      <c r="N115">
        <v>16543</v>
      </c>
      <c r="O115">
        <v>13782</v>
      </c>
      <c r="P115">
        <v>3682</v>
      </c>
      <c r="Q115">
        <v>3</v>
      </c>
      <c r="R115">
        <v>2350</v>
      </c>
      <c r="S115">
        <v>2839</v>
      </c>
      <c r="T115">
        <v>1020</v>
      </c>
      <c r="U115" s="128">
        <v>-8</v>
      </c>
      <c r="V115" s="128">
        <v>-333</v>
      </c>
      <c r="W115" s="128">
        <v>31749</v>
      </c>
      <c r="X115" s="128">
        <v>32082</v>
      </c>
      <c r="Y115" s="128">
        <v>1965</v>
      </c>
      <c r="Z115" s="128">
        <v>1076225</v>
      </c>
      <c r="AA115" s="128">
        <v>18952</v>
      </c>
      <c r="AB115" s="128">
        <v>14344</v>
      </c>
      <c r="AC115" s="128" t="s">
        <v>369</v>
      </c>
      <c r="AD115" s="188">
        <f>SUM(R115,-L115)/W115</f>
        <v>7.4018079309584553E-2</v>
      </c>
      <c r="AE115" s="188">
        <v>7.2443226558316798E-3</v>
      </c>
      <c r="AF115" s="188">
        <v>7.1813285457809697E-2</v>
      </c>
      <c r="AG115" s="188">
        <v>0.24690541434375887</v>
      </c>
      <c r="AH115" s="188">
        <v>-0.15697187312986235</v>
      </c>
      <c r="AI115" s="188">
        <v>0.4113230065391979</v>
      </c>
      <c r="AJ115" s="188">
        <v>-1.0488519323443258E-2</v>
      </c>
      <c r="AK115" s="188">
        <v>6.9758672699849174E-3</v>
      </c>
      <c r="AL115" s="188">
        <v>-0.13496643874286432</v>
      </c>
      <c r="AM115" s="129">
        <f>COUNTIF(AJ115:AL115,"&lt;0")</f>
        <v>2</v>
      </c>
      <c r="AN115" s="188">
        <v>1.5472928281205707E-2</v>
      </c>
      <c r="AO115" s="188">
        <v>3.3897918044662821E-2</v>
      </c>
      <c r="AP115" s="188">
        <v>0.5969321868405304</v>
      </c>
      <c r="AQ115" s="128">
        <v>1476.2428890128276</v>
      </c>
      <c r="AR115" s="188">
        <v>0.05</v>
      </c>
      <c r="AS115" s="188">
        <v>0.25</v>
      </c>
      <c r="AT115" s="256">
        <v>7.5</v>
      </c>
    </row>
    <row r="116" spans="1:46" x14ac:dyDescent="0.25">
      <c r="A116" t="s">
        <v>252</v>
      </c>
      <c r="B116">
        <v>4549</v>
      </c>
      <c r="C116">
        <v>17139</v>
      </c>
      <c r="D116">
        <v>606619</v>
      </c>
      <c r="E116">
        <v>12461</v>
      </c>
      <c r="F116">
        <v>0</v>
      </c>
      <c r="G116">
        <v>9877</v>
      </c>
      <c r="H116">
        <v>5161</v>
      </c>
      <c r="I116">
        <v>14220</v>
      </c>
      <c r="J116">
        <v>213</v>
      </c>
      <c r="K116">
        <v>46152</v>
      </c>
      <c r="L116">
        <v>273</v>
      </c>
      <c r="M116">
        <v>19688</v>
      </c>
      <c r="N116">
        <v>131889</v>
      </c>
      <c r="O116">
        <v>23399</v>
      </c>
      <c r="P116">
        <v>461974</v>
      </c>
      <c r="Q116">
        <v>382</v>
      </c>
      <c r="R116">
        <v>50513</v>
      </c>
      <c r="S116">
        <v>25868</v>
      </c>
      <c r="T116">
        <v>42328</v>
      </c>
      <c r="U116" s="128">
        <v>-2</v>
      </c>
      <c r="V116" s="128">
        <v>1393</v>
      </c>
      <c r="W116" s="128">
        <v>570541</v>
      </c>
      <c r="X116" s="128">
        <v>569148</v>
      </c>
      <c r="Y116" s="128">
        <v>33141</v>
      </c>
      <c r="Z116" s="128">
        <v>19753281.200000003</v>
      </c>
      <c r="AA116" s="128">
        <v>378749</v>
      </c>
      <c r="AB116" s="128">
        <v>162994</v>
      </c>
      <c r="AC116" s="128" t="s">
        <v>252</v>
      </c>
      <c r="AD116" s="188">
        <f t="shared" si="2"/>
        <v>8.8056774184502085E-2</v>
      </c>
      <c r="AE116" s="188">
        <v>0.87621047391861406</v>
      </c>
      <c r="AF116" s="188">
        <v>1.7311639303748547E-2</v>
      </c>
      <c r="AG116" s="188">
        <v>2.5297042631467325E-2</v>
      </c>
      <c r="AH116" s="188">
        <v>0.86057994079303679</v>
      </c>
      <c r="AI116" s="188">
        <v>0.17911110567893387</v>
      </c>
      <c r="AJ116" s="188">
        <v>2.441542325617265E-3</v>
      </c>
      <c r="AK116" s="188">
        <v>4.7277200799642934E-2</v>
      </c>
      <c r="AL116" s="188">
        <v>6.6208080960708186E-3</v>
      </c>
      <c r="AM116" s="129">
        <f t="shared" si="3"/>
        <v>0</v>
      </c>
      <c r="AN116" s="188">
        <v>1.452174339793284E-2</v>
      </c>
      <c r="AO116" s="188">
        <v>3.4622018750624407E-2</v>
      </c>
      <c r="AP116" s="188">
        <v>0.66384186237273046</v>
      </c>
      <c r="AQ116" s="128">
        <v>2002.4058738358472</v>
      </c>
      <c r="AR116" s="188">
        <v>2.7999999999999997E-2</v>
      </c>
      <c r="AS116" s="188">
        <v>0.13900000000000001</v>
      </c>
      <c r="AT116" s="256">
        <v>8</v>
      </c>
    </row>
    <row r="117" spans="1:46" x14ac:dyDescent="0.25">
      <c r="A117" t="s">
        <v>253</v>
      </c>
      <c r="B117">
        <v>48906</v>
      </c>
      <c r="C117">
        <v>122659</v>
      </c>
      <c r="D117">
        <v>452219</v>
      </c>
      <c r="E117">
        <v>32878</v>
      </c>
      <c r="F117">
        <v>38985</v>
      </c>
      <c r="G117">
        <v>2188</v>
      </c>
      <c r="H117">
        <v>38090</v>
      </c>
      <c r="I117">
        <v>95415</v>
      </c>
      <c r="J117">
        <v>3698</v>
      </c>
      <c r="K117">
        <v>56652</v>
      </c>
      <c r="L117">
        <v>18</v>
      </c>
      <c r="M117">
        <v>24573</v>
      </c>
      <c r="N117">
        <v>318894</v>
      </c>
      <c r="O117">
        <v>34071</v>
      </c>
      <c r="P117">
        <v>412177</v>
      </c>
      <c r="Q117">
        <v>0</v>
      </c>
      <c r="R117">
        <v>44838</v>
      </c>
      <c r="S117">
        <v>28668</v>
      </c>
      <c r="T117">
        <v>77634</v>
      </c>
      <c r="U117" s="128">
        <v>365</v>
      </c>
      <c r="V117" s="128">
        <v>2383</v>
      </c>
      <c r="W117" s="128">
        <v>448852</v>
      </c>
      <c r="X117" s="128">
        <v>446469</v>
      </c>
      <c r="Y117" s="128">
        <v>127088</v>
      </c>
      <c r="Z117" s="128">
        <v>750330.5</v>
      </c>
      <c r="AA117" s="128">
        <v>217677</v>
      </c>
      <c r="AB117" s="128">
        <v>155884</v>
      </c>
      <c r="AC117" s="128" t="s">
        <v>253</v>
      </c>
      <c r="AD117" s="188">
        <f t="shared" si="2"/>
        <v>9.9854740538083825E-2</v>
      </c>
      <c r="AE117" s="188">
        <v>0.89742498640977431</v>
      </c>
      <c r="AF117" s="188">
        <v>9.1729567875379864E-2</v>
      </c>
      <c r="AG117" s="188">
        <v>0.22081443326530795</v>
      </c>
      <c r="AH117" s="188">
        <v>0.75386243126910435</v>
      </c>
      <c r="AI117" s="188">
        <v>0.3480304098519888</v>
      </c>
      <c r="AJ117" s="188">
        <v>5.3090996586848222E-3</v>
      </c>
      <c r="AK117" s="188">
        <v>6.9750604447672102E-2</v>
      </c>
      <c r="AL117" s="188">
        <v>2.2952596635890291E-2</v>
      </c>
      <c r="AM117" s="129">
        <f t="shared" si="3"/>
        <v>0</v>
      </c>
      <c r="AN117" s="188">
        <v>7.0785024907987493E-2</v>
      </c>
      <c r="AO117" s="188">
        <v>1.6716657160935008E-3</v>
      </c>
      <c r="AP117" s="188">
        <v>0.48496386336698954</v>
      </c>
      <c r="AQ117" s="128">
        <v>1728.4035821508305</v>
      </c>
      <c r="AR117" s="188">
        <v>1.8000000000000002E-2</v>
      </c>
      <c r="AS117" s="188">
        <v>9.0999999999999998E-2</v>
      </c>
      <c r="AT117" s="256">
        <v>7</v>
      </c>
    </row>
    <row r="118" spans="1:46" x14ac:dyDescent="0.25">
      <c r="A118" t="s">
        <v>370</v>
      </c>
      <c r="B118">
        <v>0</v>
      </c>
      <c r="C118">
        <v>11170</v>
      </c>
      <c r="D118">
        <v>58467</v>
      </c>
      <c r="E118">
        <v>676</v>
      </c>
      <c r="F118">
        <v>0</v>
      </c>
      <c r="G118">
        <v>3161</v>
      </c>
      <c r="H118">
        <v>0</v>
      </c>
      <c r="I118">
        <v>3826</v>
      </c>
      <c r="J118">
        <v>15</v>
      </c>
      <c r="K118">
        <v>5935</v>
      </c>
      <c r="L118">
        <v>1092</v>
      </c>
      <c r="M118">
        <v>2686</v>
      </c>
      <c r="N118">
        <v>16379</v>
      </c>
      <c r="O118">
        <v>2301</v>
      </c>
      <c r="P118">
        <v>61171</v>
      </c>
      <c r="Q118">
        <v>0</v>
      </c>
      <c r="R118">
        <v>0</v>
      </c>
      <c r="S118">
        <v>4234</v>
      </c>
      <c r="T118">
        <v>2943</v>
      </c>
      <c r="U118" s="128">
        <v>0</v>
      </c>
      <c r="V118" s="128">
        <v>-493</v>
      </c>
      <c r="W118" s="128">
        <v>72715</v>
      </c>
      <c r="X118" s="128">
        <v>73208</v>
      </c>
      <c r="Y118" s="128">
        <v>25602</v>
      </c>
      <c r="Z118" s="128">
        <v>2268579</v>
      </c>
      <c r="AA118" s="128">
        <v>51367</v>
      </c>
      <c r="AB118" s="128">
        <v>30262</v>
      </c>
      <c r="AC118" s="128" t="s">
        <v>370</v>
      </c>
      <c r="AD118" s="188">
        <f t="shared" si="2"/>
        <v>-1.5017534208897752E-2</v>
      </c>
      <c r="AE118" s="188">
        <v>0.76289623874028745</v>
      </c>
      <c r="AF118" s="188">
        <v>4.347108574571959E-2</v>
      </c>
      <c r="AG118" s="188">
        <v>5.2822663824520388E-2</v>
      </c>
      <c r="AH118" s="188">
        <v>0.73113690435260947</v>
      </c>
      <c r="AI118" s="188">
        <v>0.18820379647929403</v>
      </c>
      <c r="AJ118" s="188">
        <v>-6.7798941071305786E-3</v>
      </c>
      <c r="AK118" s="188">
        <v>1.1967798872099531E-2</v>
      </c>
      <c r="AL118" s="188">
        <v>-1.0722905867922289E-2</v>
      </c>
      <c r="AM118" s="129">
        <f t="shared" si="3"/>
        <v>2</v>
      </c>
      <c r="AN118" s="188">
        <v>8.8021728666712512E-2</v>
      </c>
      <c r="AO118" s="188">
        <v>3.1198225950629172E-2</v>
      </c>
      <c r="AP118" s="188">
        <v>0.70641545760847146</v>
      </c>
      <c r="AQ118" s="128">
        <v>1587.872182935695</v>
      </c>
      <c r="AR118" s="188">
        <v>3.7000000000000005E-2</v>
      </c>
      <c r="AS118" s="188">
        <v>0.183</v>
      </c>
      <c r="AT118" s="256">
        <v>7</v>
      </c>
    </row>
    <row r="119" spans="1:46" x14ac:dyDescent="0.25">
      <c r="A119" t="s">
        <v>148</v>
      </c>
      <c r="B119">
        <v>7373</v>
      </c>
      <c r="C119">
        <v>20787</v>
      </c>
      <c r="D119">
        <v>156495</v>
      </c>
      <c r="E119">
        <v>15095</v>
      </c>
      <c r="F119">
        <v>1</v>
      </c>
      <c r="G119">
        <v>5808</v>
      </c>
      <c r="H119">
        <v>0</v>
      </c>
      <c r="I119">
        <v>30603</v>
      </c>
      <c r="J119">
        <v>0</v>
      </c>
      <c r="K119">
        <v>15813</v>
      </c>
      <c r="L119">
        <v>3024</v>
      </c>
      <c r="M119">
        <v>3796</v>
      </c>
      <c r="N119">
        <v>89566</v>
      </c>
      <c r="O119">
        <v>20852</v>
      </c>
      <c r="P119">
        <v>120208</v>
      </c>
      <c r="Q119">
        <v>688</v>
      </c>
      <c r="R119">
        <v>0</v>
      </c>
      <c r="S119">
        <v>18613</v>
      </c>
      <c r="T119">
        <v>8868</v>
      </c>
      <c r="U119" s="128">
        <v>-65</v>
      </c>
      <c r="V119" s="128">
        <v>291</v>
      </c>
      <c r="W119" s="128">
        <v>185549</v>
      </c>
      <c r="X119" s="128">
        <v>185258</v>
      </c>
      <c r="Y119" s="128">
        <v>14418</v>
      </c>
      <c r="Z119" s="128">
        <v>522340</v>
      </c>
      <c r="AA119" s="128">
        <v>108552</v>
      </c>
      <c r="AB119" s="128">
        <v>60922</v>
      </c>
      <c r="AC119" s="128" t="s">
        <v>148</v>
      </c>
      <c r="AD119" s="188">
        <f t="shared" si="2"/>
        <v>-1.6297581770852981E-2</v>
      </c>
      <c r="AE119" s="188">
        <v>0.64637912357382687</v>
      </c>
      <c r="AF119" s="188">
        <v>3.1307094082964608E-2</v>
      </c>
      <c r="AG119" s="188">
        <v>0.16493217425046752</v>
      </c>
      <c r="AH119" s="188">
        <v>0.53468345288845531</v>
      </c>
      <c r="AI119" s="188">
        <v>0.34608860294827953</v>
      </c>
      <c r="AJ119" s="188">
        <v>1.5683188807269239E-3</v>
      </c>
      <c r="AK119" s="188">
        <v>6.6735024682565022E-2</v>
      </c>
      <c r="AL119" s="188">
        <v>6.2923096573425763E-2</v>
      </c>
      <c r="AM119" s="129">
        <f t="shared" si="3"/>
        <v>0</v>
      </c>
      <c r="AN119" s="188">
        <v>1.9426135414364939E-2</v>
      </c>
      <c r="AO119" s="188">
        <v>2.8151054438450224E-3</v>
      </c>
      <c r="AP119" s="188">
        <v>0.58503144721879397</v>
      </c>
      <c r="AQ119" s="128">
        <v>1824.9480811529497</v>
      </c>
      <c r="AR119" s="188">
        <v>3.4000000000000002E-2</v>
      </c>
      <c r="AS119" s="188">
        <v>0.17</v>
      </c>
      <c r="AT119" s="256">
        <v>9</v>
      </c>
    </row>
    <row r="120" spans="1:46" x14ac:dyDescent="0.25">
      <c r="A120" t="s">
        <v>183</v>
      </c>
      <c r="B120">
        <v>3754</v>
      </c>
      <c r="C120">
        <v>152178</v>
      </c>
      <c r="D120">
        <v>78851</v>
      </c>
      <c r="E120">
        <v>3590</v>
      </c>
      <c r="F120">
        <v>0</v>
      </c>
      <c r="G120">
        <v>727</v>
      </c>
      <c r="H120">
        <v>0</v>
      </c>
      <c r="I120">
        <v>10426</v>
      </c>
      <c r="J120">
        <v>3343</v>
      </c>
      <c r="K120">
        <v>19210</v>
      </c>
      <c r="L120">
        <v>47802</v>
      </c>
      <c r="M120">
        <v>44</v>
      </c>
      <c r="N120">
        <v>81114</v>
      </c>
      <c r="O120">
        <v>89502</v>
      </c>
      <c r="P120">
        <v>125143</v>
      </c>
      <c r="Q120">
        <v>285</v>
      </c>
      <c r="R120">
        <v>0</v>
      </c>
      <c r="S120">
        <v>12684</v>
      </c>
      <c r="T120">
        <v>11195</v>
      </c>
      <c r="U120" s="128">
        <v>2</v>
      </c>
      <c r="V120" s="128">
        <v>-4774</v>
      </c>
      <c r="W120" s="128">
        <v>170985</v>
      </c>
      <c r="X120" s="128">
        <v>175759</v>
      </c>
      <c r="Y120" s="128">
        <v>154529</v>
      </c>
      <c r="Z120" s="128">
        <v>3093925.5</v>
      </c>
      <c r="AA120" s="128">
        <v>87519</v>
      </c>
      <c r="AB120" s="128">
        <v>48349</v>
      </c>
      <c r="AC120" s="128" t="s">
        <v>183</v>
      </c>
      <c r="AD120" s="188">
        <f t="shared" si="2"/>
        <v>-0.27956838319150801</v>
      </c>
      <c r="AE120" s="188">
        <v>0.47679036172763695</v>
      </c>
      <c r="AF120" s="188">
        <v>4.2518349562827148E-3</v>
      </c>
      <c r="AG120" s="188">
        <v>8.0527531654823528E-2</v>
      </c>
      <c r="AH120" s="188">
        <v>0.42093130976401444</v>
      </c>
      <c r="AI120" s="188">
        <v>0.25354225860597707</v>
      </c>
      <c r="AJ120" s="188">
        <v>-2.7920577828464486E-2</v>
      </c>
      <c r="AK120" s="188">
        <v>-2.8649751186205299E-2</v>
      </c>
      <c r="AL120" s="188">
        <v>-5.6983956478048443E-2</v>
      </c>
      <c r="AM120" s="129">
        <f t="shared" si="3"/>
        <v>3</v>
      </c>
      <c r="AN120" s="188">
        <v>0.22593940988975642</v>
      </c>
      <c r="AO120" s="188">
        <v>1.8094718834985524E-2</v>
      </c>
      <c r="AP120" s="188">
        <v>0.51185191683481002</v>
      </c>
      <c r="AQ120" s="128">
        <v>2864.2810606217295</v>
      </c>
      <c r="AR120" s="188">
        <v>3.6000000000000004E-2</v>
      </c>
      <c r="AS120" s="188">
        <v>0.17800000000000002</v>
      </c>
      <c r="AT120" s="256">
        <v>7</v>
      </c>
    </row>
    <row r="121" spans="1:46" x14ac:dyDescent="0.25">
      <c r="A121" t="s">
        <v>295</v>
      </c>
      <c r="B121">
        <v>3220</v>
      </c>
      <c r="C121">
        <v>10931</v>
      </c>
      <c r="D121">
        <v>31963</v>
      </c>
      <c r="E121">
        <v>822</v>
      </c>
      <c r="F121">
        <v>0</v>
      </c>
      <c r="G121">
        <v>109</v>
      </c>
      <c r="H121">
        <v>0</v>
      </c>
      <c r="I121">
        <v>3655</v>
      </c>
      <c r="J121">
        <v>0</v>
      </c>
      <c r="K121">
        <v>3647</v>
      </c>
      <c r="L121">
        <v>511</v>
      </c>
      <c r="M121">
        <v>8537</v>
      </c>
      <c r="N121">
        <v>17094</v>
      </c>
      <c r="O121">
        <v>4484</v>
      </c>
      <c r="P121">
        <v>29013</v>
      </c>
      <c r="Q121">
        <v>1</v>
      </c>
      <c r="R121">
        <v>6000</v>
      </c>
      <c r="S121">
        <v>3570</v>
      </c>
      <c r="T121">
        <v>3207</v>
      </c>
      <c r="U121" s="128">
        <v>31</v>
      </c>
      <c r="V121" s="128">
        <v>132</v>
      </c>
      <c r="W121" s="128">
        <v>39619</v>
      </c>
      <c r="X121" s="128">
        <v>39487</v>
      </c>
      <c r="Y121" s="128">
        <v>1821</v>
      </c>
      <c r="Z121" s="128">
        <v>1177204</v>
      </c>
      <c r="AA121" s="128">
        <v>25717</v>
      </c>
      <c r="AB121" s="128">
        <v>18275</v>
      </c>
      <c r="AC121" s="128" t="s">
        <v>295</v>
      </c>
      <c r="AD121" s="188">
        <f t="shared" si="2"/>
        <v>0.13854463767384337</v>
      </c>
      <c r="AE121" s="188">
        <v>0.73164390822585124</v>
      </c>
      <c r="AF121" s="188">
        <v>2.7512052298139782E-3</v>
      </c>
      <c r="AG121" s="188">
        <v>9.2253716651101741E-2</v>
      </c>
      <c r="AH121" s="188">
        <v>0.66739645119765767</v>
      </c>
      <c r="AI121" s="188">
        <v>0.26975334942953177</v>
      </c>
      <c r="AJ121" s="188">
        <v>3.3317347737196802E-3</v>
      </c>
      <c r="AK121" s="188">
        <v>-6.4298836497244339E-3</v>
      </c>
      <c r="AL121" s="188">
        <v>-5.406084988684938E-3</v>
      </c>
      <c r="AM121" s="129">
        <f t="shared" si="3"/>
        <v>2</v>
      </c>
      <c r="AN121" s="188">
        <v>1.1490698907090032E-2</v>
      </c>
      <c r="AO121" s="188">
        <v>2.9713117443650773E-2</v>
      </c>
      <c r="AP121" s="188">
        <v>0.64910775133143184</v>
      </c>
      <c r="AQ121" s="128">
        <v>1365.2049794801642</v>
      </c>
      <c r="AR121" s="188">
        <v>0.04</v>
      </c>
      <c r="AS121" s="188">
        <v>0.19899999999999998</v>
      </c>
      <c r="AT121" s="256">
        <v>7</v>
      </c>
    </row>
    <row r="122" spans="1:46" x14ac:dyDescent="0.25">
      <c r="A122" t="s">
        <v>130</v>
      </c>
      <c r="B122">
        <v>162</v>
      </c>
      <c r="C122">
        <v>14925</v>
      </c>
      <c r="D122">
        <v>63425</v>
      </c>
      <c r="E122">
        <v>4717</v>
      </c>
      <c r="F122">
        <v>355</v>
      </c>
      <c r="G122">
        <v>510</v>
      </c>
      <c r="H122">
        <v>0</v>
      </c>
      <c r="I122">
        <v>1947</v>
      </c>
      <c r="J122">
        <v>0</v>
      </c>
      <c r="K122">
        <v>14043</v>
      </c>
      <c r="L122">
        <v>19</v>
      </c>
      <c r="M122">
        <v>2756</v>
      </c>
      <c r="N122">
        <v>31458</v>
      </c>
      <c r="O122">
        <v>9961</v>
      </c>
      <c r="P122">
        <v>54817</v>
      </c>
      <c r="Q122">
        <v>27</v>
      </c>
      <c r="R122">
        <v>0</v>
      </c>
      <c r="S122">
        <v>2248</v>
      </c>
      <c r="T122">
        <v>4348</v>
      </c>
      <c r="U122" s="128">
        <v>5</v>
      </c>
      <c r="V122" s="128">
        <v>-1181</v>
      </c>
      <c r="W122" s="128">
        <v>60200</v>
      </c>
      <c r="X122" s="128">
        <v>61381</v>
      </c>
      <c r="Y122" s="128">
        <v>10379</v>
      </c>
      <c r="Z122" s="128">
        <v>149326.00000000047</v>
      </c>
      <c r="AA122" s="128">
        <v>37695</v>
      </c>
      <c r="AB122" s="128">
        <v>15708</v>
      </c>
      <c r="AC122" s="128" t="s">
        <v>130</v>
      </c>
      <c r="AD122" s="188">
        <f t="shared" si="2"/>
        <v>-3.1561461794019931E-4</v>
      </c>
      <c r="AE122" s="188">
        <v>0.72686046511627911</v>
      </c>
      <c r="AF122" s="188">
        <v>1.4368770764119602E-2</v>
      </c>
      <c r="AG122" s="188">
        <v>3.2342192691029899E-2</v>
      </c>
      <c r="AH122" s="188">
        <v>0.70594518272425255</v>
      </c>
      <c r="AI122" s="188">
        <v>0.30583614462516651</v>
      </c>
      <c r="AJ122" s="188">
        <v>-1.9617940199335548E-2</v>
      </c>
      <c r="AK122" s="188">
        <v>3.8256103791549909E-2</v>
      </c>
      <c r="AL122" s="188">
        <v>-2.5365449079033764E-2</v>
      </c>
      <c r="AM122" s="129">
        <f t="shared" si="3"/>
        <v>2</v>
      </c>
      <c r="AN122" s="188">
        <v>4.3102159468438539E-2</v>
      </c>
      <c r="AO122" s="188">
        <v>2.4804983388704398E-3</v>
      </c>
      <c r="AP122" s="188">
        <v>0.62616279069767444</v>
      </c>
      <c r="AQ122" s="128">
        <v>2738.1054239877767</v>
      </c>
      <c r="AR122" s="188">
        <v>2.6000000000000002E-2</v>
      </c>
      <c r="AS122" s="188">
        <v>0.128</v>
      </c>
      <c r="AT122" s="256">
        <v>7</v>
      </c>
    </row>
    <row r="123" spans="1:46" x14ac:dyDescent="0.25">
      <c r="A123" t="s">
        <v>184</v>
      </c>
      <c r="B123">
        <v>621</v>
      </c>
      <c r="C123">
        <v>5434</v>
      </c>
      <c r="D123">
        <v>22413</v>
      </c>
      <c r="E123">
        <v>1702</v>
      </c>
      <c r="F123">
        <v>396</v>
      </c>
      <c r="G123">
        <v>8027</v>
      </c>
      <c r="H123">
        <v>0</v>
      </c>
      <c r="I123">
        <v>-400</v>
      </c>
      <c r="J123">
        <v>0</v>
      </c>
      <c r="K123">
        <v>2970</v>
      </c>
      <c r="L123">
        <v>612</v>
      </c>
      <c r="M123">
        <v>1646</v>
      </c>
      <c r="N123">
        <v>9816</v>
      </c>
      <c r="O123">
        <v>1919</v>
      </c>
      <c r="P123">
        <v>24807</v>
      </c>
      <c r="Q123">
        <v>0</v>
      </c>
      <c r="R123">
        <v>2000</v>
      </c>
      <c r="S123">
        <v>1577</v>
      </c>
      <c r="T123">
        <v>3299</v>
      </c>
      <c r="U123" s="128">
        <v>1</v>
      </c>
      <c r="V123" s="128">
        <v>-351</v>
      </c>
      <c r="W123" s="128">
        <v>30822</v>
      </c>
      <c r="X123" s="128">
        <v>31173</v>
      </c>
      <c r="Y123" s="128">
        <v>5632</v>
      </c>
      <c r="Z123" s="128">
        <v>310342</v>
      </c>
      <c r="AA123" s="128">
        <v>17287</v>
      </c>
      <c r="AB123" s="128">
        <v>12211</v>
      </c>
      <c r="AC123" s="128" t="s">
        <v>184</v>
      </c>
      <c r="AD123" s="188">
        <f t="shared" si="2"/>
        <v>4.5032768801505418E-2</v>
      </c>
      <c r="AE123" s="188">
        <v>0.5850366621244566</v>
      </c>
      <c r="AF123" s="188">
        <v>0.27327882681201737</v>
      </c>
      <c r="AG123" s="188">
        <v>-1.2977743170462656E-2</v>
      </c>
      <c r="AH123" s="188">
        <v>0.6269145415612225</v>
      </c>
      <c r="AI123" s="188">
        <v>0.22608134874936661</v>
      </c>
      <c r="AJ123" s="188">
        <v>-1.1387969632080981E-2</v>
      </c>
      <c r="AK123" s="188">
        <v>2.464884458541006E-2</v>
      </c>
      <c r="AL123" s="188">
        <v>-3.2398032976569277E-2</v>
      </c>
      <c r="AM123" s="129">
        <f t="shared" si="3"/>
        <v>2</v>
      </c>
      <c r="AN123" s="188">
        <v>4.5681655960028551E-2</v>
      </c>
      <c r="AO123" s="188">
        <v>1.0068846927519304E-2</v>
      </c>
      <c r="AP123" s="188">
        <v>0.56086561546946989</v>
      </c>
      <c r="AQ123" s="128">
        <v>1548.2310212103841</v>
      </c>
      <c r="AR123" s="188">
        <v>3.3000000000000002E-2</v>
      </c>
      <c r="AS123" s="188">
        <v>0.16399999999999998</v>
      </c>
      <c r="AT123" s="256">
        <v>8</v>
      </c>
    </row>
    <row r="124" spans="1:46" x14ac:dyDescent="0.25">
      <c r="A124" t="s">
        <v>254</v>
      </c>
      <c r="B124">
        <v>0</v>
      </c>
      <c r="C124">
        <v>1577</v>
      </c>
      <c r="D124">
        <v>79174</v>
      </c>
      <c r="E124">
        <v>0</v>
      </c>
      <c r="F124">
        <v>-342</v>
      </c>
      <c r="G124">
        <v>2419</v>
      </c>
      <c r="H124">
        <v>0</v>
      </c>
      <c r="I124">
        <v>-364</v>
      </c>
      <c r="J124">
        <v>0</v>
      </c>
      <c r="K124">
        <v>1363</v>
      </c>
      <c r="L124">
        <v>3992</v>
      </c>
      <c r="M124">
        <v>6077</v>
      </c>
      <c r="N124">
        <v>53270</v>
      </c>
      <c r="O124">
        <v>6639</v>
      </c>
      <c r="P124">
        <v>26043</v>
      </c>
      <c r="Q124">
        <v>91</v>
      </c>
      <c r="R124">
        <v>2075</v>
      </c>
      <c r="S124">
        <v>119</v>
      </c>
      <c r="T124">
        <v>5661</v>
      </c>
      <c r="U124" s="128">
        <v>7</v>
      </c>
      <c r="V124" s="128">
        <v>-1001</v>
      </c>
      <c r="W124" s="128">
        <v>94583</v>
      </c>
      <c r="X124" s="128">
        <v>95584</v>
      </c>
      <c r="Y124" s="128">
        <v>-3333</v>
      </c>
      <c r="Z124" s="128">
        <v>4547370</v>
      </c>
      <c r="AA124" s="128">
        <v>69425</v>
      </c>
      <c r="AB124" s="128">
        <v>39178</v>
      </c>
      <c r="AC124" s="128" t="s">
        <v>254</v>
      </c>
      <c r="AD124" s="188">
        <f t="shared" si="2"/>
        <v>-2.0267912838459343E-2</v>
      </c>
      <c r="AE124" s="188">
        <v>0.21652939746043157</v>
      </c>
      <c r="AF124" s="188">
        <v>2.1959548756118965E-2</v>
      </c>
      <c r="AG124" s="188">
        <v>-3.8484717126756394E-3</v>
      </c>
      <c r="AH124" s="188">
        <v>0.22185847351003879</v>
      </c>
      <c r="AI124" s="188">
        <v>0.56731772774712985</v>
      </c>
      <c r="AJ124" s="188">
        <v>-1.0583297209858008E-2</v>
      </c>
      <c r="AK124" s="188">
        <v>9.8341444036150555E-2</v>
      </c>
      <c r="AL124" s="188">
        <v>-2.3486317603964663E-2</v>
      </c>
      <c r="AM124" s="129">
        <f t="shared" si="3"/>
        <v>2</v>
      </c>
      <c r="AN124" s="188">
        <v>-8.8097226774367481E-3</v>
      </c>
      <c r="AO124" s="188">
        <v>4.8078090143048959E-2</v>
      </c>
      <c r="AP124" s="188">
        <v>0.73401139739699528</v>
      </c>
      <c r="AQ124" s="128">
        <v>1591.7474858338865</v>
      </c>
      <c r="AR124" s="188">
        <v>0.04</v>
      </c>
      <c r="AS124" s="188">
        <v>0.2</v>
      </c>
      <c r="AT124" s="256">
        <v>6</v>
      </c>
    </row>
    <row r="125" spans="1:46" x14ac:dyDescent="0.25">
      <c r="A125" t="s">
        <v>255</v>
      </c>
      <c r="B125">
        <v>0</v>
      </c>
      <c r="C125">
        <v>2368</v>
      </c>
      <c r="D125">
        <v>55188</v>
      </c>
      <c r="E125">
        <v>1817</v>
      </c>
      <c r="F125">
        <v>0</v>
      </c>
      <c r="G125">
        <v>359</v>
      </c>
      <c r="H125">
        <v>6501</v>
      </c>
      <c r="I125">
        <v>0</v>
      </c>
      <c r="J125">
        <v>2</v>
      </c>
      <c r="K125">
        <v>5107</v>
      </c>
      <c r="L125">
        <v>0</v>
      </c>
      <c r="M125">
        <v>1887</v>
      </c>
      <c r="N125">
        <v>23044</v>
      </c>
      <c r="O125">
        <v>9730</v>
      </c>
      <c r="P125">
        <v>33357</v>
      </c>
      <c r="Q125">
        <v>171</v>
      </c>
      <c r="R125">
        <v>773</v>
      </c>
      <c r="S125">
        <v>2683</v>
      </c>
      <c r="T125">
        <v>3470</v>
      </c>
      <c r="U125" s="128">
        <v>-9</v>
      </c>
      <c r="V125" s="128">
        <v>419</v>
      </c>
      <c r="W125" s="128">
        <v>56985</v>
      </c>
      <c r="X125" s="128">
        <v>56566</v>
      </c>
      <c r="Y125" s="128">
        <v>3451</v>
      </c>
      <c r="Z125" s="128">
        <v>6541459</v>
      </c>
      <c r="AA125" s="128">
        <v>34350</v>
      </c>
      <c r="AB125" s="128">
        <v>27245</v>
      </c>
      <c r="AC125" s="128" t="s">
        <v>255</v>
      </c>
      <c r="AD125" s="188">
        <f t="shared" si="2"/>
        <v>1.3564973238571554E-2</v>
      </c>
      <c r="AE125" s="188">
        <v>0.46678950601035363</v>
      </c>
      <c r="AF125" s="188">
        <v>6.2999034833728174E-3</v>
      </c>
      <c r="AG125" s="188">
        <v>3.5096955339124328E-5</v>
      </c>
      <c r="AH125" s="188">
        <v>0.46752092655962096</v>
      </c>
      <c r="AI125" s="188">
        <v>0.31468837056863497</v>
      </c>
      <c r="AJ125" s="188">
        <v>7.3528121435465473E-3</v>
      </c>
      <c r="AK125" s="188">
        <v>4.1807049958337859E-2</v>
      </c>
      <c r="AL125" s="188">
        <v>4.3977477643248816E-3</v>
      </c>
      <c r="AM125" s="129">
        <f t="shared" si="3"/>
        <v>0</v>
      </c>
      <c r="AN125" s="188">
        <v>1.5139949109414758E-2</v>
      </c>
      <c r="AO125" s="188">
        <v>0.11479264718785645</v>
      </c>
      <c r="AP125" s="188">
        <v>0.60279020794946037</v>
      </c>
      <c r="AQ125" s="128">
        <v>1431.249476968251</v>
      </c>
      <c r="AR125" s="188">
        <v>2.5000000000000001E-2</v>
      </c>
      <c r="AS125" s="188">
        <v>0.127</v>
      </c>
      <c r="AT125" s="256">
        <v>10</v>
      </c>
    </row>
    <row r="126" spans="1:46" x14ac:dyDescent="0.25">
      <c r="A126" t="s">
        <v>185</v>
      </c>
      <c r="B126">
        <v>1464</v>
      </c>
      <c r="C126">
        <v>5448</v>
      </c>
      <c r="D126">
        <v>52418</v>
      </c>
      <c r="E126">
        <v>66</v>
      </c>
      <c r="F126">
        <v>618</v>
      </c>
      <c r="G126">
        <v>644</v>
      </c>
      <c r="H126">
        <v>0</v>
      </c>
      <c r="I126">
        <v>2883</v>
      </c>
      <c r="J126">
        <v>0</v>
      </c>
      <c r="K126">
        <v>5917</v>
      </c>
      <c r="L126">
        <v>21782</v>
      </c>
      <c r="M126">
        <v>1765</v>
      </c>
      <c r="N126">
        <v>23097</v>
      </c>
      <c r="O126">
        <v>6286</v>
      </c>
      <c r="P126">
        <v>49575</v>
      </c>
      <c r="Q126">
        <v>0</v>
      </c>
      <c r="R126">
        <v>10000</v>
      </c>
      <c r="S126">
        <v>1861</v>
      </c>
      <c r="T126">
        <v>2178</v>
      </c>
      <c r="U126" s="128">
        <v>7</v>
      </c>
      <c r="V126" s="128">
        <v>606</v>
      </c>
      <c r="W126" s="128">
        <v>49540</v>
      </c>
      <c r="X126" s="128">
        <v>48934</v>
      </c>
      <c r="Y126" s="128">
        <v>5020</v>
      </c>
      <c r="Z126" s="128">
        <v>170704</v>
      </c>
      <c r="AA126" s="128">
        <v>31151</v>
      </c>
      <c r="AB126" s="128">
        <v>18573</v>
      </c>
      <c r="AC126" s="128" t="s">
        <v>185</v>
      </c>
      <c r="AD126" s="188">
        <f t="shared" si="2"/>
        <v>-0.23782801776342349</v>
      </c>
      <c r="AE126" s="188">
        <v>0.66386758175211946</v>
      </c>
      <c r="AF126" s="188">
        <v>2.5474364150181672E-2</v>
      </c>
      <c r="AG126" s="188">
        <v>5.8195397658457812E-2</v>
      </c>
      <c r="AH126" s="188">
        <v>0.62618772708922077</v>
      </c>
      <c r="AI126" s="188">
        <v>0.24836285041452949</v>
      </c>
      <c r="AJ126" s="188">
        <v>1.223253936213161E-2</v>
      </c>
      <c r="AK126" s="188">
        <v>3.5302090171745619E-2</v>
      </c>
      <c r="AL126" s="188">
        <v>7.4413525477272285E-2</v>
      </c>
      <c r="AM126" s="129">
        <f t="shared" si="3"/>
        <v>0</v>
      </c>
      <c r="AN126" s="188">
        <v>2.533306419055309E-2</v>
      </c>
      <c r="AO126" s="188">
        <v>3.4457811869196609E-3</v>
      </c>
      <c r="AP126" s="188">
        <v>0.62880500605571255</v>
      </c>
      <c r="AQ126" s="128">
        <v>1634.8557045173102</v>
      </c>
      <c r="AR126" s="188">
        <v>3.1E-2</v>
      </c>
      <c r="AS126" s="188">
        <v>0.156</v>
      </c>
      <c r="AT126" s="256">
        <v>10</v>
      </c>
    </row>
    <row r="127" spans="1:46" x14ac:dyDescent="0.25">
      <c r="A127" t="s">
        <v>131</v>
      </c>
      <c r="B127">
        <v>15039</v>
      </c>
      <c r="C127">
        <v>8947</v>
      </c>
      <c r="D127">
        <v>107123</v>
      </c>
      <c r="E127">
        <v>12281</v>
      </c>
      <c r="F127">
        <v>0</v>
      </c>
      <c r="G127">
        <v>238</v>
      </c>
      <c r="H127">
        <v>102</v>
      </c>
      <c r="I127">
        <v>16681</v>
      </c>
      <c r="J127">
        <v>0</v>
      </c>
      <c r="K127">
        <v>16540</v>
      </c>
      <c r="L127">
        <v>19880</v>
      </c>
      <c r="M127">
        <v>1810</v>
      </c>
      <c r="N127">
        <v>42629</v>
      </c>
      <c r="O127">
        <v>18503</v>
      </c>
      <c r="P127">
        <v>124278</v>
      </c>
      <c r="Q127">
        <v>2</v>
      </c>
      <c r="R127">
        <v>0</v>
      </c>
      <c r="S127">
        <v>7575</v>
      </c>
      <c r="T127">
        <v>5654</v>
      </c>
      <c r="U127" s="128">
        <v>-4</v>
      </c>
      <c r="V127" s="128">
        <v>478</v>
      </c>
      <c r="W127" s="128">
        <v>161546</v>
      </c>
      <c r="X127" s="128">
        <v>161068</v>
      </c>
      <c r="Y127" s="128">
        <v>27196</v>
      </c>
      <c r="Z127" s="128">
        <v>-856320</v>
      </c>
      <c r="AA127" s="128">
        <v>104703</v>
      </c>
      <c r="AB127" s="128">
        <v>50432</v>
      </c>
      <c r="AC127" s="128" t="s">
        <v>131</v>
      </c>
      <c r="AD127" s="188">
        <f t="shared" si="2"/>
        <v>-0.12306092382355491</v>
      </c>
      <c r="AE127" s="188">
        <v>0.61245094276552814</v>
      </c>
      <c r="AF127" s="188">
        <v>1.4732645809862207E-3</v>
      </c>
      <c r="AG127" s="188">
        <v>0.10325851460265188</v>
      </c>
      <c r="AH127" s="188">
        <v>0.54034677429339006</v>
      </c>
      <c r="AI127" s="188">
        <v>0.21460322894065173</v>
      </c>
      <c r="AJ127" s="188">
        <v>2.9589095366025775E-3</v>
      </c>
      <c r="AK127" s="188">
        <v>3.0165258074252944E-2</v>
      </c>
      <c r="AL127" s="188">
        <v>6.7373619624211886E-3</v>
      </c>
      <c r="AM127" s="129">
        <f t="shared" si="3"/>
        <v>0</v>
      </c>
      <c r="AN127" s="188">
        <v>4.2087083555148376E-2</v>
      </c>
      <c r="AO127" s="188">
        <v>-5.300781201639162E-3</v>
      </c>
      <c r="AP127" s="188">
        <v>0.6481311824495809</v>
      </c>
      <c r="AQ127" s="128">
        <v>2002.7418305837564</v>
      </c>
      <c r="AR127" s="188">
        <v>2.5000000000000001E-2</v>
      </c>
      <c r="AS127" s="188">
        <v>0.126</v>
      </c>
      <c r="AT127" s="256">
        <v>9</v>
      </c>
    </row>
    <row r="128" spans="1:46" x14ac:dyDescent="0.25">
      <c r="A128" t="s">
        <v>407</v>
      </c>
      <c r="B128">
        <v>27719</v>
      </c>
      <c r="C128">
        <v>18701</v>
      </c>
      <c r="D128">
        <v>308305</v>
      </c>
      <c r="E128">
        <v>2317</v>
      </c>
      <c r="F128">
        <v>0</v>
      </c>
      <c r="G128">
        <v>26965</v>
      </c>
      <c r="H128">
        <v>0</v>
      </c>
      <c r="I128">
        <v>3691</v>
      </c>
      <c r="J128">
        <v>40</v>
      </c>
      <c r="K128">
        <v>37131</v>
      </c>
      <c r="L128">
        <v>1404</v>
      </c>
      <c r="M128">
        <v>14289</v>
      </c>
      <c r="N128">
        <v>19855</v>
      </c>
      <c r="O128">
        <v>20505</v>
      </c>
      <c r="P128">
        <v>279792</v>
      </c>
      <c r="Q128">
        <v>8</v>
      </c>
      <c r="R128">
        <v>62500</v>
      </c>
      <c r="S128">
        <v>13133</v>
      </c>
      <c r="T128">
        <v>44769</v>
      </c>
      <c r="U128" s="128">
        <v>-12</v>
      </c>
      <c r="V128" s="128">
        <v>-7220</v>
      </c>
      <c r="W128" s="128">
        <v>426383</v>
      </c>
      <c r="X128" s="128">
        <v>433603</v>
      </c>
      <c r="Y128" s="128">
        <v>99212</v>
      </c>
      <c r="Z128" s="128">
        <v>-5101743</v>
      </c>
      <c r="AA128" s="128">
        <v>326335</v>
      </c>
      <c r="AB128" s="128">
        <v>87101</v>
      </c>
      <c r="AC128" s="128" t="s">
        <v>407</v>
      </c>
      <c r="AD128" s="188">
        <f t="shared" si="2"/>
        <v>0.14328901480593739</v>
      </c>
      <c r="AE128" s="188">
        <v>0.75146757727207703</v>
      </c>
      <c r="AF128" s="188">
        <v>6.3241264309318146E-2</v>
      </c>
      <c r="AG128" s="188">
        <v>8.7503488647530502E-3</v>
      </c>
      <c r="AH128" s="188">
        <v>0.75293128478386806</v>
      </c>
      <c r="AI128" s="188">
        <v>4.5067436592352496E-2</v>
      </c>
      <c r="AJ128" s="188">
        <v>-1.693313288756822E-2</v>
      </c>
      <c r="AK128" s="188">
        <v>-5.1349063998191953E-2</v>
      </c>
      <c r="AL128" s="188">
        <v>4.8430279554618986E-3</v>
      </c>
      <c r="AM128" s="129">
        <f t="shared" si="3"/>
        <v>2</v>
      </c>
      <c r="AN128" s="188">
        <v>5.8170705680104504E-2</v>
      </c>
      <c r="AO128" s="188">
        <v>-1.1965165121498747E-2</v>
      </c>
      <c r="AP128" s="188">
        <v>0.76535649873470568</v>
      </c>
      <c r="AQ128" s="128">
        <v>2585.4653103867922</v>
      </c>
      <c r="AR128" s="188">
        <v>4.0999999999999995E-2</v>
      </c>
      <c r="AS128" s="188">
        <v>0.20600000000000002</v>
      </c>
      <c r="AT128" s="256">
        <v>3.5</v>
      </c>
    </row>
    <row r="129" spans="1:46" x14ac:dyDescent="0.25">
      <c r="A129" t="s">
        <v>371</v>
      </c>
      <c r="B129">
        <v>36</v>
      </c>
      <c r="C129">
        <v>1842</v>
      </c>
      <c r="D129">
        <v>21310</v>
      </c>
      <c r="E129">
        <v>42</v>
      </c>
      <c r="F129">
        <v>1000</v>
      </c>
      <c r="G129">
        <v>8292</v>
      </c>
      <c r="H129">
        <v>60</v>
      </c>
      <c r="I129">
        <v>2847</v>
      </c>
      <c r="J129">
        <v>1</v>
      </c>
      <c r="K129">
        <v>12106</v>
      </c>
      <c r="L129">
        <v>129</v>
      </c>
      <c r="M129">
        <v>2118</v>
      </c>
      <c r="N129">
        <v>12708</v>
      </c>
      <c r="O129">
        <v>4953</v>
      </c>
      <c r="P129">
        <v>24626</v>
      </c>
      <c r="Q129">
        <v>1844</v>
      </c>
      <c r="R129">
        <v>0</v>
      </c>
      <c r="S129">
        <v>5082</v>
      </c>
      <c r="T129">
        <v>570</v>
      </c>
      <c r="U129" s="128">
        <v>-1</v>
      </c>
      <c r="V129" s="128">
        <v>110</v>
      </c>
      <c r="W129" s="128">
        <v>40424</v>
      </c>
      <c r="X129" s="128">
        <v>40314</v>
      </c>
      <c r="Y129" s="128">
        <v>4525</v>
      </c>
      <c r="Z129" s="128">
        <v>2057754</v>
      </c>
      <c r="AA129" s="128">
        <v>25348</v>
      </c>
      <c r="AB129" s="128">
        <v>16125</v>
      </c>
      <c r="AC129" s="128" t="s">
        <v>371</v>
      </c>
      <c r="AD129" s="188">
        <f t="shared" ref="AD129:AD192" si="30">SUM(R129,-L129)/W129</f>
        <v>-3.1911735602612309E-3</v>
      </c>
      <c r="AE129" s="188">
        <v>0.2082178903621611</v>
      </c>
      <c r="AF129" s="188">
        <v>0.22986344745695628</v>
      </c>
      <c r="AG129" s="188">
        <v>7.0453196121116168E-2</v>
      </c>
      <c r="AH129" s="188">
        <v>0.18648426677221452</v>
      </c>
      <c r="AI129" s="188">
        <v>0.25526786252335132</v>
      </c>
      <c r="AJ129" s="188">
        <v>2.7211557490599645E-3</v>
      </c>
      <c r="AK129" s="188">
        <v>-5.7099973897154791E-3</v>
      </c>
      <c r="AL129" s="188">
        <v>-2.370682967697893E-2</v>
      </c>
      <c r="AM129" s="129">
        <f t="shared" ref="AM129:AM192" si="31">COUNTIF(AJ129:AL129,"&lt;0")</f>
        <v>2</v>
      </c>
      <c r="AN129" s="188">
        <v>2.7984613101128042E-2</v>
      </c>
      <c r="AO129" s="188">
        <v>5.0904264793192162E-2</v>
      </c>
      <c r="AP129" s="188">
        <v>0.62705323570156346</v>
      </c>
      <c r="AQ129" s="128">
        <v>1427.4031007751937</v>
      </c>
      <c r="AR129" s="188">
        <v>4.2999999999999997E-2</v>
      </c>
      <c r="AS129" s="188">
        <v>0.21299999999999999</v>
      </c>
      <c r="AT129" s="256">
        <v>7.5</v>
      </c>
    </row>
    <row r="130" spans="1:46" x14ac:dyDescent="0.25">
      <c r="A130" t="s">
        <v>257</v>
      </c>
      <c r="B130">
        <v>164</v>
      </c>
      <c r="C130">
        <v>12353</v>
      </c>
      <c r="D130">
        <v>39460</v>
      </c>
      <c r="E130">
        <v>357</v>
      </c>
      <c r="F130">
        <v>0</v>
      </c>
      <c r="G130">
        <v>116</v>
      </c>
      <c r="H130">
        <v>0</v>
      </c>
      <c r="I130">
        <v>9301</v>
      </c>
      <c r="J130">
        <v>0</v>
      </c>
      <c r="K130">
        <v>9438</v>
      </c>
      <c r="L130">
        <v>19056</v>
      </c>
      <c r="M130">
        <v>2393</v>
      </c>
      <c r="N130">
        <v>23412</v>
      </c>
      <c r="O130">
        <v>2684</v>
      </c>
      <c r="P130">
        <v>52200</v>
      </c>
      <c r="Q130">
        <v>17</v>
      </c>
      <c r="R130">
        <v>153</v>
      </c>
      <c r="S130">
        <v>10437</v>
      </c>
      <c r="T130">
        <v>3735</v>
      </c>
      <c r="U130" s="128">
        <v>0</v>
      </c>
      <c r="V130" s="128">
        <v>-2112</v>
      </c>
      <c r="W130" s="128">
        <v>53712</v>
      </c>
      <c r="X130" s="128">
        <v>55824</v>
      </c>
      <c r="Y130" s="128">
        <v>2285</v>
      </c>
      <c r="Z130" s="128">
        <v>3930897</v>
      </c>
      <c r="AA130" s="128">
        <v>30407</v>
      </c>
      <c r="AB130" s="128">
        <v>23955</v>
      </c>
      <c r="AC130" s="128" t="s">
        <v>257</v>
      </c>
      <c r="AD130" s="188">
        <f t="shared" si="30"/>
        <v>-0.35193252904378908</v>
      </c>
      <c r="AE130" s="188">
        <v>0.66165847482871609</v>
      </c>
      <c r="AF130" s="188">
        <v>2.1596663687816504E-3</v>
      </c>
      <c r="AG130" s="188">
        <v>0.1731642835865356</v>
      </c>
      <c r="AH130" s="188">
        <v>0.54070263628239501</v>
      </c>
      <c r="AI130" s="188">
        <v>0.25272566333470065</v>
      </c>
      <c r="AJ130" s="188">
        <v>-3.9320822162645222E-2</v>
      </c>
      <c r="AK130" s="188">
        <v>2.1821939457794707E-2</v>
      </c>
      <c r="AL130" s="188">
        <v>1.6379029170270999E-2</v>
      </c>
      <c r="AM130" s="129">
        <f t="shared" si="31"/>
        <v>1</v>
      </c>
      <c r="AN130" s="188">
        <v>1.0635425975573428E-2</v>
      </c>
      <c r="AO130" s="188">
        <v>7.3184707327971402E-2</v>
      </c>
      <c r="AP130" s="188">
        <v>0.56611185582365209</v>
      </c>
      <c r="AQ130" s="128">
        <v>1443.574827802129</v>
      </c>
      <c r="AR130" s="188">
        <v>0.03</v>
      </c>
      <c r="AS130" s="188">
        <v>0.14800000000000002</v>
      </c>
      <c r="AT130" s="256">
        <v>8</v>
      </c>
    </row>
    <row r="131" spans="1:46" x14ac:dyDescent="0.25">
      <c r="A131" t="s">
        <v>149</v>
      </c>
      <c r="B131">
        <v>868</v>
      </c>
      <c r="C131">
        <v>3392</v>
      </c>
      <c r="D131">
        <v>123240</v>
      </c>
      <c r="E131">
        <v>137</v>
      </c>
      <c r="F131">
        <v>0</v>
      </c>
      <c r="G131">
        <v>6595</v>
      </c>
      <c r="H131">
        <v>116</v>
      </c>
      <c r="I131">
        <v>7250</v>
      </c>
      <c r="J131">
        <v>25</v>
      </c>
      <c r="K131">
        <v>4139</v>
      </c>
      <c r="L131">
        <v>4852</v>
      </c>
      <c r="M131">
        <v>4811</v>
      </c>
      <c r="N131">
        <v>12474</v>
      </c>
      <c r="O131">
        <v>8509</v>
      </c>
      <c r="P131">
        <v>123973</v>
      </c>
      <c r="Q131">
        <v>0</v>
      </c>
      <c r="R131">
        <v>0</v>
      </c>
      <c r="S131">
        <v>4903</v>
      </c>
      <c r="T131">
        <v>5564</v>
      </c>
      <c r="U131" s="128">
        <v>-2</v>
      </c>
      <c r="V131" s="128">
        <v>-3314</v>
      </c>
      <c r="W131" s="128">
        <v>93229</v>
      </c>
      <c r="X131" s="128">
        <v>96543</v>
      </c>
      <c r="Y131" s="128">
        <v>3849</v>
      </c>
      <c r="Z131" s="128">
        <v>700225</v>
      </c>
      <c r="AA131" s="128">
        <v>58424</v>
      </c>
      <c r="AB131" s="128">
        <v>35933</v>
      </c>
      <c r="AC131" s="128" t="s">
        <v>149</v>
      </c>
      <c r="AD131" s="188">
        <f t="shared" si="30"/>
        <v>-5.2043891922041424E-2</v>
      </c>
      <c r="AE131" s="188">
        <v>1.2220124639328964</v>
      </c>
      <c r="AF131" s="188">
        <v>7.073979126666595E-2</v>
      </c>
      <c r="AG131" s="188">
        <v>7.8033659054586021E-2</v>
      </c>
      <c r="AH131" s="188">
        <v>1.1758776775466862</v>
      </c>
      <c r="AI131" s="188">
        <v>8.0258391615140617E-2</v>
      </c>
      <c r="AJ131" s="188">
        <v>-3.5546879189951627E-2</v>
      </c>
      <c r="AK131" s="188">
        <v>-1.0616968923721862E-2</v>
      </c>
      <c r="AL131" s="188">
        <v>-3.0063387269892061E-2</v>
      </c>
      <c r="AM131" s="129">
        <f t="shared" si="31"/>
        <v>3</v>
      </c>
      <c r="AN131" s="188">
        <v>1.0321359233714831E-2</v>
      </c>
      <c r="AO131" s="188">
        <v>7.5108067232298962E-3</v>
      </c>
      <c r="AP131" s="188">
        <v>0.62667195829623834</v>
      </c>
      <c r="AQ131" s="128">
        <v>1714.5659143405783</v>
      </c>
      <c r="AR131" s="188">
        <v>3.3000000000000002E-2</v>
      </c>
      <c r="AS131" s="188">
        <v>0.16699999999999998</v>
      </c>
      <c r="AT131" s="256">
        <v>5.5</v>
      </c>
    </row>
    <row r="132" spans="1:46" x14ac:dyDescent="0.25">
      <c r="A132" t="s">
        <v>296</v>
      </c>
      <c r="B132">
        <v>6089</v>
      </c>
      <c r="C132">
        <v>7869</v>
      </c>
      <c r="D132">
        <v>94860</v>
      </c>
      <c r="E132">
        <v>0</v>
      </c>
      <c r="F132">
        <v>2924</v>
      </c>
      <c r="G132">
        <v>5521</v>
      </c>
      <c r="H132">
        <v>0</v>
      </c>
      <c r="I132">
        <v>47073</v>
      </c>
      <c r="J132">
        <v>11</v>
      </c>
      <c r="K132">
        <v>11583</v>
      </c>
      <c r="L132">
        <v>118</v>
      </c>
      <c r="M132">
        <v>0</v>
      </c>
      <c r="N132">
        <v>4400</v>
      </c>
      <c r="O132">
        <v>26770</v>
      </c>
      <c r="P132">
        <v>107996</v>
      </c>
      <c r="Q132">
        <v>28</v>
      </c>
      <c r="R132">
        <v>20663</v>
      </c>
      <c r="S132">
        <v>14045</v>
      </c>
      <c r="T132">
        <v>2149</v>
      </c>
      <c r="U132" s="128">
        <v>59</v>
      </c>
      <c r="V132" s="128">
        <v>-12638</v>
      </c>
      <c r="W132" s="128">
        <v>110163</v>
      </c>
      <c r="X132" s="128">
        <v>122801</v>
      </c>
      <c r="Y132" s="128">
        <v>16735</v>
      </c>
      <c r="Z132" s="128">
        <v>4016551</v>
      </c>
      <c r="AA132" s="128">
        <v>67088</v>
      </c>
      <c r="AB132" s="128">
        <v>40094</v>
      </c>
      <c r="AC132" s="128" t="s">
        <v>296</v>
      </c>
      <c r="AD132" s="188">
        <f t="shared" si="30"/>
        <v>0.18649637355554952</v>
      </c>
      <c r="AE132" s="188">
        <v>1.1322767172281074</v>
      </c>
      <c r="AF132" s="188">
        <v>7.6659132376569267E-2</v>
      </c>
      <c r="AG132" s="188">
        <v>0.42740303005546326</v>
      </c>
      <c r="AH132" s="188">
        <v>0.84229369207447158</v>
      </c>
      <c r="AI132" s="188">
        <v>2.4992757780415903E-2</v>
      </c>
      <c r="AJ132" s="188">
        <v>-0.11472091355536795</v>
      </c>
      <c r="AK132" s="188">
        <v>-2.715340878898985E-2</v>
      </c>
      <c r="AL132" s="188">
        <v>-7.7853729955384962E-2</v>
      </c>
      <c r="AM132" s="129">
        <f t="shared" si="31"/>
        <v>3</v>
      </c>
      <c r="AN132" s="188">
        <v>3.7977814692773434E-2</v>
      </c>
      <c r="AO132" s="188">
        <v>3.6460072801212745E-2</v>
      </c>
      <c r="AP132" s="188">
        <v>0.60898849886077899</v>
      </c>
      <c r="AQ132" s="128">
        <v>1672.1950416521174</v>
      </c>
      <c r="AR132" s="188">
        <v>3.9E-2</v>
      </c>
      <c r="AS132" s="188">
        <v>0.19600000000000001</v>
      </c>
      <c r="AT132" s="256">
        <v>6</v>
      </c>
    </row>
    <row r="133" spans="1:46" x14ac:dyDescent="0.25">
      <c r="A133" t="s">
        <v>372</v>
      </c>
      <c r="B133">
        <v>548</v>
      </c>
      <c r="C133">
        <v>52888</v>
      </c>
      <c r="D133">
        <v>184829</v>
      </c>
      <c r="E133">
        <v>6430</v>
      </c>
      <c r="F133">
        <v>0</v>
      </c>
      <c r="G133">
        <v>19709</v>
      </c>
      <c r="H133">
        <v>6822</v>
      </c>
      <c r="I133">
        <v>125844</v>
      </c>
      <c r="J133">
        <v>446</v>
      </c>
      <c r="K133">
        <v>22115</v>
      </c>
      <c r="L133">
        <v>67100</v>
      </c>
      <c r="M133">
        <v>10882</v>
      </c>
      <c r="N133">
        <v>239612</v>
      </c>
      <c r="O133">
        <v>30512</v>
      </c>
      <c r="P133">
        <v>122987</v>
      </c>
      <c r="Q133">
        <v>673</v>
      </c>
      <c r="R133">
        <v>18962</v>
      </c>
      <c r="S133">
        <v>15667</v>
      </c>
      <c r="T133">
        <v>69200</v>
      </c>
      <c r="U133" s="128">
        <v>2</v>
      </c>
      <c r="V133" s="128">
        <v>-10550</v>
      </c>
      <c r="W133" s="128">
        <v>331477</v>
      </c>
      <c r="X133" s="128">
        <v>342027</v>
      </c>
      <c r="Y133" s="128">
        <v>12191</v>
      </c>
      <c r="Z133" s="128">
        <v>1941312</v>
      </c>
      <c r="AA133" s="128">
        <v>237472</v>
      </c>
      <c r="AB133" s="128">
        <v>92418</v>
      </c>
      <c r="AC133" s="128" t="s">
        <v>372</v>
      </c>
      <c r="AD133" s="188">
        <f t="shared" si="30"/>
        <v>-0.14522274546951974</v>
      </c>
      <c r="AE133" s="188">
        <v>0.30427752151733001</v>
      </c>
      <c r="AF133" s="188">
        <v>5.9458122282993991E-2</v>
      </c>
      <c r="AG133" s="188">
        <v>0.3809917430168609</v>
      </c>
      <c r="AH133" s="188">
        <v>4.4718276079486696E-2</v>
      </c>
      <c r="AI133" s="188">
        <v>0.48152278979849805</v>
      </c>
      <c r="AJ133" s="188">
        <v>-3.1827245932598641E-2</v>
      </c>
      <c r="AK133" s="188">
        <v>-8.747275004017379E-3</v>
      </c>
      <c r="AL133" s="188">
        <v>-2.8374875373878367E-2</v>
      </c>
      <c r="AM133" s="129">
        <f t="shared" si="31"/>
        <v>3</v>
      </c>
      <c r="AN133" s="188">
        <v>9.1944539138462088E-3</v>
      </c>
      <c r="AO133" s="188">
        <v>5.8565511332611311E-3</v>
      </c>
      <c r="AP133" s="188">
        <v>0.71640566313801557</v>
      </c>
      <c r="AQ133" s="128">
        <v>2073.6902226838929</v>
      </c>
      <c r="AR133" s="188">
        <v>5.2999999999999999E-2</v>
      </c>
      <c r="AS133" s="188">
        <v>0.26600000000000001</v>
      </c>
      <c r="AT133" s="256">
        <v>7</v>
      </c>
    </row>
    <row r="134" spans="1:46" x14ac:dyDescent="0.25">
      <c r="A134" t="s">
        <v>297</v>
      </c>
      <c r="B134">
        <v>3765</v>
      </c>
      <c r="C134">
        <v>8828</v>
      </c>
      <c r="D134">
        <v>68309</v>
      </c>
      <c r="E134">
        <v>663</v>
      </c>
      <c r="F134">
        <v>2776</v>
      </c>
      <c r="G134">
        <v>2855</v>
      </c>
      <c r="H134">
        <v>0</v>
      </c>
      <c r="I134">
        <v>99519</v>
      </c>
      <c r="J134">
        <v>0</v>
      </c>
      <c r="K134">
        <v>8399</v>
      </c>
      <c r="L134">
        <v>11</v>
      </c>
      <c r="M134">
        <v>2395</v>
      </c>
      <c r="N134">
        <v>34461</v>
      </c>
      <c r="O134">
        <v>5231</v>
      </c>
      <c r="P134">
        <v>131625</v>
      </c>
      <c r="Q134">
        <v>0</v>
      </c>
      <c r="R134">
        <v>18514</v>
      </c>
      <c r="S134">
        <v>1486</v>
      </c>
      <c r="T134">
        <v>6203</v>
      </c>
      <c r="U134" s="128">
        <v>-1</v>
      </c>
      <c r="V134" s="128">
        <v>1651</v>
      </c>
      <c r="W134" s="128">
        <v>82309</v>
      </c>
      <c r="X134" s="128">
        <v>80658</v>
      </c>
      <c r="Y134" s="128">
        <v>18577</v>
      </c>
      <c r="Z134" s="128">
        <v>1956433</v>
      </c>
      <c r="AA134" s="128">
        <v>41616</v>
      </c>
      <c r="AB134" s="128">
        <v>31236</v>
      </c>
      <c r="AC134" s="128" t="s">
        <v>297</v>
      </c>
      <c r="AD134" s="188">
        <f t="shared" si="30"/>
        <v>0.224799232161732</v>
      </c>
      <c r="AE134" s="188">
        <v>1.7178194365136255</v>
      </c>
      <c r="AF134" s="188">
        <v>6.8412931757158998E-2</v>
      </c>
      <c r="AG134" s="188">
        <v>1.209090135951111</v>
      </c>
      <c r="AH134" s="188">
        <v>0.87966589315870691</v>
      </c>
      <c r="AI134" s="188">
        <v>0.17446840826245444</v>
      </c>
      <c r="AJ134" s="188">
        <v>2.0058559817273933E-2</v>
      </c>
      <c r="AK134" s="188">
        <v>6.2278012203636803E-2</v>
      </c>
      <c r="AL134" s="188">
        <v>1.2921298876536329E-2</v>
      </c>
      <c r="AM134" s="129">
        <f t="shared" si="31"/>
        <v>0</v>
      </c>
      <c r="AN134" s="188">
        <v>5.6424570824575686E-2</v>
      </c>
      <c r="AO134" s="188">
        <v>2.3769369084790243E-2</v>
      </c>
      <c r="AP134" s="188">
        <v>0.50560692026388365</v>
      </c>
      <c r="AQ134" s="128">
        <v>1591.8314765014727</v>
      </c>
      <c r="AR134" s="188">
        <v>1.6E-2</v>
      </c>
      <c r="AS134" s="188">
        <v>7.9000000000000001E-2</v>
      </c>
      <c r="AT134" s="256">
        <v>6</v>
      </c>
    </row>
    <row r="135" spans="1:46" x14ac:dyDescent="0.25">
      <c r="A135" t="s">
        <v>444</v>
      </c>
      <c r="B135">
        <v>10261</v>
      </c>
      <c r="C135">
        <v>63586</v>
      </c>
      <c r="D135">
        <v>215964</v>
      </c>
      <c r="E135">
        <v>761</v>
      </c>
      <c r="F135">
        <v>5207</v>
      </c>
      <c r="G135">
        <v>352004</v>
      </c>
      <c r="H135">
        <v>1676</v>
      </c>
      <c r="I135">
        <v>82500</v>
      </c>
      <c r="J135">
        <v>17</v>
      </c>
      <c r="K135">
        <v>29653</v>
      </c>
      <c r="L135">
        <v>1790</v>
      </c>
      <c r="M135">
        <v>23439</v>
      </c>
      <c r="N135">
        <v>61645</v>
      </c>
      <c r="O135">
        <v>47609</v>
      </c>
      <c r="P135">
        <v>621578</v>
      </c>
      <c r="Q135">
        <v>91</v>
      </c>
      <c r="R135">
        <v>0</v>
      </c>
      <c r="S135">
        <v>9384</v>
      </c>
      <c r="T135">
        <v>46549</v>
      </c>
      <c r="U135" s="128">
        <v>-7</v>
      </c>
      <c r="V135" s="128">
        <v>1635</v>
      </c>
      <c r="W135" s="128">
        <v>298054</v>
      </c>
      <c r="X135" s="128">
        <v>296419</v>
      </c>
      <c r="Y135" s="128">
        <v>96866</v>
      </c>
      <c r="Z135" s="128">
        <v>-3983124</v>
      </c>
      <c r="AA135" s="128">
        <v>184438</v>
      </c>
      <c r="AB135" s="128">
        <v>81208</v>
      </c>
      <c r="AC135" s="128" t="s">
        <v>444</v>
      </c>
      <c r="AD135" s="188">
        <f t="shared" si="30"/>
        <v>-6.0056231421151875E-3</v>
      </c>
      <c r="AE135" s="188">
        <v>0.88518523489032186</v>
      </c>
      <c r="AF135" s="188">
        <v>1.1984774571050882</v>
      </c>
      <c r="AG135" s="188">
        <v>0.27685251665805527</v>
      </c>
      <c r="AH135" s="188">
        <v>0.83520576808229374</v>
      </c>
      <c r="AI135" s="188">
        <v>7.8343432597578214E-2</v>
      </c>
      <c r="AJ135" s="188">
        <v>5.4855831493621958E-3</v>
      </c>
      <c r="AK135" s="188">
        <v>-2.7033613308855781E-3</v>
      </c>
      <c r="AL135" s="188">
        <v>5.1816499156659236E-2</v>
      </c>
      <c r="AM135" s="129">
        <f t="shared" si="31"/>
        <v>1</v>
      </c>
      <c r="AN135" s="188">
        <v>8.1248699900018123E-2</v>
      </c>
      <c r="AO135" s="188">
        <v>-1.3363766297382352E-2</v>
      </c>
      <c r="AP135" s="188">
        <v>0.61880733021533008</v>
      </c>
      <c r="AQ135" s="128">
        <v>1994.4514333563195</v>
      </c>
      <c r="AR135" s="188">
        <v>2.5000000000000001E-2</v>
      </c>
      <c r="AS135" s="188">
        <v>0.12300000000000001</v>
      </c>
      <c r="AT135" s="256">
        <v>7.5</v>
      </c>
    </row>
    <row r="136" spans="1:46" x14ac:dyDescent="0.25">
      <c r="A136" t="s">
        <v>600</v>
      </c>
      <c r="B136">
        <v>453</v>
      </c>
      <c r="C136">
        <v>11291</v>
      </c>
      <c r="D136">
        <v>136819</v>
      </c>
      <c r="E136">
        <v>645</v>
      </c>
      <c r="F136">
        <v>0</v>
      </c>
      <c r="G136">
        <v>13858</v>
      </c>
      <c r="H136">
        <v>0</v>
      </c>
      <c r="I136">
        <v>3088</v>
      </c>
      <c r="J136">
        <v>193</v>
      </c>
      <c r="K136">
        <v>27147</v>
      </c>
      <c r="L136">
        <v>8157</v>
      </c>
      <c r="M136">
        <v>7291</v>
      </c>
      <c r="N136">
        <v>36975</v>
      </c>
      <c r="O136">
        <v>14380</v>
      </c>
      <c r="P136">
        <v>114388</v>
      </c>
      <c r="Q136">
        <v>0</v>
      </c>
      <c r="R136">
        <v>1440</v>
      </c>
      <c r="S136">
        <v>13062</v>
      </c>
      <c r="T136">
        <v>28698</v>
      </c>
      <c r="U136" s="128">
        <v>-1</v>
      </c>
      <c r="V136" s="128">
        <v>-14518</v>
      </c>
      <c r="W136" s="128">
        <v>170289</v>
      </c>
      <c r="X136" s="128">
        <v>184807</v>
      </c>
      <c r="Y136" s="128">
        <v>9172</v>
      </c>
      <c r="Z136" s="128">
        <v>-4545803</v>
      </c>
      <c r="AA136" s="128">
        <v>110262</v>
      </c>
      <c r="AB136" s="128">
        <v>47821</v>
      </c>
      <c r="AC136" s="128" t="s">
        <v>600</v>
      </c>
      <c r="AD136" s="188">
        <f t="shared" si="30"/>
        <v>-3.94447087010905E-2</v>
      </c>
      <c r="AE136" s="188">
        <v>0.59390213108304113</v>
      </c>
      <c r="AF136" s="188">
        <v>8.1379302245007015E-2</v>
      </c>
      <c r="AG136" s="188">
        <v>1.9267245682340024E-2</v>
      </c>
      <c r="AH136" s="188">
        <v>0.59018057537480395</v>
      </c>
      <c r="AI136" s="188">
        <v>0.17696213799935867</v>
      </c>
      <c r="AJ136" s="188">
        <v>-8.5255066387141865E-2</v>
      </c>
      <c r="AK136" s="188">
        <v>-6.8319214289906671E-2</v>
      </c>
      <c r="AL136" s="188">
        <v>-7.7371878117177648E-2</v>
      </c>
      <c r="AM136" s="129">
        <f t="shared" si="31"/>
        <v>3</v>
      </c>
      <c r="AN136" s="188">
        <v>1.346534420896241E-2</v>
      </c>
      <c r="AO136" s="188">
        <v>-2.6694636764559073E-2</v>
      </c>
      <c r="AP136" s="188">
        <v>0.64749925127283614</v>
      </c>
      <c r="AQ136" s="128">
        <v>2161.110098074068</v>
      </c>
      <c r="AR136" s="188">
        <v>2.3E-2</v>
      </c>
      <c r="AS136" s="188">
        <v>0.114</v>
      </c>
      <c r="AT136" s="256">
        <v>5.5</v>
      </c>
    </row>
    <row r="137" spans="1:46" x14ac:dyDescent="0.25">
      <c r="A137" t="s">
        <v>186</v>
      </c>
      <c r="B137">
        <v>3749</v>
      </c>
      <c r="C137">
        <v>4856</v>
      </c>
      <c r="D137">
        <v>18614</v>
      </c>
      <c r="E137">
        <v>744</v>
      </c>
      <c r="F137">
        <v>0</v>
      </c>
      <c r="G137">
        <v>9343</v>
      </c>
      <c r="H137">
        <v>3154</v>
      </c>
      <c r="I137">
        <v>542</v>
      </c>
      <c r="J137">
        <v>5</v>
      </c>
      <c r="K137">
        <v>4896</v>
      </c>
      <c r="L137">
        <v>501</v>
      </c>
      <c r="M137">
        <v>71</v>
      </c>
      <c r="N137">
        <v>11551</v>
      </c>
      <c r="O137">
        <v>7463</v>
      </c>
      <c r="P137">
        <v>24317</v>
      </c>
      <c r="Q137">
        <v>0</v>
      </c>
      <c r="R137">
        <v>0</v>
      </c>
      <c r="S137">
        <v>1330</v>
      </c>
      <c r="T137">
        <v>1814</v>
      </c>
      <c r="U137" s="128">
        <v>-33</v>
      </c>
      <c r="V137" s="128">
        <v>-955</v>
      </c>
      <c r="W137" s="128">
        <v>39713</v>
      </c>
      <c r="X137" s="128">
        <v>40668</v>
      </c>
      <c r="Y137" s="128">
        <v>17542</v>
      </c>
      <c r="Z137" s="128">
        <v>1719</v>
      </c>
      <c r="AA137" s="128">
        <v>24758</v>
      </c>
      <c r="AB137" s="128">
        <v>16431</v>
      </c>
      <c r="AC137" s="128" t="s">
        <v>186</v>
      </c>
      <c r="AD137" s="188">
        <f t="shared" si="30"/>
        <v>-1.2615516329665349E-2</v>
      </c>
      <c r="AE137" s="188">
        <v>0.23911565482335759</v>
      </c>
      <c r="AF137" s="188">
        <v>0.2352630121119029</v>
      </c>
      <c r="AG137" s="188">
        <v>1.3773827210233425E-2</v>
      </c>
      <c r="AH137" s="188">
        <v>0.25770553722962253</v>
      </c>
      <c r="AI137" s="188">
        <v>0.24854222700376546</v>
      </c>
      <c r="AJ137" s="188">
        <v>-2.4047541107445926E-2</v>
      </c>
      <c r="AK137" s="188">
        <v>3.5884432149992318E-2</v>
      </c>
      <c r="AL137" s="188">
        <v>1.8876106420427009E-2</v>
      </c>
      <c r="AM137" s="129">
        <f t="shared" si="31"/>
        <v>1</v>
      </c>
      <c r="AN137" s="188">
        <v>0.11042983405937602</v>
      </c>
      <c r="AO137" s="188">
        <v>4.3285573993402664E-5</v>
      </c>
      <c r="AP137" s="188">
        <v>0.62342306045879181</v>
      </c>
      <c r="AQ137" s="128">
        <v>1685.2391820339601</v>
      </c>
      <c r="AR137" s="188">
        <v>4.2999999999999997E-2</v>
      </c>
      <c r="AS137" s="188">
        <v>0.21299999999999999</v>
      </c>
      <c r="AT137" s="256">
        <v>6.5</v>
      </c>
    </row>
    <row r="138" spans="1:46" x14ac:dyDescent="0.25">
      <c r="A138" t="s">
        <v>373</v>
      </c>
      <c r="B138">
        <v>481</v>
      </c>
      <c r="C138">
        <v>25979</v>
      </c>
      <c r="D138">
        <v>60865</v>
      </c>
      <c r="E138">
        <v>133</v>
      </c>
      <c r="F138">
        <v>195</v>
      </c>
      <c r="G138">
        <v>6801</v>
      </c>
      <c r="H138">
        <v>8590</v>
      </c>
      <c r="I138">
        <v>67144</v>
      </c>
      <c r="J138">
        <v>5</v>
      </c>
      <c r="K138">
        <v>7756</v>
      </c>
      <c r="L138">
        <v>12856</v>
      </c>
      <c r="M138">
        <v>3296</v>
      </c>
      <c r="N138">
        <v>34196</v>
      </c>
      <c r="O138">
        <v>19787</v>
      </c>
      <c r="P138">
        <v>119507</v>
      </c>
      <c r="Q138">
        <v>202</v>
      </c>
      <c r="R138">
        <v>7173</v>
      </c>
      <c r="S138">
        <v>5652</v>
      </c>
      <c r="T138">
        <v>7581</v>
      </c>
      <c r="U138" s="128">
        <v>-60</v>
      </c>
      <c r="V138" s="128">
        <v>1796</v>
      </c>
      <c r="W138" s="128">
        <v>108659</v>
      </c>
      <c r="X138" s="128">
        <v>106863</v>
      </c>
      <c r="Y138" s="128">
        <v>16623.441000000006</v>
      </c>
      <c r="Z138" s="128">
        <v>3591047.5999999996</v>
      </c>
      <c r="AA138" s="128">
        <v>66121</v>
      </c>
      <c r="AB138" s="128">
        <v>44666</v>
      </c>
      <c r="AC138" s="128" t="s">
        <v>373</v>
      </c>
      <c r="AD138" s="188">
        <f t="shared" si="30"/>
        <v>-5.2301235976771367E-2</v>
      </c>
      <c r="AE138" s="188">
        <v>0.92602545578369022</v>
      </c>
      <c r="AF138" s="188">
        <v>6.4384910591851571E-2</v>
      </c>
      <c r="AG138" s="188">
        <v>0.6179791825803661</v>
      </c>
      <c r="AH138" s="188">
        <v>0.50116621724845611</v>
      </c>
      <c r="AI138" s="188">
        <v>0.17617904357592556</v>
      </c>
      <c r="AJ138" s="188">
        <v>1.6528773502425018E-2</v>
      </c>
      <c r="AK138" s="188">
        <v>2.573928651559345E-2</v>
      </c>
      <c r="AL138" s="188">
        <v>3.4479618228844121E-2</v>
      </c>
      <c r="AM138" s="129">
        <f t="shared" si="31"/>
        <v>0</v>
      </c>
      <c r="AN138" s="188">
        <v>3.8246811124711268E-2</v>
      </c>
      <c r="AO138" s="188">
        <v>3.3048781969280037E-2</v>
      </c>
      <c r="AP138" s="188">
        <v>0.60851839240191796</v>
      </c>
      <c r="AQ138" s="128">
        <v>1493.9993955133659</v>
      </c>
      <c r="AR138" s="188">
        <v>3.2000000000000001E-2</v>
      </c>
      <c r="AS138" s="188">
        <v>0.161</v>
      </c>
      <c r="AT138" s="256">
        <v>8.5</v>
      </c>
    </row>
    <row r="139" spans="1:46" x14ac:dyDescent="0.25">
      <c r="A139" t="s">
        <v>298</v>
      </c>
      <c r="B139">
        <v>1167</v>
      </c>
      <c r="C139">
        <v>4744</v>
      </c>
      <c r="D139">
        <v>52010</v>
      </c>
      <c r="E139">
        <v>1021</v>
      </c>
      <c r="F139">
        <v>0</v>
      </c>
      <c r="G139">
        <v>8428</v>
      </c>
      <c r="H139">
        <v>0</v>
      </c>
      <c r="I139">
        <v>3580</v>
      </c>
      <c r="J139">
        <v>0</v>
      </c>
      <c r="K139">
        <v>7807</v>
      </c>
      <c r="L139">
        <v>438</v>
      </c>
      <c r="M139">
        <v>1460</v>
      </c>
      <c r="N139">
        <v>62023</v>
      </c>
      <c r="O139">
        <v>4708</v>
      </c>
      <c r="P139">
        <v>0</v>
      </c>
      <c r="Q139">
        <v>10</v>
      </c>
      <c r="R139">
        <v>6000</v>
      </c>
      <c r="S139">
        <v>3638</v>
      </c>
      <c r="T139">
        <v>4278</v>
      </c>
      <c r="U139" s="128">
        <v>2</v>
      </c>
      <c r="V139" s="128">
        <v>-358</v>
      </c>
      <c r="W139" s="128">
        <v>49369</v>
      </c>
      <c r="X139" s="128">
        <v>49727</v>
      </c>
      <c r="Y139" s="128">
        <v>10637</v>
      </c>
      <c r="Z139" s="128">
        <v>2417279</v>
      </c>
      <c r="AA139" s="128">
        <v>33258</v>
      </c>
      <c r="AB139" s="128">
        <v>22209</v>
      </c>
      <c r="AC139" s="128" t="s">
        <v>298</v>
      </c>
      <c r="AD139" s="188">
        <f t="shared" si="30"/>
        <v>0.11266179181267597</v>
      </c>
      <c r="AE139" s="188">
        <v>-8.521541858251129E-2</v>
      </c>
      <c r="AF139" s="188">
        <v>0.17071441592902428</v>
      </c>
      <c r="AG139" s="188">
        <v>7.2515141080435094E-2</v>
      </c>
      <c r="AH139" s="188">
        <v>-0.11549028742733294</v>
      </c>
      <c r="AI139" s="188">
        <v>0.76897231486417794</v>
      </c>
      <c r="AJ139" s="188">
        <v>-7.2515141080435087E-3</v>
      </c>
      <c r="AK139" s="188">
        <v>-5.5787392927739952E-3</v>
      </c>
      <c r="AL139" s="188">
        <v>-2.0227505986999659E-2</v>
      </c>
      <c r="AM139" s="129">
        <f t="shared" si="31"/>
        <v>3</v>
      </c>
      <c r="AN139" s="188">
        <v>5.3864773440823188E-2</v>
      </c>
      <c r="AO139" s="188">
        <v>4.8963499361947778E-2</v>
      </c>
      <c r="AP139" s="188">
        <v>0.67366160951204201</v>
      </c>
      <c r="AQ139" s="128">
        <v>1509.0620919447069</v>
      </c>
      <c r="AR139" s="188">
        <v>4.0999999999999995E-2</v>
      </c>
      <c r="AS139" s="188">
        <v>0.20399999999999999</v>
      </c>
      <c r="AT139" s="256">
        <v>5.5</v>
      </c>
    </row>
    <row r="140" spans="1:46" x14ac:dyDescent="0.25">
      <c r="A140" t="s">
        <v>374</v>
      </c>
      <c r="B140">
        <v>550</v>
      </c>
      <c r="C140">
        <v>2362</v>
      </c>
      <c r="D140">
        <v>39800</v>
      </c>
      <c r="E140">
        <v>60</v>
      </c>
      <c r="F140">
        <v>0</v>
      </c>
      <c r="G140">
        <v>2820</v>
      </c>
      <c r="H140">
        <v>377</v>
      </c>
      <c r="I140">
        <v>3034</v>
      </c>
      <c r="J140">
        <v>0</v>
      </c>
      <c r="K140">
        <v>4494</v>
      </c>
      <c r="L140">
        <v>1299</v>
      </c>
      <c r="M140">
        <v>3080</v>
      </c>
      <c r="N140">
        <v>16132</v>
      </c>
      <c r="O140">
        <v>11691</v>
      </c>
      <c r="P140">
        <v>23796</v>
      </c>
      <c r="Q140">
        <v>0</v>
      </c>
      <c r="R140">
        <v>2938</v>
      </c>
      <c r="S140">
        <v>1838</v>
      </c>
      <c r="T140">
        <v>1481</v>
      </c>
      <c r="U140" s="128">
        <v>37</v>
      </c>
      <c r="V140" s="128">
        <v>-3071</v>
      </c>
      <c r="W140" s="128">
        <v>37592</v>
      </c>
      <c r="X140" s="128">
        <v>40663</v>
      </c>
      <c r="Y140" s="128">
        <v>16375</v>
      </c>
      <c r="Z140" s="128">
        <v>1715672</v>
      </c>
      <c r="AA140" s="128">
        <v>21041</v>
      </c>
      <c r="AB140" s="128">
        <v>15521</v>
      </c>
      <c r="AC140" s="128" t="s">
        <v>374</v>
      </c>
      <c r="AD140" s="188">
        <f t="shared" si="30"/>
        <v>4.359970206426899E-2</v>
      </c>
      <c r="AE140" s="188">
        <v>0.47837305809746755</v>
      </c>
      <c r="AF140" s="188">
        <v>7.5015960842732501E-2</v>
      </c>
      <c r="AG140" s="188">
        <v>8.070866141732283E-2</v>
      </c>
      <c r="AH140" s="188">
        <v>0.43087891040646953</v>
      </c>
      <c r="AI140" s="188">
        <v>0.27873384477158064</v>
      </c>
      <c r="AJ140" s="188">
        <v>-8.1692913385826765E-2</v>
      </c>
      <c r="AK140" s="188">
        <v>8.6633249791144534E-2</v>
      </c>
      <c r="AL140" s="188">
        <v>1.3900656640542257E-2</v>
      </c>
      <c r="AM140" s="129">
        <f t="shared" si="31"/>
        <v>1</v>
      </c>
      <c r="AN140" s="188">
        <v>0.10889949989359438</v>
      </c>
      <c r="AO140" s="188">
        <v>4.5639284954245588E-2</v>
      </c>
      <c r="AP140" s="188">
        <v>0.55972015322409019</v>
      </c>
      <c r="AQ140" s="128">
        <v>1744.8580632691192</v>
      </c>
      <c r="AR140" s="188">
        <v>4.7E-2</v>
      </c>
      <c r="AS140" s="188">
        <v>0.23600000000000002</v>
      </c>
      <c r="AT140" s="256">
        <v>7.5</v>
      </c>
    </row>
    <row r="141" spans="1:46" x14ac:dyDescent="0.25">
      <c r="A141" t="s">
        <v>258</v>
      </c>
      <c r="B141">
        <v>2685</v>
      </c>
      <c r="C141">
        <v>37796</v>
      </c>
      <c r="D141">
        <v>246061</v>
      </c>
      <c r="E141">
        <v>364</v>
      </c>
      <c r="F141">
        <v>0</v>
      </c>
      <c r="G141">
        <v>3427</v>
      </c>
      <c r="H141">
        <v>12</v>
      </c>
      <c r="I141">
        <v>11078</v>
      </c>
      <c r="J141">
        <v>39</v>
      </c>
      <c r="K141">
        <v>26345</v>
      </c>
      <c r="L141">
        <v>5</v>
      </c>
      <c r="M141">
        <v>2132</v>
      </c>
      <c r="N141">
        <v>80157</v>
      </c>
      <c r="O141">
        <v>15926</v>
      </c>
      <c r="P141">
        <v>168574</v>
      </c>
      <c r="Q141">
        <v>171</v>
      </c>
      <c r="R141">
        <v>37010</v>
      </c>
      <c r="S141">
        <v>20682</v>
      </c>
      <c r="T141">
        <v>7424</v>
      </c>
      <c r="U141" s="128">
        <v>-5</v>
      </c>
      <c r="V141" s="128">
        <v>-12198</v>
      </c>
      <c r="W141" s="128">
        <v>257581</v>
      </c>
      <c r="X141" s="128">
        <v>269779</v>
      </c>
      <c r="Y141" s="128">
        <v>-9830</v>
      </c>
      <c r="Z141" s="128">
        <v>12701212</v>
      </c>
      <c r="AA141" s="128">
        <v>189522</v>
      </c>
      <c r="AB141" s="128">
        <v>91004</v>
      </c>
      <c r="AC141" s="128" t="s">
        <v>258</v>
      </c>
      <c r="AD141" s="188">
        <f t="shared" si="30"/>
        <v>0.1436635466125219</v>
      </c>
      <c r="AE141" s="188">
        <v>0.78398639651216506</v>
      </c>
      <c r="AF141" s="188">
        <v>1.3304552742632415E-2</v>
      </c>
      <c r="AG141" s="188">
        <v>4.3159239229601562E-2</v>
      </c>
      <c r="AH141" s="188">
        <v>0.75537147538055982</v>
      </c>
      <c r="AI141" s="188">
        <v>0.24294122638993285</v>
      </c>
      <c r="AJ141" s="188">
        <v>-4.7355977343049374E-2</v>
      </c>
      <c r="AK141" s="188">
        <v>-8.2076335389572753E-3</v>
      </c>
      <c r="AL141" s="188">
        <v>-2.2462088551019277E-2</v>
      </c>
      <c r="AM141" s="129">
        <f t="shared" si="31"/>
        <v>3</v>
      </c>
      <c r="AN141" s="188">
        <v>-9.5406881718760311E-3</v>
      </c>
      <c r="AO141" s="188">
        <v>4.930958416963984E-2</v>
      </c>
      <c r="AP141" s="188">
        <v>0.73577631890550932</v>
      </c>
      <c r="AQ141" s="128">
        <v>1759.8725001098853</v>
      </c>
      <c r="AR141" s="188">
        <v>4.0999999999999995E-2</v>
      </c>
      <c r="AS141" s="188">
        <v>0.20600000000000002</v>
      </c>
      <c r="AT141" s="256">
        <v>4</v>
      </c>
    </row>
    <row r="142" spans="1:46" x14ac:dyDescent="0.25">
      <c r="A142" t="s">
        <v>601</v>
      </c>
      <c r="B142">
        <v>477</v>
      </c>
      <c r="C142">
        <v>14275</v>
      </c>
      <c r="D142">
        <v>175166</v>
      </c>
      <c r="E142">
        <v>9940</v>
      </c>
      <c r="F142">
        <v>0</v>
      </c>
      <c r="G142">
        <v>16310</v>
      </c>
      <c r="H142">
        <v>127</v>
      </c>
      <c r="I142">
        <v>2175</v>
      </c>
      <c r="J142">
        <v>0</v>
      </c>
      <c r="K142">
        <v>23202</v>
      </c>
      <c r="L142">
        <v>538</v>
      </c>
      <c r="M142">
        <v>6533</v>
      </c>
      <c r="N142">
        <v>118361</v>
      </c>
      <c r="O142">
        <v>19286</v>
      </c>
      <c r="P142">
        <v>43113</v>
      </c>
      <c r="Q142">
        <v>4</v>
      </c>
      <c r="R142">
        <v>38794</v>
      </c>
      <c r="S142">
        <v>15769</v>
      </c>
      <c r="T142">
        <v>13417</v>
      </c>
      <c r="U142" s="128">
        <v>-224</v>
      </c>
      <c r="V142" s="128">
        <v>6004</v>
      </c>
      <c r="W142" s="128">
        <v>190106</v>
      </c>
      <c r="X142" s="128">
        <v>184102</v>
      </c>
      <c r="Y142" s="128">
        <v>47148</v>
      </c>
      <c r="Z142" s="128">
        <v>7288848.5</v>
      </c>
      <c r="AA142" s="128">
        <v>125408</v>
      </c>
      <c r="AB142" s="128">
        <v>87454</v>
      </c>
      <c r="AC142" s="128" t="s">
        <v>601</v>
      </c>
      <c r="AD142" s="188">
        <f t="shared" si="30"/>
        <v>0.20123510041766174</v>
      </c>
      <c r="AE142" s="188">
        <v>0.33868999400334548</v>
      </c>
      <c r="AF142" s="188">
        <v>8.5794241107592609E-2</v>
      </c>
      <c r="AG142" s="188">
        <v>1.1440985555426973E-2</v>
      </c>
      <c r="AH142" s="188">
        <v>0.34097661304745774</v>
      </c>
      <c r="AI142" s="188">
        <v>0.47583459299520792</v>
      </c>
      <c r="AJ142" s="188">
        <v>3.1582380356222316E-2</v>
      </c>
      <c r="AK142" s="188">
        <v>3.2916551330149063E-2</v>
      </c>
      <c r="AL142" s="188">
        <v>-3.0447128819976563E-2</v>
      </c>
      <c r="AM142" s="129">
        <f t="shared" si="31"/>
        <v>1</v>
      </c>
      <c r="AN142" s="188">
        <v>6.2002251375548378E-2</v>
      </c>
      <c r="AO142" s="188">
        <v>3.8340970300779563E-2</v>
      </c>
      <c r="AP142" s="188">
        <v>0.65967407656780952</v>
      </c>
      <c r="AQ142" s="128">
        <v>1450.2626294966497</v>
      </c>
      <c r="AR142" s="188">
        <v>0.03</v>
      </c>
      <c r="AS142" s="188">
        <v>0.14899999999999999</v>
      </c>
      <c r="AT142" s="256">
        <v>7</v>
      </c>
    </row>
    <row r="143" spans="1:46" x14ac:dyDescent="0.25">
      <c r="A143" t="s">
        <v>150</v>
      </c>
      <c r="B143">
        <v>12597</v>
      </c>
      <c r="C143">
        <v>8402</v>
      </c>
      <c r="D143">
        <v>94061</v>
      </c>
      <c r="E143">
        <v>1374</v>
      </c>
      <c r="F143">
        <v>0</v>
      </c>
      <c r="G143">
        <v>2689</v>
      </c>
      <c r="H143">
        <v>660</v>
      </c>
      <c r="I143">
        <v>3593</v>
      </c>
      <c r="J143">
        <v>0</v>
      </c>
      <c r="K143">
        <v>10535</v>
      </c>
      <c r="L143">
        <v>833</v>
      </c>
      <c r="M143">
        <v>2947</v>
      </c>
      <c r="N143">
        <v>83845</v>
      </c>
      <c r="O143">
        <v>4652</v>
      </c>
      <c r="P143">
        <v>24436</v>
      </c>
      <c r="Q143">
        <v>0</v>
      </c>
      <c r="R143">
        <v>15606</v>
      </c>
      <c r="S143">
        <v>6772</v>
      </c>
      <c r="T143">
        <v>2378</v>
      </c>
      <c r="U143" s="128">
        <v>1</v>
      </c>
      <c r="V143" s="128">
        <v>-3383</v>
      </c>
      <c r="W143" s="128">
        <v>87001</v>
      </c>
      <c r="X143" s="128">
        <v>90384</v>
      </c>
      <c r="Y143" s="128">
        <v>24705</v>
      </c>
      <c r="Z143" s="128">
        <v>2661874</v>
      </c>
      <c r="AA143" s="128">
        <v>53946</v>
      </c>
      <c r="AB143" s="128">
        <v>34993</v>
      </c>
      <c r="AC143" s="128" t="s">
        <v>150</v>
      </c>
      <c r="AD143" s="188">
        <f t="shared" si="30"/>
        <v>0.1698026459465983</v>
      </c>
      <c r="AE143" s="188">
        <v>0.3623866392340318</v>
      </c>
      <c r="AF143" s="188">
        <v>3.0907690716198664E-2</v>
      </c>
      <c r="AG143" s="188">
        <v>4.1298375880737002E-2</v>
      </c>
      <c r="AH143" s="188">
        <v>0.33718669900345971</v>
      </c>
      <c r="AI143" s="188">
        <v>0.60894479588057149</v>
      </c>
      <c r="AJ143" s="188">
        <v>-3.8884610521718141E-2</v>
      </c>
      <c r="AK143" s="188">
        <v>1.5860906372663623E-2</v>
      </c>
      <c r="AL143" s="188">
        <v>-7.3670279808419462E-2</v>
      </c>
      <c r="AM143" s="129">
        <f t="shared" si="31"/>
        <v>2</v>
      </c>
      <c r="AN143" s="188">
        <v>7.0990563326858311E-2</v>
      </c>
      <c r="AO143" s="188">
        <v>3.0595901196537968E-2</v>
      </c>
      <c r="AP143" s="188">
        <v>0.62006183836967388</v>
      </c>
      <c r="AQ143" s="128">
        <v>1835.0722430200326</v>
      </c>
      <c r="AR143" s="188">
        <v>4.0999999999999995E-2</v>
      </c>
      <c r="AS143" s="188">
        <v>0.20600000000000002</v>
      </c>
      <c r="AT143" s="256">
        <v>5</v>
      </c>
    </row>
    <row r="144" spans="1:46" x14ac:dyDescent="0.25">
      <c r="A144" t="s">
        <v>259</v>
      </c>
      <c r="B144">
        <v>16</v>
      </c>
      <c r="C144">
        <v>3148</v>
      </c>
      <c r="D144">
        <v>103819</v>
      </c>
      <c r="E144">
        <v>284</v>
      </c>
      <c r="F144">
        <v>0</v>
      </c>
      <c r="G144">
        <v>5091</v>
      </c>
      <c r="H144">
        <v>6931</v>
      </c>
      <c r="I144">
        <v>8707</v>
      </c>
      <c r="J144">
        <v>0</v>
      </c>
      <c r="K144">
        <v>9396</v>
      </c>
      <c r="L144">
        <v>0</v>
      </c>
      <c r="M144">
        <v>11578</v>
      </c>
      <c r="N144">
        <v>56656</v>
      </c>
      <c r="O144">
        <v>25094</v>
      </c>
      <c r="P144">
        <v>53101</v>
      </c>
      <c r="Q144">
        <v>0</v>
      </c>
      <c r="R144">
        <v>2306</v>
      </c>
      <c r="S144">
        <v>3291</v>
      </c>
      <c r="T144">
        <v>8521</v>
      </c>
      <c r="U144" s="128">
        <v>95</v>
      </c>
      <c r="V144" s="128">
        <v>5561</v>
      </c>
      <c r="W144" s="128">
        <v>115761</v>
      </c>
      <c r="X144" s="128">
        <v>110200</v>
      </c>
      <c r="Y144" s="128">
        <v>19685</v>
      </c>
      <c r="Z144" s="128">
        <v>3739030</v>
      </c>
      <c r="AA144" s="128">
        <v>75105</v>
      </c>
      <c r="AB144" s="128">
        <v>48426</v>
      </c>
      <c r="AC144" s="128" t="s">
        <v>259</v>
      </c>
      <c r="AD144" s="188">
        <f t="shared" si="30"/>
        <v>1.992035314138613E-2</v>
      </c>
      <c r="AE144" s="188">
        <v>0.29563497205449157</v>
      </c>
      <c r="AF144" s="188">
        <v>4.3978541996009021E-2</v>
      </c>
      <c r="AG144" s="188">
        <v>7.5215314311382939E-2</v>
      </c>
      <c r="AH144" s="188">
        <v>0.24826167707604457</v>
      </c>
      <c r="AI144" s="188">
        <v>0.38032073787163773</v>
      </c>
      <c r="AJ144" s="188">
        <v>4.8038631317974104E-2</v>
      </c>
      <c r="AK144" s="188">
        <v>-4.0359634411376515E-2</v>
      </c>
      <c r="AL144" s="188">
        <v>9.0731170576404483E-3</v>
      </c>
      <c r="AM144" s="129">
        <f t="shared" si="31"/>
        <v>1</v>
      </c>
      <c r="AN144" s="188">
        <v>4.2512158671746098E-2</v>
      </c>
      <c r="AO144" s="188">
        <v>3.2299565484057671E-2</v>
      </c>
      <c r="AP144" s="188">
        <v>0.6487936351621012</v>
      </c>
      <c r="AQ144" s="128">
        <v>1534.4128567298558</v>
      </c>
      <c r="AR144" s="188">
        <v>3.1E-2</v>
      </c>
      <c r="AS144" s="188">
        <v>0.154</v>
      </c>
      <c r="AT144" s="256">
        <v>10</v>
      </c>
    </row>
    <row r="145" spans="1:46" x14ac:dyDescent="0.25">
      <c r="A145" t="s">
        <v>111</v>
      </c>
      <c r="B145">
        <v>9957</v>
      </c>
      <c r="C145">
        <v>15678</v>
      </c>
      <c r="D145">
        <v>114333</v>
      </c>
      <c r="E145">
        <v>1039</v>
      </c>
      <c r="F145">
        <v>11929</v>
      </c>
      <c r="G145">
        <v>1582</v>
      </c>
      <c r="H145">
        <v>0</v>
      </c>
      <c r="I145">
        <v>37546</v>
      </c>
      <c r="J145">
        <v>0</v>
      </c>
      <c r="K145">
        <v>18598</v>
      </c>
      <c r="L145">
        <v>164</v>
      </c>
      <c r="M145">
        <v>2252</v>
      </c>
      <c r="N145">
        <v>13683</v>
      </c>
      <c r="O145">
        <v>29041</v>
      </c>
      <c r="P145">
        <v>131231</v>
      </c>
      <c r="Q145">
        <v>0</v>
      </c>
      <c r="R145">
        <v>20412</v>
      </c>
      <c r="S145">
        <v>12323</v>
      </c>
      <c r="T145">
        <v>6391</v>
      </c>
      <c r="U145" s="128">
        <v>3</v>
      </c>
      <c r="V145" s="128">
        <v>-7651</v>
      </c>
      <c r="W145" s="128">
        <v>183105</v>
      </c>
      <c r="X145" s="128">
        <v>190756</v>
      </c>
      <c r="Y145" s="128">
        <v>35022</v>
      </c>
      <c r="Z145" s="128">
        <v>550962</v>
      </c>
      <c r="AA145" s="128">
        <v>134125</v>
      </c>
      <c r="AB145" s="128">
        <v>55722</v>
      </c>
      <c r="AC145" s="128" t="s">
        <v>111</v>
      </c>
      <c r="AD145" s="188">
        <f t="shared" si="30"/>
        <v>0.11058136042161601</v>
      </c>
      <c r="AE145" s="188">
        <v>0.74182572840719807</v>
      </c>
      <c r="AF145" s="188">
        <v>7.3788263564621398E-2</v>
      </c>
      <c r="AG145" s="188">
        <v>0.20505174626580377</v>
      </c>
      <c r="AH145" s="188">
        <v>0.60714409764888999</v>
      </c>
      <c r="AI145" s="188">
        <v>6.4215016824587828E-2</v>
      </c>
      <c r="AJ145" s="188">
        <v>-4.1784768302340188E-2</v>
      </c>
      <c r="AK145" s="188">
        <v>-1.7395261813860585E-2</v>
      </c>
      <c r="AL145" s="188">
        <v>-5.8810605325144469E-2</v>
      </c>
      <c r="AM145" s="129">
        <f t="shared" si="31"/>
        <v>3</v>
      </c>
      <c r="AN145" s="188">
        <v>4.7816826411075611E-2</v>
      </c>
      <c r="AO145" s="188">
        <v>3.0089948390267878E-3</v>
      </c>
      <c r="AP145" s="188">
        <v>0.73250320854154716</v>
      </c>
      <c r="AQ145" s="128">
        <v>2058.258282186569</v>
      </c>
      <c r="AR145" s="188">
        <v>4.4000000000000004E-2</v>
      </c>
      <c r="AS145" s="188">
        <v>0.21899999999999997</v>
      </c>
      <c r="AT145" s="256">
        <v>4</v>
      </c>
    </row>
    <row r="146" spans="1:46" x14ac:dyDescent="0.25">
      <c r="A146" t="s">
        <v>260</v>
      </c>
      <c r="B146">
        <v>1408</v>
      </c>
      <c r="C146">
        <v>24229</v>
      </c>
      <c r="D146">
        <v>159019</v>
      </c>
      <c r="E146">
        <v>245</v>
      </c>
      <c r="F146">
        <v>691</v>
      </c>
      <c r="G146">
        <v>45672</v>
      </c>
      <c r="H146">
        <v>16558</v>
      </c>
      <c r="I146">
        <v>2434</v>
      </c>
      <c r="J146">
        <v>0</v>
      </c>
      <c r="K146">
        <v>25311</v>
      </c>
      <c r="L146">
        <v>3408</v>
      </c>
      <c r="M146">
        <v>6375</v>
      </c>
      <c r="N146">
        <v>73669</v>
      </c>
      <c r="O146">
        <v>11593</v>
      </c>
      <c r="P146">
        <v>142338</v>
      </c>
      <c r="Q146">
        <v>39</v>
      </c>
      <c r="R146">
        <v>29839</v>
      </c>
      <c r="S146">
        <v>12686</v>
      </c>
      <c r="T146">
        <v>15186</v>
      </c>
      <c r="U146" s="128">
        <v>1</v>
      </c>
      <c r="V146" s="128">
        <v>348</v>
      </c>
      <c r="W146" s="128">
        <v>245413</v>
      </c>
      <c r="X146" s="128">
        <v>245065</v>
      </c>
      <c r="Y146" s="128">
        <v>3737</v>
      </c>
      <c r="Z146" s="128">
        <v>6643890</v>
      </c>
      <c r="AA146" s="128">
        <v>162224</v>
      </c>
      <c r="AB146" s="128">
        <v>73262</v>
      </c>
      <c r="AC146" s="128" t="s">
        <v>260</v>
      </c>
      <c r="AD146" s="188">
        <f t="shared" si="30"/>
        <v>0.10770008108779894</v>
      </c>
      <c r="AE146" s="188">
        <v>0.41592336184309714</v>
      </c>
      <c r="AF146" s="188">
        <v>0.18891827246315396</v>
      </c>
      <c r="AG146" s="188">
        <v>9.9179750053990622E-3</v>
      </c>
      <c r="AH146" s="188">
        <v>0.43165097203489627</v>
      </c>
      <c r="AI146" s="188">
        <v>0.25817066760119151</v>
      </c>
      <c r="AJ146" s="188">
        <v>1.4180177904186005E-3</v>
      </c>
      <c r="AK146" s="188">
        <v>-1.0549637516885497E-2</v>
      </c>
      <c r="AL146" s="188">
        <v>4.95704038246022E-3</v>
      </c>
      <c r="AM146" s="129">
        <f t="shared" si="31"/>
        <v>1</v>
      </c>
      <c r="AN146" s="188">
        <v>3.8068480479844179E-3</v>
      </c>
      <c r="AO146" s="188">
        <v>2.7072282234437459E-2</v>
      </c>
      <c r="AP146" s="188">
        <v>0.66102447710593981</v>
      </c>
      <c r="AQ146" s="128">
        <v>2067.6193115121073</v>
      </c>
      <c r="AR146" s="188">
        <v>3.5000000000000003E-2</v>
      </c>
      <c r="AS146" s="188">
        <v>0.17499999999999999</v>
      </c>
      <c r="AT146" s="256">
        <v>8.5</v>
      </c>
    </row>
    <row r="147" spans="1:46" x14ac:dyDescent="0.25">
      <c r="A147" t="s">
        <v>408</v>
      </c>
      <c r="B147">
        <v>8573</v>
      </c>
      <c r="C147">
        <v>7319</v>
      </c>
      <c r="D147">
        <v>85774</v>
      </c>
      <c r="E147">
        <v>4402</v>
      </c>
      <c r="F147">
        <v>2690</v>
      </c>
      <c r="G147">
        <v>5614</v>
      </c>
      <c r="H147">
        <v>12961</v>
      </c>
      <c r="I147">
        <v>2997</v>
      </c>
      <c r="J147">
        <v>74</v>
      </c>
      <c r="K147">
        <v>93833</v>
      </c>
      <c r="L147">
        <v>2662</v>
      </c>
      <c r="M147">
        <v>333</v>
      </c>
      <c r="N147">
        <v>52838</v>
      </c>
      <c r="O147">
        <v>14677</v>
      </c>
      <c r="P147">
        <v>74461</v>
      </c>
      <c r="Q147">
        <v>8</v>
      </c>
      <c r="R147">
        <v>65000</v>
      </c>
      <c r="S147">
        <v>13945</v>
      </c>
      <c r="T147">
        <v>6300</v>
      </c>
      <c r="U147" s="128">
        <v>0</v>
      </c>
      <c r="V147" s="128">
        <v>-949</v>
      </c>
      <c r="W147" s="128">
        <v>105694</v>
      </c>
      <c r="X147" s="128">
        <v>106643</v>
      </c>
      <c r="Y147" s="128">
        <v>10114</v>
      </c>
      <c r="Z147" s="128">
        <v>1153910</v>
      </c>
      <c r="AA147" s="128">
        <v>63886</v>
      </c>
      <c r="AB147" s="128">
        <v>42470</v>
      </c>
      <c r="AC147" s="128" t="s">
        <v>408</v>
      </c>
      <c r="AD147" s="188">
        <f t="shared" si="30"/>
        <v>0.58979696103846957</v>
      </c>
      <c r="AE147" s="188">
        <v>0.39378772683406815</v>
      </c>
      <c r="AF147" s="188">
        <v>7.8566427611784964E-2</v>
      </c>
      <c r="AG147" s="188">
        <v>2.9055575529358335E-2</v>
      </c>
      <c r="AH147" s="188">
        <v>0.38287679527693153</v>
      </c>
      <c r="AI147" s="188">
        <v>0.23253193914509152</v>
      </c>
      <c r="AJ147" s="188">
        <v>-8.9787499763468118E-3</v>
      </c>
      <c r="AK147" s="188">
        <v>3.5131031013312712E-2</v>
      </c>
      <c r="AL147" s="188">
        <v>-2.2394401399650089E-3</v>
      </c>
      <c r="AM147" s="129">
        <f t="shared" si="31"/>
        <v>2</v>
      </c>
      <c r="AN147" s="188">
        <v>2.3922833841088426E-2</v>
      </c>
      <c r="AO147" s="188">
        <v>1.0917459836887619E-2</v>
      </c>
      <c r="AP147" s="188">
        <v>0.60444301474066642</v>
      </c>
      <c r="AQ147" s="128">
        <v>1721.2898987520603</v>
      </c>
      <c r="AR147" s="188">
        <v>3.9E-2</v>
      </c>
      <c r="AS147" s="188">
        <v>0.19699999999999998</v>
      </c>
      <c r="AT147" s="256">
        <v>7.5</v>
      </c>
    </row>
    <row r="148" spans="1:46" x14ac:dyDescent="0.25">
      <c r="A148" t="s">
        <v>221</v>
      </c>
      <c r="B148">
        <v>641</v>
      </c>
      <c r="C148">
        <v>26271</v>
      </c>
      <c r="D148">
        <v>95802</v>
      </c>
      <c r="E148">
        <v>18</v>
      </c>
      <c r="F148">
        <v>76</v>
      </c>
      <c r="G148">
        <v>4196</v>
      </c>
      <c r="H148">
        <v>0</v>
      </c>
      <c r="I148">
        <v>23025</v>
      </c>
      <c r="J148">
        <v>24</v>
      </c>
      <c r="K148">
        <v>7670</v>
      </c>
      <c r="L148">
        <v>37</v>
      </c>
      <c r="M148">
        <v>2459</v>
      </c>
      <c r="N148">
        <v>45215</v>
      </c>
      <c r="O148">
        <v>11752</v>
      </c>
      <c r="P148">
        <v>71651</v>
      </c>
      <c r="Q148">
        <v>29</v>
      </c>
      <c r="R148">
        <v>19455</v>
      </c>
      <c r="S148">
        <v>4668</v>
      </c>
      <c r="T148">
        <v>7449</v>
      </c>
      <c r="U148" s="128">
        <v>-1</v>
      </c>
      <c r="V148" s="128">
        <v>-2606</v>
      </c>
      <c r="W148" s="128">
        <v>112406</v>
      </c>
      <c r="X148" s="128">
        <v>115012</v>
      </c>
      <c r="Y148" s="128">
        <v>-6533</v>
      </c>
      <c r="Z148" s="128">
        <v>3008320</v>
      </c>
      <c r="AA148" s="128">
        <v>66767</v>
      </c>
      <c r="AB148" s="128">
        <v>50164</v>
      </c>
      <c r="AC148" s="128" t="s">
        <v>221</v>
      </c>
      <c r="AD148" s="188">
        <f t="shared" si="30"/>
        <v>0.17274878565201146</v>
      </c>
      <c r="AE148" s="188">
        <v>0.79011796523317257</v>
      </c>
      <c r="AF148" s="188">
        <v>3.8005088696332935E-2</v>
      </c>
      <c r="AG148" s="188">
        <v>0.20505133177944238</v>
      </c>
      <c r="AH148" s="188">
        <v>0.65114264363112284</v>
      </c>
      <c r="AI148" s="188">
        <v>0.28220747851378425</v>
      </c>
      <c r="AJ148" s="188">
        <v>-2.318381581054392E-2</v>
      </c>
      <c r="AK148" s="188">
        <v>-4.4066353017521091E-2</v>
      </c>
      <c r="AL148" s="188">
        <v>-2.3639015668376229E-2</v>
      </c>
      <c r="AM148" s="129">
        <f t="shared" si="31"/>
        <v>3</v>
      </c>
      <c r="AN148" s="188">
        <v>-1.452991833176165E-2</v>
      </c>
      <c r="AO148" s="188">
        <v>2.6762984182339022E-2</v>
      </c>
      <c r="AP148" s="188">
        <v>0.59398074835862857</v>
      </c>
      <c r="AQ148" s="128">
        <v>1607.6874651144246</v>
      </c>
      <c r="AR148" s="188">
        <v>3.7999999999999999E-2</v>
      </c>
      <c r="AS148" s="188">
        <v>0.19</v>
      </c>
      <c r="AT148" s="256">
        <v>6.5</v>
      </c>
    </row>
    <row r="149" spans="1:46" x14ac:dyDescent="0.25">
      <c r="A149" t="s">
        <v>261</v>
      </c>
      <c r="B149">
        <v>318</v>
      </c>
      <c r="C149">
        <v>10634</v>
      </c>
      <c r="D149">
        <v>42474</v>
      </c>
      <c r="E149">
        <v>215</v>
      </c>
      <c r="F149">
        <v>43526</v>
      </c>
      <c r="G149">
        <v>2981</v>
      </c>
      <c r="H149">
        <v>8500</v>
      </c>
      <c r="I149">
        <v>2979</v>
      </c>
      <c r="J149">
        <v>0</v>
      </c>
      <c r="K149">
        <v>25997</v>
      </c>
      <c r="L149">
        <v>515</v>
      </c>
      <c r="M149">
        <v>1638</v>
      </c>
      <c r="N149">
        <v>98681</v>
      </c>
      <c r="O149">
        <v>27581</v>
      </c>
      <c r="P149">
        <v>0</v>
      </c>
      <c r="Q149">
        <v>32</v>
      </c>
      <c r="R149">
        <v>0</v>
      </c>
      <c r="S149">
        <v>10943</v>
      </c>
      <c r="T149">
        <v>2544</v>
      </c>
      <c r="U149" s="128">
        <v>-11</v>
      </c>
      <c r="V149" s="128">
        <v>-7366</v>
      </c>
      <c r="W149" s="128">
        <v>94870</v>
      </c>
      <c r="X149" s="128">
        <v>102236</v>
      </c>
      <c r="Y149" s="128">
        <v>-9596</v>
      </c>
      <c r="Z149" s="128">
        <v>8330954</v>
      </c>
      <c r="AA149" s="128">
        <v>67166</v>
      </c>
      <c r="AB149" s="128">
        <v>41263</v>
      </c>
      <c r="AC149" s="128" t="s">
        <v>261</v>
      </c>
      <c r="AD149" s="188">
        <f t="shared" si="30"/>
        <v>-5.4284810793717719E-3</v>
      </c>
      <c r="AE149" s="188">
        <v>-0.73403604933066302</v>
      </c>
      <c r="AF149" s="188">
        <v>0.49021819331717087</v>
      </c>
      <c r="AG149" s="188">
        <v>3.1400864340676717E-2</v>
      </c>
      <c r="AH149" s="188">
        <v>-0.69719047117107613</v>
      </c>
      <c r="AI149" s="188">
        <v>0.70596862234495394</v>
      </c>
      <c r="AJ149" s="188">
        <v>-7.7643090544956259E-2</v>
      </c>
      <c r="AK149" s="188">
        <v>-6.0102152669263241E-2</v>
      </c>
      <c r="AL149" s="188">
        <v>-4.2304566520965578E-2</v>
      </c>
      <c r="AM149" s="129">
        <f t="shared" si="31"/>
        <v>3</v>
      </c>
      <c r="AN149" s="188">
        <v>-2.5287235163908506E-2</v>
      </c>
      <c r="AO149" s="188">
        <v>8.7814419732265198E-2</v>
      </c>
      <c r="AP149" s="188">
        <v>0.70797934014967856</v>
      </c>
      <c r="AQ149" s="128">
        <v>1727.5299905484333</v>
      </c>
      <c r="AR149" s="188">
        <v>5.2999999999999999E-2</v>
      </c>
      <c r="AS149" s="188">
        <v>0.26600000000000001</v>
      </c>
      <c r="AT149" s="256">
        <v>6.5</v>
      </c>
    </row>
    <row r="150" spans="1:46" x14ac:dyDescent="0.25">
      <c r="A150" t="s">
        <v>332</v>
      </c>
      <c r="B150">
        <v>186</v>
      </c>
      <c r="C150">
        <v>5099</v>
      </c>
      <c r="D150">
        <v>54752</v>
      </c>
      <c r="E150">
        <v>1250</v>
      </c>
      <c r="F150">
        <v>0</v>
      </c>
      <c r="G150">
        <v>632</v>
      </c>
      <c r="H150">
        <v>0</v>
      </c>
      <c r="I150">
        <v>5565</v>
      </c>
      <c r="J150">
        <v>0</v>
      </c>
      <c r="K150">
        <v>5988</v>
      </c>
      <c r="L150">
        <v>3703</v>
      </c>
      <c r="M150">
        <v>74</v>
      </c>
      <c r="N150">
        <v>17790</v>
      </c>
      <c r="O150">
        <v>10982</v>
      </c>
      <c r="P150">
        <v>41104</v>
      </c>
      <c r="Q150">
        <v>0</v>
      </c>
      <c r="R150">
        <v>400</v>
      </c>
      <c r="S150">
        <v>6255</v>
      </c>
      <c r="T150">
        <v>720</v>
      </c>
      <c r="U150" s="128">
        <v>4</v>
      </c>
      <c r="V150" s="128">
        <v>771</v>
      </c>
      <c r="W150" s="128">
        <v>67296</v>
      </c>
      <c r="X150" s="128">
        <v>66525</v>
      </c>
      <c r="Y150" s="128">
        <v>5042</v>
      </c>
      <c r="Z150" s="128">
        <v>2211555</v>
      </c>
      <c r="AA150" s="128">
        <v>47828</v>
      </c>
      <c r="AB150" s="128">
        <v>27533</v>
      </c>
      <c r="AC150" s="128" t="s">
        <v>332</v>
      </c>
      <c r="AD150" s="188">
        <f t="shared" si="30"/>
        <v>-4.9081669044222537E-2</v>
      </c>
      <c r="AE150" s="188">
        <v>0.56588801711840231</v>
      </c>
      <c r="AF150" s="188">
        <v>9.3913456966238703E-3</v>
      </c>
      <c r="AG150" s="188">
        <v>8.2694365192582026E-2</v>
      </c>
      <c r="AH150" s="188">
        <v>0.5091289229671897</v>
      </c>
      <c r="AI150" s="188">
        <v>0.23028828105785037</v>
      </c>
      <c r="AJ150" s="188">
        <v>1.1456847360912981E-2</v>
      </c>
      <c r="AK150" s="188">
        <v>5.0404199813198491E-3</v>
      </c>
      <c r="AL150" s="188">
        <v>9.3394777265745008E-3</v>
      </c>
      <c r="AM150" s="129">
        <f t="shared" si="31"/>
        <v>0</v>
      </c>
      <c r="AN150" s="188">
        <v>1.8730682358535426E-2</v>
      </c>
      <c r="AO150" s="188">
        <v>3.2863097360912981E-2</v>
      </c>
      <c r="AP150" s="188">
        <v>0.71071088920589631</v>
      </c>
      <c r="AQ150" s="128">
        <v>1593.762684778266</v>
      </c>
      <c r="AR150" s="188">
        <v>3.5000000000000003E-2</v>
      </c>
      <c r="AS150" s="188">
        <v>0.17600000000000002</v>
      </c>
      <c r="AT150" s="256">
        <v>10</v>
      </c>
    </row>
    <row r="151" spans="1:46" x14ac:dyDescent="0.25">
      <c r="A151" t="s">
        <v>222</v>
      </c>
      <c r="B151">
        <v>75</v>
      </c>
      <c r="C151">
        <v>7359</v>
      </c>
      <c r="D151">
        <v>60737</v>
      </c>
      <c r="E151">
        <v>105</v>
      </c>
      <c r="F151">
        <v>0</v>
      </c>
      <c r="G151">
        <v>18025</v>
      </c>
      <c r="H151">
        <v>0</v>
      </c>
      <c r="I151">
        <v>4923</v>
      </c>
      <c r="J151">
        <v>0</v>
      </c>
      <c r="K151">
        <v>2660</v>
      </c>
      <c r="L151">
        <v>11986</v>
      </c>
      <c r="M151">
        <v>7215</v>
      </c>
      <c r="N151">
        <v>31873</v>
      </c>
      <c r="O151">
        <v>25892</v>
      </c>
      <c r="P151">
        <v>32732</v>
      </c>
      <c r="Q151">
        <v>4</v>
      </c>
      <c r="R151">
        <v>12000</v>
      </c>
      <c r="S151">
        <v>2744</v>
      </c>
      <c r="T151">
        <v>7843</v>
      </c>
      <c r="U151" s="128">
        <v>8</v>
      </c>
      <c r="V151" s="128">
        <v>-6729</v>
      </c>
      <c r="W151" s="128">
        <v>75387</v>
      </c>
      <c r="X151" s="128">
        <v>82116</v>
      </c>
      <c r="Y151" s="128">
        <v>10950</v>
      </c>
      <c r="Z151" s="128">
        <v>3636864</v>
      </c>
      <c r="AA151" s="128">
        <v>55159</v>
      </c>
      <c r="AB151" s="128">
        <v>34116</v>
      </c>
      <c r="AC151" s="128" t="s">
        <v>222</v>
      </c>
      <c r="AD151" s="188">
        <f t="shared" si="30"/>
        <v>1.8570841126454163E-4</v>
      </c>
      <c r="AE151" s="188">
        <v>0.20477005319219493</v>
      </c>
      <c r="AF151" s="188">
        <v>0.23909957950309735</v>
      </c>
      <c r="AG151" s="188">
        <v>6.530303633252417E-2</v>
      </c>
      <c r="AH151" s="188">
        <v>0.18774987729979969</v>
      </c>
      <c r="AI151" s="188">
        <v>0.28184245897000565</v>
      </c>
      <c r="AJ151" s="188">
        <v>-8.9259421385650045E-2</v>
      </c>
      <c r="AK151" s="188">
        <v>-5.1960010523546436E-3</v>
      </c>
      <c r="AL151" s="188">
        <v>-7.4969718560741E-2</v>
      </c>
      <c r="AM151" s="129">
        <f t="shared" si="31"/>
        <v>3</v>
      </c>
      <c r="AN151" s="188">
        <v>3.6312626845477335E-2</v>
      </c>
      <c r="AO151" s="188">
        <v>4.8242588244657568E-2</v>
      </c>
      <c r="AP151" s="188">
        <v>0.73167787549577512</v>
      </c>
      <c r="AQ151" s="128">
        <v>1579.8682729511079</v>
      </c>
      <c r="AR151" s="188">
        <v>4.4000000000000004E-2</v>
      </c>
      <c r="AS151" s="188">
        <v>0.21899999999999997</v>
      </c>
      <c r="AT151" s="256">
        <v>7</v>
      </c>
    </row>
    <row r="152" spans="1:46" x14ac:dyDescent="0.25">
      <c r="A152" t="s">
        <v>299</v>
      </c>
      <c r="B152">
        <v>0</v>
      </c>
      <c r="C152">
        <v>2054</v>
      </c>
      <c r="D152">
        <v>62938</v>
      </c>
      <c r="E152">
        <v>4670</v>
      </c>
      <c r="F152">
        <v>0</v>
      </c>
      <c r="G152">
        <v>5545</v>
      </c>
      <c r="H152">
        <v>0</v>
      </c>
      <c r="I152">
        <v>18467</v>
      </c>
      <c r="J152">
        <v>4</v>
      </c>
      <c r="K152">
        <v>3655</v>
      </c>
      <c r="L152">
        <v>516</v>
      </c>
      <c r="M152">
        <v>7521</v>
      </c>
      <c r="N152">
        <v>24467</v>
      </c>
      <c r="O152">
        <v>21039</v>
      </c>
      <c r="P152">
        <v>52368</v>
      </c>
      <c r="Q152">
        <v>0</v>
      </c>
      <c r="R152">
        <v>0</v>
      </c>
      <c r="S152">
        <v>2237</v>
      </c>
      <c r="T152">
        <v>5278</v>
      </c>
      <c r="U152" s="128">
        <v>1</v>
      </c>
      <c r="V152" s="128">
        <v>2663</v>
      </c>
      <c r="W152" s="128">
        <v>60026</v>
      </c>
      <c r="X152" s="128">
        <v>57363</v>
      </c>
      <c r="Y152" s="128">
        <v>-47014</v>
      </c>
      <c r="Z152" s="128">
        <v>2906274</v>
      </c>
      <c r="AA152" s="128">
        <v>33676</v>
      </c>
      <c r="AB152" s="128">
        <v>27285</v>
      </c>
      <c r="AC152" s="128" t="s">
        <v>299</v>
      </c>
      <c r="AD152" s="188">
        <f t="shared" si="30"/>
        <v>-8.5962749475227401E-3</v>
      </c>
      <c r="AE152" s="188">
        <v>0.71045880118615268</v>
      </c>
      <c r="AF152" s="188">
        <v>9.2376636790724026E-2</v>
      </c>
      <c r="AG152" s="188">
        <v>0.30771665611568322</v>
      </c>
      <c r="AH152" s="188">
        <v>0.50614233832006139</v>
      </c>
      <c r="AI152" s="188">
        <v>0.23215895397052824</v>
      </c>
      <c r="AJ152" s="188">
        <v>4.4364108886149334E-2</v>
      </c>
      <c r="AK152" s="188">
        <v>2.6952465651487376E-2</v>
      </c>
      <c r="AL152" s="188">
        <v>-2.2809240666731651E-2</v>
      </c>
      <c r="AM152" s="129">
        <f t="shared" si="31"/>
        <v>1</v>
      </c>
      <c r="AN152" s="188">
        <v>-0.19580681704594677</v>
      </c>
      <c r="AO152" s="188">
        <v>4.8416919334954851E-2</v>
      </c>
      <c r="AP152" s="188">
        <v>0.56102355645886781</v>
      </c>
      <c r="AQ152" s="128">
        <v>1423.7041964449331</v>
      </c>
      <c r="AR152" s="188">
        <v>3.2000000000000001E-2</v>
      </c>
      <c r="AS152" s="188">
        <v>0.16</v>
      </c>
      <c r="AT152" s="256">
        <v>8</v>
      </c>
    </row>
    <row r="153" spans="1:46" x14ac:dyDescent="0.25">
      <c r="A153" t="s">
        <v>151</v>
      </c>
      <c r="B153">
        <v>21823</v>
      </c>
      <c r="C153">
        <v>24466</v>
      </c>
      <c r="D153">
        <v>97827</v>
      </c>
      <c r="E153">
        <v>382</v>
      </c>
      <c r="F153">
        <v>1010</v>
      </c>
      <c r="G153">
        <v>6247</v>
      </c>
      <c r="H153">
        <v>0</v>
      </c>
      <c r="I153">
        <v>83895</v>
      </c>
      <c r="J153">
        <v>13</v>
      </c>
      <c r="K153">
        <v>16529</v>
      </c>
      <c r="L153">
        <v>123</v>
      </c>
      <c r="M153">
        <v>4659</v>
      </c>
      <c r="N153">
        <v>32979</v>
      </c>
      <c r="O153">
        <v>67347</v>
      </c>
      <c r="P153">
        <v>120193</v>
      </c>
      <c r="Q153">
        <v>0</v>
      </c>
      <c r="R153">
        <v>15632</v>
      </c>
      <c r="S153">
        <v>18385</v>
      </c>
      <c r="T153">
        <v>2438</v>
      </c>
      <c r="U153" s="128">
        <v>-1</v>
      </c>
      <c r="V153" s="128">
        <v>-9607</v>
      </c>
      <c r="W153" s="128">
        <v>177975</v>
      </c>
      <c r="X153" s="128">
        <v>187582</v>
      </c>
      <c r="Y153" s="128">
        <v>53015</v>
      </c>
      <c r="Z153" s="128">
        <v>3361520</v>
      </c>
      <c r="AA153" s="128">
        <v>95078</v>
      </c>
      <c r="AB153" s="128">
        <v>54324</v>
      </c>
      <c r="AC153" s="128" t="s">
        <v>151</v>
      </c>
      <c r="AD153" s="188">
        <f t="shared" si="30"/>
        <v>8.7141452451186971E-2</v>
      </c>
      <c r="AE153" s="188">
        <v>0.71965163646579577</v>
      </c>
      <c r="AF153" s="188">
        <v>4.0775389801938476E-2</v>
      </c>
      <c r="AG153" s="188">
        <v>0.47145947464531535</v>
      </c>
      <c r="AH153" s="188">
        <v>0.39452305099030766</v>
      </c>
      <c r="AI153" s="188">
        <v>0.12833594060099465</v>
      </c>
      <c r="AJ153" s="188">
        <v>-5.3979491501615393E-2</v>
      </c>
      <c r="AK153" s="188">
        <v>2.5944901270807882E-2</v>
      </c>
      <c r="AL153" s="188">
        <v>-2.9600709648622232E-2</v>
      </c>
      <c r="AM153" s="129">
        <f t="shared" si="31"/>
        <v>2</v>
      </c>
      <c r="AN153" s="188">
        <v>7.4469728894507661E-2</v>
      </c>
      <c r="AO153" s="188">
        <v>1.8887596572552325E-2</v>
      </c>
      <c r="AP153" s="188">
        <v>0.5342210984688861</v>
      </c>
      <c r="AQ153" s="128">
        <v>2377.9116044473899</v>
      </c>
      <c r="AR153" s="188">
        <v>4.4999999999999998E-2</v>
      </c>
      <c r="AS153" s="188">
        <v>0.22399999999999998</v>
      </c>
      <c r="AT153" s="256">
        <v>6</v>
      </c>
    </row>
    <row r="154" spans="1:46" x14ac:dyDescent="0.25">
      <c r="A154" t="s">
        <v>333</v>
      </c>
      <c r="B154">
        <v>1031</v>
      </c>
      <c r="C154">
        <v>8746</v>
      </c>
      <c r="D154">
        <v>39367</v>
      </c>
      <c r="E154">
        <v>231</v>
      </c>
      <c r="F154">
        <v>0</v>
      </c>
      <c r="G154">
        <v>1737</v>
      </c>
      <c r="H154">
        <v>0</v>
      </c>
      <c r="I154">
        <v>6956</v>
      </c>
      <c r="J154">
        <v>0</v>
      </c>
      <c r="K154">
        <v>3194</v>
      </c>
      <c r="L154">
        <v>0</v>
      </c>
      <c r="M154">
        <v>1001</v>
      </c>
      <c r="N154">
        <v>23667</v>
      </c>
      <c r="O154">
        <v>3000</v>
      </c>
      <c r="P154">
        <v>28562</v>
      </c>
      <c r="Q154">
        <v>0</v>
      </c>
      <c r="R154">
        <v>3752</v>
      </c>
      <c r="S154">
        <v>1652</v>
      </c>
      <c r="T154">
        <v>1635</v>
      </c>
      <c r="U154" s="128">
        <v>5</v>
      </c>
      <c r="V154" s="128">
        <v>-1259</v>
      </c>
      <c r="W154" s="128">
        <v>31342</v>
      </c>
      <c r="X154" s="128">
        <v>32601</v>
      </c>
      <c r="Y154" s="128">
        <v>12932</v>
      </c>
      <c r="Z154" s="128">
        <v>949215</v>
      </c>
      <c r="AA154" s="128">
        <v>17968</v>
      </c>
      <c r="AB154" s="128">
        <v>12667</v>
      </c>
      <c r="AC154" s="128" t="s">
        <v>333</v>
      </c>
      <c r="AD154" s="188">
        <f t="shared" si="30"/>
        <v>0.11971156914045052</v>
      </c>
      <c r="AE154" s="188">
        <v>0.94662114734222447</v>
      </c>
      <c r="AF154" s="188">
        <v>5.5420841043966565E-2</v>
      </c>
      <c r="AG154" s="188">
        <v>0.22193861272414014</v>
      </c>
      <c r="AH154" s="188">
        <v>0.79791461936060237</v>
      </c>
      <c r="AI154" s="188">
        <v>0.38008286760454807</v>
      </c>
      <c r="AJ154" s="188">
        <v>-4.0169740284602129E-2</v>
      </c>
      <c r="AK154" s="188">
        <v>0.1031002847200253</v>
      </c>
      <c r="AL154" s="188">
        <v>1.4214936058727401E-2</v>
      </c>
      <c r="AM154" s="129">
        <f t="shared" si="31"/>
        <v>1</v>
      </c>
      <c r="AN154" s="188">
        <v>0.10315231957118244</v>
      </c>
      <c r="AO154" s="188">
        <v>3.0285718843724076E-2</v>
      </c>
      <c r="AP154" s="188">
        <v>0.57328823942313833</v>
      </c>
      <c r="AQ154" s="128">
        <v>1670.9979474224365</v>
      </c>
      <c r="AR154" s="188">
        <v>4.0999999999999995E-2</v>
      </c>
      <c r="AS154" s="188">
        <v>0.20300000000000001</v>
      </c>
      <c r="AT154" s="256">
        <v>6.5</v>
      </c>
    </row>
    <row r="155" spans="1:46" x14ac:dyDescent="0.25">
      <c r="A155" t="s">
        <v>300</v>
      </c>
      <c r="B155">
        <v>747</v>
      </c>
      <c r="C155">
        <v>18458</v>
      </c>
      <c r="D155">
        <v>183720</v>
      </c>
      <c r="E155">
        <v>5240</v>
      </c>
      <c r="F155">
        <v>998</v>
      </c>
      <c r="G155">
        <v>13302</v>
      </c>
      <c r="H155">
        <v>0</v>
      </c>
      <c r="I155">
        <v>26130</v>
      </c>
      <c r="J155">
        <v>2765</v>
      </c>
      <c r="K155">
        <v>27427</v>
      </c>
      <c r="L155">
        <v>6030</v>
      </c>
      <c r="M155">
        <v>2783</v>
      </c>
      <c r="N155">
        <v>94656</v>
      </c>
      <c r="O155">
        <v>10747</v>
      </c>
      <c r="P155">
        <v>143904</v>
      </c>
      <c r="Q155">
        <v>41</v>
      </c>
      <c r="R155">
        <v>20000</v>
      </c>
      <c r="S155">
        <v>8351</v>
      </c>
      <c r="T155">
        <v>9901</v>
      </c>
      <c r="U155" s="128">
        <v>-101</v>
      </c>
      <c r="V155" s="128">
        <v>-10328</v>
      </c>
      <c r="W155" s="128">
        <v>167902</v>
      </c>
      <c r="X155" s="128">
        <v>178230</v>
      </c>
      <c r="Y155" s="128">
        <v>37123</v>
      </c>
      <c r="Z155" s="128">
        <v>6992610</v>
      </c>
      <c r="AA155" s="128">
        <v>101293</v>
      </c>
      <c r="AB155" s="128">
        <v>65712</v>
      </c>
      <c r="AC155" s="128" t="s">
        <v>300</v>
      </c>
      <c r="AD155" s="188">
        <f t="shared" si="30"/>
        <v>8.3203297161439413E-2</v>
      </c>
      <c r="AE155" s="188">
        <v>0.78413002823075362</v>
      </c>
      <c r="AF155" s="188">
        <v>8.516872937785136E-2</v>
      </c>
      <c r="AG155" s="188">
        <v>0.17209443604007099</v>
      </c>
      <c r="AH155" s="188">
        <v>0.67388417052804606</v>
      </c>
      <c r="AI155" s="188">
        <v>0.32912378303198886</v>
      </c>
      <c r="AJ155" s="188">
        <v>-6.151207251849293E-2</v>
      </c>
      <c r="AK155" s="188">
        <v>6.8335146898803045E-3</v>
      </c>
      <c r="AL155" s="188">
        <v>3.2248360507791348E-3</v>
      </c>
      <c r="AM155" s="129">
        <f t="shared" si="31"/>
        <v>1</v>
      </c>
      <c r="AN155" s="188">
        <v>5.52748031589856E-2</v>
      </c>
      <c r="AO155" s="188">
        <v>4.1646972638801204E-2</v>
      </c>
      <c r="AP155" s="188">
        <v>0.60328644090004879</v>
      </c>
      <c r="AQ155" s="128">
        <v>1789.0870465059654</v>
      </c>
      <c r="AR155" s="188">
        <v>4.0999999999999995E-2</v>
      </c>
      <c r="AS155" s="188">
        <v>0.20300000000000001</v>
      </c>
      <c r="AT155" s="256">
        <v>7</v>
      </c>
    </row>
    <row r="156" spans="1:46" x14ac:dyDescent="0.25">
      <c r="A156" t="s">
        <v>409</v>
      </c>
      <c r="B156">
        <v>8476</v>
      </c>
      <c r="C156">
        <v>11824</v>
      </c>
      <c r="D156">
        <v>117334</v>
      </c>
      <c r="E156">
        <v>5782</v>
      </c>
      <c r="F156">
        <v>19995</v>
      </c>
      <c r="G156">
        <v>4987</v>
      </c>
      <c r="H156">
        <v>0</v>
      </c>
      <c r="I156">
        <v>-964</v>
      </c>
      <c r="J156">
        <v>103</v>
      </c>
      <c r="K156">
        <v>14731</v>
      </c>
      <c r="L156">
        <v>4516</v>
      </c>
      <c r="M156">
        <v>4586</v>
      </c>
      <c r="N156">
        <v>25964</v>
      </c>
      <c r="O156">
        <v>8561</v>
      </c>
      <c r="P156">
        <v>123504</v>
      </c>
      <c r="Q156">
        <v>0</v>
      </c>
      <c r="R156">
        <v>15300</v>
      </c>
      <c r="S156">
        <v>5948</v>
      </c>
      <c r="T156">
        <v>12093</v>
      </c>
      <c r="U156" s="128">
        <v>9</v>
      </c>
      <c r="V156" s="128">
        <v>-3124</v>
      </c>
      <c r="W156" s="128">
        <v>167902</v>
      </c>
      <c r="X156" s="128">
        <v>171026</v>
      </c>
      <c r="Y156" s="128">
        <v>35161</v>
      </c>
      <c r="Z156" s="128">
        <v>-3370186</v>
      </c>
      <c r="AA156" s="128">
        <v>131119</v>
      </c>
      <c r="AB156" s="128">
        <v>45746</v>
      </c>
      <c r="AC156" s="128" t="s">
        <v>409</v>
      </c>
      <c r="AD156" s="188">
        <f t="shared" si="30"/>
        <v>6.4227942490262174E-2</v>
      </c>
      <c r="AE156" s="188">
        <v>0.64341103739085892</v>
      </c>
      <c r="AF156" s="188">
        <v>0.1487891746375862</v>
      </c>
      <c r="AG156" s="188">
        <v>-5.1279913282748267E-3</v>
      </c>
      <c r="AH156" s="188">
        <v>0.66485533227716165</v>
      </c>
      <c r="AI156" s="188">
        <v>0.13567434812144014</v>
      </c>
      <c r="AJ156" s="188">
        <v>-1.8606091648699835E-2</v>
      </c>
      <c r="AK156" s="188">
        <v>-4.9910211158585668E-2</v>
      </c>
      <c r="AL156" s="188">
        <v>-3.0195327926121694E-2</v>
      </c>
      <c r="AM156" s="129">
        <f t="shared" si="31"/>
        <v>3</v>
      </c>
      <c r="AN156" s="188">
        <v>5.2353456182773282E-2</v>
      </c>
      <c r="AO156" s="188">
        <v>-2.0072339817274364E-2</v>
      </c>
      <c r="AP156" s="188">
        <v>0.7809257781324821</v>
      </c>
      <c r="AQ156" s="128">
        <v>2060.1474883049882</v>
      </c>
      <c r="AR156" s="188">
        <v>3.2000000000000001E-2</v>
      </c>
      <c r="AS156" s="188">
        <v>0.159</v>
      </c>
      <c r="AT156" s="256">
        <v>5</v>
      </c>
    </row>
    <row r="157" spans="1:46" x14ac:dyDescent="0.25">
      <c r="A157" t="s">
        <v>262</v>
      </c>
      <c r="B157">
        <v>0</v>
      </c>
      <c r="C157">
        <v>4431</v>
      </c>
      <c r="D157">
        <v>53979</v>
      </c>
      <c r="E157">
        <v>117</v>
      </c>
      <c r="F157">
        <v>0</v>
      </c>
      <c r="G157">
        <v>2554</v>
      </c>
      <c r="H157">
        <v>0</v>
      </c>
      <c r="I157">
        <v>-958</v>
      </c>
      <c r="J157">
        <v>0</v>
      </c>
      <c r="K157">
        <v>8021</v>
      </c>
      <c r="L157">
        <v>5758</v>
      </c>
      <c r="M157">
        <v>3371</v>
      </c>
      <c r="N157">
        <v>45497</v>
      </c>
      <c r="O157">
        <v>14150</v>
      </c>
      <c r="P157">
        <v>5440</v>
      </c>
      <c r="Q157">
        <v>207</v>
      </c>
      <c r="R157">
        <v>3018</v>
      </c>
      <c r="S157">
        <v>8961</v>
      </c>
      <c r="T157">
        <v>0</v>
      </c>
      <c r="U157" s="128">
        <v>-93</v>
      </c>
      <c r="V157" s="128">
        <v>95</v>
      </c>
      <c r="W157" s="128">
        <v>60662</v>
      </c>
      <c r="X157" s="128">
        <v>60567</v>
      </c>
      <c r="Y157" s="128">
        <v>-5424</v>
      </c>
      <c r="Z157" s="128">
        <v>3329397</v>
      </c>
      <c r="AA157" s="128">
        <v>29682</v>
      </c>
      <c r="AB157" s="128">
        <v>22811</v>
      </c>
      <c r="AC157" s="128" t="s">
        <v>262</v>
      </c>
      <c r="AD157" s="188">
        <f t="shared" si="30"/>
        <v>-4.5168309650192869E-2</v>
      </c>
      <c r="AE157" s="188">
        <v>-3.4255382282153572E-2</v>
      </c>
      <c r="AF157" s="188">
        <v>4.2102139725033794E-2</v>
      </c>
      <c r="AG157" s="188">
        <v>-1.579242359302364E-2</v>
      </c>
      <c r="AH157" s="188">
        <v>-1.8148429000032967E-2</v>
      </c>
      <c r="AI157" s="188">
        <v>0.58878262782601942</v>
      </c>
      <c r="AJ157" s="188">
        <v>1.5660545316672711E-3</v>
      </c>
      <c r="AK157" s="188">
        <v>-4.9978418410231941E-4</v>
      </c>
      <c r="AL157" s="188">
        <v>1.4422712455462058E-2</v>
      </c>
      <c r="AM157" s="129">
        <f t="shared" si="31"/>
        <v>1</v>
      </c>
      <c r="AN157" s="188">
        <v>-2.2353367841482313E-2</v>
      </c>
      <c r="AO157" s="188">
        <v>5.4884392205993865E-2</v>
      </c>
      <c r="AP157" s="188">
        <v>0.48930137483103098</v>
      </c>
      <c r="AQ157" s="128">
        <v>1984.8853623251939</v>
      </c>
      <c r="AR157" s="188">
        <v>4.2999999999999997E-2</v>
      </c>
      <c r="AS157" s="188">
        <v>0.214</v>
      </c>
      <c r="AT157" s="256">
        <v>7.5</v>
      </c>
    </row>
    <row r="158" spans="1:46" x14ac:dyDescent="0.25">
      <c r="A158" t="s">
        <v>301</v>
      </c>
      <c r="B158">
        <v>0</v>
      </c>
      <c r="C158">
        <v>4981</v>
      </c>
      <c r="D158">
        <v>54145</v>
      </c>
      <c r="E158">
        <v>1039</v>
      </c>
      <c r="F158">
        <v>4308</v>
      </c>
      <c r="G158">
        <v>12550</v>
      </c>
      <c r="H158">
        <v>0</v>
      </c>
      <c r="I158">
        <v>2636</v>
      </c>
      <c r="J158">
        <v>0</v>
      </c>
      <c r="K158">
        <v>9143</v>
      </c>
      <c r="L158">
        <v>6670</v>
      </c>
      <c r="M158">
        <v>1245</v>
      </c>
      <c r="N158">
        <v>18740</v>
      </c>
      <c r="O158">
        <v>12155</v>
      </c>
      <c r="P158">
        <v>51537</v>
      </c>
      <c r="Q158">
        <v>31</v>
      </c>
      <c r="R158">
        <v>7000</v>
      </c>
      <c r="S158">
        <v>4217</v>
      </c>
      <c r="T158">
        <v>3034</v>
      </c>
      <c r="U158" s="128">
        <v>13</v>
      </c>
      <c r="V158" s="128">
        <v>-2394</v>
      </c>
      <c r="W158" s="128">
        <v>71938</v>
      </c>
      <c r="X158" s="128">
        <v>74332</v>
      </c>
      <c r="Y158" s="128">
        <v>4916</v>
      </c>
      <c r="Z158" s="128">
        <v>1542456</v>
      </c>
      <c r="AA158" s="128">
        <v>49033</v>
      </c>
      <c r="AB158" s="128">
        <v>29484</v>
      </c>
      <c r="AC158" s="128" t="s">
        <v>301</v>
      </c>
      <c r="AD158" s="188">
        <f t="shared" si="30"/>
        <v>4.587283494119937E-3</v>
      </c>
      <c r="AE158" s="188">
        <v>0.44347910700881316</v>
      </c>
      <c r="AF158" s="188">
        <v>0.2343406822541633</v>
      </c>
      <c r="AG158" s="188">
        <v>3.6642664516667131E-2</v>
      </c>
      <c r="AH158" s="188">
        <v>0.44595012371764575</v>
      </c>
      <c r="AI158" s="188">
        <v>0.19376718985875882</v>
      </c>
      <c r="AJ158" s="188">
        <v>-3.3278656620979175E-2</v>
      </c>
      <c r="AK158" s="188">
        <v>-7.6601260974603735E-4</v>
      </c>
      <c r="AL158" s="188">
        <v>-1.5613868439800522E-2</v>
      </c>
      <c r="AM158" s="129">
        <f t="shared" si="31"/>
        <v>3</v>
      </c>
      <c r="AN158" s="188">
        <v>1.7084155800828491E-2</v>
      </c>
      <c r="AO158" s="188">
        <v>2.1441463482443215E-2</v>
      </c>
      <c r="AP158" s="188">
        <v>0.68160082293085711</v>
      </c>
      <c r="AQ158" s="128">
        <v>1655.4014041514042</v>
      </c>
      <c r="AR158" s="188">
        <v>4.0999999999999995E-2</v>
      </c>
      <c r="AS158" s="188">
        <v>0.20300000000000001</v>
      </c>
      <c r="AT158" s="256">
        <v>7.5</v>
      </c>
    </row>
    <row r="159" spans="1:46" x14ac:dyDescent="0.25">
      <c r="A159" t="s">
        <v>478</v>
      </c>
      <c r="B159">
        <v>4673</v>
      </c>
      <c r="C159">
        <v>9183</v>
      </c>
      <c r="D159">
        <v>114921</v>
      </c>
      <c r="E159">
        <v>826</v>
      </c>
      <c r="F159">
        <v>0</v>
      </c>
      <c r="G159">
        <v>5311</v>
      </c>
      <c r="H159">
        <v>1875</v>
      </c>
      <c r="I159">
        <v>8942</v>
      </c>
      <c r="J159">
        <v>2518</v>
      </c>
      <c r="K159">
        <v>6489</v>
      </c>
      <c r="L159">
        <v>6710</v>
      </c>
      <c r="M159">
        <v>11320</v>
      </c>
      <c r="N159">
        <v>60948</v>
      </c>
      <c r="O159">
        <v>40096</v>
      </c>
      <c r="P159">
        <v>59015</v>
      </c>
      <c r="Q159">
        <v>0</v>
      </c>
      <c r="R159">
        <v>0</v>
      </c>
      <c r="S159">
        <v>6410</v>
      </c>
      <c r="T159">
        <v>6299</v>
      </c>
      <c r="U159" s="128">
        <v>1</v>
      </c>
      <c r="V159" s="128">
        <v>-3933</v>
      </c>
      <c r="W159" s="128">
        <v>127407</v>
      </c>
      <c r="X159" s="128">
        <v>131340</v>
      </c>
      <c r="Y159" s="128">
        <v>12434</v>
      </c>
      <c r="Z159" s="128">
        <v>3550095</v>
      </c>
      <c r="AA159" s="128">
        <v>88078</v>
      </c>
      <c r="AB159" s="128">
        <v>56271</v>
      </c>
      <c r="AC159" s="128" t="s">
        <v>478</v>
      </c>
      <c r="AD159" s="188">
        <f t="shared" si="30"/>
        <v>-5.2665866082711309E-2</v>
      </c>
      <c r="AE159" s="188">
        <v>0.31410362068018238</v>
      </c>
      <c r="AF159" s="188">
        <v>4.1685307714646763E-2</v>
      </c>
      <c r="AG159" s="188">
        <v>8.9947962042901883E-2</v>
      </c>
      <c r="AH159" s="188">
        <v>0.25614228417590867</v>
      </c>
      <c r="AI159" s="188">
        <v>0.35277366178922021</v>
      </c>
      <c r="AJ159" s="188">
        <v>-3.0869575455037792E-2</v>
      </c>
      <c r="AK159" s="188">
        <v>5.5337404452145723E-3</v>
      </c>
      <c r="AL159" s="188">
        <v>6.6371086927314252E-3</v>
      </c>
      <c r="AM159" s="129">
        <f t="shared" si="31"/>
        <v>1</v>
      </c>
      <c r="AN159" s="188">
        <v>2.439818848257945E-2</v>
      </c>
      <c r="AO159" s="188">
        <v>2.7864206833219524E-2</v>
      </c>
      <c r="AP159" s="188">
        <v>0.69131209431192953</v>
      </c>
      <c r="AQ159" s="128">
        <v>1534.6400099518403</v>
      </c>
      <c r="AR159" s="188">
        <v>4.4000000000000004E-2</v>
      </c>
      <c r="AS159" s="188">
        <v>0.221</v>
      </c>
      <c r="AT159" s="256">
        <v>8.5</v>
      </c>
    </row>
    <row r="160" spans="1:46" x14ac:dyDescent="0.25">
      <c r="A160" t="s">
        <v>375</v>
      </c>
      <c r="B160">
        <v>39</v>
      </c>
      <c r="C160">
        <v>2462</v>
      </c>
      <c r="D160">
        <v>48770</v>
      </c>
      <c r="E160">
        <v>105</v>
      </c>
      <c r="F160">
        <v>1927</v>
      </c>
      <c r="G160">
        <v>507</v>
      </c>
      <c r="H160">
        <v>0</v>
      </c>
      <c r="I160">
        <v>22984</v>
      </c>
      <c r="J160">
        <v>5</v>
      </c>
      <c r="K160">
        <v>7409</v>
      </c>
      <c r="L160">
        <v>1651</v>
      </c>
      <c r="M160">
        <v>5808</v>
      </c>
      <c r="N160">
        <v>42428</v>
      </c>
      <c r="O160">
        <v>7681</v>
      </c>
      <c r="P160">
        <v>29967</v>
      </c>
      <c r="Q160">
        <v>61</v>
      </c>
      <c r="R160">
        <v>5507</v>
      </c>
      <c r="S160">
        <v>4015</v>
      </c>
      <c r="T160">
        <v>2007</v>
      </c>
      <c r="U160" s="128">
        <v>13</v>
      </c>
      <c r="V160" s="128">
        <v>-2442</v>
      </c>
      <c r="W160" s="128">
        <v>50757</v>
      </c>
      <c r="X160" s="128">
        <v>53199</v>
      </c>
      <c r="Y160" s="128">
        <v>3028</v>
      </c>
      <c r="Z160" s="128">
        <v>2293950.3600000003</v>
      </c>
      <c r="AA160" s="128">
        <v>32886</v>
      </c>
      <c r="AB160" s="128">
        <v>22498</v>
      </c>
      <c r="AC160" s="128" t="s">
        <v>375</v>
      </c>
      <c r="AD160" s="188">
        <f t="shared" si="30"/>
        <v>7.5969816971058174E-2</v>
      </c>
      <c r="AE160" s="188">
        <v>0.47786512205213072</v>
      </c>
      <c r="AF160" s="188">
        <v>4.7953976791378528E-2</v>
      </c>
      <c r="AG160" s="188">
        <v>0.4529227495714877</v>
      </c>
      <c r="AH160" s="188">
        <v>0.16657367456705474</v>
      </c>
      <c r="AI160" s="188">
        <v>0.46285427530382039</v>
      </c>
      <c r="AJ160" s="188">
        <v>-4.8111590519534252E-2</v>
      </c>
      <c r="AK160" s="188">
        <v>5.5201074636890271E-3</v>
      </c>
      <c r="AL160" s="188">
        <v>-3.4850045676300803E-2</v>
      </c>
      <c r="AM160" s="129">
        <f t="shared" si="31"/>
        <v>2</v>
      </c>
      <c r="AN160" s="188">
        <v>1.4914199026735228E-2</v>
      </c>
      <c r="AO160" s="188">
        <v>4.5194758555470185E-2</v>
      </c>
      <c r="AP160" s="188">
        <v>0.64791063301613572</v>
      </c>
      <c r="AQ160" s="128">
        <v>1013.1184549737754</v>
      </c>
      <c r="AR160" s="188">
        <v>5.7999999999999996E-2</v>
      </c>
      <c r="AS160" s="188">
        <v>0.25800000000000001</v>
      </c>
      <c r="AT160" s="256">
        <v>6.5</v>
      </c>
    </row>
    <row r="161" spans="1:46" x14ac:dyDescent="0.25">
      <c r="A161" t="s">
        <v>868</v>
      </c>
      <c r="B161">
        <f>SUM(B156:B160)</f>
        <v>13188</v>
      </c>
      <c r="C161">
        <f t="shared" ref="C161" si="32">SUM(C156:C160)</f>
        <v>32881</v>
      </c>
      <c r="D161">
        <f t="shared" ref="D161" si="33">SUM(D156:D160)</f>
        <v>389149</v>
      </c>
      <c r="E161">
        <f t="shared" ref="E161" si="34">SUM(E156:E160)</f>
        <v>7869</v>
      </c>
      <c r="F161">
        <f t="shared" ref="F161" si="35">SUM(F156:F160)</f>
        <v>26230</v>
      </c>
      <c r="G161">
        <f t="shared" ref="G161" si="36">SUM(G156:G160)</f>
        <v>25909</v>
      </c>
      <c r="H161">
        <f t="shared" ref="H161" si="37">SUM(H156:H160)</f>
        <v>1875</v>
      </c>
      <c r="I161">
        <f t="shared" ref="I161" si="38">SUM(I156:I160)</f>
        <v>32640</v>
      </c>
      <c r="J161">
        <f t="shared" ref="J161" si="39">SUM(J156:J160)</f>
        <v>2626</v>
      </c>
      <c r="K161">
        <f t="shared" ref="K161" si="40">SUM(K156:K160)</f>
        <v>45793</v>
      </c>
      <c r="L161">
        <f t="shared" ref="L161" si="41">SUM(L156:L160)</f>
        <v>25305</v>
      </c>
      <c r="M161">
        <f t="shared" ref="M161" si="42">SUM(M156:M160)</f>
        <v>26330</v>
      </c>
      <c r="N161">
        <f t="shared" ref="N161" si="43">SUM(N156:N160)</f>
        <v>193577</v>
      </c>
      <c r="O161">
        <f t="shared" ref="O161" si="44">SUM(O156:O160)</f>
        <v>82643</v>
      </c>
      <c r="P161">
        <f t="shared" ref="P161" si="45">SUM(P156:P160)</f>
        <v>269463</v>
      </c>
      <c r="Q161">
        <f t="shared" ref="Q161" si="46">SUM(Q156:Q160)</f>
        <v>299</v>
      </c>
      <c r="R161">
        <f t="shared" ref="R161" si="47">SUM(R156:R160)</f>
        <v>30825</v>
      </c>
      <c r="S161">
        <f t="shared" ref="S161" si="48">SUM(S156:S160)</f>
        <v>29551</v>
      </c>
      <c r="T161">
        <f t="shared" ref="T161" si="49">SUM(T156:T160)</f>
        <v>23433</v>
      </c>
      <c r="U161">
        <f t="shared" ref="U161" si="50">SUM(U156:U160)</f>
        <v>-57</v>
      </c>
      <c r="V161">
        <f t="shared" ref="V161" si="51">SUM(V156:V160)</f>
        <v>-11798</v>
      </c>
      <c r="W161">
        <f t="shared" ref="W161" si="52">SUM(W156:W160)</f>
        <v>478666</v>
      </c>
      <c r="X161">
        <f t="shared" ref="X161" si="53">SUM(X156:X160)</f>
        <v>490464</v>
      </c>
      <c r="Y161">
        <f t="shared" ref="Y161" si="54">SUM(Y156:Y160)</f>
        <v>50115</v>
      </c>
      <c r="Z161">
        <f t="shared" ref="Z161" si="55">SUM(Z156:Z160)</f>
        <v>7345712.3600000003</v>
      </c>
      <c r="AA161">
        <f t="shared" ref="AA161" si="56">SUM(AA156:AA160)</f>
        <v>330798</v>
      </c>
      <c r="AB161">
        <f t="shared" ref="AB161" si="57">SUM(AB156:AB160)</f>
        <v>176810</v>
      </c>
      <c r="AC161" t="s">
        <v>868</v>
      </c>
      <c r="AD161" s="188">
        <f t="shared" si="30"/>
        <v>1.1532049487534106E-2</v>
      </c>
      <c r="AE161" s="188">
        <f>SUM(P161,Q161,R161,S161,T161,-F161,-G161,-H161,-K161,-L161,-M161)/W161</f>
        <v>0.42227565776554005</v>
      </c>
      <c r="AF161" s="188">
        <f>SUM(F161,G161)/W161</f>
        <v>0.1089256391721994</v>
      </c>
      <c r="AG161" s="188">
        <f>SUM(I161,J161)/W161</f>
        <v>7.3675590077423511E-2</v>
      </c>
      <c r="AH161" s="188">
        <f>SUM(AE161,0.12*AF161,-0.8*AG161)</f>
        <v>0.37640626240426517</v>
      </c>
      <c r="AI161" s="188">
        <f>N161/SUM(N161,O161,P161,Q161,R161,S161,T161)</f>
        <v>0.30736704716326529</v>
      </c>
      <c r="AJ161" s="188">
        <f>V161/W161</f>
        <v>-2.4647666640204235E-2</v>
      </c>
      <c r="AK161" s="188">
        <v>-4.0000000000000001E-3</v>
      </c>
      <c r="AL161" s="188">
        <v>-3.2000000000000001E-2</v>
      </c>
      <c r="AM161" s="129">
        <v>3</v>
      </c>
      <c r="AN161" s="188">
        <f>Y161/(W161*10)</f>
        <v>1.0469722102677024E-2</v>
      </c>
      <c r="AO161" s="188">
        <f>Z161/(W161*1000)</f>
        <v>1.5346217111722998E-2</v>
      </c>
      <c r="AP161" s="188">
        <f>AA161/W161</f>
        <v>0.69108313521328024</v>
      </c>
      <c r="AQ161" s="128">
        <v>1889</v>
      </c>
      <c r="AR161" s="188">
        <v>3.6999999999999998E-2</v>
      </c>
      <c r="AS161" s="188">
        <f>5*AR161</f>
        <v>0.185</v>
      </c>
      <c r="AT161" s="256">
        <v>7</v>
      </c>
    </row>
    <row r="162" spans="1:46" x14ac:dyDescent="0.25">
      <c r="A162" t="s">
        <v>410</v>
      </c>
      <c r="B162">
        <v>56</v>
      </c>
      <c r="C162">
        <v>3294</v>
      </c>
      <c r="D162">
        <v>78606</v>
      </c>
      <c r="E162">
        <v>791</v>
      </c>
      <c r="F162">
        <v>60</v>
      </c>
      <c r="G162">
        <v>6600</v>
      </c>
      <c r="H162">
        <v>0</v>
      </c>
      <c r="I162">
        <v>298</v>
      </c>
      <c r="J162">
        <v>6</v>
      </c>
      <c r="K162">
        <v>21474</v>
      </c>
      <c r="L162">
        <v>9</v>
      </c>
      <c r="M162">
        <v>3383</v>
      </c>
      <c r="N162">
        <v>50621</v>
      </c>
      <c r="O162">
        <v>17784</v>
      </c>
      <c r="P162">
        <v>16160</v>
      </c>
      <c r="Q162">
        <v>17</v>
      </c>
      <c r="R162">
        <v>12073</v>
      </c>
      <c r="S162">
        <v>8124</v>
      </c>
      <c r="T162">
        <v>9797</v>
      </c>
      <c r="U162" s="128">
        <v>10</v>
      </c>
      <c r="V162" s="128">
        <v>-5952</v>
      </c>
      <c r="W162" s="128">
        <v>119672</v>
      </c>
      <c r="X162" s="128">
        <v>125624</v>
      </c>
      <c r="Y162" s="128">
        <v>15127</v>
      </c>
      <c r="Z162" s="128">
        <v>-161870</v>
      </c>
      <c r="AA162" s="128">
        <v>86422</v>
      </c>
      <c r="AB162" s="128">
        <v>37460</v>
      </c>
      <c r="AC162" s="128" t="s">
        <v>410</v>
      </c>
      <c r="AD162" s="188">
        <f t="shared" si="30"/>
        <v>0.10080887759876997</v>
      </c>
      <c r="AE162" s="188">
        <v>0.12237616150812219</v>
      </c>
      <c r="AF162" s="188">
        <v>5.5652115783140582E-2</v>
      </c>
      <c r="AG162" s="188">
        <v>2.5402767564676782E-3</v>
      </c>
      <c r="AH162" s="188">
        <v>0.12727622167257169</v>
      </c>
      <c r="AI162" s="188">
        <v>0.44181154866638739</v>
      </c>
      <c r="AJ162" s="188">
        <v>-4.9735944916104016E-2</v>
      </c>
      <c r="AK162" s="188">
        <v>-3.8395818675243741E-2</v>
      </c>
      <c r="AL162" s="188">
        <v>-5.9044566136859447E-2</v>
      </c>
      <c r="AM162" s="129">
        <f t="shared" si="31"/>
        <v>3</v>
      </c>
      <c r="AN162" s="188">
        <v>3.1600959288722509E-2</v>
      </c>
      <c r="AO162" s="188">
        <v>-1.3526138110836286E-3</v>
      </c>
      <c r="AP162" s="188">
        <v>0.72215722976134766</v>
      </c>
      <c r="AQ162" s="128">
        <v>2236.9986652429257</v>
      </c>
      <c r="AR162" s="188">
        <v>4.9000000000000002E-2</v>
      </c>
      <c r="AS162" s="188">
        <v>0.24399999999999999</v>
      </c>
      <c r="AT162" s="256">
        <v>6</v>
      </c>
    </row>
    <row r="163" spans="1:46" x14ac:dyDescent="0.25">
      <c r="A163" t="s">
        <v>263</v>
      </c>
      <c r="B163">
        <v>218</v>
      </c>
      <c r="C163">
        <v>1253</v>
      </c>
      <c r="D163">
        <v>19357</v>
      </c>
      <c r="E163">
        <v>139</v>
      </c>
      <c r="F163">
        <v>0</v>
      </c>
      <c r="G163">
        <v>217</v>
      </c>
      <c r="H163">
        <v>0</v>
      </c>
      <c r="I163">
        <v>786</v>
      </c>
      <c r="J163">
        <v>0</v>
      </c>
      <c r="K163">
        <v>2141</v>
      </c>
      <c r="L163">
        <v>5</v>
      </c>
      <c r="M163">
        <v>2848</v>
      </c>
      <c r="N163">
        <v>6006</v>
      </c>
      <c r="O163">
        <v>4312</v>
      </c>
      <c r="P163">
        <v>12433</v>
      </c>
      <c r="Q163">
        <v>10</v>
      </c>
      <c r="R163">
        <v>1525</v>
      </c>
      <c r="S163">
        <v>2678</v>
      </c>
      <c r="T163">
        <v>0</v>
      </c>
      <c r="U163" s="128">
        <v>-3</v>
      </c>
      <c r="V163" s="128">
        <v>-2096</v>
      </c>
      <c r="W163" s="128">
        <v>22351</v>
      </c>
      <c r="X163" s="128">
        <v>24447</v>
      </c>
      <c r="Y163" s="128">
        <v>2059.2000000000007</v>
      </c>
      <c r="Z163" s="128">
        <v>1682264.2000000007</v>
      </c>
      <c r="AA163" s="128">
        <v>15210</v>
      </c>
      <c r="AB163" s="128">
        <v>11482</v>
      </c>
      <c r="AC163" s="128" t="s">
        <v>263</v>
      </c>
      <c r="AD163" s="188">
        <f t="shared" si="30"/>
        <v>6.8005905776027914E-2</v>
      </c>
      <c r="AE163" s="188">
        <v>0.5116102187821574</v>
      </c>
      <c r="AF163" s="188">
        <v>9.7087378640776691E-3</v>
      </c>
      <c r="AG163" s="188">
        <v>3.516621180260391E-2</v>
      </c>
      <c r="AH163" s="188">
        <v>0.48815891906402403</v>
      </c>
      <c r="AI163" s="188">
        <v>0.22274143302180685</v>
      </c>
      <c r="AJ163" s="188">
        <v>-9.3776564806943755E-2</v>
      </c>
      <c r="AK163" s="188">
        <v>4.3630697312037399E-2</v>
      </c>
      <c r="AL163" s="188">
        <v>-5.6545986469189978E-2</v>
      </c>
      <c r="AM163" s="129">
        <f t="shared" si="31"/>
        <v>2</v>
      </c>
      <c r="AN163" s="188">
        <v>2.3032526508881043E-2</v>
      </c>
      <c r="AO163" s="188">
        <v>7.5265724128674369E-2</v>
      </c>
      <c r="AP163" s="188">
        <v>0.68050646503512147</v>
      </c>
      <c r="AQ163" s="128">
        <v>1508.4493990593974</v>
      </c>
      <c r="AR163" s="188">
        <v>5.5E-2</v>
      </c>
      <c r="AS163" s="188">
        <v>0.27300000000000002</v>
      </c>
      <c r="AT163" s="256">
        <v>7.5</v>
      </c>
    </row>
    <row r="164" spans="1:46" x14ac:dyDescent="0.25">
      <c r="A164" t="s">
        <v>302</v>
      </c>
      <c r="B164">
        <v>12225</v>
      </c>
      <c r="C164">
        <v>52630</v>
      </c>
      <c r="D164">
        <v>153486</v>
      </c>
      <c r="E164">
        <v>623</v>
      </c>
      <c r="F164">
        <v>0</v>
      </c>
      <c r="G164">
        <v>3573</v>
      </c>
      <c r="H164">
        <v>376</v>
      </c>
      <c r="I164">
        <v>101796</v>
      </c>
      <c r="J164">
        <v>0</v>
      </c>
      <c r="K164">
        <v>9551</v>
      </c>
      <c r="L164">
        <v>26379</v>
      </c>
      <c r="M164">
        <v>2941</v>
      </c>
      <c r="N164">
        <v>114269</v>
      </c>
      <c r="O164">
        <v>26717</v>
      </c>
      <c r="P164">
        <v>183665</v>
      </c>
      <c r="Q164">
        <v>48</v>
      </c>
      <c r="R164">
        <v>10000</v>
      </c>
      <c r="S164">
        <v>10005</v>
      </c>
      <c r="T164">
        <v>18838</v>
      </c>
      <c r="U164" s="128">
        <v>-1</v>
      </c>
      <c r="V164" s="128">
        <v>-791</v>
      </c>
      <c r="W164" s="128">
        <v>185275</v>
      </c>
      <c r="X164" s="128">
        <v>186066</v>
      </c>
      <c r="Y164" s="128">
        <v>37178</v>
      </c>
      <c r="Z164" s="128">
        <v>5338354</v>
      </c>
      <c r="AA164" s="128">
        <v>75278</v>
      </c>
      <c r="AB164" s="128">
        <v>62306</v>
      </c>
      <c r="AC164" s="128" t="s">
        <v>302</v>
      </c>
      <c r="AD164" s="188">
        <f t="shared" si="30"/>
        <v>-8.840372419376602E-2</v>
      </c>
      <c r="AE164" s="188">
        <v>0.97010389960868981</v>
      </c>
      <c r="AF164" s="188">
        <v>1.9284846849278101E-2</v>
      </c>
      <c r="AG164" s="188">
        <v>0.54943192551612463</v>
      </c>
      <c r="AH164" s="188">
        <v>0.58781573336931592</v>
      </c>
      <c r="AI164" s="188">
        <v>0.31432131638160105</v>
      </c>
      <c r="AJ164" s="188">
        <v>-4.2693293752530019E-3</v>
      </c>
      <c r="AK164" s="188">
        <v>9.1028063545384563E-2</v>
      </c>
      <c r="AL164" s="188">
        <v>4.9518807477187253E-2</v>
      </c>
      <c r="AM164" s="129">
        <f t="shared" si="31"/>
        <v>1</v>
      </c>
      <c r="AN164" s="188">
        <v>5.016596950479018E-2</v>
      </c>
      <c r="AO164" s="188">
        <v>2.8813137228444207E-2</v>
      </c>
      <c r="AP164" s="188">
        <v>0.40630414249089192</v>
      </c>
      <c r="AQ164" s="128">
        <v>1871.0181523448784</v>
      </c>
      <c r="AR164" s="188">
        <v>0.02</v>
      </c>
      <c r="AS164" s="188">
        <v>0.1</v>
      </c>
      <c r="AT164" s="256">
        <v>7.5</v>
      </c>
    </row>
    <row r="165" spans="1:46" x14ac:dyDescent="0.25">
      <c r="A165" t="s">
        <v>265</v>
      </c>
      <c r="B165">
        <v>269</v>
      </c>
      <c r="C165">
        <v>9731</v>
      </c>
      <c r="D165">
        <v>20733</v>
      </c>
      <c r="E165">
        <v>0</v>
      </c>
      <c r="F165">
        <v>0</v>
      </c>
      <c r="G165">
        <v>7038</v>
      </c>
      <c r="H165">
        <v>0</v>
      </c>
      <c r="I165">
        <v>0</v>
      </c>
      <c r="J165">
        <v>0</v>
      </c>
      <c r="K165">
        <v>4151</v>
      </c>
      <c r="L165">
        <v>251</v>
      </c>
      <c r="M165">
        <v>408</v>
      </c>
      <c r="N165">
        <v>7052</v>
      </c>
      <c r="O165">
        <v>1489</v>
      </c>
      <c r="P165">
        <v>27873</v>
      </c>
      <c r="Q165">
        <v>33</v>
      </c>
      <c r="R165">
        <v>3000</v>
      </c>
      <c r="S165">
        <v>978</v>
      </c>
      <c r="T165">
        <v>2155</v>
      </c>
      <c r="U165" s="128">
        <v>-5</v>
      </c>
      <c r="V165" s="128">
        <v>-1361</v>
      </c>
      <c r="W165" s="128">
        <v>24056</v>
      </c>
      <c r="X165" s="128">
        <v>25417</v>
      </c>
      <c r="Y165" s="128">
        <v>7800</v>
      </c>
      <c r="Z165" s="128">
        <v>2988187.9999999995</v>
      </c>
      <c r="AA165" s="128">
        <v>13774</v>
      </c>
      <c r="AB165" s="128">
        <v>11271</v>
      </c>
      <c r="AC165" s="128" t="s">
        <v>265</v>
      </c>
      <c r="AD165" s="188">
        <f t="shared" si="30"/>
        <v>0.11427502494180246</v>
      </c>
      <c r="AE165" s="188">
        <v>0.92247256401729294</v>
      </c>
      <c r="AF165" s="188">
        <v>0.29256734286664449</v>
      </c>
      <c r="AG165" s="188">
        <v>0</v>
      </c>
      <c r="AH165" s="188">
        <v>0.95758064516129027</v>
      </c>
      <c r="AI165" s="188">
        <v>0.1656176608736496</v>
      </c>
      <c r="AJ165" s="188">
        <v>-5.6576321915530428E-2</v>
      </c>
      <c r="AK165" s="188">
        <v>-2.7458066543583296E-2</v>
      </c>
      <c r="AL165" s="188">
        <v>-2.3668284498771647E-2</v>
      </c>
      <c r="AM165" s="129">
        <f t="shared" si="31"/>
        <v>3</v>
      </c>
      <c r="AN165" s="188">
        <v>8.1060857998004651E-2</v>
      </c>
      <c r="AO165" s="188">
        <v>0.12421799135350847</v>
      </c>
      <c r="AP165" s="188">
        <v>0.57258064516129037</v>
      </c>
      <c r="AQ165" s="128">
        <v>1635.3042321000798</v>
      </c>
      <c r="AR165" s="188">
        <v>3.5000000000000003E-2</v>
      </c>
      <c r="AS165" s="188">
        <v>0.17699999999999999</v>
      </c>
      <c r="AT165" s="256">
        <v>7</v>
      </c>
    </row>
    <row r="166" spans="1:46" x14ac:dyDescent="0.25">
      <c r="A166" t="s">
        <v>132</v>
      </c>
      <c r="B166">
        <v>13082</v>
      </c>
      <c r="C166">
        <v>36255</v>
      </c>
      <c r="D166">
        <v>385358</v>
      </c>
      <c r="E166">
        <v>3461</v>
      </c>
      <c r="F166">
        <v>6510</v>
      </c>
      <c r="G166">
        <v>189</v>
      </c>
      <c r="H166">
        <v>23411</v>
      </c>
      <c r="I166">
        <v>145191</v>
      </c>
      <c r="J166">
        <v>0</v>
      </c>
      <c r="K166">
        <v>44537</v>
      </c>
      <c r="L166">
        <v>37</v>
      </c>
      <c r="M166">
        <v>18073</v>
      </c>
      <c r="N166">
        <v>63563</v>
      </c>
      <c r="O166">
        <v>48337</v>
      </c>
      <c r="P166">
        <v>471158</v>
      </c>
      <c r="Q166">
        <v>22</v>
      </c>
      <c r="R166">
        <v>29720</v>
      </c>
      <c r="S166">
        <v>13501</v>
      </c>
      <c r="T166">
        <v>49804</v>
      </c>
      <c r="U166" s="128">
        <v>-4</v>
      </c>
      <c r="V166" s="128">
        <v>3025</v>
      </c>
      <c r="W166" s="128">
        <v>590299</v>
      </c>
      <c r="X166" s="128">
        <v>587274</v>
      </c>
      <c r="Y166" s="128">
        <v>52882</v>
      </c>
      <c r="Z166" s="128">
        <v>-6444609.6000000015</v>
      </c>
      <c r="AA166" s="128">
        <v>414490</v>
      </c>
      <c r="AB166" s="128">
        <v>124137</v>
      </c>
      <c r="AC166" s="128" t="s">
        <v>132</v>
      </c>
      <c r="AD166" s="188">
        <f t="shared" si="30"/>
        <v>5.0284686235280762E-2</v>
      </c>
      <c r="AE166" s="188">
        <v>0.79865966230672936</v>
      </c>
      <c r="AF166" s="188">
        <v>1.134848610619364E-2</v>
      </c>
      <c r="AG166" s="188">
        <v>0.24596179224426942</v>
      </c>
      <c r="AH166" s="188">
        <v>0.62784822606848412</v>
      </c>
      <c r="AI166" s="188">
        <v>9.4013503819672981E-2</v>
      </c>
      <c r="AJ166" s="188">
        <v>5.1245216407278344E-3</v>
      </c>
      <c r="AK166" s="188">
        <v>-2.7221431678716036E-2</v>
      </c>
      <c r="AL166" s="188">
        <v>1.8760819678731028E-2</v>
      </c>
      <c r="AM166" s="129">
        <f t="shared" si="31"/>
        <v>1</v>
      </c>
      <c r="AN166" s="188">
        <v>2.2396277140906556E-2</v>
      </c>
      <c r="AO166" s="188">
        <v>-1.0917534334294996E-2</v>
      </c>
      <c r="AP166" s="188">
        <v>0.70216957846786121</v>
      </c>
      <c r="AQ166" s="128">
        <v>2287.5271514536362</v>
      </c>
      <c r="AR166" s="188">
        <v>2.8999999999999998E-2</v>
      </c>
      <c r="AS166" s="188">
        <v>0.14300000000000002</v>
      </c>
      <c r="AT166" s="256">
        <v>8.5</v>
      </c>
    </row>
    <row r="167" spans="1:46" x14ac:dyDescent="0.25">
      <c r="A167" t="s">
        <v>303</v>
      </c>
      <c r="B167">
        <v>2048</v>
      </c>
      <c r="C167">
        <v>218715</v>
      </c>
      <c r="D167">
        <v>540497</v>
      </c>
      <c r="E167">
        <v>11192</v>
      </c>
      <c r="F167">
        <v>75</v>
      </c>
      <c r="G167">
        <v>1153</v>
      </c>
      <c r="H167">
        <v>6186</v>
      </c>
      <c r="I167">
        <v>3169</v>
      </c>
      <c r="J167">
        <v>3124</v>
      </c>
      <c r="K167">
        <v>46556</v>
      </c>
      <c r="L167">
        <v>31</v>
      </c>
      <c r="M167">
        <v>13414</v>
      </c>
      <c r="N167">
        <v>327876</v>
      </c>
      <c r="O167">
        <v>36130</v>
      </c>
      <c r="P167">
        <v>395143</v>
      </c>
      <c r="Q167">
        <v>459</v>
      </c>
      <c r="R167">
        <v>30103</v>
      </c>
      <c r="S167">
        <v>49150</v>
      </c>
      <c r="T167">
        <v>7299</v>
      </c>
      <c r="U167" s="128">
        <v>-7444</v>
      </c>
      <c r="V167" s="128">
        <v>-26048</v>
      </c>
      <c r="W167" s="128">
        <v>496650</v>
      </c>
      <c r="X167" s="128">
        <v>522698</v>
      </c>
      <c r="Y167" s="128">
        <v>388799</v>
      </c>
      <c r="Z167" s="128">
        <v>-9906883.200000003</v>
      </c>
      <c r="AA167" s="128">
        <v>327452</v>
      </c>
      <c r="AB167" s="128">
        <v>125409</v>
      </c>
      <c r="AC167" s="128" t="s">
        <v>303</v>
      </c>
      <c r="AD167" s="188">
        <f t="shared" si="30"/>
        <v>6.0549682875264271E-2</v>
      </c>
      <c r="AE167" s="188">
        <v>0.83507298902647742</v>
      </c>
      <c r="AF167" s="188">
        <v>2.4725661934964262E-3</v>
      </c>
      <c r="AG167" s="188">
        <v>1.2670894996476391E-2</v>
      </c>
      <c r="AH167" s="188">
        <v>0.82650007047216356</v>
      </c>
      <c r="AI167" s="188">
        <v>0.38748700009454479</v>
      </c>
      <c r="AJ167" s="188">
        <v>-5.2447397563676633E-2</v>
      </c>
      <c r="AK167" s="188">
        <v>-8.1867658358698747E-2</v>
      </c>
      <c r="AL167" s="188">
        <v>-3.4907412526697094E-2</v>
      </c>
      <c r="AM167" s="129">
        <f t="shared" si="31"/>
        <v>3</v>
      </c>
      <c r="AN167" s="188">
        <v>0.19571076210611094</v>
      </c>
      <c r="AO167" s="188">
        <v>-1.9947414074297804E-2</v>
      </c>
      <c r="AP167" s="188">
        <v>0.65932145374005835</v>
      </c>
      <c r="AQ167" s="128">
        <v>2423.2520552751394</v>
      </c>
      <c r="AR167" s="188">
        <v>3.6000000000000004E-2</v>
      </c>
      <c r="AS167" s="188">
        <v>0.18</v>
      </c>
      <c r="AT167" s="256">
        <v>6.5</v>
      </c>
    </row>
    <row r="168" spans="1:46" x14ac:dyDescent="0.25">
      <c r="A168" t="s">
        <v>304</v>
      </c>
      <c r="B168">
        <v>237</v>
      </c>
      <c r="C168">
        <v>4434</v>
      </c>
      <c r="D168">
        <v>74293</v>
      </c>
      <c r="E168">
        <v>2137</v>
      </c>
      <c r="F168">
        <v>0</v>
      </c>
      <c r="G168">
        <v>699</v>
      </c>
      <c r="H168">
        <v>20</v>
      </c>
      <c r="I168">
        <v>-6397</v>
      </c>
      <c r="J168">
        <v>171</v>
      </c>
      <c r="K168">
        <v>8552</v>
      </c>
      <c r="L168">
        <v>1</v>
      </c>
      <c r="M168">
        <v>1468</v>
      </c>
      <c r="N168">
        <v>43698</v>
      </c>
      <c r="O168">
        <v>11504</v>
      </c>
      <c r="P168">
        <v>15410</v>
      </c>
      <c r="Q168">
        <v>15</v>
      </c>
      <c r="R168">
        <v>4431</v>
      </c>
      <c r="S168">
        <v>7121</v>
      </c>
      <c r="T168">
        <v>3437</v>
      </c>
      <c r="U168" s="128">
        <v>-19</v>
      </c>
      <c r="V168" s="128">
        <v>2403</v>
      </c>
      <c r="W168" s="128">
        <v>68283</v>
      </c>
      <c r="X168" s="128">
        <v>65880</v>
      </c>
      <c r="Y168" s="128">
        <v>11087</v>
      </c>
      <c r="Z168" s="128">
        <v>501598.00000000093</v>
      </c>
      <c r="AA168" s="128">
        <v>39647</v>
      </c>
      <c r="AB168" s="128">
        <v>27084</v>
      </c>
      <c r="AC168" s="128" t="s">
        <v>304</v>
      </c>
      <c r="AD168" s="188">
        <f t="shared" si="30"/>
        <v>6.4877055782552026E-2</v>
      </c>
      <c r="AE168" s="188">
        <v>0.28812442335574007</v>
      </c>
      <c r="AF168" s="188">
        <v>1.0236808576073108E-2</v>
      </c>
      <c r="AG168" s="188">
        <v>-9.1179356501618264E-2</v>
      </c>
      <c r="AH168" s="188">
        <v>0.35317838993600165</v>
      </c>
      <c r="AI168" s="188">
        <v>0.5103952532236965</v>
      </c>
      <c r="AJ168" s="188">
        <v>3.5191775405298539E-2</v>
      </c>
      <c r="AK168" s="188">
        <v>0.14439256034823902</v>
      </c>
      <c r="AL168" s="188">
        <v>-6.2526122210147953E-3</v>
      </c>
      <c r="AM168" s="129">
        <f t="shared" si="31"/>
        <v>1</v>
      </c>
      <c r="AN168" s="188">
        <v>4.0592094664850698E-2</v>
      </c>
      <c r="AO168" s="188">
        <v>7.3458693964823006E-3</v>
      </c>
      <c r="AP168" s="188">
        <v>0.58062768185346281</v>
      </c>
      <c r="AQ168" s="128">
        <v>1553.215034706838</v>
      </c>
      <c r="AR168" s="188">
        <v>2.1000000000000001E-2</v>
      </c>
      <c r="AS168" s="188">
        <v>0.10300000000000001</v>
      </c>
      <c r="AT168" s="256">
        <v>8.5</v>
      </c>
    </row>
    <row r="169" spans="1:46" x14ac:dyDescent="0.25">
      <c r="A169" t="s">
        <v>305</v>
      </c>
      <c r="B169">
        <v>0</v>
      </c>
      <c r="C169">
        <v>1883</v>
      </c>
      <c r="D169">
        <v>210244</v>
      </c>
      <c r="E169">
        <v>5687</v>
      </c>
      <c r="F169">
        <v>0</v>
      </c>
      <c r="G169">
        <v>27</v>
      </c>
      <c r="H169">
        <v>4194</v>
      </c>
      <c r="I169">
        <v>43051</v>
      </c>
      <c r="J169">
        <v>0</v>
      </c>
      <c r="K169">
        <v>20313</v>
      </c>
      <c r="L169">
        <v>1245</v>
      </c>
      <c r="M169">
        <v>16146</v>
      </c>
      <c r="N169">
        <v>90209</v>
      </c>
      <c r="O169">
        <v>18525</v>
      </c>
      <c r="P169">
        <v>138978</v>
      </c>
      <c r="Q169">
        <v>0</v>
      </c>
      <c r="R169">
        <v>23000</v>
      </c>
      <c r="S169">
        <v>12439</v>
      </c>
      <c r="T169">
        <v>19640</v>
      </c>
      <c r="U169" s="128">
        <v>-11</v>
      </c>
      <c r="V169" s="128">
        <v>-9397</v>
      </c>
      <c r="W169" s="128">
        <v>200238</v>
      </c>
      <c r="X169" s="128">
        <v>209635</v>
      </c>
      <c r="Y169" s="128">
        <v>44897</v>
      </c>
      <c r="Z169" s="128">
        <v>11102177.199999999</v>
      </c>
      <c r="AA169" s="128">
        <v>141928</v>
      </c>
      <c r="AB169" s="128">
        <v>76541</v>
      </c>
      <c r="AC169" s="128" t="s">
        <v>305</v>
      </c>
      <c r="AD169" s="188">
        <f t="shared" si="30"/>
        <v>0.1086457116031922</v>
      </c>
      <c r="AE169" s="188">
        <v>0.75975589049031655</v>
      </c>
      <c r="AF169" s="188">
        <v>1.3483954094627393E-4</v>
      </c>
      <c r="AG169" s="188">
        <v>0.21499915101029773</v>
      </c>
      <c r="AH169" s="188">
        <v>0.60927266552802173</v>
      </c>
      <c r="AI169" s="188">
        <v>0.297924971349875</v>
      </c>
      <c r="AJ169" s="188">
        <v>-4.6929154306375412E-2</v>
      </c>
      <c r="AK169" s="188">
        <v>-7.7130244503689549E-2</v>
      </c>
      <c r="AL169" s="188">
        <v>-2.7885070258524339E-2</v>
      </c>
      <c r="AM169" s="129">
        <f t="shared" si="31"/>
        <v>3</v>
      </c>
      <c r="AN169" s="188">
        <v>5.6054545091341307E-2</v>
      </c>
      <c r="AO169" s="188">
        <v>5.5444906561192185E-2</v>
      </c>
      <c r="AP169" s="188">
        <v>0.70879653212676919</v>
      </c>
      <c r="AQ169" s="128">
        <v>1751.6377758325605</v>
      </c>
      <c r="AR169" s="188">
        <v>4.0999999999999995E-2</v>
      </c>
      <c r="AS169" s="188">
        <v>0.20300000000000001</v>
      </c>
      <c r="AT169" s="256">
        <v>6</v>
      </c>
    </row>
    <row r="170" spans="1:46" x14ac:dyDescent="0.25">
      <c r="A170" t="s">
        <v>431</v>
      </c>
      <c r="B170">
        <v>20</v>
      </c>
      <c r="C170">
        <v>32284</v>
      </c>
      <c r="D170">
        <v>202556</v>
      </c>
      <c r="E170">
        <v>12980</v>
      </c>
      <c r="F170">
        <v>0</v>
      </c>
      <c r="G170">
        <v>19910</v>
      </c>
      <c r="H170">
        <v>0</v>
      </c>
      <c r="I170">
        <v>82653</v>
      </c>
      <c r="J170">
        <v>0</v>
      </c>
      <c r="K170">
        <v>21480</v>
      </c>
      <c r="L170">
        <v>914</v>
      </c>
      <c r="M170">
        <v>7993</v>
      </c>
      <c r="N170">
        <v>84849</v>
      </c>
      <c r="O170">
        <v>109212</v>
      </c>
      <c r="P170">
        <v>141860</v>
      </c>
      <c r="Q170">
        <v>2667</v>
      </c>
      <c r="R170">
        <v>14000</v>
      </c>
      <c r="S170">
        <v>12280</v>
      </c>
      <c r="T170">
        <v>15921</v>
      </c>
      <c r="U170" s="128">
        <v>4</v>
      </c>
      <c r="V170" s="128">
        <v>-12500</v>
      </c>
      <c r="W170" s="128">
        <v>295476</v>
      </c>
      <c r="X170" s="128">
        <v>307976</v>
      </c>
      <c r="Y170" s="128">
        <v>28851</v>
      </c>
      <c r="Z170" s="128">
        <v>-4774734</v>
      </c>
      <c r="AA170" s="128">
        <v>190450</v>
      </c>
      <c r="AB170" s="128">
        <v>78570</v>
      </c>
      <c r="AC170" s="128" t="s">
        <v>431</v>
      </c>
      <c r="AD170" s="188">
        <f t="shared" si="30"/>
        <v>4.428786094302075E-2</v>
      </c>
      <c r="AE170" s="188">
        <v>0.46173293262396947</v>
      </c>
      <c r="AF170" s="188">
        <v>6.7382799279806144E-2</v>
      </c>
      <c r="AG170" s="188">
        <v>0.27972830280631927</v>
      </c>
      <c r="AH170" s="188">
        <v>0.27400905657312274</v>
      </c>
      <c r="AI170" s="188">
        <v>0.22282418872393897</v>
      </c>
      <c r="AJ170" s="188">
        <v>-4.230462034141521E-2</v>
      </c>
      <c r="AK170" s="188">
        <v>4.600302767530387E-3</v>
      </c>
      <c r="AL170" s="188">
        <v>1.5511116300015011E-2</v>
      </c>
      <c r="AM170" s="129">
        <f t="shared" si="31"/>
        <v>1</v>
      </c>
      <c r="AN170" s="188">
        <v>2.4410612029403405E-2</v>
      </c>
      <c r="AO170" s="188">
        <v>-1.6159464728099746E-2</v>
      </c>
      <c r="AP170" s="188">
        <v>0.64455319552180212</v>
      </c>
      <c r="AQ170" s="128">
        <v>2668.2894998090874</v>
      </c>
      <c r="AR170" s="188">
        <v>4.0999999999999995E-2</v>
      </c>
      <c r="AS170" s="188">
        <v>0.20300000000000001</v>
      </c>
      <c r="AT170" s="256">
        <v>5.5</v>
      </c>
    </row>
    <row r="171" spans="1:46" x14ac:dyDescent="0.25">
      <c r="A171" t="s">
        <v>411</v>
      </c>
      <c r="B171">
        <v>148</v>
      </c>
      <c r="C171">
        <v>4999</v>
      </c>
      <c r="D171">
        <v>92946</v>
      </c>
      <c r="E171">
        <v>3147</v>
      </c>
      <c r="F171">
        <v>329</v>
      </c>
      <c r="G171">
        <v>1075</v>
      </c>
      <c r="H171">
        <v>21617</v>
      </c>
      <c r="I171">
        <v>4960</v>
      </c>
      <c r="J171">
        <v>0</v>
      </c>
      <c r="K171">
        <v>9616</v>
      </c>
      <c r="L171">
        <v>1938</v>
      </c>
      <c r="M171">
        <v>2687</v>
      </c>
      <c r="N171">
        <v>63402</v>
      </c>
      <c r="O171">
        <v>4079</v>
      </c>
      <c r="P171">
        <v>59589</v>
      </c>
      <c r="Q171">
        <v>0</v>
      </c>
      <c r="R171">
        <v>5415</v>
      </c>
      <c r="S171">
        <v>5362</v>
      </c>
      <c r="T171">
        <v>5614</v>
      </c>
      <c r="U171" s="128">
        <v>4</v>
      </c>
      <c r="V171" s="128">
        <v>-5408</v>
      </c>
      <c r="W171" s="128">
        <v>79189</v>
      </c>
      <c r="X171" s="128">
        <v>84597</v>
      </c>
      <c r="Y171" s="128">
        <v>2529</v>
      </c>
      <c r="Z171" s="128">
        <v>3830916</v>
      </c>
      <c r="AA171" s="128">
        <v>54898</v>
      </c>
      <c r="AB171" s="128">
        <v>35869</v>
      </c>
      <c r="AC171" s="128" t="s">
        <v>411</v>
      </c>
      <c r="AD171" s="188">
        <f t="shared" si="30"/>
        <v>4.3907613431158371E-2</v>
      </c>
      <c r="AE171" s="188">
        <v>0.48893154352245893</v>
      </c>
      <c r="AF171" s="188">
        <v>1.7729735190493628E-2</v>
      </c>
      <c r="AG171" s="188">
        <v>6.2634961926530203E-2</v>
      </c>
      <c r="AH171" s="188">
        <v>0.44721463839674702</v>
      </c>
      <c r="AI171" s="188">
        <v>0.44194589470309004</v>
      </c>
      <c r="AJ171" s="188">
        <v>-6.8292313326345833E-2</v>
      </c>
      <c r="AK171" s="188">
        <v>-4.6799940122205133E-2</v>
      </c>
      <c r="AL171" s="188">
        <v>-2.8581487228299843E-2</v>
      </c>
      <c r="AM171" s="129">
        <f t="shared" si="31"/>
        <v>3</v>
      </c>
      <c r="AN171" s="188">
        <v>7.9840634431549845E-3</v>
      </c>
      <c r="AO171" s="188">
        <v>4.8376870524946651E-2</v>
      </c>
      <c r="AP171" s="188">
        <v>0.69325285077472887</v>
      </c>
      <c r="AQ171" s="128">
        <v>1667.4765117510942</v>
      </c>
      <c r="AR171" s="188">
        <v>4.9000000000000002E-2</v>
      </c>
      <c r="AS171" s="188">
        <v>0.247</v>
      </c>
      <c r="AT171" s="256">
        <v>7.5</v>
      </c>
    </row>
    <row r="172" spans="1:46" x14ac:dyDescent="0.25">
      <c r="A172" t="s">
        <v>223</v>
      </c>
      <c r="B172">
        <v>282</v>
      </c>
      <c r="C172">
        <v>3245</v>
      </c>
      <c r="D172">
        <v>55462</v>
      </c>
      <c r="E172">
        <v>31</v>
      </c>
      <c r="F172">
        <v>41</v>
      </c>
      <c r="G172">
        <v>1266</v>
      </c>
      <c r="H172">
        <v>0</v>
      </c>
      <c r="I172">
        <v>5469</v>
      </c>
      <c r="J172">
        <v>3</v>
      </c>
      <c r="K172">
        <v>15816</v>
      </c>
      <c r="L172">
        <v>275</v>
      </c>
      <c r="M172">
        <v>3362</v>
      </c>
      <c r="N172">
        <v>38540</v>
      </c>
      <c r="O172">
        <v>18720</v>
      </c>
      <c r="P172">
        <v>14599</v>
      </c>
      <c r="Q172">
        <v>4</v>
      </c>
      <c r="R172">
        <v>0</v>
      </c>
      <c r="S172">
        <v>8763</v>
      </c>
      <c r="T172">
        <v>4624</v>
      </c>
      <c r="U172" s="128">
        <v>-3</v>
      </c>
      <c r="V172" s="128">
        <v>-2695</v>
      </c>
      <c r="W172" s="128">
        <v>69250</v>
      </c>
      <c r="X172" s="128">
        <v>71945</v>
      </c>
      <c r="Y172" s="128">
        <v>40210</v>
      </c>
      <c r="Z172" s="128">
        <v>2954462</v>
      </c>
      <c r="AA172" s="128">
        <v>38793</v>
      </c>
      <c r="AB172" s="128">
        <v>30352</v>
      </c>
      <c r="AC172" s="128" t="s">
        <v>223</v>
      </c>
      <c r="AD172" s="188">
        <f t="shared" si="30"/>
        <v>-3.9711191335740073E-3</v>
      </c>
      <c r="AE172" s="188">
        <v>0.1044043321299639</v>
      </c>
      <c r="AF172" s="188">
        <v>1.887364620938628E-2</v>
      </c>
      <c r="AG172" s="188">
        <v>7.9018050541516241E-2</v>
      </c>
      <c r="AH172" s="188">
        <v>5.1356534296028891E-2</v>
      </c>
      <c r="AI172" s="188">
        <v>0.45208211143695015</v>
      </c>
      <c r="AJ172" s="188">
        <v>-3.891696750902527E-2</v>
      </c>
      <c r="AK172" s="188">
        <v>0.12094540444019515</v>
      </c>
      <c r="AL172" s="188">
        <v>6.1753212292748822E-3</v>
      </c>
      <c r="AM172" s="129">
        <f t="shared" si="31"/>
        <v>1</v>
      </c>
      <c r="AN172" s="188">
        <v>0.14516245487364621</v>
      </c>
      <c r="AO172" s="188">
        <v>4.2663711191335739E-2</v>
      </c>
      <c r="AP172" s="188">
        <v>0.560187725631769</v>
      </c>
      <c r="AQ172" s="128">
        <v>1549.3189575645756</v>
      </c>
      <c r="AR172" s="188">
        <v>4.0999999999999995E-2</v>
      </c>
      <c r="AS172" s="188">
        <v>0.20499999999999999</v>
      </c>
      <c r="AT172" s="256">
        <v>7.5</v>
      </c>
    </row>
    <row r="173" spans="1:46" x14ac:dyDescent="0.25">
      <c r="A173" t="s">
        <v>187</v>
      </c>
      <c r="B173">
        <v>230</v>
      </c>
      <c r="C173">
        <v>4976</v>
      </c>
      <c r="D173">
        <v>95695</v>
      </c>
      <c r="E173">
        <v>-118</v>
      </c>
      <c r="F173">
        <v>-167</v>
      </c>
      <c r="G173">
        <v>6597</v>
      </c>
      <c r="H173">
        <v>0</v>
      </c>
      <c r="I173">
        <v>5303</v>
      </c>
      <c r="J173">
        <v>0</v>
      </c>
      <c r="K173">
        <v>10367</v>
      </c>
      <c r="L173">
        <v>28</v>
      </c>
      <c r="M173">
        <v>11412</v>
      </c>
      <c r="N173">
        <v>42284</v>
      </c>
      <c r="O173">
        <v>16888</v>
      </c>
      <c r="P173">
        <v>55425</v>
      </c>
      <c r="Q173">
        <v>0</v>
      </c>
      <c r="R173">
        <v>300</v>
      </c>
      <c r="S173">
        <v>5491</v>
      </c>
      <c r="T173">
        <v>13935</v>
      </c>
      <c r="U173" s="128">
        <v>6</v>
      </c>
      <c r="V173" s="128">
        <v>-5066</v>
      </c>
      <c r="W173" s="128">
        <v>111956</v>
      </c>
      <c r="X173" s="128">
        <v>117022</v>
      </c>
      <c r="Y173" s="128">
        <v>840</v>
      </c>
      <c r="Z173" s="128">
        <v>-19692</v>
      </c>
      <c r="AA173" s="128">
        <v>69128</v>
      </c>
      <c r="AB173" s="128">
        <v>46613</v>
      </c>
      <c r="AC173" s="128" t="s">
        <v>187</v>
      </c>
      <c r="AD173" s="188">
        <f t="shared" si="30"/>
        <v>2.4295258851691737E-3</v>
      </c>
      <c r="AE173" s="188">
        <v>0.41903962270892137</v>
      </c>
      <c r="AF173" s="188">
        <v>5.7433277358962448E-2</v>
      </c>
      <c r="AG173" s="188">
        <v>4.7366822680338705E-2</v>
      </c>
      <c r="AH173" s="188">
        <v>0.39277484011575975</v>
      </c>
      <c r="AI173" s="188">
        <v>0.31479344564966538</v>
      </c>
      <c r="AJ173" s="188">
        <v>-4.5249919611275856E-2</v>
      </c>
      <c r="AK173" s="188">
        <v>2.1092046249434226E-2</v>
      </c>
      <c r="AL173" s="188">
        <v>-1.7150727173508189E-3</v>
      </c>
      <c r="AM173" s="129">
        <f t="shared" si="31"/>
        <v>2</v>
      </c>
      <c r="AN173" s="188">
        <v>1.8757368966379649E-3</v>
      </c>
      <c r="AO173" s="188">
        <v>-1.7589052842188004E-4</v>
      </c>
      <c r="AP173" s="188">
        <v>0.61745685805137729</v>
      </c>
      <c r="AQ173" s="128">
        <v>1797.8343380601975</v>
      </c>
      <c r="AR173" s="188">
        <v>4.4999999999999998E-2</v>
      </c>
      <c r="AS173" s="188">
        <v>0.22699999999999998</v>
      </c>
      <c r="AT173" s="256">
        <v>5.5</v>
      </c>
    </row>
    <row r="174" spans="1:46" x14ac:dyDescent="0.25">
      <c r="A174" t="s">
        <v>306</v>
      </c>
      <c r="B174">
        <v>333</v>
      </c>
      <c r="C174">
        <v>2320</v>
      </c>
      <c r="D174">
        <v>90468</v>
      </c>
      <c r="E174">
        <v>1322</v>
      </c>
      <c r="F174">
        <v>0</v>
      </c>
      <c r="G174">
        <v>8557</v>
      </c>
      <c r="H174">
        <v>0</v>
      </c>
      <c r="I174">
        <v>0</v>
      </c>
      <c r="J174">
        <v>0</v>
      </c>
      <c r="K174">
        <v>10548</v>
      </c>
      <c r="L174">
        <v>367</v>
      </c>
      <c r="M174">
        <v>1069</v>
      </c>
      <c r="N174">
        <v>23480</v>
      </c>
      <c r="O174">
        <v>6798</v>
      </c>
      <c r="P174">
        <v>70000</v>
      </c>
      <c r="Q174">
        <v>10</v>
      </c>
      <c r="R174">
        <v>6000</v>
      </c>
      <c r="S174">
        <v>4585</v>
      </c>
      <c r="T174">
        <v>4112</v>
      </c>
      <c r="U174" s="128">
        <v>-43</v>
      </c>
      <c r="V174" s="128">
        <v>-3656</v>
      </c>
      <c r="W174" s="128">
        <v>50503</v>
      </c>
      <c r="X174" s="128">
        <v>54159</v>
      </c>
      <c r="Y174" s="128">
        <v>3214</v>
      </c>
      <c r="Z174" s="128">
        <v>2621943</v>
      </c>
      <c r="AA174" s="128">
        <v>32757</v>
      </c>
      <c r="AB174" s="128">
        <v>22891</v>
      </c>
      <c r="AC174" s="128" t="s">
        <v>306</v>
      </c>
      <c r="AD174" s="188">
        <f t="shared" si="30"/>
        <v>0.11153792843989466</v>
      </c>
      <c r="AE174" s="188">
        <v>1.2705383838583846</v>
      </c>
      <c r="AF174" s="188">
        <v>0.16943547908045067</v>
      </c>
      <c r="AG174" s="188">
        <v>0</v>
      </c>
      <c r="AH174" s="188">
        <v>1.2908706413480386</v>
      </c>
      <c r="AI174" s="188">
        <v>0.20420054789755185</v>
      </c>
      <c r="AJ174" s="188">
        <v>-7.2391739104607652E-2</v>
      </c>
      <c r="AK174" s="188">
        <v>-4.3688939459332207E-2</v>
      </c>
      <c r="AL174" s="188">
        <v>-4.1819689610235751E-2</v>
      </c>
      <c r="AM174" s="129">
        <f t="shared" si="31"/>
        <v>3</v>
      </c>
      <c r="AN174" s="188">
        <v>1.5909945943805317E-2</v>
      </c>
      <c r="AO174" s="188">
        <v>5.1916579213116057E-2</v>
      </c>
      <c r="AP174" s="188">
        <v>0.64861493376631096</v>
      </c>
      <c r="AQ174" s="128">
        <v>1580.7244331833472</v>
      </c>
      <c r="AR174" s="188">
        <v>0.04</v>
      </c>
      <c r="AS174" s="188">
        <v>0.19899999999999998</v>
      </c>
      <c r="AT174" s="256">
        <v>6.5</v>
      </c>
    </row>
    <row r="175" spans="1:46" x14ac:dyDescent="0.25">
      <c r="A175" t="s">
        <v>188</v>
      </c>
      <c r="B175">
        <v>484</v>
      </c>
      <c r="C175">
        <v>12319</v>
      </c>
      <c r="D175">
        <v>68637</v>
      </c>
      <c r="E175">
        <v>341</v>
      </c>
      <c r="F175">
        <v>286</v>
      </c>
      <c r="G175">
        <v>4192</v>
      </c>
      <c r="H175">
        <v>0</v>
      </c>
      <c r="I175">
        <v>8104</v>
      </c>
      <c r="J175">
        <v>6</v>
      </c>
      <c r="K175">
        <v>14183</v>
      </c>
      <c r="L175">
        <v>468</v>
      </c>
      <c r="M175">
        <v>8689</v>
      </c>
      <c r="N175">
        <v>54862</v>
      </c>
      <c r="O175">
        <v>21355</v>
      </c>
      <c r="P175">
        <v>25118</v>
      </c>
      <c r="Q175">
        <v>0</v>
      </c>
      <c r="R175">
        <v>5000</v>
      </c>
      <c r="S175">
        <v>4898</v>
      </c>
      <c r="T175">
        <v>6477</v>
      </c>
      <c r="U175" s="128">
        <v>5</v>
      </c>
      <c r="V175" s="128">
        <v>3999</v>
      </c>
      <c r="W175" s="128">
        <v>94021</v>
      </c>
      <c r="X175" s="128">
        <v>90022</v>
      </c>
      <c r="Y175" s="128">
        <v>8658</v>
      </c>
      <c r="Z175" s="128">
        <v>5950185</v>
      </c>
      <c r="AA175" s="128">
        <v>56128</v>
      </c>
      <c r="AB175" s="128">
        <v>33691</v>
      </c>
      <c r="AC175" s="128" t="s">
        <v>188</v>
      </c>
      <c r="AD175" s="188">
        <f t="shared" si="30"/>
        <v>4.8201997426106931E-2</v>
      </c>
      <c r="AE175" s="188">
        <v>0.14544623009753141</v>
      </c>
      <c r="AF175" s="188">
        <v>4.7627657650950318E-2</v>
      </c>
      <c r="AG175" s="188">
        <v>8.6257325491113687E-2</v>
      </c>
      <c r="AH175" s="188">
        <v>9.0781421171865856E-2</v>
      </c>
      <c r="AI175" s="188">
        <v>0.46607764845807492</v>
      </c>
      <c r="AJ175" s="188">
        <v>4.2533051126875908E-2</v>
      </c>
      <c r="AK175" s="188">
        <v>-1.860922961539363E-2</v>
      </c>
      <c r="AL175" s="188">
        <v>-3.569337396188086E-2</v>
      </c>
      <c r="AM175" s="129">
        <f t="shared" si="31"/>
        <v>2</v>
      </c>
      <c r="AN175" s="188">
        <v>2.3021452654194276E-2</v>
      </c>
      <c r="AO175" s="188">
        <v>6.3285702130375127E-2</v>
      </c>
      <c r="AP175" s="188">
        <v>0.59697301666648939</v>
      </c>
      <c r="AQ175" s="128">
        <v>1686.1655338220889</v>
      </c>
      <c r="AR175" s="188">
        <v>2.7999999999999997E-2</v>
      </c>
      <c r="AS175" s="188">
        <v>0.13900000000000001</v>
      </c>
      <c r="AT175" s="256">
        <v>8.5</v>
      </c>
    </row>
    <row r="176" spans="1:46" x14ac:dyDescent="0.25">
      <c r="A176" t="s">
        <v>377</v>
      </c>
      <c r="B176">
        <v>98</v>
      </c>
      <c r="C176">
        <v>1650</v>
      </c>
      <c r="D176">
        <v>47035</v>
      </c>
      <c r="E176">
        <v>197</v>
      </c>
      <c r="F176">
        <v>5899</v>
      </c>
      <c r="G176">
        <v>1107</v>
      </c>
      <c r="H176">
        <v>585</v>
      </c>
      <c r="I176">
        <v>5480</v>
      </c>
      <c r="J176">
        <v>675</v>
      </c>
      <c r="K176">
        <v>5258</v>
      </c>
      <c r="L176">
        <v>7072</v>
      </c>
      <c r="M176">
        <v>1663</v>
      </c>
      <c r="N176">
        <v>16333</v>
      </c>
      <c r="O176">
        <v>10730</v>
      </c>
      <c r="P176">
        <v>39147</v>
      </c>
      <c r="Q176">
        <v>0</v>
      </c>
      <c r="R176">
        <v>3650</v>
      </c>
      <c r="S176">
        <v>3081</v>
      </c>
      <c r="T176">
        <v>3778</v>
      </c>
      <c r="U176" s="128">
        <v>-9</v>
      </c>
      <c r="V176" s="128">
        <v>-2570</v>
      </c>
      <c r="W176" s="128">
        <v>56339</v>
      </c>
      <c r="X176" s="128">
        <v>58909</v>
      </c>
      <c r="Y176" s="128">
        <v>8394</v>
      </c>
      <c r="Z176" s="128">
        <v>1289239</v>
      </c>
      <c r="AA176" s="128">
        <v>36068</v>
      </c>
      <c r="AB176" s="128">
        <v>23400</v>
      </c>
      <c r="AC176" s="128" t="s">
        <v>377</v>
      </c>
      <c r="AD176" s="188">
        <f t="shared" si="30"/>
        <v>-6.073945224444878E-2</v>
      </c>
      <c r="AE176" s="188">
        <v>0.49826940485276627</v>
      </c>
      <c r="AF176" s="188">
        <v>0.1243543548873782</v>
      </c>
      <c r="AG176" s="188">
        <v>0.10924936544844602</v>
      </c>
      <c r="AH176" s="188">
        <v>0.43671737162533947</v>
      </c>
      <c r="AI176" s="188">
        <v>0.21289380727068913</v>
      </c>
      <c r="AJ176" s="188">
        <v>-4.561671311169882E-2</v>
      </c>
      <c r="AK176" s="188">
        <v>-1.4938073177649617E-3</v>
      </c>
      <c r="AL176" s="188">
        <v>-3.7234308994673657E-2</v>
      </c>
      <c r="AM176" s="129">
        <f t="shared" si="31"/>
        <v>3</v>
      </c>
      <c r="AN176" s="188">
        <v>3.7247732476614781E-2</v>
      </c>
      <c r="AO176" s="188">
        <v>2.2883597507942988E-2</v>
      </c>
      <c r="AP176" s="188">
        <v>0.64019595661974826</v>
      </c>
      <c r="AQ176" s="128">
        <v>1734.6219658119655</v>
      </c>
      <c r="AR176" s="188">
        <v>4.2999999999999997E-2</v>
      </c>
      <c r="AS176" s="188">
        <v>0.21600000000000003</v>
      </c>
      <c r="AT176" s="256">
        <v>8</v>
      </c>
    </row>
    <row r="177" spans="1:46" x14ac:dyDescent="0.25">
      <c r="A177" t="s">
        <v>224</v>
      </c>
      <c r="B177">
        <v>0</v>
      </c>
      <c r="C177">
        <v>0</v>
      </c>
      <c r="D177">
        <v>17475</v>
      </c>
      <c r="E177">
        <v>1338</v>
      </c>
      <c r="F177">
        <v>0</v>
      </c>
      <c r="G177">
        <v>0</v>
      </c>
      <c r="H177">
        <v>0</v>
      </c>
      <c r="I177">
        <v>0</v>
      </c>
      <c r="J177">
        <v>0</v>
      </c>
      <c r="K177">
        <v>1460</v>
      </c>
      <c r="L177">
        <v>752</v>
      </c>
      <c r="M177">
        <v>2224</v>
      </c>
      <c r="N177">
        <v>15297</v>
      </c>
      <c r="O177">
        <v>1873</v>
      </c>
      <c r="P177">
        <v>0</v>
      </c>
      <c r="Q177">
        <v>28</v>
      </c>
      <c r="R177">
        <v>0</v>
      </c>
      <c r="S177">
        <v>5022</v>
      </c>
      <c r="T177">
        <v>1027</v>
      </c>
      <c r="U177" s="128">
        <v>-1</v>
      </c>
      <c r="V177" s="128">
        <v>-2443</v>
      </c>
      <c r="W177" s="128">
        <v>29432</v>
      </c>
      <c r="X177" s="128">
        <v>31875</v>
      </c>
      <c r="Y177" s="128">
        <v>2014</v>
      </c>
      <c r="Z177" s="128">
        <v>1129358.0000000005</v>
      </c>
      <c r="AA177" s="128">
        <v>20544</v>
      </c>
      <c r="AB177" s="128">
        <v>14447</v>
      </c>
      <c r="AC177" s="128" t="s">
        <v>224</v>
      </c>
      <c r="AD177" s="188">
        <f t="shared" si="30"/>
        <v>-2.5550421310138623E-2</v>
      </c>
      <c r="AE177" s="188">
        <v>5.5755640119597716E-2</v>
      </c>
      <c r="AF177" s="188">
        <v>0</v>
      </c>
      <c r="AG177" s="188">
        <v>0</v>
      </c>
      <c r="AH177" s="188">
        <v>5.5755640119597716E-2</v>
      </c>
      <c r="AI177" s="188">
        <v>0.65802038972770682</v>
      </c>
      <c r="AJ177" s="188">
        <v>-8.3004892633867899E-2</v>
      </c>
      <c r="AK177" s="188">
        <v>4.8189661529385738E-2</v>
      </c>
      <c r="AL177" s="188">
        <v>-5.2066206291789985E-2</v>
      </c>
      <c r="AM177" s="129">
        <f t="shared" si="31"/>
        <v>2</v>
      </c>
      <c r="AN177" s="188">
        <v>1.7107230225604782E-2</v>
      </c>
      <c r="AO177" s="188">
        <v>3.8371772220712162E-2</v>
      </c>
      <c r="AP177" s="188">
        <v>0.69801576515357433</v>
      </c>
      <c r="AQ177" s="128">
        <v>1554.2168616321728</v>
      </c>
      <c r="AR177" s="188">
        <v>5.0999999999999997E-2</v>
      </c>
      <c r="AS177" s="188">
        <v>0.25700000000000001</v>
      </c>
      <c r="AT177" s="256">
        <v>7.5</v>
      </c>
    </row>
    <row r="178" spans="1:46" x14ac:dyDescent="0.25">
      <c r="A178" t="s">
        <v>122</v>
      </c>
      <c r="B178">
        <v>35</v>
      </c>
      <c r="C178">
        <v>1583</v>
      </c>
      <c r="D178">
        <v>40754</v>
      </c>
      <c r="E178">
        <v>183</v>
      </c>
      <c r="F178">
        <v>0</v>
      </c>
      <c r="G178">
        <v>1591</v>
      </c>
      <c r="H178">
        <v>0</v>
      </c>
      <c r="I178">
        <v>1242</v>
      </c>
      <c r="J178">
        <v>0</v>
      </c>
      <c r="K178">
        <v>10007</v>
      </c>
      <c r="L178">
        <v>136</v>
      </c>
      <c r="M178">
        <v>4372</v>
      </c>
      <c r="N178">
        <v>16577</v>
      </c>
      <c r="O178">
        <v>71</v>
      </c>
      <c r="P178">
        <v>28718</v>
      </c>
      <c r="Q178">
        <v>6</v>
      </c>
      <c r="R178">
        <v>1000</v>
      </c>
      <c r="S178">
        <v>4041</v>
      </c>
      <c r="T178">
        <v>9489</v>
      </c>
      <c r="U178" s="128">
        <v>-2</v>
      </c>
      <c r="V178" s="128">
        <v>869</v>
      </c>
      <c r="W178" s="128">
        <v>35308</v>
      </c>
      <c r="X178" s="128">
        <v>34439</v>
      </c>
      <c r="Y178" s="128">
        <v>13065</v>
      </c>
      <c r="Z178" s="128">
        <v>127704</v>
      </c>
      <c r="AA178" s="128">
        <v>24778</v>
      </c>
      <c r="AB178" s="128">
        <v>9541</v>
      </c>
      <c r="AC178" s="128" t="s">
        <v>122</v>
      </c>
      <c r="AD178" s="188">
        <f>SUM(R178,-L178)/W178</f>
        <v>2.4470374985838903E-2</v>
      </c>
      <c r="AE178" s="188">
        <v>0.76889090291152151</v>
      </c>
      <c r="AF178" s="188">
        <v>4.5060609493599184E-2</v>
      </c>
      <c r="AG178" s="188">
        <v>3.5176164042143424E-2</v>
      </c>
      <c r="AH178" s="188">
        <v>0.74967486122125304</v>
      </c>
      <c r="AI178" s="188">
        <v>0.2767353343794865</v>
      </c>
      <c r="AJ178" s="188">
        <v>2.4611985952192137E-2</v>
      </c>
      <c r="AK178" s="188">
        <v>-1.0162102419255803E-2</v>
      </c>
      <c r="AL178" s="188">
        <v>8.2048171893952526E-2</v>
      </c>
      <c r="AM178" s="129">
        <f>COUNTIF(AJ178:AL178,"&lt;0")</f>
        <v>1</v>
      </c>
      <c r="AN178" s="188">
        <v>9.2507363770250373E-2</v>
      </c>
      <c r="AO178" s="188">
        <v>3.6168573694346888E-3</v>
      </c>
      <c r="AP178" s="188">
        <v>0.70176730486008831</v>
      </c>
      <c r="AQ178" s="128">
        <v>1878.8287391258777</v>
      </c>
      <c r="AR178" s="188">
        <v>2.7999999999999997E-2</v>
      </c>
      <c r="AS178" s="188">
        <v>0.14000000000000001</v>
      </c>
      <c r="AT178" s="256">
        <v>9</v>
      </c>
    </row>
    <row r="179" spans="1:46" x14ac:dyDescent="0.25">
      <c r="A179" t="s">
        <v>152</v>
      </c>
      <c r="B179">
        <v>0</v>
      </c>
      <c r="C179">
        <v>3897</v>
      </c>
      <c r="D179">
        <v>50543</v>
      </c>
      <c r="E179">
        <v>113</v>
      </c>
      <c r="F179">
        <v>0</v>
      </c>
      <c r="G179">
        <v>4526</v>
      </c>
      <c r="H179">
        <v>0</v>
      </c>
      <c r="I179">
        <v>4594</v>
      </c>
      <c r="J179">
        <v>7</v>
      </c>
      <c r="K179">
        <v>6027</v>
      </c>
      <c r="L179">
        <v>2964</v>
      </c>
      <c r="M179">
        <v>111</v>
      </c>
      <c r="N179">
        <v>26837</v>
      </c>
      <c r="O179">
        <v>7712</v>
      </c>
      <c r="P179">
        <v>23424</v>
      </c>
      <c r="Q179">
        <v>29</v>
      </c>
      <c r="R179">
        <v>5500</v>
      </c>
      <c r="S179">
        <v>3225</v>
      </c>
      <c r="T179">
        <v>6058</v>
      </c>
      <c r="U179" s="128">
        <v>-145</v>
      </c>
      <c r="V179" s="128">
        <v>2897</v>
      </c>
      <c r="W179" s="128">
        <v>59825</v>
      </c>
      <c r="X179" s="128">
        <v>56928</v>
      </c>
      <c r="Y179" s="128">
        <v>15021.116999999998</v>
      </c>
      <c r="Z179" s="128">
        <v>372522</v>
      </c>
      <c r="AA179" s="128">
        <v>39988</v>
      </c>
      <c r="AB179" s="128">
        <v>22666</v>
      </c>
      <c r="AC179" s="128" t="s">
        <v>152</v>
      </c>
      <c r="AD179" s="188">
        <f t="shared" si="30"/>
        <v>4.2390305056414543E-2</v>
      </c>
      <c r="AE179" s="188">
        <v>0.41133305474300041</v>
      </c>
      <c r="AF179" s="188">
        <v>7.5653990806519009E-2</v>
      </c>
      <c r="AG179" s="188">
        <v>7.6907647304638532E-2</v>
      </c>
      <c r="AH179" s="188">
        <v>0.36657618052653573</v>
      </c>
      <c r="AI179" s="188">
        <v>0.3687160816102219</v>
      </c>
      <c r="AJ179" s="188">
        <v>4.8424571667363144E-2</v>
      </c>
      <c r="AK179" s="188">
        <v>8.1820934333089929E-2</v>
      </c>
      <c r="AL179" s="188">
        <v>3.8586212276170498E-2</v>
      </c>
      <c r="AM179" s="129">
        <f t="shared" si="31"/>
        <v>0</v>
      </c>
      <c r="AN179" s="188">
        <v>6.2771069786878395E-2</v>
      </c>
      <c r="AO179" s="188">
        <v>6.226861679899707E-3</v>
      </c>
      <c r="AP179" s="188">
        <v>0.66841621395737572</v>
      </c>
      <c r="AQ179" s="128">
        <v>1570.157681108268</v>
      </c>
      <c r="AR179" s="188">
        <v>3.6000000000000004E-2</v>
      </c>
      <c r="AS179" s="188">
        <v>0.17800000000000002</v>
      </c>
      <c r="AT179" s="256">
        <v>9</v>
      </c>
    </row>
    <row r="180" spans="1:46" x14ac:dyDescent="0.25">
      <c r="A180" t="s">
        <v>189</v>
      </c>
      <c r="B180">
        <v>479</v>
      </c>
      <c r="C180">
        <v>5283</v>
      </c>
      <c r="D180">
        <v>48155</v>
      </c>
      <c r="E180">
        <v>0</v>
      </c>
      <c r="F180">
        <v>1550</v>
      </c>
      <c r="G180">
        <v>1252</v>
      </c>
      <c r="H180">
        <v>0</v>
      </c>
      <c r="I180">
        <v>6911</v>
      </c>
      <c r="J180">
        <v>0</v>
      </c>
      <c r="K180">
        <v>7891</v>
      </c>
      <c r="L180">
        <v>3755</v>
      </c>
      <c r="M180">
        <v>3143</v>
      </c>
      <c r="N180">
        <v>23445</v>
      </c>
      <c r="O180">
        <v>10221</v>
      </c>
      <c r="P180">
        <v>36060</v>
      </c>
      <c r="Q180">
        <v>151</v>
      </c>
      <c r="R180">
        <v>3000</v>
      </c>
      <c r="S180">
        <v>2270</v>
      </c>
      <c r="T180">
        <v>3273</v>
      </c>
      <c r="U180" s="128">
        <v>-33</v>
      </c>
      <c r="V180" s="128">
        <v>-5528</v>
      </c>
      <c r="W180" s="128">
        <v>56115</v>
      </c>
      <c r="X180" s="128">
        <v>61643</v>
      </c>
      <c r="Y180" s="128">
        <v>13768</v>
      </c>
      <c r="Z180" s="128">
        <v>1292598</v>
      </c>
      <c r="AA180" s="128">
        <v>34778</v>
      </c>
      <c r="AB180" s="128">
        <v>24911</v>
      </c>
      <c r="AC180" s="128" t="s">
        <v>189</v>
      </c>
      <c r="AD180" s="188">
        <f t="shared" si="30"/>
        <v>-1.3454513053550743E-2</v>
      </c>
      <c r="AE180" s="188">
        <v>0.48405952062728325</v>
      </c>
      <c r="AF180" s="188">
        <v>4.9933172948409515E-2</v>
      </c>
      <c r="AG180" s="188">
        <v>0.123157800944489</v>
      </c>
      <c r="AH180" s="188">
        <v>0.40384104071995008</v>
      </c>
      <c r="AI180" s="188">
        <v>0.29896710022953327</v>
      </c>
      <c r="AJ180" s="188">
        <v>-9.8511984317918563E-2</v>
      </c>
      <c r="AK180" s="188">
        <v>3.4622657096176089E-2</v>
      </c>
      <c r="AL180" s="188">
        <v>0.10584867909148171</v>
      </c>
      <c r="AM180" s="129">
        <f t="shared" si="31"/>
        <v>1</v>
      </c>
      <c r="AN180" s="188">
        <v>6.1338323086518758E-2</v>
      </c>
      <c r="AO180" s="188">
        <v>2.3034803528468324E-2</v>
      </c>
      <c r="AP180" s="188">
        <v>0.61976298672369246</v>
      </c>
      <c r="AQ180" s="128">
        <v>1846.4084942394925</v>
      </c>
      <c r="AR180" s="188">
        <v>5.2999999999999999E-2</v>
      </c>
      <c r="AS180" s="188">
        <v>0.26500000000000001</v>
      </c>
      <c r="AT180" s="256">
        <v>7</v>
      </c>
    </row>
    <row r="181" spans="1:46" x14ac:dyDescent="0.25">
      <c r="A181" t="s">
        <v>412</v>
      </c>
      <c r="B181">
        <v>1020</v>
      </c>
      <c r="C181">
        <v>734</v>
      </c>
      <c r="D181">
        <v>79109</v>
      </c>
      <c r="E181">
        <v>3161</v>
      </c>
      <c r="F181">
        <v>0</v>
      </c>
      <c r="G181">
        <v>1741</v>
      </c>
      <c r="H181">
        <v>10928</v>
      </c>
      <c r="I181">
        <v>268</v>
      </c>
      <c r="J181">
        <v>0</v>
      </c>
      <c r="K181">
        <v>7106</v>
      </c>
      <c r="L181">
        <v>165</v>
      </c>
      <c r="M181">
        <v>2386</v>
      </c>
      <c r="N181">
        <v>54230</v>
      </c>
      <c r="O181">
        <v>11097</v>
      </c>
      <c r="P181">
        <v>32402</v>
      </c>
      <c r="Q181">
        <v>3</v>
      </c>
      <c r="R181">
        <v>2000</v>
      </c>
      <c r="S181">
        <v>3789</v>
      </c>
      <c r="T181">
        <v>3097</v>
      </c>
      <c r="U181" s="128">
        <v>-1</v>
      </c>
      <c r="V181" s="128">
        <v>-2968</v>
      </c>
      <c r="W181" s="128">
        <v>56896</v>
      </c>
      <c r="X181" s="128">
        <v>59864</v>
      </c>
      <c r="Y181" s="128">
        <v>21705</v>
      </c>
      <c r="Z181" s="128">
        <v>2069403</v>
      </c>
      <c r="AA181" s="128">
        <v>38311</v>
      </c>
      <c r="AB181" s="128">
        <v>23937</v>
      </c>
      <c r="AC181" s="128" t="s">
        <v>412</v>
      </c>
      <c r="AD181" s="188">
        <f t="shared" si="30"/>
        <v>3.2251827896512937E-2</v>
      </c>
      <c r="AE181" s="188">
        <v>0.33332747469066365</v>
      </c>
      <c r="AF181" s="188">
        <v>3.059969066366704E-2</v>
      </c>
      <c r="AG181" s="188">
        <v>4.7103487064116987E-3</v>
      </c>
      <c r="AH181" s="188">
        <v>0.33370219347581553</v>
      </c>
      <c r="AI181" s="188">
        <v>0.5086383162317808</v>
      </c>
      <c r="AJ181" s="188">
        <v>-5.2165354330708659E-2</v>
      </c>
      <c r="AK181" s="188">
        <v>-5.4319560820572091E-3</v>
      </c>
      <c r="AL181" s="188">
        <v>-9.7851802782246613E-3</v>
      </c>
      <c r="AM181" s="129">
        <f t="shared" si="31"/>
        <v>3</v>
      </c>
      <c r="AN181" s="188">
        <v>9.5371379358830152E-2</v>
      </c>
      <c r="AO181" s="188">
        <v>3.6371678149606297E-2</v>
      </c>
      <c r="AP181" s="188">
        <v>0.6733513779527559</v>
      </c>
      <c r="AQ181" s="128">
        <v>1603.9555917617074</v>
      </c>
      <c r="AR181" s="188">
        <v>4.2000000000000003E-2</v>
      </c>
      <c r="AS181" s="188">
        <v>0.20899999999999999</v>
      </c>
      <c r="AT181" s="256">
        <v>7</v>
      </c>
    </row>
    <row r="182" spans="1:46" x14ac:dyDescent="0.25">
      <c r="A182" t="s">
        <v>869</v>
      </c>
      <c r="B182">
        <f>SUM(B180:B181)</f>
        <v>1499</v>
      </c>
      <c r="C182">
        <f t="shared" ref="C182" si="58">SUM(C180:C181)</f>
        <v>6017</v>
      </c>
      <c r="D182">
        <f t="shared" ref="D182" si="59">SUM(D180:D181)</f>
        <v>127264</v>
      </c>
      <c r="E182">
        <f t="shared" ref="E182" si="60">SUM(E180:E181)</f>
        <v>3161</v>
      </c>
      <c r="F182">
        <f t="shared" ref="F182" si="61">SUM(F180:F181)</f>
        <v>1550</v>
      </c>
      <c r="G182">
        <f t="shared" ref="G182" si="62">SUM(G180:G181)</f>
        <v>2993</v>
      </c>
      <c r="H182">
        <f t="shared" ref="H182" si="63">SUM(H180:H181)</f>
        <v>10928</v>
      </c>
      <c r="I182">
        <f t="shared" ref="I182" si="64">SUM(I180:I181)</f>
        <v>7179</v>
      </c>
      <c r="J182">
        <f t="shared" ref="J182" si="65">SUM(J180:J181)</f>
        <v>0</v>
      </c>
      <c r="K182">
        <f t="shared" ref="K182" si="66">SUM(K180:K181)</f>
        <v>14997</v>
      </c>
      <c r="L182">
        <f t="shared" ref="L182" si="67">SUM(L180:L181)</f>
        <v>3920</v>
      </c>
      <c r="M182">
        <f t="shared" ref="M182" si="68">SUM(M180:M181)</f>
        <v>5529</v>
      </c>
      <c r="N182">
        <f t="shared" ref="N182" si="69">SUM(N180:N181)</f>
        <v>77675</v>
      </c>
      <c r="O182">
        <f t="shared" ref="O182" si="70">SUM(O180:O181)</f>
        <v>21318</v>
      </c>
      <c r="P182">
        <f t="shared" ref="P182" si="71">SUM(P180:P181)</f>
        <v>68462</v>
      </c>
      <c r="Q182">
        <f t="shared" ref="Q182" si="72">SUM(Q180:Q181)</f>
        <v>154</v>
      </c>
      <c r="R182">
        <f t="shared" ref="R182" si="73">SUM(R180:R181)</f>
        <v>5000</v>
      </c>
      <c r="S182">
        <f t="shared" ref="S182" si="74">SUM(S180:S181)</f>
        <v>6059</v>
      </c>
      <c r="T182">
        <f t="shared" ref="T182" si="75">SUM(T180:T181)</f>
        <v>6370</v>
      </c>
      <c r="U182">
        <f t="shared" ref="U182" si="76">SUM(U180:U181)</f>
        <v>-34</v>
      </c>
      <c r="V182" s="128">
        <f t="shared" ref="V182" si="77">SUM(V180:V181)</f>
        <v>-8496</v>
      </c>
      <c r="W182" s="128">
        <f t="shared" ref="W182" si="78">SUM(W180:W181)</f>
        <v>113011</v>
      </c>
      <c r="X182" s="128">
        <f t="shared" ref="X182" si="79">SUM(X180:X181)</f>
        <v>121507</v>
      </c>
      <c r="Y182" s="128">
        <f t="shared" ref="Y182" si="80">SUM(Y180:Y181)</f>
        <v>35473</v>
      </c>
      <c r="Z182" s="128">
        <f t="shared" ref="Z182" si="81">SUM(Z180:Z181)</f>
        <v>3362001</v>
      </c>
      <c r="AA182" s="128">
        <f t="shared" ref="AA182" si="82">SUM(AA180:AA181)</f>
        <v>73089</v>
      </c>
      <c r="AB182" s="128">
        <f t="shared" ref="AB182" si="83">SUM(AB180:AB181)</f>
        <v>48848</v>
      </c>
      <c r="AC182" s="128" t="s">
        <v>869</v>
      </c>
      <c r="AD182" s="188">
        <f>SUM(R182,-L182)/W182</f>
        <v>9.5565918361929375E-3</v>
      </c>
      <c r="AE182" s="188">
        <f>SUM(P182,Q182,R182,S182,T182,-F182,-G182,-H182,-K182,-L182,-M182)/W182</f>
        <v>0.40817265575917389</v>
      </c>
      <c r="AF182" s="188">
        <f>SUM(F182,G182)/W182</f>
        <v>4.0199626585022699E-2</v>
      </c>
      <c r="AG182" s="188">
        <f>SUM(I182,J182)/W182</f>
        <v>6.3524789622249167E-2</v>
      </c>
      <c r="AH182" s="188">
        <f>SUM(AE182,0.12*AF182,-0.8*AG182)</f>
        <v>0.36217677925157726</v>
      </c>
      <c r="AI182" s="188">
        <f>N182/SUM(N182,O182,P182,Q182,R182,S182,T182)</f>
        <v>0.41977864006312215</v>
      </c>
      <c r="AJ182" s="188">
        <f>V182/W182</f>
        <v>-7.5178522444717774E-2</v>
      </c>
      <c r="AK182" s="188">
        <v>5.5E-2</v>
      </c>
      <c r="AL182" s="188">
        <v>4.5999999999999999E-2</v>
      </c>
      <c r="AM182" s="129">
        <v>1</v>
      </c>
      <c r="AN182" s="188">
        <f>Y182/(W182*1000)</f>
        <v>3.1388979833821485E-4</v>
      </c>
      <c r="AO182" s="188">
        <f>Z182/(W182*1000)</f>
        <v>2.9749325286918971E-2</v>
      </c>
      <c r="AP182" s="188">
        <f>AA182/W182</f>
        <v>0.64674235251435697</v>
      </c>
      <c r="AQ182" s="128">
        <v>1645</v>
      </c>
      <c r="AR182" s="188">
        <v>4.4999999999999998E-2</v>
      </c>
      <c r="AS182" s="188">
        <f>5*AR182</f>
        <v>0.22499999999999998</v>
      </c>
      <c r="AT182" s="256">
        <v>8</v>
      </c>
    </row>
    <row r="183" spans="1:46" x14ac:dyDescent="0.25">
      <c r="A183" t="s">
        <v>307</v>
      </c>
      <c r="B183">
        <v>1090</v>
      </c>
      <c r="C183">
        <v>4906</v>
      </c>
      <c r="D183">
        <v>85593</v>
      </c>
      <c r="E183">
        <v>2397</v>
      </c>
      <c r="F183">
        <v>0</v>
      </c>
      <c r="G183">
        <v>3743</v>
      </c>
      <c r="H183">
        <v>0</v>
      </c>
      <c r="I183">
        <v>12494</v>
      </c>
      <c r="J183">
        <v>4</v>
      </c>
      <c r="K183">
        <v>6767</v>
      </c>
      <c r="L183">
        <v>4487</v>
      </c>
      <c r="M183">
        <v>2575</v>
      </c>
      <c r="N183">
        <v>34954</v>
      </c>
      <c r="O183">
        <v>9725</v>
      </c>
      <c r="P183">
        <v>62648</v>
      </c>
      <c r="Q183">
        <v>0</v>
      </c>
      <c r="R183">
        <v>5161</v>
      </c>
      <c r="S183">
        <v>7400</v>
      </c>
      <c r="T183">
        <v>4170</v>
      </c>
      <c r="U183" s="128">
        <v>-4</v>
      </c>
      <c r="V183" s="128">
        <v>2135</v>
      </c>
      <c r="W183" s="128">
        <v>95875</v>
      </c>
      <c r="X183" s="128">
        <v>93740</v>
      </c>
      <c r="Y183" s="128">
        <v>14697</v>
      </c>
      <c r="Z183" s="128">
        <v>1174597</v>
      </c>
      <c r="AA183" s="128">
        <v>65690</v>
      </c>
      <c r="AB183" s="128">
        <v>33168</v>
      </c>
      <c r="AC183" s="128" t="s">
        <v>307</v>
      </c>
      <c r="AD183" s="188">
        <f t="shared" si="30"/>
        <v>7.0299869621903519E-3</v>
      </c>
      <c r="AE183" s="188">
        <v>0.64466232073011731</v>
      </c>
      <c r="AF183" s="188">
        <v>3.9040417209908737E-2</v>
      </c>
      <c r="AG183" s="188">
        <v>0.13035723598435464</v>
      </c>
      <c r="AH183" s="188">
        <v>0.55809710560625814</v>
      </c>
      <c r="AI183" s="188">
        <v>0.28175530800109627</v>
      </c>
      <c r="AJ183" s="188">
        <v>2.226857887874837E-2</v>
      </c>
      <c r="AK183" s="188">
        <v>-6.6445182724252493E-3</v>
      </c>
      <c r="AL183" s="188">
        <v>-2.7149472744518215E-2</v>
      </c>
      <c r="AM183" s="129">
        <f t="shared" si="31"/>
        <v>2</v>
      </c>
      <c r="AN183" s="188">
        <v>3.8323337679269882E-2</v>
      </c>
      <c r="AO183" s="188">
        <v>1.2251337679269883E-2</v>
      </c>
      <c r="AP183" s="188">
        <v>0.68516297262059978</v>
      </c>
      <c r="AQ183" s="128">
        <v>1706.8814218523878</v>
      </c>
      <c r="AR183" s="188">
        <v>2.5000000000000001E-2</v>
      </c>
      <c r="AS183" s="188">
        <v>0.125</v>
      </c>
      <c r="AT183" s="256">
        <v>8.5</v>
      </c>
    </row>
    <row r="184" spans="1:46" x14ac:dyDescent="0.25">
      <c r="A184" t="s">
        <v>413</v>
      </c>
      <c r="B184">
        <v>23638</v>
      </c>
      <c r="C184">
        <v>41654</v>
      </c>
      <c r="D184">
        <v>458247</v>
      </c>
      <c r="E184">
        <v>13613</v>
      </c>
      <c r="F184">
        <v>63609</v>
      </c>
      <c r="G184">
        <v>14582</v>
      </c>
      <c r="H184">
        <v>0</v>
      </c>
      <c r="I184">
        <v>13476</v>
      </c>
      <c r="J184">
        <v>0</v>
      </c>
      <c r="K184">
        <v>51333</v>
      </c>
      <c r="L184">
        <v>38632</v>
      </c>
      <c r="M184">
        <v>44850</v>
      </c>
      <c r="N184">
        <v>179313</v>
      </c>
      <c r="O184">
        <v>61328</v>
      </c>
      <c r="P184">
        <v>306478</v>
      </c>
      <c r="Q184">
        <v>658</v>
      </c>
      <c r="R184">
        <v>117500</v>
      </c>
      <c r="S184">
        <v>54846</v>
      </c>
      <c r="T184">
        <v>43511</v>
      </c>
      <c r="U184" s="128">
        <v>-9731</v>
      </c>
      <c r="V184" s="128">
        <v>-11063</v>
      </c>
      <c r="W184" s="128">
        <v>641503</v>
      </c>
      <c r="X184" s="128">
        <v>652566</v>
      </c>
      <c r="Y184" s="128">
        <v>103915</v>
      </c>
      <c r="Z184" s="128">
        <v>3628125</v>
      </c>
      <c r="AA184" s="128">
        <v>330919</v>
      </c>
      <c r="AB184" s="128">
        <v>121898</v>
      </c>
      <c r="AC184" s="128" t="s">
        <v>413</v>
      </c>
      <c r="AD184" s="188">
        <f t="shared" si="30"/>
        <v>0.12294252715887533</v>
      </c>
      <c r="AE184" s="188">
        <v>0.48321987582287224</v>
      </c>
      <c r="AF184" s="188">
        <v>0.12188719304508319</v>
      </c>
      <c r="AG184" s="188">
        <v>2.1006916569369122E-2</v>
      </c>
      <c r="AH184" s="188">
        <v>0.48314149738972384</v>
      </c>
      <c r="AI184" s="188">
        <v>0.23481536966662039</v>
      </c>
      <c r="AJ184" s="188">
        <v>-1.7245437667477784E-2</v>
      </c>
      <c r="AK184" s="188">
        <v>-1.1343398132447334E-2</v>
      </c>
      <c r="AL184" s="188">
        <v>3.5452258753767667E-3</v>
      </c>
      <c r="AM184" s="129">
        <f t="shared" si="31"/>
        <v>2</v>
      </c>
      <c r="AN184" s="188">
        <v>4.0496692922714315E-2</v>
      </c>
      <c r="AO184" s="188">
        <v>5.6556633406235042E-3</v>
      </c>
      <c r="AP184" s="188">
        <v>0.51584949719642781</v>
      </c>
      <c r="AQ184" s="128">
        <v>3403.9665211898473</v>
      </c>
      <c r="AR184" s="188">
        <v>3.1E-2</v>
      </c>
      <c r="AS184" s="188">
        <v>0.155</v>
      </c>
      <c r="AT184" s="256">
        <v>7</v>
      </c>
    </row>
    <row r="185" spans="1:46" x14ac:dyDescent="0.25">
      <c r="A185" t="s">
        <v>266</v>
      </c>
      <c r="B185">
        <v>865</v>
      </c>
      <c r="C185">
        <v>13635</v>
      </c>
      <c r="D185">
        <v>57419</v>
      </c>
      <c r="E185">
        <v>975</v>
      </c>
      <c r="F185">
        <v>0</v>
      </c>
      <c r="G185">
        <v>5585</v>
      </c>
      <c r="H185">
        <v>2817</v>
      </c>
      <c r="I185">
        <v>4160</v>
      </c>
      <c r="J185">
        <v>0</v>
      </c>
      <c r="K185">
        <v>9585</v>
      </c>
      <c r="L185">
        <v>721</v>
      </c>
      <c r="M185">
        <v>3801</v>
      </c>
      <c r="N185">
        <v>47436</v>
      </c>
      <c r="O185">
        <v>21245</v>
      </c>
      <c r="P185">
        <v>13390</v>
      </c>
      <c r="Q185">
        <v>283</v>
      </c>
      <c r="R185">
        <v>8000</v>
      </c>
      <c r="S185">
        <v>3544</v>
      </c>
      <c r="T185">
        <v>5665</v>
      </c>
      <c r="U185" s="128">
        <v>-2</v>
      </c>
      <c r="V185" s="128">
        <v>-5416</v>
      </c>
      <c r="W185" s="128">
        <v>102597</v>
      </c>
      <c r="X185" s="128">
        <v>108013</v>
      </c>
      <c r="Y185" s="128">
        <v>163</v>
      </c>
      <c r="Z185" s="128">
        <v>5761630</v>
      </c>
      <c r="AA185" s="128">
        <v>69560</v>
      </c>
      <c r="AB185" s="128">
        <v>45107</v>
      </c>
      <c r="AC185" s="128" t="s">
        <v>266</v>
      </c>
      <c r="AD185" s="188">
        <f t="shared" si="30"/>
        <v>7.0947493591430544E-2</v>
      </c>
      <c r="AE185" s="188">
        <v>8.1610573408579204E-2</v>
      </c>
      <c r="AF185" s="188">
        <v>5.4436289560123592E-2</v>
      </c>
      <c r="AG185" s="188">
        <v>4.0546994551497607E-2</v>
      </c>
      <c r="AH185" s="188">
        <v>5.9760031969745719E-2</v>
      </c>
      <c r="AI185" s="188">
        <v>0.4764420517662184</v>
      </c>
      <c r="AJ185" s="188">
        <v>-5.2789067906468999E-2</v>
      </c>
      <c r="AK185" s="188">
        <v>-1.3266704120957647E-2</v>
      </c>
      <c r="AL185" s="188">
        <v>-2.4246640252447348E-2</v>
      </c>
      <c r="AM185" s="129">
        <f t="shared" si="31"/>
        <v>3</v>
      </c>
      <c r="AN185" s="188">
        <v>3.971851028782518E-4</v>
      </c>
      <c r="AO185" s="188">
        <v>5.6157879860034898E-2</v>
      </c>
      <c r="AP185" s="188">
        <v>0.67799253389475322</v>
      </c>
      <c r="AQ185" s="128">
        <v>1610.6940829582995</v>
      </c>
      <c r="AR185" s="188">
        <v>4.7E-2</v>
      </c>
      <c r="AS185" s="188">
        <v>0.23600000000000002</v>
      </c>
      <c r="AT185" s="256">
        <v>7.5</v>
      </c>
    </row>
    <row r="186" spans="1:46" x14ac:dyDescent="0.25">
      <c r="A186" t="s">
        <v>414</v>
      </c>
      <c r="B186">
        <v>73</v>
      </c>
      <c r="C186">
        <v>796</v>
      </c>
      <c r="D186">
        <v>52343</v>
      </c>
      <c r="E186">
        <v>513</v>
      </c>
      <c r="F186">
        <v>0</v>
      </c>
      <c r="G186">
        <v>59842</v>
      </c>
      <c r="H186">
        <v>7500</v>
      </c>
      <c r="I186">
        <v>0</v>
      </c>
      <c r="J186">
        <v>0</v>
      </c>
      <c r="K186">
        <v>10259</v>
      </c>
      <c r="L186">
        <v>768</v>
      </c>
      <c r="M186">
        <v>297</v>
      </c>
      <c r="N186">
        <v>44772</v>
      </c>
      <c r="O186">
        <v>11487</v>
      </c>
      <c r="P186">
        <v>68039</v>
      </c>
      <c r="Q186">
        <v>58</v>
      </c>
      <c r="R186">
        <v>2000</v>
      </c>
      <c r="S186">
        <v>2536</v>
      </c>
      <c r="T186">
        <v>3496</v>
      </c>
      <c r="U186" s="128">
        <v>1</v>
      </c>
      <c r="V186" s="128">
        <v>1695</v>
      </c>
      <c r="W186" s="128">
        <v>48906</v>
      </c>
      <c r="X186" s="128">
        <v>47211</v>
      </c>
      <c r="Y186" s="128">
        <v>9289</v>
      </c>
      <c r="Z186" s="128">
        <v>98473</v>
      </c>
      <c r="AA186" s="128">
        <v>30524</v>
      </c>
      <c r="AB186" s="128">
        <v>18837</v>
      </c>
      <c r="AC186" s="128" t="s">
        <v>414</v>
      </c>
      <c r="AD186" s="188">
        <f t="shared" si="30"/>
        <v>2.5191183085919926E-2</v>
      </c>
      <c r="AE186" s="188">
        <v>-5.1875025559236086E-2</v>
      </c>
      <c r="AF186" s="188">
        <v>1.2236126446652762</v>
      </c>
      <c r="AG186" s="188">
        <v>0</v>
      </c>
      <c r="AH186" s="188">
        <v>9.4958491800597039E-2</v>
      </c>
      <c r="AI186" s="188">
        <v>0.33818775115569388</v>
      </c>
      <c r="AJ186" s="188">
        <v>3.4658324132008346E-2</v>
      </c>
      <c r="AK186" s="188">
        <v>-4.1918326872802669E-3</v>
      </c>
      <c r="AL186" s="188">
        <v>-2.2079477408818726E-2</v>
      </c>
      <c r="AM186" s="129">
        <f t="shared" si="31"/>
        <v>2</v>
      </c>
      <c r="AN186" s="188">
        <v>4.7483948799738274E-2</v>
      </c>
      <c r="AO186" s="188">
        <v>2.0135157240420399E-3</v>
      </c>
      <c r="AP186" s="188">
        <v>0.62413609782030832</v>
      </c>
      <c r="AQ186" s="128">
        <v>1573.289961246483</v>
      </c>
      <c r="AR186" s="188">
        <v>3.1E-2</v>
      </c>
      <c r="AS186" s="188">
        <v>0.155</v>
      </c>
      <c r="AT186" s="256">
        <v>7</v>
      </c>
    </row>
    <row r="187" spans="1:46" x14ac:dyDescent="0.25">
      <c r="A187" t="s">
        <v>587</v>
      </c>
      <c r="B187">
        <v>358</v>
      </c>
      <c r="C187">
        <v>14600</v>
      </c>
      <c r="D187">
        <v>184051</v>
      </c>
      <c r="E187">
        <v>2418</v>
      </c>
      <c r="F187">
        <v>0</v>
      </c>
      <c r="G187">
        <v>21677</v>
      </c>
      <c r="H187">
        <v>376</v>
      </c>
      <c r="I187">
        <v>123728</v>
      </c>
      <c r="J187">
        <v>0</v>
      </c>
      <c r="K187">
        <v>26696</v>
      </c>
      <c r="L187">
        <v>11550</v>
      </c>
      <c r="M187">
        <v>15179</v>
      </c>
      <c r="N187">
        <v>130648</v>
      </c>
      <c r="O187">
        <v>70247</v>
      </c>
      <c r="P187">
        <v>162771</v>
      </c>
      <c r="Q187">
        <v>83</v>
      </c>
      <c r="R187">
        <v>15000</v>
      </c>
      <c r="S187">
        <v>15063</v>
      </c>
      <c r="T187">
        <v>6823</v>
      </c>
      <c r="U187" s="128">
        <v>1</v>
      </c>
      <c r="V187" s="128">
        <v>-13082</v>
      </c>
      <c r="W187" s="128">
        <v>256570</v>
      </c>
      <c r="X187" s="128">
        <v>269652</v>
      </c>
      <c r="Y187" s="128">
        <v>4572</v>
      </c>
      <c r="Z187" s="128">
        <v>7135995.8000000007</v>
      </c>
      <c r="AA187" s="128">
        <v>131334</v>
      </c>
      <c r="AB187" s="128">
        <v>81163</v>
      </c>
      <c r="AC187" s="128" t="s">
        <v>587</v>
      </c>
      <c r="AD187" s="188">
        <f t="shared" si="30"/>
        <v>1.3446622754024242E-2</v>
      </c>
      <c r="AE187" s="188">
        <v>0.4843200685972639</v>
      </c>
      <c r="AF187" s="188">
        <v>8.4487664185212613E-2</v>
      </c>
      <c r="AG187" s="188">
        <v>0.48223876524924969</v>
      </c>
      <c r="AH187" s="188">
        <v>0.15689145262501464</v>
      </c>
      <c r="AI187" s="188">
        <v>0.32610231257878119</v>
      </c>
      <c r="AJ187" s="188">
        <v>-5.0988034454534828E-2</v>
      </c>
      <c r="AK187" s="188">
        <v>0.12713570009501599</v>
      </c>
      <c r="AL187" s="188">
        <v>2.7284092001853326E-2</v>
      </c>
      <c r="AM187" s="129">
        <f t="shared" si="31"/>
        <v>1</v>
      </c>
      <c r="AN187" s="188">
        <v>4.4549245819854233E-3</v>
      </c>
      <c r="AO187" s="188">
        <v>2.7813056086058389E-2</v>
      </c>
      <c r="AP187" s="188">
        <v>0.51188369645710718</v>
      </c>
      <c r="AQ187" s="128">
        <v>2228.9828370070104</v>
      </c>
      <c r="AR187" s="188">
        <v>3.4000000000000002E-2</v>
      </c>
      <c r="AS187" s="188">
        <v>0.17199999999999999</v>
      </c>
      <c r="AT187" s="256">
        <v>7.5</v>
      </c>
    </row>
    <row r="188" spans="1:46" x14ac:dyDescent="0.25">
      <c r="A188" t="s">
        <v>112</v>
      </c>
      <c r="B188">
        <v>395</v>
      </c>
      <c r="C188">
        <v>11795</v>
      </c>
      <c r="D188">
        <v>86382</v>
      </c>
      <c r="E188">
        <v>108</v>
      </c>
      <c r="F188">
        <v>627</v>
      </c>
      <c r="G188">
        <v>9284</v>
      </c>
      <c r="H188">
        <v>768</v>
      </c>
      <c r="I188">
        <v>20091</v>
      </c>
      <c r="J188">
        <v>321</v>
      </c>
      <c r="K188">
        <v>5582</v>
      </c>
      <c r="L188">
        <v>8341</v>
      </c>
      <c r="M188">
        <v>1610</v>
      </c>
      <c r="N188">
        <v>12109</v>
      </c>
      <c r="O188">
        <v>6803</v>
      </c>
      <c r="P188">
        <v>100544</v>
      </c>
      <c r="Q188">
        <v>1</v>
      </c>
      <c r="R188">
        <v>13941</v>
      </c>
      <c r="S188">
        <v>5010</v>
      </c>
      <c r="T188">
        <v>6898</v>
      </c>
      <c r="U188" s="128">
        <v>6</v>
      </c>
      <c r="V188" s="128">
        <v>-998</v>
      </c>
      <c r="W188" s="128">
        <v>109181</v>
      </c>
      <c r="X188" s="128">
        <v>110179</v>
      </c>
      <c r="Y188" s="128">
        <v>-3066</v>
      </c>
      <c r="Z188" s="128">
        <v>320820</v>
      </c>
      <c r="AA188" s="128">
        <v>71011</v>
      </c>
      <c r="AB188" s="128">
        <v>33888</v>
      </c>
      <c r="AC188" s="128" t="s">
        <v>112</v>
      </c>
      <c r="AD188" s="188">
        <f t="shared" si="30"/>
        <v>5.1290975536036489E-2</v>
      </c>
      <c r="AE188" s="188">
        <v>0.91757723413414427</v>
      </c>
      <c r="AF188" s="188">
        <v>9.0775867596010293E-2</v>
      </c>
      <c r="AG188" s="188">
        <v>0.18695560582885301</v>
      </c>
      <c r="AH188" s="188">
        <v>0.79760141416546837</v>
      </c>
      <c r="AI188" s="188">
        <v>8.3334480338045233E-2</v>
      </c>
      <c r="AJ188" s="188">
        <v>-9.1407845687436467E-3</v>
      </c>
      <c r="AK188" s="188">
        <v>2.7680448493342676E-2</v>
      </c>
      <c r="AL188" s="188">
        <v>5.0071465637318716E-3</v>
      </c>
      <c r="AM188" s="129">
        <f t="shared" si="31"/>
        <v>1</v>
      </c>
      <c r="AN188" s="188">
        <v>-7.0204522764949944E-3</v>
      </c>
      <c r="AO188" s="188">
        <v>2.9384233520484333E-3</v>
      </c>
      <c r="AP188" s="188">
        <v>0.65039704710526558</v>
      </c>
      <c r="AQ188" s="128">
        <v>1867.2711579320114</v>
      </c>
      <c r="AR188" s="188">
        <v>2.8999999999999998E-2</v>
      </c>
      <c r="AS188" s="188">
        <v>0.14599999999999999</v>
      </c>
      <c r="AT188" s="256">
        <v>7.5</v>
      </c>
    </row>
    <row r="189" spans="1:46" x14ac:dyDescent="0.25">
      <c r="A189" t="s">
        <v>334</v>
      </c>
      <c r="B189">
        <v>630</v>
      </c>
      <c r="C189">
        <v>16687</v>
      </c>
      <c r="D189">
        <v>139109</v>
      </c>
      <c r="E189">
        <v>0</v>
      </c>
      <c r="F189">
        <v>1897</v>
      </c>
      <c r="G189">
        <v>12150</v>
      </c>
      <c r="H189">
        <v>0</v>
      </c>
      <c r="I189">
        <v>74389</v>
      </c>
      <c r="J189">
        <v>65</v>
      </c>
      <c r="K189">
        <v>9256</v>
      </c>
      <c r="L189">
        <v>1606</v>
      </c>
      <c r="M189">
        <v>3828</v>
      </c>
      <c r="N189">
        <v>40342</v>
      </c>
      <c r="O189">
        <v>23912</v>
      </c>
      <c r="P189">
        <v>173607</v>
      </c>
      <c r="Q189">
        <v>103</v>
      </c>
      <c r="R189">
        <v>7000</v>
      </c>
      <c r="S189">
        <v>1293</v>
      </c>
      <c r="T189">
        <v>13358</v>
      </c>
      <c r="U189" s="128">
        <v>-1</v>
      </c>
      <c r="V189" s="128">
        <v>-3899</v>
      </c>
      <c r="W189" s="128">
        <v>179684</v>
      </c>
      <c r="X189" s="128">
        <v>183583</v>
      </c>
      <c r="Y189" s="128">
        <v>-7923</v>
      </c>
      <c r="Z189" s="128">
        <v>1257397</v>
      </c>
      <c r="AA189" s="128">
        <v>104998</v>
      </c>
      <c r="AB189" s="128">
        <v>48785</v>
      </c>
      <c r="AC189" s="128" t="s">
        <v>334</v>
      </c>
      <c r="AD189" s="188">
        <f t="shared" si="30"/>
        <v>3.001936733376372E-2</v>
      </c>
      <c r="AE189" s="188">
        <v>0.92731684512811385</v>
      </c>
      <c r="AF189" s="188">
        <v>7.8176131430733958E-2</v>
      </c>
      <c r="AG189" s="188">
        <v>0.4143607666792814</v>
      </c>
      <c r="AH189" s="188">
        <v>0.64664544422430503</v>
      </c>
      <c r="AI189" s="188">
        <v>0.15539163761724092</v>
      </c>
      <c r="AJ189" s="188">
        <v>-2.1699205271476594E-2</v>
      </c>
      <c r="AK189" s="188">
        <v>2.4694122442886587E-2</v>
      </c>
      <c r="AL189" s="188">
        <v>2.1774096747089185E-2</v>
      </c>
      <c r="AM189" s="129">
        <f t="shared" si="31"/>
        <v>1</v>
      </c>
      <c r="AN189" s="188">
        <v>-1.1023519066806171E-2</v>
      </c>
      <c r="AO189" s="188">
        <v>6.9978239576144784E-3</v>
      </c>
      <c r="AP189" s="188">
        <v>0.58434807773647068</v>
      </c>
      <c r="AQ189" s="128">
        <v>2415.9839089884185</v>
      </c>
      <c r="AR189" s="188">
        <v>3.1E-2</v>
      </c>
      <c r="AS189" s="188">
        <v>0.157</v>
      </c>
      <c r="AT189" s="256">
        <v>7</v>
      </c>
    </row>
    <row r="190" spans="1:46" x14ac:dyDescent="0.25">
      <c r="A190" t="s">
        <v>308</v>
      </c>
      <c r="B190">
        <v>0</v>
      </c>
      <c r="C190">
        <v>68800</v>
      </c>
      <c r="D190">
        <v>45725</v>
      </c>
      <c r="E190">
        <v>1497</v>
      </c>
      <c r="F190">
        <v>0</v>
      </c>
      <c r="G190">
        <v>20335</v>
      </c>
      <c r="H190">
        <v>0</v>
      </c>
      <c r="I190">
        <v>10050</v>
      </c>
      <c r="J190">
        <v>0</v>
      </c>
      <c r="K190">
        <v>4329</v>
      </c>
      <c r="L190">
        <v>12741</v>
      </c>
      <c r="M190">
        <v>2996</v>
      </c>
      <c r="N190">
        <v>64779</v>
      </c>
      <c r="O190">
        <v>12553</v>
      </c>
      <c r="P190">
        <v>61531</v>
      </c>
      <c r="Q190">
        <v>1</v>
      </c>
      <c r="R190">
        <v>0</v>
      </c>
      <c r="S190">
        <v>5713</v>
      </c>
      <c r="T190">
        <v>21897</v>
      </c>
      <c r="U190" s="128">
        <v>44</v>
      </c>
      <c r="V190" s="128">
        <v>-1865</v>
      </c>
      <c r="W190" s="128">
        <v>48863</v>
      </c>
      <c r="X190" s="128">
        <v>50728</v>
      </c>
      <c r="Y190" s="128">
        <v>58817</v>
      </c>
      <c r="Z190" s="128">
        <v>1726788</v>
      </c>
      <c r="AA190" s="128">
        <v>21936</v>
      </c>
      <c r="AB190" s="128">
        <v>19349</v>
      </c>
      <c r="AC190" s="128" t="s">
        <v>308</v>
      </c>
      <c r="AD190" s="188">
        <f t="shared" si="30"/>
        <v>-0.26074944231831859</v>
      </c>
      <c r="AE190" s="188">
        <v>0.99750322329779173</v>
      </c>
      <c r="AF190" s="188">
        <v>0.41616355933937743</v>
      </c>
      <c r="AG190" s="188">
        <v>0.20567709719010294</v>
      </c>
      <c r="AH190" s="188">
        <v>0.90346888238544487</v>
      </c>
      <c r="AI190" s="188">
        <v>0.38912382714417865</v>
      </c>
      <c r="AJ190" s="188">
        <v>-3.8167938931297711E-2</v>
      </c>
      <c r="AK190" s="188">
        <v>-8.9597332916601546E-2</v>
      </c>
      <c r="AL190" s="188">
        <v>-6.7723066596346554E-2</v>
      </c>
      <c r="AM190" s="129">
        <f t="shared" si="31"/>
        <v>3</v>
      </c>
      <c r="AN190" s="188">
        <v>0.30092810511020607</v>
      </c>
      <c r="AO190" s="188">
        <v>3.533937744305507E-2</v>
      </c>
      <c r="AP190" s="188">
        <v>0.44892863721015902</v>
      </c>
      <c r="AQ190" s="128">
        <v>1795.0940617086155</v>
      </c>
      <c r="AR190" s="188">
        <v>3.6000000000000004E-2</v>
      </c>
      <c r="AS190" s="188">
        <v>0.17800000000000002</v>
      </c>
      <c r="AT190" s="256">
        <v>6</v>
      </c>
    </row>
    <row r="191" spans="1:46" x14ac:dyDescent="0.25">
      <c r="A191" t="s">
        <v>113</v>
      </c>
      <c r="B191">
        <v>1243</v>
      </c>
      <c r="C191">
        <v>6985</v>
      </c>
      <c r="D191">
        <v>57754</v>
      </c>
      <c r="E191">
        <v>144</v>
      </c>
      <c r="F191">
        <v>0</v>
      </c>
      <c r="G191">
        <v>5723</v>
      </c>
      <c r="H191">
        <v>0</v>
      </c>
      <c r="I191">
        <v>9578</v>
      </c>
      <c r="J191">
        <v>0</v>
      </c>
      <c r="K191">
        <v>7641</v>
      </c>
      <c r="L191">
        <v>736</v>
      </c>
      <c r="M191">
        <v>79</v>
      </c>
      <c r="N191">
        <v>36954</v>
      </c>
      <c r="O191">
        <v>3905</v>
      </c>
      <c r="P191">
        <v>31704</v>
      </c>
      <c r="Q191">
        <v>8</v>
      </c>
      <c r="R191">
        <v>10000</v>
      </c>
      <c r="S191">
        <v>5980</v>
      </c>
      <c r="T191">
        <v>1334</v>
      </c>
      <c r="U191" s="128">
        <v>4</v>
      </c>
      <c r="V191" s="128">
        <v>745</v>
      </c>
      <c r="W191" s="128">
        <v>78522</v>
      </c>
      <c r="X191" s="128">
        <v>77777</v>
      </c>
      <c r="Y191" s="128">
        <v>9815</v>
      </c>
      <c r="Z191" s="128">
        <v>2371169</v>
      </c>
      <c r="AA191" s="128">
        <v>55498</v>
      </c>
      <c r="AB191" s="128">
        <v>33127</v>
      </c>
      <c r="AC191" s="128" t="s">
        <v>113</v>
      </c>
      <c r="AD191" s="188">
        <f t="shared" si="30"/>
        <v>0.11797967448613128</v>
      </c>
      <c r="AE191" s="188">
        <v>0.44378645475153461</v>
      </c>
      <c r="AF191" s="188">
        <v>7.2884032500445742E-2</v>
      </c>
      <c r="AG191" s="188">
        <v>0.12197855378110593</v>
      </c>
      <c r="AH191" s="188">
        <v>0.36714755100481394</v>
      </c>
      <c r="AI191" s="188">
        <v>0.41112532680647496</v>
      </c>
      <c r="AJ191" s="188">
        <v>9.4877868622806356E-3</v>
      </c>
      <c r="AK191" s="188">
        <v>3.8900736981346003E-2</v>
      </c>
      <c r="AL191" s="188">
        <v>9.5326237852845913E-3</v>
      </c>
      <c r="AM191" s="129">
        <f t="shared" si="31"/>
        <v>0</v>
      </c>
      <c r="AN191" s="188">
        <v>3.1249204044726319E-2</v>
      </c>
      <c r="AO191" s="188">
        <v>3.0197511525432361E-2</v>
      </c>
      <c r="AP191" s="188">
        <v>0.70678281246020225</v>
      </c>
      <c r="AQ191" s="128">
        <v>1546.0719956530927</v>
      </c>
      <c r="AR191" s="188">
        <v>3.2000000000000001E-2</v>
      </c>
      <c r="AS191" s="188">
        <v>0.161</v>
      </c>
      <c r="AT191" s="256">
        <v>8</v>
      </c>
    </row>
    <row r="192" spans="1:46" x14ac:dyDescent="0.25">
      <c r="A192" t="s">
        <v>602</v>
      </c>
      <c r="B192">
        <v>2818</v>
      </c>
      <c r="C192">
        <v>12900</v>
      </c>
      <c r="D192">
        <v>144181</v>
      </c>
      <c r="E192">
        <v>539</v>
      </c>
      <c r="F192">
        <v>59</v>
      </c>
      <c r="G192">
        <v>5756</v>
      </c>
      <c r="H192">
        <v>0</v>
      </c>
      <c r="I192">
        <v>8946</v>
      </c>
      <c r="J192">
        <v>0</v>
      </c>
      <c r="K192">
        <v>36691</v>
      </c>
      <c r="L192">
        <v>1038</v>
      </c>
      <c r="M192">
        <v>16324</v>
      </c>
      <c r="N192">
        <v>27337</v>
      </c>
      <c r="O192">
        <v>21384</v>
      </c>
      <c r="P192">
        <v>131296</v>
      </c>
      <c r="Q192">
        <v>0</v>
      </c>
      <c r="R192">
        <v>3</v>
      </c>
      <c r="S192">
        <v>16925</v>
      </c>
      <c r="T192">
        <v>32309</v>
      </c>
      <c r="U192" s="128">
        <v>-28</v>
      </c>
      <c r="V192" s="128">
        <v>-4714</v>
      </c>
      <c r="W192" s="128">
        <v>208818</v>
      </c>
      <c r="X192" s="128">
        <v>213532</v>
      </c>
      <c r="Y192" s="128">
        <v>14276</v>
      </c>
      <c r="Z192" s="128">
        <v>-2592168</v>
      </c>
      <c r="AA192" s="128">
        <v>155793</v>
      </c>
      <c r="AB192" s="128">
        <v>60873</v>
      </c>
      <c r="AC192" s="128" t="s">
        <v>602</v>
      </c>
      <c r="AD192" s="188">
        <f t="shared" si="30"/>
        <v>-4.9564692698905264E-3</v>
      </c>
      <c r="AE192" s="188">
        <v>0.57784769512206802</v>
      </c>
      <c r="AF192" s="188">
        <v>2.7847216236148224E-2</v>
      </c>
      <c r="AG192" s="188">
        <v>4.2841134384966811E-2</v>
      </c>
      <c r="AH192" s="188">
        <v>0.55120056700092901</v>
      </c>
      <c r="AI192" s="188">
        <v>0.11924328474094235</v>
      </c>
      <c r="AJ192" s="188">
        <v>-2.2574682259192215E-2</v>
      </c>
      <c r="AK192" s="188">
        <v>-3.5612393692657437E-2</v>
      </c>
      <c r="AL192" s="188">
        <v>-2.9366260334854205E-2</v>
      </c>
      <c r="AM192" s="129">
        <f t="shared" si="31"/>
        <v>3</v>
      </c>
      <c r="AN192" s="188">
        <v>1.7091438477525884E-2</v>
      </c>
      <c r="AO192" s="188">
        <v>-1.2413527569462403E-2</v>
      </c>
      <c r="AP192" s="188">
        <v>0.74607074102807225</v>
      </c>
      <c r="AQ192" s="128">
        <v>2077.9006456064267</v>
      </c>
      <c r="AR192" s="188">
        <v>3.6000000000000004E-2</v>
      </c>
      <c r="AS192" s="188">
        <v>0.182</v>
      </c>
      <c r="AT192" s="256">
        <v>6</v>
      </c>
    </row>
    <row r="193" spans="1:46" x14ac:dyDescent="0.25">
      <c r="A193" t="s">
        <v>379</v>
      </c>
      <c r="B193">
        <v>366</v>
      </c>
      <c r="C193">
        <v>26861</v>
      </c>
      <c r="D193">
        <v>68670</v>
      </c>
      <c r="E193">
        <v>237</v>
      </c>
      <c r="F193">
        <v>0</v>
      </c>
      <c r="G193">
        <v>20315</v>
      </c>
      <c r="H193">
        <v>0</v>
      </c>
      <c r="I193">
        <v>21693</v>
      </c>
      <c r="J193">
        <v>24</v>
      </c>
      <c r="K193">
        <v>12418</v>
      </c>
      <c r="L193">
        <v>0</v>
      </c>
      <c r="M193">
        <v>4411</v>
      </c>
      <c r="N193">
        <v>80459</v>
      </c>
      <c r="O193">
        <v>33003</v>
      </c>
      <c r="P193">
        <v>24848</v>
      </c>
      <c r="Q193">
        <v>48</v>
      </c>
      <c r="R193">
        <v>990</v>
      </c>
      <c r="S193">
        <v>7540</v>
      </c>
      <c r="T193">
        <v>8107</v>
      </c>
      <c r="U193" s="128">
        <v>37</v>
      </c>
      <c r="V193" s="128">
        <v>5916</v>
      </c>
      <c r="W193" s="128">
        <v>106249</v>
      </c>
      <c r="X193" s="128">
        <v>100333</v>
      </c>
      <c r="Y193" s="128">
        <v>22350</v>
      </c>
      <c r="Z193" s="128">
        <v>-489945</v>
      </c>
      <c r="AA193" s="128">
        <v>64869</v>
      </c>
      <c r="AB193" s="128">
        <v>37172</v>
      </c>
      <c r="AC193" s="128" t="s">
        <v>379</v>
      </c>
      <c r="AD193" s="188">
        <f t="shared" ref="AD193:AD255" si="84">SUM(R193,-L193)/W193</f>
        <v>9.3177347551506359E-3</v>
      </c>
      <c r="AE193" s="188">
        <v>4.1308624081167825E-2</v>
      </c>
      <c r="AF193" s="188">
        <v>0.19120179954634867</v>
      </c>
      <c r="AG193" s="188">
        <v>0.20439721785616805</v>
      </c>
      <c r="AH193" s="188">
        <v>-7.882521247258796E-2</v>
      </c>
      <c r="AI193" s="188">
        <v>0.51910706796993455</v>
      </c>
      <c r="AJ193" s="188">
        <v>5.568052405199108E-2</v>
      </c>
      <c r="AK193" s="188">
        <v>0</v>
      </c>
      <c r="AL193" s="188">
        <v>7.2093771546770852E-2</v>
      </c>
      <c r="AM193" s="129">
        <f t="shared" ref="AM193:AM255" si="85">COUNTIF(AJ193:AL193,"&lt;0")</f>
        <v>0</v>
      </c>
      <c r="AN193" s="188">
        <v>5.2588730246872911E-2</v>
      </c>
      <c r="AO193" s="188">
        <v>-4.6112904592043218E-3</v>
      </c>
      <c r="AP193" s="188">
        <v>0.61053751094127939</v>
      </c>
      <c r="AQ193" s="128">
        <v>1576.9687130097923</v>
      </c>
      <c r="AR193" s="188">
        <v>2.7000000000000003E-2</v>
      </c>
      <c r="AS193" s="188">
        <v>0.13300000000000001</v>
      </c>
      <c r="AT193" s="256">
        <v>9</v>
      </c>
    </row>
    <row r="194" spans="1:46" x14ac:dyDescent="0.25">
      <c r="A194" t="s">
        <v>603</v>
      </c>
      <c r="B194">
        <v>3433</v>
      </c>
      <c r="C194">
        <v>6349</v>
      </c>
      <c r="D194">
        <v>111758</v>
      </c>
      <c r="E194">
        <v>2919</v>
      </c>
      <c r="F194">
        <v>22534</v>
      </c>
      <c r="G194">
        <v>3575</v>
      </c>
      <c r="H194">
        <v>18963</v>
      </c>
      <c r="I194">
        <v>9644</v>
      </c>
      <c r="J194">
        <v>0</v>
      </c>
      <c r="K194">
        <v>21066</v>
      </c>
      <c r="L194">
        <v>249</v>
      </c>
      <c r="M194">
        <v>1871</v>
      </c>
      <c r="N194">
        <v>98396</v>
      </c>
      <c r="O194">
        <v>15967</v>
      </c>
      <c r="P194">
        <v>35985</v>
      </c>
      <c r="Q194">
        <v>0</v>
      </c>
      <c r="R194">
        <v>38000</v>
      </c>
      <c r="S194">
        <v>7628</v>
      </c>
      <c r="T194">
        <v>6386</v>
      </c>
      <c r="U194" s="128">
        <v>2</v>
      </c>
      <c r="V194" s="128">
        <v>1003</v>
      </c>
      <c r="W194" s="128">
        <v>99107</v>
      </c>
      <c r="X194" s="128">
        <v>98104</v>
      </c>
      <c r="Y194" s="128">
        <v>37274</v>
      </c>
      <c r="Z194" s="128">
        <v>4245162.9999999991</v>
      </c>
      <c r="AA194" s="128">
        <v>63220</v>
      </c>
      <c r="AB194" s="128">
        <v>43901</v>
      </c>
      <c r="AC194" s="128" t="s">
        <v>603</v>
      </c>
      <c r="AD194" s="188">
        <f t="shared" si="84"/>
        <v>0.38091154005267036</v>
      </c>
      <c r="AE194" s="188">
        <v>0.19918875558739543</v>
      </c>
      <c r="AF194" s="188">
        <v>0.2634425418991595</v>
      </c>
      <c r="AG194" s="188">
        <v>9.7308969094009504E-2</v>
      </c>
      <c r="AH194" s="188">
        <v>0.16268558224948793</v>
      </c>
      <c r="AI194" s="188">
        <v>0.48623753471501568</v>
      </c>
      <c r="AJ194" s="188">
        <v>1.0120374948288213E-2</v>
      </c>
      <c r="AK194" s="188">
        <v>-3.5453457550915415E-3</v>
      </c>
      <c r="AL194" s="188">
        <v>4.4682077102560953E-3</v>
      </c>
      <c r="AM194" s="129">
        <f t="shared" si="85"/>
        <v>1</v>
      </c>
      <c r="AN194" s="188">
        <v>9.4024640035517165E-2</v>
      </c>
      <c r="AO194" s="188">
        <v>4.2834138860019966E-2</v>
      </c>
      <c r="AP194" s="188">
        <v>0.63789641498582339</v>
      </c>
      <c r="AQ194" s="128">
        <v>1432.204528370652</v>
      </c>
      <c r="AR194" s="188">
        <v>4.4999999999999998E-2</v>
      </c>
      <c r="AS194" s="188">
        <v>0.22500000000000001</v>
      </c>
      <c r="AT194" s="256">
        <v>7.5</v>
      </c>
    </row>
    <row r="195" spans="1:46" x14ac:dyDescent="0.25">
      <c r="A195" t="s">
        <v>190</v>
      </c>
      <c r="B195">
        <v>391</v>
      </c>
      <c r="C195">
        <v>6016</v>
      </c>
      <c r="D195">
        <v>89134</v>
      </c>
      <c r="E195">
        <v>97</v>
      </c>
      <c r="F195">
        <v>310</v>
      </c>
      <c r="G195">
        <v>7359</v>
      </c>
      <c r="H195">
        <v>0</v>
      </c>
      <c r="I195">
        <v>6867</v>
      </c>
      <c r="J195">
        <v>8</v>
      </c>
      <c r="K195">
        <v>7675</v>
      </c>
      <c r="L195">
        <v>6301</v>
      </c>
      <c r="M195">
        <v>2214</v>
      </c>
      <c r="N195">
        <v>31574</v>
      </c>
      <c r="O195">
        <v>6411</v>
      </c>
      <c r="P195">
        <v>69906</v>
      </c>
      <c r="Q195">
        <v>12</v>
      </c>
      <c r="R195">
        <v>2000</v>
      </c>
      <c r="S195">
        <v>4940</v>
      </c>
      <c r="T195">
        <v>11526</v>
      </c>
      <c r="U195" s="128">
        <v>16</v>
      </c>
      <c r="V195" s="128">
        <v>-1265</v>
      </c>
      <c r="W195" s="128">
        <v>108960</v>
      </c>
      <c r="X195" s="128">
        <v>110225</v>
      </c>
      <c r="Y195" s="128">
        <v>-8051</v>
      </c>
      <c r="Z195" s="128">
        <v>1621065</v>
      </c>
      <c r="AA195" s="128">
        <v>60535</v>
      </c>
      <c r="AB195" s="128">
        <v>36072</v>
      </c>
      <c r="AC195" s="128" t="s">
        <v>190</v>
      </c>
      <c r="AD195" s="188">
        <f t="shared" si="84"/>
        <v>-3.9473201174743025E-2</v>
      </c>
      <c r="AE195" s="188">
        <v>0.59218979441997066</v>
      </c>
      <c r="AF195" s="188">
        <v>7.0383627019089567E-2</v>
      </c>
      <c r="AG195" s="188">
        <v>6.3096549192364168E-2</v>
      </c>
      <c r="AH195" s="188">
        <v>0.55646824522760641</v>
      </c>
      <c r="AI195" s="188">
        <v>0.24985558166955504</v>
      </c>
      <c r="AJ195" s="188">
        <v>-1.1609765051395007E-2</v>
      </c>
      <c r="AK195" s="188">
        <v>3.4936757998253161E-3</v>
      </c>
      <c r="AL195" s="188">
        <v>1.2488264960810427E-2</v>
      </c>
      <c r="AM195" s="129">
        <f t="shared" si="85"/>
        <v>1</v>
      </c>
      <c r="AN195" s="188">
        <v>-1.8472375183553599E-2</v>
      </c>
      <c r="AO195" s="188">
        <v>1.4877615638766521E-2</v>
      </c>
      <c r="AP195" s="188">
        <v>0.55557085168869313</v>
      </c>
      <c r="AQ195" s="128">
        <v>2183.9995009980044</v>
      </c>
      <c r="AR195" s="188">
        <v>3.7000000000000005E-2</v>
      </c>
      <c r="AS195" s="188">
        <v>0.183</v>
      </c>
      <c r="AT195" s="256">
        <v>7</v>
      </c>
    </row>
    <row r="196" spans="1:46" x14ac:dyDescent="0.25">
      <c r="A196" t="s">
        <v>438</v>
      </c>
      <c r="B196">
        <v>0</v>
      </c>
      <c r="C196">
        <v>753</v>
      </c>
      <c r="D196">
        <v>21716</v>
      </c>
      <c r="E196">
        <v>213</v>
      </c>
      <c r="F196">
        <v>0</v>
      </c>
      <c r="G196">
        <v>209</v>
      </c>
      <c r="H196">
        <v>0</v>
      </c>
      <c r="I196">
        <v>1459</v>
      </c>
      <c r="J196">
        <v>2</v>
      </c>
      <c r="K196">
        <v>2364</v>
      </c>
      <c r="L196">
        <v>1502</v>
      </c>
      <c r="M196">
        <v>1317</v>
      </c>
      <c r="N196">
        <v>5768</v>
      </c>
      <c r="O196">
        <v>6685</v>
      </c>
      <c r="P196">
        <v>14256</v>
      </c>
      <c r="Q196">
        <v>0</v>
      </c>
      <c r="R196">
        <v>0</v>
      </c>
      <c r="S196">
        <v>951</v>
      </c>
      <c r="T196">
        <v>1876</v>
      </c>
      <c r="U196" s="128">
        <v>0</v>
      </c>
      <c r="V196" s="128">
        <v>-2182</v>
      </c>
      <c r="W196" s="128">
        <v>26571</v>
      </c>
      <c r="X196" s="128">
        <v>28753</v>
      </c>
      <c r="Y196" s="128">
        <v>-169</v>
      </c>
      <c r="Z196" s="128">
        <v>249619.99999999953</v>
      </c>
      <c r="AA196" s="128">
        <v>17505</v>
      </c>
      <c r="AB196" s="128">
        <v>13931</v>
      </c>
      <c r="AC196" s="128" t="s">
        <v>438</v>
      </c>
      <c r="AD196" s="188">
        <f t="shared" si="84"/>
        <v>-5.6527793459034283E-2</v>
      </c>
      <c r="AE196" s="188">
        <v>0.43999096759625156</v>
      </c>
      <c r="AF196" s="188">
        <v>7.8657182642730798E-3</v>
      </c>
      <c r="AG196" s="188">
        <v>5.4984757818674491E-2</v>
      </c>
      <c r="AH196" s="188">
        <v>0.4024455233148922</v>
      </c>
      <c r="AI196" s="188">
        <v>0.19528710725893825</v>
      </c>
      <c r="AJ196" s="188">
        <v>-8.21196040796357E-2</v>
      </c>
      <c r="AK196" s="188">
        <v>2.5174457867487055E-2</v>
      </c>
      <c r="AL196" s="188">
        <v>7.741658005089423E-3</v>
      </c>
      <c r="AM196" s="129">
        <f t="shared" si="85"/>
        <v>1</v>
      </c>
      <c r="AN196" s="188">
        <v>-1.5900794098829552E-3</v>
      </c>
      <c r="AO196" s="188">
        <v>9.3944525986978111E-3</v>
      </c>
      <c r="AP196" s="188">
        <v>0.65880094840239356</v>
      </c>
      <c r="AQ196" s="128">
        <v>1473.5880410595075</v>
      </c>
      <c r="AR196" s="188">
        <v>5.7000000000000002E-2</v>
      </c>
      <c r="AS196" s="188">
        <v>0.28300000000000003</v>
      </c>
      <c r="AT196" s="256">
        <v>6.5</v>
      </c>
    </row>
    <row r="197" spans="1:46" x14ac:dyDescent="0.25">
      <c r="A197" t="s">
        <v>415</v>
      </c>
      <c r="B197">
        <v>97</v>
      </c>
      <c r="C197">
        <v>480</v>
      </c>
      <c r="D197">
        <v>7916</v>
      </c>
      <c r="E197">
        <v>439</v>
      </c>
      <c r="F197">
        <v>0</v>
      </c>
      <c r="G197">
        <v>47</v>
      </c>
      <c r="H197">
        <v>0</v>
      </c>
      <c r="I197">
        <v>0</v>
      </c>
      <c r="J197">
        <v>0</v>
      </c>
      <c r="K197">
        <v>1594</v>
      </c>
      <c r="L197">
        <v>6168</v>
      </c>
      <c r="M197">
        <v>1437</v>
      </c>
      <c r="N197">
        <v>7533</v>
      </c>
      <c r="O197">
        <v>6510</v>
      </c>
      <c r="P197">
        <v>908</v>
      </c>
      <c r="Q197">
        <v>0</v>
      </c>
      <c r="R197">
        <v>0</v>
      </c>
      <c r="S197">
        <v>1521</v>
      </c>
      <c r="T197">
        <v>1704</v>
      </c>
      <c r="U197" s="128">
        <v>-3</v>
      </c>
      <c r="V197" s="128">
        <v>-1954</v>
      </c>
      <c r="W197" s="128">
        <v>16266</v>
      </c>
      <c r="X197" s="128">
        <v>18220</v>
      </c>
      <c r="Y197" s="128">
        <v>1572</v>
      </c>
      <c r="Z197" s="128">
        <v>656820.99999999977</v>
      </c>
      <c r="AA197" s="128">
        <v>11093</v>
      </c>
      <c r="AB197" s="128">
        <v>7843</v>
      </c>
      <c r="AC197" s="128" t="s">
        <v>415</v>
      </c>
      <c r="AD197" s="188">
        <f t="shared" si="84"/>
        <v>-0.37919586868314276</v>
      </c>
      <c r="AE197" s="188">
        <v>-0.3143366531415222</v>
      </c>
      <c r="AF197" s="188">
        <v>2.88946268289684E-3</v>
      </c>
      <c r="AG197" s="188">
        <v>0</v>
      </c>
      <c r="AH197" s="188">
        <v>-0.31398991761957457</v>
      </c>
      <c r="AI197" s="188">
        <v>0.41444762323943662</v>
      </c>
      <c r="AJ197" s="188">
        <v>-0.12012787409320054</v>
      </c>
      <c r="AK197" s="188">
        <v>4.1255491182275415E-2</v>
      </c>
      <c r="AL197" s="188">
        <v>-5.9247253736718894E-2</v>
      </c>
      <c r="AM197" s="129">
        <f t="shared" si="85"/>
        <v>2</v>
      </c>
      <c r="AN197" s="188">
        <v>2.4160826263371449E-2</v>
      </c>
      <c r="AO197" s="188">
        <v>4.0379995081765631E-2</v>
      </c>
      <c r="AP197" s="188">
        <v>0.68197467109307763</v>
      </c>
      <c r="AQ197" s="128">
        <v>1693.0696162182837</v>
      </c>
      <c r="AR197" s="188">
        <v>6.4000000000000001E-2</v>
      </c>
      <c r="AS197" s="188">
        <v>0.32</v>
      </c>
      <c r="AT197" s="256">
        <v>7.5</v>
      </c>
    </row>
    <row r="198" spans="1:46" x14ac:dyDescent="0.25">
      <c r="A198" t="s">
        <v>191</v>
      </c>
      <c r="B198">
        <v>99</v>
      </c>
      <c r="C198">
        <v>3315</v>
      </c>
      <c r="D198">
        <v>44834</v>
      </c>
      <c r="E198">
        <v>87</v>
      </c>
      <c r="F198">
        <v>0</v>
      </c>
      <c r="G198">
        <v>909</v>
      </c>
      <c r="H198">
        <v>0</v>
      </c>
      <c r="I198">
        <v>2905</v>
      </c>
      <c r="J198">
        <v>0</v>
      </c>
      <c r="K198">
        <v>10355</v>
      </c>
      <c r="L198">
        <v>1647</v>
      </c>
      <c r="M198">
        <v>942</v>
      </c>
      <c r="N198">
        <v>27591</v>
      </c>
      <c r="O198">
        <v>4914</v>
      </c>
      <c r="P198">
        <v>23563</v>
      </c>
      <c r="Q198">
        <v>4</v>
      </c>
      <c r="R198">
        <v>2162</v>
      </c>
      <c r="S198">
        <v>3953</v>
      </c>
      <c r="T198">
        <v>2906</v>
      </c>
      <c r="U198" s="128">
        <v>-3</v>
      </c>
      <c r="V198" s="128">
        <v>-1281</v>
      </c>
      <c r="W198" s="128">
        <v>56394</v>
      </c>
      <c r="X198" s="128">
        <v>57675</v>
      </c>
      <c r="Y198" s="128">
        <v>1396</v>
      </c>
      <c r="Z198" s="128">
        <v>601510</v>
      </c>
      <c r="AA198" s="128">
        <v>36166</v>
      </c>
      <c r="AB198" s="128">
        <v>24315</v>
      </c>
      <c r="AC198" s="128" t="s">
        <v>191</v>
      </c>
      <c r="AD198" s="188">
        <f t="shared" si="84"/>
        <v>9.1321771819697136E-3</v>
      </c>
      <c r="AE198" s="188">
        <v>0.33221619321204382</v>
      </c>
      <c r="AF198" s="188">
        <v>1.6118736035748486E-2</v>
      </c>
      <c r="AG198" s="188">
        <v>5.1512572259460224E-2</v>
      </c>
      <c r="AH198" s="188">
        <v>0.29809164095471152</v>
      </c>
      <c r="AI198" s="188">
        <v>0.42387046226168712</v>
      </c>
      <c r="AJ198" s="188">
        <v>-2.271518246621981E-2</v>
      </c>
      <c r="AK198" s="188">
        <v>5.7254812447690789E-2</v>
      </c>
      <c r="AL198" s="188">
        <v>4.9914346175808672E-2</v>
      </c>
      <c r="AM198" s="129">
        <f t="shared" si="85"/>
        <v>1</v>
      </c>
      <c r="AN198" s="188">
        <v>6.1886016242862713E-3</v>
      </c>
      <c r="AO198" s="188">
        <v>1.0666205624711848E-2</v>
      </c>
      <c r="AP198" s="188">
        <v>0.64130935915168286</v>
      </c>
      <c r="AQ198" s="128">
        <v>1611.363520460621</v>
      </c>
      <c r="AR198" s="188">
        <v>4.9000000000000002E-2</v>
      </c>
      <c r="AS198" s="188">
        <v>0.247</v>
      </c>
      <c r="AT198" s="256">
        <v>7.5</v>
      </c>
    </row>
    <row r="199" spans="1:46" x14ac:dyDescent="0.25">
      <c r="A199" t="s">
        <v>416</v>
      </c>
      <c r="B199">
        <v>0</v>
      </c>
      <c r="C199">
        <v>2488</v>
      </c>
      <c r="D199">
        <v>15608</v>
      </c>
      <c r="E199">
        <v>242</v>
      </c>
      <c r="F199">
        <v>0</v>
      </c>
      <c r="G199">
        <v>3</v>
      </c>
      <c r="H199">
        <v>17</v>
      </c>
      <c r="I199">
        <v>3770</v>
      </c>
      <c r="J199">
        <v>3</v>
      </c>
      <c r="K199">
        <v>5032</v>
      </c>
      <c r="L199">
        <v>26894</v>
      </c>
      <c r="M199">
        <v>2</v>
      </c>
      <c r="N199">
        <v>28181</v>
      </c>
      <c r="O199">
        <v>19702</v>
      </c>
      <c r="P199">
        <v>0</v>
      </c>
      <c r="Q199">
        <v>5</v>
      </c>
      <c r="R199">
        <v>0</v>
      </c>
      <c r="S199">
        <v>4611</v>
      </c>
      <c r="T199">
        <v>1560</v>
      </c>
      <c r="U199" s="128">
        <v>12</v>
      </c>
      <c r="V199" s="128">
        <v>-703</v>
      </c>
      <c r="W199" s="128">
        <v>43316</v>
      </c>
      <c r="X199" s="128">
        <v>44019</v>
      </c>
      <c r="Y199" s="128">
        <v>338</v>
      </c>
      <c r="Z199" s="128">
        <v>863350</v>
      </c>
      <c r="AA199" s="128">
        <v>26662</v>
      </c>
      <c r="AB199" s="128">
        <v>17024</v>
      </c>
      <c r="AC199" s="128" t="s">
        <v>416</v>
      </c>
      <c r="AD199" s="188">
        <f t="shared" si="84"/>
        <v>-0.62087912087912089</v>
      </c>
      <c r="AE199" s="188">
        <v>-0.59497645211930927</v>
      </c>
      <c r="AF199" s="188">
        <v>6.9258472619817163E-5</v>
      </c>
      <c r="AG199" s="188">
        <v>8.7104072398190041E-2</v>
      </c>
      <c r="AH199" s="188">
        <v>-0.65594099178132792</v>
      </c>
      <c r="AI199" s="188">
        <v>0.52130080097671061</v>
      </c>
      <c r="AJ199" s="188">
        <v>-1.6229568750577152E-2</v>
      </c>
      <c r="AK199" s="188">
        <v>0.10268720888570405</v>
      </c>
      <c r="AL199" s="188">
        <v>-1.7467027820671848E-3</v>
      </c>
      <c r="AM199" s="129">
        <f t="shared" si="85"/>
        <v>2</v>
      </c>
      <c r="AN199" s="188">
        <v>1.9507803121248499E-3</v>
      </c>
      <c r="AO199" s="188">
        <v>1.9931434112106381E-2</v>
      </c>
      <c r="AP199" s="188">
        <v>0.61552313232985501</v>
      </c>
      <c r="AQ199" s="128">
        <v>1642.3367011278197</v>
      </c>
      <c r="AR199" s="188">
        <v>4.4000000000000004E-2</v>
      </c>
      <c r="AS199" s="188">
        <v>0.218</v>
      </c>
      <c r="AT199" s="256">
        <v>7</v>
      </c>
    </row>
    <row r="200" spans="1:46" x14ac:dyDescent="0.25">
      <c r="A200" t="s">
        <v>225</v>
      </c>
      <c r="B200">
        <v>193</v>
      </c>
      <c r="C200">
        <v>30744</v>
      </c>
      <c r="D200">
        <v>203011</v>
      </c>
      <c r="E200">
        <v>10978</v>
      </c>
      <c r="F200">
        <v>113</v>
      </c>
      <c r="G200">
        <v>6341</v>
      </c>
      <c r="H200">
        <v>-663</v>
      </c>
      <c r="I200">
        <v>-20708</v>
      </c>
      <c r="J200">
        <v>0</v>
      </c>
      <c r="K200">
        <v>18967</v>
      </c>
      <c r="L200">
        <v>12534</v>
      </c>
      <c r="M200">
        <v>1413</v>
      </c>
      <c r="N200">
        <v>83178</v>
      </c>
      <c r="O200">
        <v>13838</v>
      </c>
      <c r="P200">
        <v>138500</v>
      </c>
      <c r="Q200">
        <v>282</v>
      </c>
      <c r="R200">
        <v>6000</v>
      </c>
      <c r="S200">
        <v>17016</v>
      </c>
      <c r="T200">
        <v>4133</v>
      </c>
      <c r="U200" s="128">
        <v>-26</v>
      </c>
      <c r="V200" s="128">
        <v>-15101</v>
      </c>
      <c r="W200" s="128">
        <v>229220</v>
      </c>
      <c r="X200" s="128">
        <v>244321</v>
      </c>
      <c r="Y200" s="128">
        <v>-6026</v>
      </c>
      <c r="Z200" s="128">
        <v>2105829</v>
      </c>
      <c r="AA200" s="128">
        <v>110171</v>
      </c>
      <c r="AB200" s="128">
        <v>63499</v>
      </c>
      <c r="AC200" s="128" t="s">
        <v>225</v>
      </c>
      <c r="AD200" s="188">
        <f t="shared" si="84"/>
        <v>-2.8505366023907162E-2</v>
      </c>
      <c r="AE200" s="188">
        <v>0.55503882732745835</v>
      </c>
      <c r="AF200" s="188">
        <v>2.8156356338888404E-2</v>
      </c>
      <c r="AG200" s="188">
        <v>-9.0341156967105832E-2</v>
      </c>
      <c r="AH200" s="188">
        <v>0.62165639996509903</v>
      </c>
      <c r="AI200" s="188">
        <v>0.31632990678729933</v>
      </c>
      <c r="AJ200" s="188">
        <v>-6.5879940668353551E-2</v>
      </c>
      <c r="AK200" s="188">
        <v>4.7430080456663873E-2</v>
      </c>
      <c r="AL200" s="188">
        <v>-5.9403676121942375E-2</v>
      </c>
      <c r="AM200" s="129">
        <f t="shared" si="85"/>
        <v>2</v>
      </c>
      <c r="AN200" s="188">
        <v>-6.5722886310095102E-3</v>
      </c>
      <c r="AO200" s="188">
        <v>9.1869339499171115E-3</v>
      </c>
      <c r="AP200" s="188">
        <v>0.48063432510252158</v>
      </c>
      <c r="AQ200" s="128">
        <v>2115.9087072237357</v>
      </c>
      <c r="AR200" s="188">
        <v>-1.1000000000000001E-2</v>
      </c>
      <c r="AS200" s="188">
        <v>-5.4000000000000006E-2</v>
      </c>
      <c r="AT200" s="256">
        <v>6.5</v>
      </c>
    </row>
    <row r="201" spans="1:46" x14ac:dyDescent="0.25">
      <c r="A201" t="s">
        <v>309</v>
      </c>
      <c r="B201">
        <v>53</v>
      </c>
      <c r="C201">
        <v>15545</v>
      </c>
      <c r="D201">
        <v>41132</v>
      </c>
      <c r="E201">
        <v>411</v>
      </c>
      <c r="F201">
        <v>0</v>
      </c>
      <c r="G201">
        <v>1094</v>
      </c>
      <c r="H201">
        <v>0</v>
      </c>
      <c r="I201">
        <v>21848</v>
      </c>
      <c r="J201">
        <v>0</v>
      </c>
      <c r="K201">
        <v>18168</v>
      </c>
      <c r="L201">
        <v>341</v>
      </c>
      <c r="M201">
        <v>676</v>
      </c>
      <c r="N201">
        <v>53649</v>
      </c>
      <c r="O201">
        <v>20940</v>
      </c>
      <c r="P201">
        <v>19305</v>
      </c>
      <c r="Q201">
        <v>11</v>
      </c>
      <c r="R201">
        <v>0</v>
      </c>
      <c r="S201">
        <v>2727</v>
      </c>
      <c r="T201">
        <v>2636</v>
      </c>
      <c r="U201" s="128">
        <v>-1</v>
      </c>
      <c r="V201" s="128">
        <v>2978</v>
      </c>
      <c r="W201" s="128">
        <v>90658</v>
      </c>
      <c r="X201" s="128">
        <v>87680</v>
      </c>
      <c r="Y201" s="128">
        <v>20962</v>
      </c>
      <c r="Z201" s="128">
        <v>895038</v>
      </c>
      <c r="AA201" s="128">
        <v>36902</v>
      </c>
      <c r="AB201" s="128">
        <v>28776</v>
      </c>
      <c r="AC201" s="128" t="s">
        <v>309</v>
      </c>
      <c r="AD201" s="188">
        <f t="shared" si="84"/>
        <v>-3.7613889562972931E-3</v>
      </c>
      <c r="AE201" s="188">
        <v>4.8534051048997329E-2</v>
      </c>
      <c r="AF201" s="188">
        <v>1.2067329965364337E-2</v>
      </c>
      <c r="AG201" s="188">
        <v>0.24099362439056674</v>
      </c>
      <c r="AH201" s="188">
        <v>-0.11871340642855566</v>
      </c>
      <c r="AI201" s="188">
        <v>0.54044606519724381</v>
      </c>
      <c r="AJ201" s="188">
        <v>3.2848728187253193E-2</v>
      </c>
      <c r="AK201" s="188">
        <v>-1.7936885977969635E-2</v>
      </c>
      <c r="AL201" s="188">
        <v>2.3176006017299737E-2</v>
      </c>
      <c r="AM201" s="129">
        <f t="shared" si="85"/>
        <v>1</v>
      </c>
      <c r="AN201" s="188">
        <v>5.7805157845970567E-2</v>
      </c>
      <c r="AO201" s="188">
        <v>9.8726863597255621E-3</v>
      </c>
      <c r="AP201" s="188">
        <v>0.40704626177502262</v>
      </c>
      <c r="AQ201" s="128">
        <v>1604.4130872949681</v>
      </c>
      <c r="AR201" s="188">
        <v>2.4E-2</v>
      </c>
      <c r="AS201" s="188">
        <v>0.12</v>
      </c>
      <c r="AT201" s="256">
        <v>9</v>
      </c>
    </row>
    <row r="202" spans="1:46" x14ac:dyDescent="0.25">
      <c r="A202" t="s">
        <v>192</v>
      </c>
      <c r="B202">
        <v>576</v>
      </c>
      <c r="C202">
        <v>7689</v>
      </c>
      <c r="D202">
        <v>93672</v>
      </c>
      <c r="E202">
        <v>107</v>
      </c>
      <c r="F202">
        <v>0</v>
      </c>
      <c r="G202">
        <v>1305</v>
      </c>
      <c r="H202">
        <v>0</v>
      </c>
      <c r="I202">
        <v>24734</v>
      </c>
      <c r="J202">
        <v>29</v>
      </c>
      <c r="K202">
        <v>15006</v>
      </c>
      <c r="L202">
        <v>284</v>
      </c>
      <c r="M202">
        <v>3989</v>
      </c>
      <c r="N202">
        <v>65740</v>
      </c>
      <c r="O202">
        <v>21938</v>
      </c>
      <c r="P202">
        <v>31812</v>
      </c>
      <c r="Q202">
        <v>10</v>
      </c>
      <c r="R202">
        <v>16000</v>
      </c>
      <c r="S202">
        <v>6265</v>
      </c>
      <c r="T202">
        <v>5626</v>
      </c>
      <c r="U202" s="128">
        <v>-2</v>
      </c>
      <c r="V202" s="128">
        <v>-2653</v>
      </c>
      <c r="W202" s="128">
        <v>104171</v>
      </c>
      <c r="X202" s="128">
        <v>106824</v>
      </c>
      <c r="Y202" s="128">
        <v>32848</v>
      </c>
      <c r="Z202" s="128">
        <v>5338364</v>
      </c>
      <c r="AA202" s="128">
        <v>59483</v>
      </c>
      <c r="AB202" s="128">
        <v>43175</v>
      </c>
      <c r="AC202" s="128" t="s">
        <v>192</v>
      </c>
      <c r="AD202" s="188">
        <f t="shared" si="84"/>
        <v>0.15086732391932495</v>
      </c>
      <c r="AE202" s="188">
        <v>0.37562277409259776</v>
      </c>
      <c r="AF202" s="188">
        <v>1.2527478856879553E-2</v>
      </c>
      <c r="AG202" s="188">
        <v>0.23771491105969991</v>
      </c>
      <c r="AH202" s="188">
        <v>0.21072563381363341</v>
      </c>
      <c r="AI202" s="188">
        <v>0.44602451981464269</v>
      </c>
      <c r="AJ202" s="188">
        <v>-2.5467740541993453E-2</v>
      </c>
      <c r="AK202" s="188">
        <v>6.0256157297394676E-2</v>
      </c>
      <c r="AL202" s="188">
        <v>7.9795448450605239E-2</v>
      </c>
      <c r="AM202" s="129">
        <f t="shared" si="85"/>
        <v>1</v>
      </c>
      <c r="AN202" s="188">
        <v>7.8831920592103366E-2</v>
      </c>
      <c r="AO202" s="188">
        <v>5.1246162559637515E-2</v>
      </c>
      <c r="AP202" s="188">
        <v>0.57101304585729229</v>
      </c>
      <c r="AQ202" s="128">
        <v>1619.1709785755645</v>
      </c>
      <c r="AR202" s="188">
        <v>4.5999999999999999E-2</v>
      </c>
      <c r="AS202" s="188">
        <v>0.22899999999999998</v>
      </c>
      <c r="AT202" s="256">
        <v>7.5</v>
      </c>
    </row>
    <row r="203" spans="1:46" x14ac:dyDescent="0.25">
      <c r="A203" t="s">
        <v>193</v>
      </c>
      <c r="B203">
        <v>17117</v>
      </c>
      <c r="C203">
        <v>50819</v>
      </c>
      <c r="D203">
        <v>364481</v>
      </c>
      <c r="E203">
        <v>9119</v>
      </c>
      <c r="F203">
        <v>5102</v>
      </c>
      <c r="G203">
        <v>62072</v>
      </c>
      <c r="H203">
        <v>0</v>
      </c>
      <c r="I203">
        <v>324828</v>
      </c>
      <c r="J203">
        <v>117</v>
      </c>
      <c r="K203">
        <v>66726</v>
      </c>
      <c r="L203">
        <v>2797</v>
      </c>
      <c r="M203">
        <v>13284</v>
      </c>
      <c r="N203">
        <v>98954</v>
      </c>
      <c r="O203">
        <v>32838</v>
      </c>
      <c r="P203">
        <v>616925</v>
      </c>
      <c r="Q203">
        <v>229</v>
      </c>
      <c r="R203">
        <v>112000</v>
      </c>
      <c r="S203">
        <v>13470</v>
      </c>
      <c r="T203">
        <v>42048</v>
      </c>
      <c r="U203" s="128">
        <v>-6992</v>
      </c>
      <c r="V203" s="128">
        <v>503</v>
      </c>
      <c r="W203" s="128">
        <v>800771</v>
      </c>
      <c r="X203" s="128">
        <v>800268</v>
      </c>
      <c r="Y203" s="128">
        <v>30316</v>
      </c>
      <c r="Z203" s="128">
        <v>-30519395</v>
      </c>
      <c r="AA203" s="128">
        <v>511550</v>
      </c>
      <c r="AB203" s="128">
        <v>177824</v>
      </c>
      <c r="AC203" s="128" t="s">
        <v>193</v>
      </c>
      <c r="AD203" s="188">
        <f t="shared" si="84"/>
        <v>0.13637232117546713</v>
      </c>
      <c r="AE203" s="188">
        <v>0.79259988186385366</v>
      </c>
      <c r="AF203" s="188">
        <v>8.3886654236979108E-2</v>
      </c>
      <c r="AG203" s="188">
        <v>0.40579016972392856</v>
      </c>
      <c r="AH203" s="188">
        <v>0.51861316156554116</v>
      </c>
      <c r="AI203" s="188">
        <v>0.10797369018313867</v>
      </c>
      <c r="AJ203" s="188">
        <v>6.281446256170616E-4</v>
      </c>
      <c r="AK203" s="188">
        <v>-7.180273273154506E-3</v>
      </c>
      <c r="AL203" s="188">
        <v>1.6060592532423342E-3</v>
      </c>
      <c r="AM203" s="129">
        <f t="shared" si="85"/>
        <v>1</v>
      </c>
      <c r="AN203" s="188">
        <v>9.4646284643175142E-3</v>
      </c>
      <c r="AO203" s="188">
        <v>-3.8112512815773797E-2</v>
      </c>
      <c r="AP203" s="188">
        <v>0.63882183545607918</v>
      </c>
      <c r="AQ203" s="128">
        <v>2258.2183451052724</v>
      </c>
      <c r="AR203" s="188">
        <v>2.2000000000000002E-2</v>
      </c>
      <c r="AS203" s="188">
        <v>0.111</v>
      </c>
      <c r="AT203" s="256">
        <v>7</v>
      </c>
    </row>
    <row r="204" spans="1:46" x14ac:dyDescent="0.25">
      <c r="A204" t="s">
        <v>479</v>
      </c>
      <c r="B204">
        <v>0</v>
      </c>
      <c r="C204">
        <v>69513</v>
      </c>
      <c r="D204">
        <v>217245</v>
      </c>
      <c r="E204">
        <v>7681</v>
      </c>
      <c r="F204">
        <v>0</v>
      </c>
      <c r="G204">
        <v>37090</v>
      </c>
      <c r="H204">
        <v>0</v>
      </c>
      <c r="I204">
        <v>32821</v>
      </c>
      <c r="J204">
        <v>44</v>
      </c>
      <c r="K204">
        <v>7094</v>
      </c>
      <c r="L204">
        <v>13135</v>
      </c>
      <c r="M204">
        <v>21688</v>
      </c>
      <c r="N204">
        <v>43366</v>
      </c>
      <c r="O204">
        <v>15204</v>
      </c>
      <c r="P204">
        <v>240215</v>
      </c>
      <c r="Q204">
        <v>10560</v>
      </c>
      <c r="R204">
        <v>84222</v>
      </c>
      <c r="S204">
        <v>0</v>
      </c>
      <c r="T204">
        <v>12744</v>
      </c>
      <c r="U204" s="128">
        <v>-3</v>
      </c>
      <c r="V204" s="128">
        <v>-24408</v>
      </c>
      <c r="W204" s="128">
        <v>280004</v>
      </c>
      <c r="X204" s="128">
        <v>304412</v>
      </c>
      <c r="Y204" s="128">
        <v>-45394</v>
      </c>
      <c r="Z204" s="128">
        <v>2483574.5</v>
      </c>
      <c r="AA204" s="128">
        <v>87590</v>
      </c>
      <c r="AB204" s="128">
        <v>85256</v>
      </c>
      <c r="AC204" s="128" t="s">
        <v>479</v>
      </c>
      <c r="AD204" s="188">
        <f t="shared" si="84"/>
        <v>0.25387851602119971</v>
      </c>
      <c r="AE204" s="188">
        <v>0.95975057499178584</v>
      </c>
      <c r="AF204" s="188">
        <v>0.13246239339438007</v>
      </c>
      <c r="AG204" s="188">
        <v>0.11737332323823946</v>
      </c>
      <c r="AH204" s="188">
        <v>0.89348473593234379</v>
      </c>
      <c r="AI204" s="188">
        <v>0.10673105084528846</v>
      </c>
      <c r="AJ204" s="188">
        <v>-8.7170183283095962E-2</v>
      </c>
      <c r="AK204" s="188">
        <v>5.395080167078006E-3</v>
      </c>
      <c r="AL204" s="188">
        <v>5.707522535048868E-2</v>
      </c>
      <c r="AM204" s="129">
        <f t="shared" si="85"/>
        <v>1</v>
      </c>
      <c r="AN204" s="188">
        <v>-4.0529778146026485E-2</v>
      </c>
      <c r="AO204" s="188">
        <v>8.8697822173968953E-3</v>
      </c>
      <c r="AP204" s="188">
        <v>0.31281695975771773</v>
      </c>
      <c r="AQ204" s="128">
        <v>3449.0660246786151</v>
      </c>
      <c r="AR204" s="188">
        <v>2.7000000000000003E-2</v>
      </c>
      <c r="AS204" s="188">
        <v>0.13600000000000001</v>
      </c>
      <c r="AT204" s="256">
        <v>5.5</v>
      </c>
    </row>
    <row r="205" spans="1:46" x14ac:dyDescent="0.25">
      <c r="A205" t="s">
        <v>604</v>
      </c>
      <c r="B205">
        <v>6469</v>
      </c>
      <c r="C205">
        <v>8407</v>
      </c>
      <c r="D205">
        <v>99871</v>
      </c>
      <c r="E205">
        <v>1444</v>
      </c>
      <c r="F205">
        <v>13</v>
      </c>
      <c r="G205">
        <v>5320</v>
      </c>
      <c r="H205">
        <v>0</v>
      </c>
      <c r="I205">
        <v>2277</v>
      </c>
      <c r="J205">
        <v>0</v>
      </c>
      <c r="K205">
        <v>39145</v>
      </c>
      <c r="L205">
        <v>0</v>
      </c>
      <c r="M205">
        <v>3147</v>
      </c>
      <c r="N205">
        <v>26239</v>
      </c>
      <c r="O205">
        <v>13689</v>
      </c>
      <c r="P205">
        <v>91258</v>
      </c>
      <c r="Q205">
        <v>1</v>
      </c>
      <c r="R205">
        <v>5658</v>
      </c>
      <c r="S205">
        <v>10649</v>
      </c>
      <c r="T205">
        <v>18598</v>
      </c>
      <c r="U205" s="128">
        <v>6</v>
      </c>
      <c r="V205" s="128">
        <v>-2683</v>
      </c>
      <c r="W205" s="128">
        <v>156895</v>
      </c>
      <c r="X205" s="128">
        <v>159578</v>
      </c>
      <c r="Y205" s="128">
        <v>13978</v>
      </c>
      <c r="Z205" s="128">
        <v>309379</v>
      </c>
      <c r="AA205" s="128">
        <v>104667</v>
      </c>
      <c r="AB205" s="128">
        <v>45253</v>
      </c>
      <c r="AC205" s="128" t="s">
        <v>604</v>
      </c>
      <c r="AD205" s="188">
        <f t="shared" si="84"/>
        <v>3.6062334682430926E-2</v>
      </c>
      <c r="AE205" s="188">
        <v>0.50058319258102557</v>
      </c>
      <c r="AF205" s="188">
        <v>3.3990885624143534E-2</v>
      </c>
      <c r="AG205" s="188">
        <v>1.4512890786831958E-2</v>
      </c>
      <c r="AH205" s="188">
        <v>0.49450307530514048</v>
      </c>
      <c r="AI205" s="188">
        <v>0.15797871059412855</v>
      </c>
      <c r="AJ205" s="188">
        <v>-1.7100608687338665E-2</v>
      </c>
      <c r="AK205" s="188">
        <v>-2.243862398328483E-2</v>
      </c>
      <c r="AL205" s="188">
        <v>-4.9989947439469225E-2</v>
      </c>
      <c r="AM205" s="129">
        <f t="shared" si="85"/>
        <v>3</v>
      </c>
      <c r="AN205" s="188">
        <v>2.2272857643647025E-2</v>
      </c>
      <c r="AO205" s="188">
        <v>1.9718856560119826E-3</v>
      </c>
      <c r="AP205" s="188">
        <v>0.66711494948851147</v>
      </c>
      <c r="AQ205" s="128">
        <v>2381.2262170463837</v>
      </c>
      <c r="AR205" s="188">
        <v>3.5000000000000003E-2</v>
      </c>
      <c r="AS205" s="188">
        <v>0.17300000000000001</v>
      </c>
      <c r="AT205" s="256">
        <v>7</v>
      </c>
    </row>
    <row r="206" spans="1:46" x14ac:dyDescent="0.25">
      <c r="A206" t="s">
        <v>335</v>
      </c>
      <c r="B206">
        <v>4038</v>
      </c>
      <c r="C206">
        <v>971</v>
      </c>
      <c r="D206">
        <v>23022</v>
      </c>
      <c r="E206">
        <v>92</v>
      </c>
      <c r="F206">
        <v>660</v>
      </c>
      <c r="G206">
        <v>522</v>
      </c>
      <c r="H206">
        <v>0</v>
      </c>
      <c r="I206">
        <v>5739</v>
      </c>
      <c r="J206">
        <v>0</v>
      </c>
      <c r="K206">
        <v>1249</v>
      </c>
      <c r="L206">
        <v>0</v>
      </c>
      <c r="M206">
        <v>3338</v>
      </c>
      <c r="N206">
        <v>18029</v>
      </c>
      <c r="O206">
        <v>2094</v>
      </c>
      <c r="P206">
        <v>14247</v>
      </c>
      <c r="Q206">
        <v>0</v>
      </c>
      <c r="R206">
        <v>2323</v>
      </c>
      <c r="S206">
        <v>2319</v>
      </c>
      <c r="T206">
        <v>616</v>
      </c>
      <c r="U206" s="128">
        <v>5</v>
      </c>
      <c r="V206" s="128">
        <v>-610</v>
      </c>
      <c r="W206" s="128">
        <v>28514</v>
      </c>
      <c r="X206" s="128">
        <v>29124</v>
      </c>
      <c r="Y206" s="128">
        <v>8728</v>
      </c>
      <c r="Z206" s="128">
        <v>1164222.0000000005</v>
      </c>
      <c r="AA206" s="128">
        <v>13520</v>
      </c>
      <c r="AB206" s="128">
        <v>7401</v>
      </c>
      <c r="AC206" s="128" t="s">
        <v>335</v>
      </c>
      <c r="AD206" s="188">
        <f t="shared" si="84"/>
        <v>8.1468752191905733E-2</v>
      </c>
      <c r="AE206" s="188">
        <v>0.48172827383039912</v>
      </c>
      <c r="AF206" s="188">
        <v>4.1453321175562878E-2</v>
      </c>
      <c r="AG206" s="188">
        <v>0.20126955179911624</v>
      </c>
      <c r="AH206" s="188">
        <v>0.34581398611208536</v>
      </c>
      <c r="AI206" s="188">
        <v>0.454956091652367</v>
      </c>
      <c r="AJ206" s="188">
        <v>-2.1392999929859016E-2</v>
      </c>
      <c r="AK206" s="188">
        <v>3.3150239826705862E-2</v>
      </c>
      <c r="AL206" s="188">
        <v>-3.033445683173451E-2</v>
      </c>
      <c r="AM206" s="129">
        <f t="shared" si="85"/>
        <v>2</v>
      </c>
      <c r="AN206" s="188">
        <v>7.6523812863856358E-2</v>
      </c>
      <c r="AO206" s="188">
        <v>4.0829837974328417E-2</v>
      </c>
      <c r="AP206" s="188">
        <v>0.47415304762572769</v>
      </c>
      <c r="AQ206" s="128">
        <v>2607.7296311309283</v>
      </c>
      <c r="AR206" s="188">
        <v>0.03</v>
      </c>
      <c r="AS206" s="188">
        <v>0.14800000000000002</v>
      </c>
      <c r="AT206" s="256">
        <v>5.5</v>
      </c>
    </row>
    <row r="207" spans="1:46" x14ac:dyDescent="0.25">
      <c r="A207" t="s">
        <v>114</v>
      </c>
      <c r="B207">
        <v>1112</v>
      </c>
      <c r="C207">
        <v>12391</v>
      </c>
      <c r="D207">
        <v>74673</v>
      </c>
      <c r="E207">
        <v>104</v>
      </c>
      <c r="F207">
        <v>0</v>
      </c>
      <c r="G207">
        <v>2101</v>
      </c>
      <c r="H207">
        <v>0</v>
      </c>
      <c r="I207">
        <v>1</v>
      </c>
      <c r="J207">
        <v>19</v>
      </c>
      <c r="K207">
        <v>8373</v>
      </c>
      <c r="L207">
        <v>0</v>
      </c>
      <c r="M207">
        <v>1185</v>
      </c>
      <c r="N207">
        <v>21410</v>
      </c>
      <c r="O207">
        <v>8529</v>
      </c>
      <c r="P207">
        <v>44654</v>
      </c>
      <c r="Q207">
        <v>0</v>
      </c>
      <c r="R207">
        <v>9915</v>
      </c>
      <c r="S207">
        <v>2807</v>
      </c>
      <c r="T207">
        <v>12645</v>
      </c>
      <c r="U207" s="128">
        <v>54</v>
      </c>
      <c r="V207" s="128">
        <v>-6777</v>
      </c>
      <c r="W207" s="128">
        <v>102511</v>
      </c>
      <c r="X207" s="128">
        <v>109288</v>
      </c>
      <c r="Y207" s="128">
        <v>11745</v>
      </c>
      <c r="Z207" s="128">
        <v>3817432.8</v>
      </c>
      <c r="AA207" s="128">
        <v>68736</v>
      </c>
      <c r="AB207" s="128">
        <v>31241</v>
      </c>
      <c r="AC207" s="128" t="s">
        <v>114</v>
      </c>
      <c r="AD207" s="188">
        <f t="shared" si="84"/>
        <v>9.6721327467296198E-2</v>
      </c>
      <c r="AE207" s="188">
        <v>0.56932426763957034</v>
      </c>
      <c r="AF207" s="188">
        <v>2.0495361473402855E-2</v>
      </c>
      <c r="AG207" s="188">
        <v>1.9510101354976538E-4</v>
      </c>
      <c r="AH207" s="188">
        <v>0.5716471403068939</v>
      </c>
      <c r="AI207" s="188">
        <v>0.21418567426970789</v>
      </c>
      <c r="AJ207" s="188">
        <v>-6.6109978441338008E-2</v>
      </c>
      <c r="AK207" s="188">
        <v>3.7549554940534073E-2</v>
      </c>
      <c r="AL207" s="188">
        <v>-9.9433325551287217E-3</v>
      </c>
      <c r="AM207" s="129">
        <f t="shared" si="85"/>
        <v>2</v>
      </c>
      <c r="AN207" s="188">
        <v>2.8643267551774931E-2</v>
      </c>
      <c r="AO207" s="188">
        <v>3.7239250421905935E-2</v>
      </c>
      <c r="AP207" s="188">
        <v>0.67052316336783369</v>
      </c>
      <c r="AQ207" s="128">
        <v>1905.8421625428123</v>
      </c>
      <c r="AR207" s="188">
        <v>5.5E-2</v>
      </c>
      <c r="AS207" s="188">
        <v>0.27399999999999997</v>
      </c>
      <c r="AT207" s="256">
        <v>6.5</v>
      </c>
    </row>
    <row r="208" spans="1:46" x14ac:dyDescent="0.25">
      <c r="A208" t="s">
        <v>432</v>
      </c>
      <c r="B208">
        <v>229</v>
      </c>
      <c r="C208">
        <v>23834</v>
      </c>
      <c r="D208">
        <v>60898</v>
      </c>
      <c r="E208">
        <v>0</v>
      </c>
      <c r="F208">
        <v>361</v>
      </c>
      <c r="G208">
        <v>4523</v>
      </c>
      <c r="H208">
        <v>0</v>
      </c>
      <c r="I208">
        <v>15624</v>
      </c>
      <c r="J208">
        <v>0</v>
      </c>
      <c r="K208">
        <v>2425</v>
      </c>
      <c r="L208">
        <v>23317</v>
      </c>
      <c r="M208">
        <v>11037</v>
      </c>
      <c r="N208">
        <v>106067</v>
      </c>
      <c r="O208">
        <v>12441</v>
      </c>
      <c r="P208">
        <v>5028</v>
      </c>
      <c r="Q208">
        <v>89</v>
      </c>
      <c r="R208">
        <v>0</v>
      </c>
      <c r="S208">
        <v>4434</v>
      </c>
      <c r="T208">
        <v>14191</v>
      </c>
      <c r="U208" s="128">
        <v>-4</v>
      </c>
      <c r="V208" s="128">
        <v>4587</v>
      </c>
      <c r="W208" s="128">
        <v>135292</v>
      </c>
      <c r="X208" s="128">
        <v>130705</v>
      </c>
      <c r="Y208" s="128">
        <v>26907</v>
      </c>
      <c r="Z208" s="128">
        <v>1924581</v>
      </c>
      <c r="AA208" s="128">
        <v>90515</v>
      </c>
      <c r="AB208" s="128">
        <v>47232</v>
      </c>
      <c r="AC208" s="128" t="s">
        <v>432</v>
      </c>
      <c r="AD208" s="188">
        <f t="shared" si="84"/>
        <v>-0.17234574106377318</v>
      </c>
      <c r="AE208" s="188">
        <v>-0.13246163852999437</v>
      </c>
      <c r="AF208" s="188">
        <v>3.609969547349437E-2</v>
      </c>
      <c r="AG208" s="188">
        <v>0.11548354669899182</v>
      </c>
      <c r="AH208" s="188">
        <v>-0.2089681577624693</v>
      </c>
      <c r="AI208" s="188">
        <v>0.74563796133567661</v>
      </c>
      <c r="AJ208" s="188">
        <v>3.3904443721727816E-2</v>
      </c>
      <c r="AK208" s="188">
        <v>1.7419189505544358E-2</v>
      </c>
      <c r="AL208" s="188">
        <v>9.0011762538440829E-2</v>
      </c>
      <c r="AM208" s="129">
        <f t="shared" si="85"/>
        <v>0</v>
      </c>
      <c r="AN208" s="188">
        <v>4.9720234751500461E-2</v>
      </c>
      <c r="AO208" s="188">
        <v>1.4225386571268071E-2</v>
      </c>
      <c r="AP208" s="188">
        <v>0.66903438488602429</v>
      </c>
      <c r="AQ208" s="128">
        <v>1807.0792682926829</v>
      </c>
      <c r="AR208" s="188">
        <v>3.5000000000000003E-2</v>
      </c>
      <c r="AS208" s="188">
        <v>0.17600000000000002</v>
      </c>
      <c r="AT208" s="256">
        <v>10</v>
      </c>
    </row>
    <row r="209" spans="1:46" x14ac:dyDescent="0.25">
      <c r="A209" t="s">
        <v>310</v>
      </c>
      <c r="B209">
        <v>2489</v>
      </c>
      <c r="C209">
        <v>20926</v>
      </c>
      <c r="D209">
        <v>137016</v>
      </c>
      <c r="E209">
        <v>481</v>
      </c>
      <c r="F209">
        <v>0</v>
      </c>
      <c r="G209">
        <v>11590</v>
      </c>
      <c r="H209">
        <v>6716</v>
      </c>
      <c r="I209">
        <v>18222</v>
      </c>
      <c r="J209">
        <v>0</v>
      </c>
      <c r="K209">
        <v>17219</v>
      </c>
      <c r="L209">
        <v>7593</v>
      </c>
      <c r="M209">
        <v>9761</v>
      </c>
      <c r="N209">
        <v>136384</v>
      </c>
      <c r="O209">
        <v>24353</v>
      </c>
      <c r="P209">
        <v>58180</v>
      </c>
      <c r="Q209">
        <v>79</v>
      </c>
      <c r="R209">
        <v>0</v>
      </c>
      <c r="S209">
        <v>6389</v>
      </c>
      <c r="T209">
        <v>6628</v>
      </c>
      <c r="U209" s="128">
        <v>0</v>
      </c>
      <c r="V209" s="128">
        <v>-2786</v>
      </c>
      <c r="W209" s="128">
        <v>119889</v>
      </c>
      <c r="X209" s="128">
        <v>122675</v>
      </c>
      <c r="Y209" s="128">
        <v>28654</v>
      </c>
      <c r="Z209" s="128">
        <v>7060750</v>
      </c>
      <c r="AA209" s="128">
        <v>63466</v>
      </c>
      <c r="AB209" s="128">
        <v>43517</v>
      </c>
      <c r="AC209" s="128" t="s">
        <v>310</v>
      </c>
      <c r="AD209" s="188">
        <f t="shared" si="84"/>
        <v>-6.3333583564797444E-2</v>
      </c>
      <c r="AE209" s="188">
        <v>0.15345027483755808</v>
      </c>
      <c r="AF209" s="188">
        <v>9.6672755632293203E-2</v>
      </c>
      <c r="AG209" s="188">
        <v>0.15199059129694967</v>
      </c>
      <c r="AH209" s="188">
        <v>5.8657591605568507E-2</v>
      </c>
      <c r="AI209" s="188">
        <v>0.58782913026425243</v>
      </c>
      <c r="AJ209" s="188">
        <v>-2.3238161966485666E-2</v>
      </c>
      <c r="AK209" s="188">
        <v>8.5468780668658539E-2</v>
      </c>
      <c r="AL209" s="188">
        <v>-5.3539919673315742E-2</v>
      </c>
      <c r="AM209" s="129">
        <f t="shared" si="85"/>
        <v>2</v>
      </c>
      <c r="AN209" s="188">
        <v>5.975110310370426E-2</v>
      </c>
      <c r="AO209" s="188">
        <v>5.8894060339147042E-2</v>
      </c>
      <c r="AP209" s="188">
        <v>0.52937300336144266</v>
      </c>
      <c r="AQ209" s="128">
        <v>1748.6999333593767</v>
      </c>
      <c r="AR209" s="188">
        <v>1.9E-2</v>
      </c>
      <c r="AS209" s="188">
        <v>9.6000000000000002E-2</v>
      </c>
      <c r="AT209" s="256">
        <v>7.5</v>
      </c>
    </row>
    <row r="210" spans="1:46" x14ac:dyDescent="0.25">
      <c r="A210" t="s">
        <v>435</v>
      </c>
      <c r="B210">
        <v>357</v>
      </c>
      <c r="C210">
        <v>12378</v>
      </c>
      <c r="D210">
        <v>34320</v>
      </c>
      <c r="E210">
        <v>7</v>
      </c>
      <c r="F210">
        <v>0</v>
      </c>
      <c r="G210">
        <v>3849</v>
      </c>
      <c r="H210">
        <v>0</v>
      </c>
      <c r="I210">
        <v>75149</v>
      </c>
      <c r="J210">
        <v>344</v>
      </c>
      <c r="K210">
        <v>11981</v>
      </c>
      <c r="L210">
        <v>3</v>
      </c>
      <c r="M210">
        <v>3954</v>
      </c>
      <c r="N210">
        <v>38765</v>
      </c>
      <c r="O210">
        <v>9952</v>
      </c>
      <c r="P210">
        <v>52538</v>
      </c>
      <c r="Q210">
        <v>6</v>
      </c>
      <c r="R210">
        <v>33296</v>
      </c>
      <c r="S210">
        <v>2541</v>
      </c>
      <c r="T210">
        <v>5284</v>
      </c>
      <c r="U210" s="128">
        <v>-48</v>
      </c>
      <c r="V210" s="128">
        <v>383</v>
      </c>
      <c r="W210" s="128">
        <v>54188</v>
      </c>
      <c r="X210" s="128">
        <v>53805</v>
      </c>
      <c r="Y210" s="128">
        <v>13119</v>
      </c>
      <c r="Z210" s="128">
        <v>1474871</v>
      </c>
      <c r="AA210" s="128">
        <v>32292</v>
      </c>
      <c r="AB210" s="128">
        <v>23376</v>
      </c>
      <c r="AC210" s="128" t="s">
        <v>435</v>
      </c>
      <c r="AD210" s="188">
        <f t="shared" si="84"/>
        <v>0.61439802170222191</v>
      </c>
      <c r="AE210" s="188">
        <v>1.3633645825644054</v>
      </c>
      <c r="AF210" s="188">
        <v>7.1030486454565583E-2</v>
      </c>
      <c r="AG210" s="188">
        <v>1.3931682291282204</v>
      </c>
      <c r="AH210" s="188">
        <v>0.39667048054919907</v>
      </c>
      <c r="AI210" s="188">
        <v>0.27226053855122134</v>
      </c>
      <c r="AJ210" s="188">
        <v>7.0679855318520708E-3</v>
      </c>
      <c r="AK210" s="188">
        <v>0.13614819863077351</v>
      </c>
      <c r="AL210" s="188">
        <v>5.6700616241090247E-2</v>
      </c>
      <c r="AM210" s="129">
        <f t="shared" si="85"/>
        <v>0</v>
      </c>
      <c r="AN210" s="188">
        <v>6.0525393075957779E-2</v>
      </c>
      <c r="AO210" s="188">
        <v>2.7217668118402601E-2</v>
      </c>
      <c r="AP210" s="188">
        <v>0.59592529711375208</v>
      </c>
      <c r="AQ210" s="128">
        <v>1502.8852669404519</v>
      </c>
      <c r="AR210" s="188">
        <v>5.2000000000000005E-2</v>
      </c>
      <c r="AS210" s="188">
        <v>0.26200000000000001</v>
      </c>
      <c r="AT210" s="256">
        <v>7</v>
      </c>
    </row>
    <row r="211" spans="1:46" x14ac:dyDescent="0.25">
      <c r="A211" t="s">
        <v>194</v>
      </c>
      <c r="B211">
        <v>0</v>
      </c>
      <c r="C211">
        <v>6752</v>
      </c>
      <c r="D211">
        <v>38440</v>
      </c>
      <c r="E211">
        <v>681</v>
      </c>
      <c r="F211">
        <v>0</v>
      </c>
      <c r="G211">
        <v>2290</v>
      </c>
      <c r="H211">
        <v>0</v>
      </c>
      <c r="I211">
        <v>5062</v>
      </c>
      <c r="J211">
        <v>0</v>
      </c>
      <c r="K211">
        <v>3207</v>
      </c>
      <c r="L211">
        <v>14361</v>
      </c>
      <c r="M211">
        <v>7244</v>
      </c>
      <c r="N211">
        <v>48883</v>
      </c>
      <c r="O211">
        <v>8999</v>
      </c>
      <c r="P211">
        <v>10773</v>
      </c>
      <c r="Q211">
        <v>0</v>
      </c>
      <c r="R211">
        <v>0</v>
      </c>
      <c r="S211">
        <v>6676</v>
      </c>
      <c r="T211">
        <v>2708</v>
      </c>
      <c r="U211" s="128">
        <v>2</v>
      </c>
      <c r="V211" s="128">
        <v>2502</v>
      </c>
      <c r="W211" s="128">
        <v>64660</v>
      </c>
      <c r="X211" s="128">
        <v>62158</v>
      </c>
      <c r="Y211" s="128">
        <v>3495</v>
      </c>
      <c r="Z211" s="128">
        <v>3551222.0000000009</v>
      </c>
      <c r="AA211" s="128">
        <v>43287</v>
      </c>
      <c r="AB211" s="128">
        <v>27799</v>
      </c>
      <c r="AC211" s="128" t="s">
        <v>194</v>
      </c>
      <c r="AD211" s="188">
        <f t="shared" si="84"/>
        <v>-0.22210021651716672</v>
      </c>
      <c r="AE211" s="188">
        <v>-0.10740798020414476</v>
      </c>
      <c r="AF211" s="188">
        <v>3.5416022270337147E-2</v>
      </c>
      <c r="AG211" s="188">
        <v>7.8286421280544388E-2</v>
      </c>
      <c r="AH211" s="188">
        <v>-0.15795855242808537</v>
      </c>
      <c r="AI211" s="188">
        <v>0.62639193223900869</v>
      </c>
      <c r="AJ211" s="188">
        <v>3.8694710794927312E-2</v>
      </c>
      <c r="AK211" s="188">
        <v>-4.8494925352454192E-2</v>
      </c>
      <c r="AL211" s="188">
        <v>2.011164145295688E-2</v>
      </c>
      <c r="AM211" s="129">
        <f t="shared" si="85"/>
        <v>1</v>
      </c>
      <c r="AN211" s="188">
        <v>1.3512991030003092E-2</v>
      </c>
      <c r="AO211" s="188">
        <v>5.4921466130528937E-2</v>
      </c>
      <c r="AP211" s="188">
        <v>0.66945561398082276</v>
      </c>
      <c r="AQ211" s="128">
        <v>1529.7851361559769</v>
      </c>
      <c r="AR211" s="188">
        <v>3.7000000000000005E-2</v>
      </c>
      <c r="AS211" s="188">
        <v>0.183</v>
      </c>
      <c r="AT211" s="256">
        <v>10</v>
      </c>
    </row>
    <row r="212" spans="1:46" x14ac:dyDescent="0.25">
      <c r="A212" t="s">
        <v>311</v>
      </c>
      <c r="B212">
        <v>80</v>
      </c>
      <c r="C212">
        <v>1954</v>
      </c>
      <c r="D212">
        <v>62753</v>
      </c>
      <c r="E212">
        <v>591</v>
      </c>
      <c r="F212">
        <v>0</v>
      </c>
      <c r="G212">
        <v>511</v>
      </c>
      <c r="H212">
        <v>0</v>
      </c>
      <c r="I212">
        <v>7261</v>
      </c>
      <c r="J212">
        <v>0</v>
      </c>
      <c r="K212">
        <v>13612</v>
      </c>
      <c r="L212">
        <v>3</v>
      </c>
      <c r="M212">
        <v>103</v>
      </c>
      <c r="N212">
        <v>26824</v>
      </c>
      <c r="O212">
        <v>5943</v>
      </c>
      <c r="P212">
        <v>44350</v>
      </c>
      <c r="Q212">
        <v>4</v>
      </c>
      <c r="R212">
        <v>4142</v>
      </c>
      <c r="S212">
        <v>4513</v>
      </c>
      <c r="T212">
        <v>1091</v>
      </c>
      <c r="U212" s="128">
        <v>4</v>
      </c>
      <c r="V212" s="128">
        <v>-52</v>
      </c>
      <c r="W212" s="128">
        <v>62145</v>
      </c>
      <c r="X212" s="128">
        <v>62197</v>
      </c>
      <c r="Y212" s="128">
        <v>2266</v>
      </c>
      <c r="Z212" s="128">
        <v>2953510</v>
      </c>
      <c r="AA212" s="128">
        <v>31093</v>
      </c>
      <c r="AB212" s="128">
        <v>24861</v>
      </c>
      <c r="AC212" s="128" t="s">
        <v>311</v>
      </c>
      <c r="AD212" s="188">
        <f t="shared" si="84"/>
        <v>6.6602301070078043E-2</v>
      </c>
      <c r="AE212" s="188">
        <v>0.64158017539625067</v>
      </c>
      <c r="AF212" s="188">
        <v>8.2227049641966365E-3</v>
      </c>
      <c r="AG212" s="188">
        <v>0.11683964920749859</v>
      </c>
      <c r="AH212" s="188">
        <v>0.56077914554670527</v>
      </c>
      <c r="AI212" s="188">
        <v>0.30879390332347151</v>
      </c>
      <c r="AJ212" s="188">
        <v>-8.36752755652104E-4</v>
      </c>
      <c r="AK212" s="188">
        <v>-1.4783904619970194E-3</v>
      </c>
      <c r="AL212" s="188">
        <v>7.3705950690589911E-2</v>
      </c>
      <c r="AM212" s="129">
        <f t="shared" si="85"/>
        <v>2</v>
      </c>
      <c r="AN212" s="188">
        <v>9.115777616863786E-3</v>
      </c>
      <c r="AO212" s="188">
        <v>4.7526108295116262E-2</v>
      </c>
      <c r="AP212" s="188">
        <v>0.50032987368251669</v>
      </c>
      <c r="AQ212" s="128">
        <v>1467.3191746108362</v>
      </c>
      <c r="AR212" s="188">
        <v>2.6000000000000002E-2</v>
      </c>
      <c r="AS212" s="188">
        <v>0.13</v>
      </c>
      <c r="AT212" s="256">
        <v>9</v>
      </c>
    </row>
    <row r="213" spans="1:46" x14ac:dyDescent="0.25">
      <c r="A213" t="s">
        <v>380</v>
      </c>
      <c r="B213">
        <v>368</v>
      </c>
      <c r="C213">
        <v>6607</v>
      </c>
      <c r="D213">
        <v>44515</v>
      </c>
      <c r="E213">
        <v>83</v>
      </c>
      <c r="F213">
        <v>0</v>
      </c>
      <c r="G213">
        <v>791</v>
      </c>
      <c r="H213">
        <v>0</v>
      </c>
      <c r="I213">
        <v>-1361</v>
      </c>
      <c r="J213">
        <v>3</v>
      </c>
      <c r="K213">
        <v>13814</v>
      </c>
      <c r="L213">
        <v>302</v>
      </c>
      <c r="M213">
        <v>1546</v>
      </c>
      <c r="N213">
        <v>33824</v>
      </c>
      <c r="O213">
        <v>6717</v>
      </c>
      <c r="P213">
        <v>20749</v>
      </c>
      <c r="Q213">
        <v>108</v>
      </c>
      <c r="R213">
        <v>0</v>
      </c>
      <c r="S213">
        <v>2593</v>
      </c>
      <c r="T213">
        <v>2675</v>
      </c>
      <c r="U213" s="128">
        <v>5</v>
      </c>
      <c r="V213" s="128">
        <v>-498</v>
      </c>
      <c r="W213" s="128">
        <v>51705</v>
      </c>
      <c r="X213" s="128">
        <v>52203</v>
      </c>
      <c r="Y213" s="128">
        <v>4708</v>
      </c>
      <c r="Z213" s="128">
        <v>791940</v>
      </c>
      <c r="AA213" s="128">
        <v>25274</v>
      </c>
      <c r="AB213" s="128">
        <v>18738</v>
      </c>
      <c r="AC213" s="128" t="s">
        <v>380</v>
      </c>
      <c r="AD213" s="188">
        <f t="shared" si="84"/>
        <v>-5.840827772942655E-3</v>
      </c>
      <c r="AE213" s="188">
        <v>0.18706121264868</v>
      </c>
      <c r="AF213" s="188">
        <v>1.5298327047674306E-2</v>
      </c>
      <c r="AG213" s="188">
        <v>-2.626438448892757E-2</v>
      </c>
      <c r="AH213" s="188">
        <v>0.20728208103665022</v>
      </c>
      <c r="AI213" s="188">
        <v>0.50736507365073646</v>
      </c>
      <c r="AJ213" s="188">
        <v>-9.6315636785610677E-3</v>
      </c>
      <c r="AK213" s="188">
        <v>6.2764308540155765E-3</v>
      </c>
      <c r="AL213" s="188">
        <v>3.0616099002421737E-2</v>
      </c>
      <c r="AM213" s="129">
        <f t="shared" si="85"/>
        <v>1</v>
      </c>
      <c r="AN213" s="188">
        <v>2.2763755923024851E-2</v>
      </c>
      <c r="AO213" s="188">
        <v>1.5316507107629823E-2</v>
      </c>
      <c r="AP213" s="188">
        <v>0.48881152693163138</v>
      </c>
      <c r="AQ213" s="128">
        <v>2058.3120930729001</v>
      </c>
      <c r="AR213" s="188">
        <v>3.6000000000000004E-2</v>
      </c>
      <c r="AS213" s="188">
        <v>0.18</v>
      </c>
      <c r="AT213" s="256">
        <v>8</v>
      </c>
    </row>
    <row r="214" spans="1:46" x14ac:dyDescent="0.25">
      <c r="A214" t="s">
        <v>381</v>
      </c>
      <c r="B214">
        <v>0</v>
      </c>
      <c r="C214">
        <v>5089</v>
      </c>
      <c r="D214">
        <v>58279</v>
      </c>
      <c r="E214">
        <v>407</v>
      </c>
      <c r="F214">
        <v>0</v>
      </c>
      <c r="G214">
        <v>126</v>
      </c>
      <c r="H214">
        <v>0</v>
      </c>
      <c r="I214">
        <v>6152</v>
      </c>
      <c r="J214">
        <v>390</v>
      </c>
      <c r="K214">
        <v>8411</v>
      </c>
      <c r="L214">
        <v>167</v>
      </c>
      <c r="M214">
        <v>3607</v>
      </c>
      <c r="N214">
        <v>12517</v>
      </c>
      <c r="O214">
        <v>3311</v>
      </c>
      <c r="P214">
        <v>53159</v>
      </c>
      <c r="Q214">
        <v>0</v>
      </c>
      <c r="R214">
        <v>6300</v>
      </c>
      <c r="S214">
        <v>181</v>
      </c>
      <c r="T214">
        <v>7201</v>
      </c>
      <c r="U214" s="128">
        <v>85</v>
      </c>
      <c r="V214" s="128">
        <v>-4117</v>
      </c>
      <c r="W214" s="128">
        <v>66634</v>
      </c>
      <c r="X214" s="128">
        <v>70751</v>
      </c>
      <c r="Y214" s="128">
        <v>10448</v>
      </c>
      <c r="Z214" s="128">
        <v>3106401</v>
      </c>
      <c r="AA214" s="128">
        <v>41323</v>
      </c>
      <c r="AB214" s="128">
        <v>26223</v>
      </c>
      <c r="AC214" s="128" t="s">
        <v>381</v>
      </c>
      <c r="AD214" s="188">
        <f>SUM(R214,-L214)/W214</f>
        <v>9.2040099648827922E-2</v>
      </c>
      <c r="AE214" s="188">
        <v>0.8183509919860732</v>
      </c>
      <c r="AF214" s="188">
        <v>1.8909265540114656E-3</v>
      </c>
      <c r="AG214" s="188">
        <v>9.8178107272563556E-2</v>
      </c>
      <c r="AH214" s="188">
        <v>0.74985322808176003</v>
      </c>
      <c r="AI214" s="188">
        <v>0.1514110488816848</v>
      </c>
      <c r="AJ214" s="188">
        <v>-6.1785274784644476E-2</v>
      </c>
      <c r="AK214" s="188">
        <v>5.7482824562646077E-2</v>
      </c>
      <c r="AL214" s="188">
        <v>-7.1242289372999146E-2</v>
      </c>
      <c r="AM214" s="129">
        <f>COUNTIF(AJ214:AL214,"&lt;0")</f>
        <v>2</v>
      </c>
      <c r="AN214" s="188">
        <v>3.919920761172975E-2</v>
      </c>
      <c r="AO214" s="188">
        <v>4.661885824053786E-2</v>
      </c>
      <c r="AP214" s="188">
        <v>0.62014887294774435</v>
      </c>
      <c r="AQ214" s="128">
        <v>1751.5481066239563</v>
      </c>
      <c r="AR214" s="188">
        <v>4.8000000000000001E-2</v>
      </c>
      <c r="AS214" s="188">
        <v>0.23899999999999999</v>
      </c>
      <c r="AT214" s="256">
        <v>6</v>
      </c>
    </row>
    <row r="215" spans="1:46" x14ac:dyDescent="0.25">
      <c r="A215" t="s">
        <v>123</v>
      </c>
      <c r="B215">
        <v>16295</v>
      </c>
      <c r="C215">
        <v>5214</v>
      </c>
      <c r="D215">
        <v>103384</v>
      </c>
      <c r="E215">
        <v>2244</v>
      </c>
      <c r="F215">
        <v>271</v>
      </c>
      <c r="G215">
        <v>8556</v>
      </c>
      <c r="H215">
        <v>0</v>
      </c>
      <c r="I215">
        <v>6033</v>
      </c>
      <c r="J215">
        <v>0</v>
      </c>
      <c r="K215">
        <v>17316</v>
      </c>
      <c r="L215">
        <v>887</v>
      </c>
      <c r="M215">
        <v>10525</v>
      </c>
      <c r="N215">
        <v>49583</v>
      </c>
      <c r="O215">
        <v>11877</v>
      </c>
      <c r="P215">
        <v>86143</v>
      </c>
      <c r="Q215">
        <v>1</v>
      </c>
      <c r="R215">
        <v>0</v>
      </c>
      <c r="S215">
        <v>8256</v>
      </c>
      <c r="T215">
        <v>14867</v>
      </c>
      <c r="U215" s="128">
        <v>-357</v>
      </c>
      <c r="V215" s="128">
        <v>-4030</v>
      </c>
      <c r="W215" s="128">
        <v>145773</v>
      </c>
      <c r="X215" s="128">
        <v>149803</v>
      </c>
      <c r="Y215" s="128">
        <v>2225</v>
      </c>
      <c r="Z215" s="128">
        <v>-5065835.9999999991</v>
      </c>
      <c r="AA215" s="128">
        <v>115708</v>
      </c>
      <c r="AB215" s="128">
        <v>38185</v>
      </c>
      <c r="AC215" s="128" t="s">
        <v>123</v>
      </c>
      <c r="AD215" s="188">
        <f t="shared" si="84"/>
        <v>-6.0848030842474256E-3</v>
      </c>
      <c r="AE215" s="188">
        <v>0.49194295239859231</v>
      </c>
      <c r="AF215" s="188">
        <v>6.0553051662516379E-2</v>
      </c>
      <c r="AG215" s="188">
        <v>4.138626494618345E-2</v>
      </c>
      <c r="AH215" s="188">
        <v>0.47023893313576581</v>
      </c>
      <c r="AI215" s="188">
        <v>0.29042272165503991</v>
      </c>
      <c r="AJ215" s="188">
        <v>-2.7645723144889656E-2</v>
      </c>
      <c r="AK215" s="188">
        <v>-3.0457926463848838E-2</v>
      </c>
      <c r="AL215" s="188">
        <v>1.8049047485548746E-2</v>
      </c>
      <c r="AM215" s="129">
        <f t="shared" si="85"/>
        <v>2</v>
      </c>
      <c r="AN215" s="188">
        <v>3.8158643918969905E-3</v>
      </c>
      <c r="AO215" s="188">
        <v>-3.4751538350723379E-2</v>
      </c>
      <c r="AP215" s="188">
        <v>0.793754673362008</v>
      </c>
      <c r="AQ215" s="128">
        <v>2180.208589760377</v>
      </c>
      <c r="AR215" s="188">
        <v>4.2000000000000003E-2</v>
      </c>
      <c r="AS215" s="188">
        <v>0.21</v>
      </c>
      <c r="AT215" s="256">
        <v>5.5</v>
      </c>
    </row>
    <row r="216" spans="1:46" x14ac:dyDescent="0.25">
      <c r="A216" t="s">
        <v>195</v>
      </c>
      <c r="B216">
        <v>1072</v>
      </c>
      <c r="C216">
        <v>10276</v>
      </c>
      <c r="D216">
        <v>34355</v>
      </c>
      <c r="E216">
        <v>375</v>
      </c>
      <c r="F216">
        <v>167</v>
      </c>
      <c r="G216">
        <v>5352</v>
      </c>
      <c r="H216">
        <v>0</v>
      </c>
      <c r="I216">
        <v>6432</v>
      </c>
      <c r="J216">
        <v>7</v>
      </c>
      <c r="K216">
        <v>8146</v>
      </c>
      <c r="L216">
        <v>1861</v>
      </c>
      <c r="M216">
        <v>3665</v>
      </c>
      <c r="N216">
        <v>35377</v>
      </c>
      <c r="O216">
        <v>13693</v>
      </c>
      <c r="P216">
        <v>8239</v>
      </c>
      <c r="Q216">
        <v>22</v>
      </c>
      <c r="R216">
        <v>5430</v>
      </c>
      <c r="S216">
        <v>4342</v>
      </c>
      <c r="T216">
        <v>4606</v>
      </c>
      <c r="U216" s="128">
        <v>-7</v>
      </c>
      <c r="V216" s="128">
        <v>-3423</v>
      </c>
      <c r="W216" s="128">
        <v>70647</v>
      </c>
      <c r="X216" s="128">
        <v>74070</v>
      </c>
      <c r="Y216" s="128">
        <v>21526</v>
      </c>
      <c r="Z216" s="128">
        <v>1262951</v>
      </c>
      <c r="AA216" s="128">
        <v>36110</v>
      </c>
      <c r="AB216" s="128">
        <v>23619</v>
      </c>
      <c r="AC216" s="128" t="s">
        <v>195</v>
      </c>
      <c r="AD216" s="188">
        <f t="shared" si="84"/>
        <v>5.0518776451937093E-2</v>
      </c>
      <c r="AE216" s="188">
        <v>4.8806035641994705E-2</v>
      </c>
      <c r="AF216" s="188">
        <v>7.8120797769190481E-2</v>
      </c>
      <c r="AG216" s="188">
        <v>9.1143289877843356E-2</v>
      </c>
      <c r="AH216" s="188">
        <v>-5.6197715401927889E-3</v>
      </c>
      <c r="AI216" s="188">
        <v>0.49334114267386242</v>
      </c>
      <c r="AJ216" s="188">
        <v>-4.8452163573824793E-2</v>
      </c>
      <c r="AK216" s="188">
        <v>8.2685087851028682E-2</v>
      </c>
      <c r="AL216" s="188">
        <v>-1.7089569611239679E-2</v>
      </c>
      <c r="AM216" s="129">
        <f t="shared" si="85"/>
        <v>2</v>
      </c>
      <c r="AN216" s="188">
        <v>7.6174501394255953E-2</v>
      </c>
      <c r="AO216" s="188">
        <v>1.7876923294690504E-2</v>
      </c>
      <c r="AP216" s="188">
        <v>0.51113281526462551</v>
      </c>
      <c r="AQ216" s="128">
        <v>2160.7929209534695</v>
      </c>
      <c r="AR216" s="188">
        <v>4.0999999999999995E-2</v>
      </c>
      <c r="AS216" s="188">
        <v>0.20699999999999999</v>
      </c>
      <c r="AT216" s="256">
        <v>6</v>
      </c>
    </row>
    <row r="217" spans="1:46" x14ac:dyDescent="0.25">
      <c r="A217" t="s">
        <v>153</v>
      </c>
      <c r="B217">
        <v>85</v>
      </c>
      <c r="C217">
        <v>13255</v>
      </c>
      <c r="D217">
        <v>75866</v>
      </c>
      <c r="E217">
        <v>818</v>
      </c>
      <c r="F217">
        <v>0</v>
      </c>
      <c r="G217">
        <v>5439</v>
      </c>
      <c r="H217">
        <v>355</v>
      </c>
      <c r="I217">
        <v>727</v>
      </c>
      <c r="J217">
        <v>0</v>
      </c>
      <c r="K217">
        <v>7849</v>
      </c>
      <c r="L217">
        <v>0</v>
      </c>
      <c r="M217">
        <v>1109</v>
      </c>
      <c r="N217">
        <v>35084</v>
      </c>
      <c r="O217">
        <v>11309</v>
      </c>
      <c r="P217">
        <v>32068</v>
      </c>
      <c r="Q217">
        <v>0</v>
      </c>
      <c r="R217">
        <v>14024</v>
      </c>
      <c r="S217">
        <v>8373</v>
      </c>
      <c r="T217">
        <v>4644</v>
      </c>
      <c r="U217" s="128">
        <v>-1</v>
      </c>
      <c r="V217" s="128">
        <v>-5501</v>
      </c>
      <c r="W217" s="128">
        <v>102521</v>
      </c>
      <c r="X217" s="128">
        <v>108022</v>
      </c>
      <c r="Y217" s="128">
        <v>4542</v>
      </c>
      <c r="Z217" s="128">
        <v>1395204</v>
      </c>
      <c r="AA217" s="128">
        <v>61314</v>
      </c>
      <c r="AB217" s="128">
        <v>31843</v>
      </c>
      <c r="AC217" s="128" t="s">
        <v>153</v>
      </c>
      <c r="AD217" s="188">
        <f t="shared" si="84"/>
        <v>0.13679148662225299</v>
      </c>
      <c r="AE217" s="188">
        <v>0.43266257644775219</v>
      </c>
      <c r="AF217" s="188">
        <v>5.3052545332175849E-2</v>
      </c>
      <c r="AG217" s="188">
        <v>7.0912300894450889E-3</v>
      </c>
      <c r="AH217" s="188">
        <v>0.43406502082500176</v>
      </c>
      <c r="AI217" s="188">
        <v>0.33254345889177456</v>
      </c>
      <c r="AJ217" s="188">
        <v>-5.3657299480106516E-2</v>
      </c>
      <c r="AK217" s="188">
        <v>5.671361869224608E-2</v>
      </c>
      <c r="AL217" s="188">
        <v>-0.14865731654779571</v>
      </c>
      <c r="AM217" s="129">
        <f t="shared" si="85"/>
        <v>2</v>
      </c>
      <c r="AN217" s="188">
        <v>1.1075779596375377E-2</v>
      </c>
      <c r="AO217" s="188">
        <v>1.3608958164668701E-2</v>
      </c>
      <c r="AP217" s="188">
        <v>0.59806283590678988</v>
      </c>
      <c r="AQ217" s="128">
        <v>2303.3005370097044</v>
      </c>
      <c r="AR217" s="188">
        <v>4.5999999999999999E-2</v>
      </c>
      <c r="AS217" s="188">
        <v>0.23199999999999998</v>
      </c>
      <c r="AT217" s="256">
        <v>5</v>
      </c>
    </row>
    <row r="218" spans="1:46" x14ac:dyDescent="0.25">
      <c r="A218" t="s">
        <v>154</v>
      </c>
      <c r="B218">
        <v>252</v>
      </c>
      <c r="C218">
        <v>4842</v>
      </c>
      <c r="D218">
        <v>33496</v>
      </c>
      <c r="E218">
        <v>74</v>
      </c>
      <c r="F218">
        <v>940</v>
      </c>
      <c r="G218">
        <v>7919</v>
      </c>
      <c r="H218">
        <v>0</v>
      </c>
      <c r="I218">
        <v>3931</v>
      </c>
      <c r="J218">
        <v>226</v>
      </c>
      <c r="K218">
        <v>1157</v>
      </c>
      <c r="L218">
        <v>1325</v>
      </c>
      <c r="M218">
        <v>3268</v>
      </c>
      <c r="N218">
        <v>15125</v>
      </c>
      <c r="O218">
        <v>5662</v>
      </c>
      <c r="P218">
        <v>27315</v>
      </c>
      <c r="Q218">
        <v>1</v>
      </c>
      <c r="R218">
        <v>3737</v>
      </c>
      <c r="S218">
        <v>2374</v>
      </c>
      <c r="T218">
        <v>3215</v>
      </c>
      <c r="U218" s="128">
        <v>-6</v>
      </c>
      <c r="V218" s="128">
        <v>-1801</v>
      </c>
      <c r="W218" s="128">
        <v>46377</v>
      </c>
      <c r="X218" s="128">
        <v>48178</v>
      </c>
      <c r="Y218" s="128">
        <v>-3236</v>
      </c>
      <c r="Z218" s="128">
        <v>134730</v>
      </c>
      <c r="AA218" s="128">
        <v>28443</v>
      </c>
      <c r="AB218" s="128">
        <v>18231</v>
      </c>
      <c r="AC218" s="128" t="s">
        <v>154</v>
      </c>
      <c r="AD218" s="188">
        <f t="shared" si="84"/>
        <v>5.200853871531147E-2</v>
      </c>
      <c r="AE218" s="188">
        <v>0.4750846324686806</v>
      </c>
      <c r="AF218" s="188">
        <v>0.19102141147551588</v>
      </c>
      <c r="AG218" s="188">
        <v>8.9634948358022298E-2</v>
      </c>
      <c r="AH218" s="188">
        <v>0.43526273799512688</v>
      </c>
      <c r="AI218" s="188">
        <v>0.26336868132824881</v>
      </c>
      <c r="AJ218" s="188">
        <v>-3.8833904737262004E-2</v>
      </c>
      <c r="AK218" s="188">
        <v>4.1812586225193675E-2</v>
      </c>
      <c r="AL218" s="188">
        <v>-2.8883138681026644E-2</v>
      </c>
      <c r="AM218" s="129">
        <f t="shared" si="85"/>
        <v>2</v>
      </c>
      <c r="AN218" s="188">
        <v>-1.7443991633783986E-2</v>
      </c>
      <c r="AO218" s="188">
        <v>2.905103823015719E-3</v>
      </c>
      <c r="AP218" s="188">
        <v>0.61329969596998513</v>
      </c>
      <c r="AQ218" s="128">
        <v>1643.9930338434535</v>
      </c>
      <c r="AR218" s="188">
        <v>4.9000000000000002E-2</v>
      </c>
      <c r="AS218" s="188">
        <v>0.24299999999999999</v>
      </c>
      <c r="AT218" s="256">
        <v>7</v>
      </c>
    </row>
    <row r="219" spans="1:46" x14ac:dyDescent="0.25">
      <c r="A219" t="s">
        <v>155</v>
      </c>
      <c r="B219">
        <v>1757</v>
      </c>
      <c r="C219">
        <v>4722</v>
      </c>
      <c r="D219">
        <v>23288</v>
      </c>
      <c r="E219">
        <v>408</v>
      </c>
      <c r="F219">
        <v>3323</v>
      </c>
      <c r="G219">
        <v>507</v>
      </c>
      <c r="H219">
        <v>0</v>
      </c>
      <c r="I219">
        <v>15244</v>
      </c>
      <c r="J219">
        <v>0</v>
      </c>
      <c r="K219">
        <v>4594</v>
      </c>
      <c r="L219">
        <v>14106</v>
      </c>
      <c r="M219">
        <v>1278</v>
      </c>
      <c r="N219">
        <v>17205</v>
      </c>
      <c r="O219">
        <v>9881</v>
      </c>
      <c r="P219">
        <v>36349</v>
      </c>
      <c r="Q219">
        <v>0</v>
      </c>
      <c r="R219">
        <v>0</v>
      </c>
      <c r="S219">
        <v>3667</v>
      </c>
      <c r="T219">
        <v>2126</v>
      </c>
      <c r="U219" s="128">
        <v>1768</v>
      </c>
      <c r="V219" s="128">
        <v>2833</v>
      </c>
      <c r="W219" s="128">
        <v>53770</v>
      </c>
      <c r="X219" s="128">
        <v>50937</v>
      </c>
      <c r="Y219" s="128">
        <v>4484</v>
      </c>
      <c r="Z219" s="128">
        <v>1424473</v>
      </c>
      <c r="AA219" s="128">
        <v>32538</v>
      </c>
      <c r="AB219" s="128">
        <v>18002</v>
      </c>
      <c r="AC219" s="128" t="s">
        <v>155</v>
      </c>
      <c r="AD219" s="188">
        <f t="shared" si="84"/>
        <v>-0.26233959456946254</v>
      </c>
      <c r="AE219" s="188">
        <v>0.34097080156220944</v>
      </c>
      <c r="AF219" s="188">
        <v>7.1229310024177053E-2</v>
      </c>
      <c r="AG219" s="188">
        <v>0.28350381253487072</v>
      </c>
      <c r="AH219" s="188">
        <v>0.15106564999070118</v>
      </c>
      <c r="AI219" s="188">
        <v>0.2485266077309759</v>
      </c>
      <c r="AJ219" s="188">
        <v>5.2687372140598848E-2</v>
      </c>
      <c r="AK219" s="188">
        <v>9.4699331848552337E-2</v>
      </c>
      <c r="AL219" s="188">
        <v>8.4445185679341783E-2</v>
      </c>
      <c r="AM219" s="129">
        <f t="shared" si="85"/>
        <v>0</v>
      </c>
      <c r="AN219" s="188">
        <v>2.0848056537102474E-2</v>
      </c>
      <c r="AO219" s="188">
        <v>2.6491965780174816E-2</v>
      </c>
      <c r="AP219" s="188">
        <v>0.60513297377719921</v>
      </c>
      <c r="AQ219" s="128">
        <v>1727.0856571492056</v>
      </c>
      <c r="AR219" s="188">
        <v>3.6000000000000004E-2</v>
      </c>
      <c r="AS219" s="188">
        <v>0.18</v>
      </c>
      <c r="AT219" s="256">
        <v>9</v>
      </c>
    </row>
    <row r="220" spans="1:46" x14ac:dyDescent="0.25">
      <c r="A220" t="s">
        <v>196</v>
      </c>
      <c r="B220">
        <v>563</v>
      </c>
      <c r="C220">
        <v>9821</v>
      </c>
      <c r="D220">
        <v>85777</v>
      </c>
      <c r="E220">
        <v>434</v>
      </c>
      <c r="F220">
        <v>167</v>
      </c>
      <c r="G220">
        <v>9524</v>
      </c>
      <c r="H220">
        <v>0</v>
      </c>
      <c r="I220">
        <v>1670</v>
      </c>
      <c r="J220">
        <v>0</v>
      </c>
      <c r="K220">
        <v>4728</v>
      </c>
      <c r="L220">
        <v>370</v>
      </c>
      <c r="M220">
        <v>3369</v>
      </c>
      <c r="N220">
        <v>44895</v>
      </c>
      <c r="O220">
        <v>12035</v>
      </c>
      <c r="P220">
        <v>51171</v>
      </c>
      <c r="Q220">
        <v>13</v>
      </c>
      <c r="R220">
        <v>0</v>
      </c>
      <c r="S220">
        <v>3015</v>
      </c>
      <c r="T220">
        <v>5295</v>
      </c>
      <c r="U220" s="128">
        <v>-9</v>
      </c>
      <c r="V220" s="128">
        <v>-5287</v>
      </c>
      <c r="W220" s="128">
        <v>72072</v>
      </c>
      <c r="X220" s="128">
        <v>77359</v>
      </c>
      <c r="Y220" s="128">
        <v>10556</v>
      </c>
      <c r="Z220" s="128">
        <v>1892670</v>
      </c>
      <c r="AA220" s="128">
        <v>54311</v>
      </c>
      <c r="AB220" s="128">
        <v>29595</v>
      </c>
      <c r="AC220" s="128" t="s">
        <v>196</v>
      </c>
      <c r="AD220" s="188">
        <f t="shared" si="84"/>
        <v>-5.133755133755134E-3</v>
      </c>
      <c r="AE220" s="188">
        <v>0.57353757353757351</v>
      </c>
      <c r="AF220" s="188">
        <v>0.13446275946275946</v>
      </c>
      <c r="AG220" s="188">
        <v>2.3171273171273172E-2</v>
      </c>
      <c r="AH220" s="188">
        <v>0.57345321345321343</v>
      </c>
      <c r="AI220" s="188">
        <v>0.38561636775922492</v>
      </c>
      <c r="AJ220" s="188">
        <v>-7.3357198357198353E-2</v>
      </c>
      <c r="AK220" s="188">
        <v>-3.2836660939629128E-2</v>
      </c>
      <c r="AL220" s="188">
        <v>-2.8465639398115281E-2</v>
      </c>
      <c r="AM220" s="129">
        <f t="shared" si="85"/>
        <v>3</v>
      </c>
      <c r="AN220" s="188">
        <v>3.6616161616161616E-2</v>
      </c>
      <c r="AO220" s="188">
        <v>2.6260822510822512E-2</v>
      </c>
      <c r="AP220" s="188">
        <v>0.75356587856587853</v>
      </c>
      <c r="AQ220" s="128">
        <v>1617.6306808582531</v>
      </c>
      <c r="AR220" s="188">
        <v>5.0999999999999997E-2</v>
      </c>
      <c r="AS220" s="188">
        <v>0.255</v>
      </c>
      <c r="AT220" s="256">
        <v>6.5</v>
      </c>
    </row>
    <row r="221" spans="1:46" x14ac:dyDescent="0.25">
      <c r="A221" t="s">
        <v>382</v>
      </c>
      <c r="B221">
        <v>3068</v>
      </c>
      <c r="C221">
        <v>16170</v>
      </c>
      <c r="D221">
        <v>176673</v>
      </c>
      <c r="E221">
        <v>335</v>
      </c>
      <c r="F221">
        <v>0</v>
      </c>
      <c r="G221">
        <v>18141</v>
      </c>
      <c r="H221">
        <v>20</v>
      </c>
      <c r="I221">
        <v>11362</v>
      </c>
      <c r="J221">
        <v>10</v>
      </c>
      <c r="K221">
        <v>7426</v>
      </c>
      <c r="L221">
        <v>5403</v>
      </c>
      <c r="M221">
        <v>12268</v>
      </c>
      <c r="N221">
        <v>146935</v>
      </c>
      <c r="O221">
        <v>3174</v>
      </c>
      <c r="P221">
        <v>76044</v>
      </c>
      <c r="Q221">
        <v>0</v>
      </c>
      <c r="R221">
        <v>5000</v>
      </c>
      <c r="S221">
        <v>10969</v>
      </c>
      <c r="T221">
        <v>8754</v>
      </c>
      <c r="U221" s="128">
        <v>56</v>
      </c>
      <c r="V221" s="128">
        <v>351</v>
      </c>
      <c r="W221" s="128">
        <v>155966</v>
      </c>
      <c r="X221" s="128">
        <v>155615</v>
      </c>
      <c r="Y221" s="128">
        <v>13941</v>
      </c>
      <c r="Z221" s="128">
        <v>4983991</v>
      </c>
      <c r="AA221" s="128">
        <v>101421</v>
      </c>
      <c r="AB221" s="128">
        <v>55975</v>
      </c>
      <c r="AC221" s="128" t="s">
        <v>382</v>
      </c>
      <c r="AD221" s="188">
        <f t="shared" si="84"/>
        <v>-2.5838964902606979E-3</v>
      </c>
      <c r="AE221" s="188">
        <v>0.36872779964864139</v>
      </c>
      <c r="AF221" s="188">
        <v>0.11631381198466333</v>
      </c>
      <c r="AG221" s="188">
        <v>7.2913327263634378E-2</v>
      </c>
      <c r="AH221" s="188">
        <v>0.3316461280022569</v>
      </c>
      <c r="AI221" s="188">
        <v>0.585687750123567</v>
      </c>
      <c r="AJ221" s="188">
        <v>2.2504904915173819E-3</v>
      </c>
      <c r="AK221" s="188">
        <v>-1.9977223925076913E-2</v>
      </c>
      <c r="AL221" s="188">
        <v>-2.5909557156787014E-2</v>
      </c>
      <c r="AM221" s="129">
        <f t="shared" si="85"/>
        <v>2</v>
      </c>
      <c r="AN221" s="188">
        <v>2.2346216483079644E-2</v>
      </c>
      <c r="AO221" s="188">
        <v>3.1955624943898031E-2</v>
      </c>
      <c r="AP221" s="188">
        <v>0.65027634227972764</v>
      </c>
      <c r="AQ221" s="128">
        <v>1646.7103528360876</v>
      </c>
      <c r="AR221" s="188">
        <v>2.5000000000000001E-2</v>
      </c>
      <c r="AS221" s="188">
        <v>0.125</v>
      </c>
      <c r="AT221" s="256">
        <v>8.5</v>
      </c>
    </row>
    <row r="222" spans="1:46" x14ac:dyDescent="0.25">
      <c r="A222" t="s">
        <v>133</v>
      </c>
      <c r="B222">
        <v>1517</v>
      </c>
      <c r="C222">
        <v>1795</v>
      </c>
      <c r="D222">
        <v>58006</v>
      </c>
      <c r="E222">
        <v>144</v>
      </c>
      <c r="F222">
        <v>0</v>
      </c>
      <c r="G222">
        <v>4608</v>
      </c>
      <c r="H222">
        <v>0</v>
      </c>
      <c r="I222">
        <v>1814</v>
      </c>
      <c r="J222">
        <v>0</v>
      </c>
      <c r="K222">
        <v>17213</v>
      </c>
      <c r="L222">
        <v>493</v>
      </c>
      <c r="M222">
        <v>0</v>
      </c>
      <c r="N222">
        <v>27759</v>
      </c>
      <c r="O222">
        <v>10741</v>
      </c>
      <c r="P222">
        <v>43240</v>
      </c>
      <c r="Q222">
        <v>0</v>
      </c>
      <c r="R222">
        <v>0</v>
      </c>
      <c r="S222">
        <v>965</v>
      </c>
      <c r="T222">
        <v>2885</v>
      </c>
      <c r="U222" s="128">
        <v>4</v>
      </c>
      <c r="V222" s="128">
        <v>-2589</v>
      </c>
      <c r="W222" s="128">
        <v>70460</v>
      </c>
      <c r="X222" s="128">
        <v>73049</v>
      </c>
      <c r="Y222" s="128">
        <v>-78</v>
      </c>
      <c r="Z222" s="128">
        <v>3064280</v>
      </c>
      <c r="AA222" s="128">
        <v>52570</v>
      </c>
      <c r="AB222" s="128">
        <v>25477</v>
      </c>
      <c r="AC222" s="128" t="s">
        <v>133</v>
      </c>
      <c r="AD222" s="188">
        <f t="shared" si="84"/>
        <v>-6.9968776610843031E-3</v>
      </c>
      <c r="AE222" s="188">
        <v>0.35163213170593244</v>
      </c>
      <c r="AF222" s="188">
        <v>6.5398807834232187E-2</v>
      </c>
      <c r="AG222" s="188">
        <v>2.5745103604882202E-2</v>
      </c>
      <c r="AH222" s="188">
        <v>0.34145841612262279</v>
      </c>
      <c r="AI222" s="188">
        <v>0.32432527164388364</v>
      </c>
      <c r="AJ222" s="188">
        <v>-3.6744252057905193E-2</v>
      </c>
      <c r="AK222" s="188">
        <v>-5.4180310631778174E-2</v>
      </c>
      <c r="AL222" s="188">
        <v>1.2531900029939693E-2</v>
      </c>
      <c r="AM222" s="129">
        <f t="shared" si="85"/>
        <v>2</v>
      </c>
      <c r="AN222" s="188">
        <v>-2.7675276752767527E-4</v>
      </c>
      <c r="AO222" s="188">
        <v>4.3489639511779733E-2</v>
      </c>
      <c r="AP222" s="188">
        <v>0.74609707635537892</v>
      </c>
      <c r="AQ222" s="128">
        <v>1959.2203948659576</v>
      </c>
      <c r="AR222" s="188">
        <v>4.2000000000000003E-2</v>
      </c>
      <c r="AS222" s="188">
        <v>0.20799999999999999</v>
      </c>
      <c r="AT222" s="256">
        <v>6.5</v>
      </c>
    </row>
    <row r="223" spans="1:46" x14ac:dyDescent="0.25">
      <c r="A223" t="s">
        <v>267</v>
      </c>
      <c r="B223">
        <v>803</v>
      </c>
      <c r="C223">
        <v>1339</v>
      </c>
      <c r="D223">
        <v>31187</v>
      </c>
      <c r="E223">
        <v>1207</v>
      </c>
      <c r="F223">
        <v>0</v>
      </c>
      <c r="G223">
        <v>580</v>
      </c>
      <c r="H223">
        <v>0</v>
      </c>
      <c r="I223">
        <v>207</v>
      </c>
      <c r="J223">
        <v>0</v>
      </c>
      <c r="K223">
        <v>3139</v>
      </c>
      <c r="L223">
        <v>176</v>
      </c>
      <c r="M223">
        <v>144</v>
      </c>
      <c r="N223">
        <v>5425</v>
      </c>
      <c r="O223">
        <v>2304</v>
      </c>
      <c r="P223">
        <v>27792</v>
      </c>
      <c r="Q223">
        <v>6</v>
      </c>
      <c r="R223">
        <v>0</v>
      </c>
      <c r="S223">
        <v>2095</v>
      </c>
      <c r="T223">
        <v>1158</v>
      </c>
      <c r="U223" s="128">
        <v>-4</v>
      </c>
      <c r="V223" s="128">
        <v>410</v>
      </c>
      <c r="W223" s="128">
        <v>22362</v>
      </c>
      <c r="X223" s="128">
        <v>21952</v>
      </c>
      <c r="Y223" s="128">
        <v>1114</v>
      </c>
      <c r="Z223" s="128">
        <v>1123379.2000000002</v>
      </c>
      <c r="AA223" s="128">
        <v>14064</v>
      </c>
      <c r="AB223" s="128">
        <v>9742</v>
      </c>
      <c r="AC223" s="128" t="s">
        <v>267</v>
      </c>
      <c r="AD223" s="188">
        <f t="shared" si="84"/>
        <v>-7.8704945890349706E-3</v>
      </c>
      <c r="AE223" s="188">
        <v>1.2079420445398443</v>
      </c>
      <c r="AF223" s="188">
        <v>2.5936857168410696E-2</v>
      </c>
      <c r="AG223" s="188">
        <v>9.2567748859672654E-3</v>
      </c>
      <c r="AH223" s="188">
        <v>1.2045747249798766</v>
      </c>
      <c r="AI223" s="188">
        <v>0.13989169675090252</v>
      </c>
      <c r="AJ223" s="188">
        <v>1.8334674894911009E-2</v>
      </c>
      <c r="AK223" s="188">
        <v>-1.8521084476467598E-2</v>
      </c>
      <c r="AL223" s="188">
        <v>-2.3390289643675767E-2</v>
      </c>
      <c r="AM223" s="129">
        <f t="shared" si="85"/>
        <v>2</v>
      </c>
      <c r="AN223" s="188">
        <v>1.2454163312762723E-2</v>
      </c>
      <c r="AO223" s="188">
        <v>5.023607906269565E-2</v>
      </c>
      <c r="AP223" s="188">
        <v>0.62892406761470354</v>
      </c>
      <c r="AQ223" s="128">
        <v>1397.9454937384521</v>
      </c>
      <c r="AR223" s="188">
        <v>2.5000000000000001E-2</v>
      </c>
      <c r="AS223" s="188">
        <v>0.127</v>
      </c>
      <c r="AT223" s="256">
        <v>5.5</v>
      </c>
    </row>
    <row r="224" spans="1:46" x14ac:dyDescent="0.25">
      <c r="A224" t="s">
        <v>268</v>
      </c>
      <c r="B224">
        <v>429</v>
      </c>
      <c r="C224">
        <v>2361</v>
      </c>
      <c r="D224">
        <v>37876</v>
      </c>
      <c r="E224">
        <v>58</v>
      </c>
      <c r="F224">
        <v>97</v>
      </c>
      <c r="G224">
        <v>2570</v>
      </c>
      <c r="H224">
        <v>0</v>
      </c>
      <c r="I224">
        <v>2617</v>
      </c>
      <c r="J224">
        <v>0</v>
      </c>
      <c r="K224">
        <v>11830</v>
      </c>
      <c r="L224">
        <v>242</v>
      </c>
      <c r="M224">
        <v>670</v>
      </c>
      <c r="N224">
        <v>44202</v>
      </c>
      <c r="O224">
        <v>7074</v>
      </c>
      <c r="P224">
        <v>2288</v>
      </c>
      <c r="Q224">
        <v>1</v>
      </c>
      <c r="R224">
        <v>0</v>
      </c>
      <c r="S224">
        <v>3050</v>
      </c>
      <c r="T224">
        <v>2134</v>
      </c>
      <c r="U224" s="128">
        <v>-4</v>
      </c>
      <c r="V224" s="128">
        <v>-1059</v>
      </c>
      <c r="W224" s="128">
        <v>35211</v>
      </c>
      <c r="X224" s="128">
        <v>36270</v>
      </c>
      <c r="Y224" s="128">
        <v>-2288</v>
      </c>
      <c r="Z224" s="128">
        <v>1297992</v>
      </c>
      <c r="AA224" s="128">
        <v>16388</v>
      </c>
      <c r="AB224" s="128">
        <v>11807</v>
      </c>
      <c r="AC224" s="128" t="s">
        <v>268</v>
      </c>
      <c r="AD224" s="188">
        <f t="shared" si="84"/>
        <v>-6.8728522336769758E-3</v>
      </c>
      <c r="AE224" s="188">
        <v>-0.22538411291925819</v>
      </c>
      <c r="AF224" s="188">
        <v>7.5743375649654943E-2</v>
      </c>
      <c r="AG224" s="188">
        <v>7.4323364857572918E-2</v>
      </c>
      <c r="AH224" s="188">
        <v>-0.26832126324160066</v>
      </c>
      <c r="AI224" s="188">
        <v>0.75238727467701583</v>
      </c>
      <c r="AJ224" s="188">
        <v>-3.0075828576297179E-2</v>
      </c>
      <c r="AK224" s="188">
        <v>-8.4243210045038902E-2</v>
      </c>
      <c r="AL224" s="188">
        <v>5.5084375273235986E-3</v>
      </c>
      <c r="AM224" s="129">
        <f t="shared" si="85"/>
        <v>2</v>
      </c>
      <c r="AN224" s="188">
        <v>-1.6244923461418308E-2</v>
      </c>
      <c r="AO224" s="188">
        <v>3.6863252960722501E-2</v>
      </c>
      <c r="AP224" s="188">
        <v>0.46542273721280281</v>
      </c>
      <c r="AQ224" s="128">
        <v>1962.6418226475819</v>
      </c>
      <c r="AR224" s="188">
        <v>4.9000000000000002E-2</v>
      </c>
      <c r="AS224" s="188">
        <v>0.24299999999999999</v>
      </c>
      <c r="AT224" s="256">
        <v>6.5</v>
      </c>
    </row>
    <row r="225" spans="1:54" x14ac:dyDescent="0.25">
      <c r="A225" t="s">
        <v>134</v>
      </c>
      <c r="B225">
        <v>1095</v>
      </c>
      <c r="C225">
        <v>5386</v>
      </c>
      <c r="D225">
        <v>56145</v>
      </c>
      <c r="E225">
        <v>260</v>
      </c>
      <c r="F225">
        <v>0</v>
      </c>
      <c r="G225">
        <v>253</v>
      </c>
      <c r="H225">
        <v>0</v>
      </c>
      <c r="I225">
        <v>2737</v>
      </c>
      <c r="J225">
        <v>0</v>
      </c>
      <c r="K225">
        <v>8919</v>
      </c>
      <c r="L225">
        <v>576</v>
      </c>
      <c r="M225">
        <v>2734</v>
      </c>
      <c r="N225">
        <v>22998</v>
      </c>
      <c r="O225">
        <v>10533</v>
      </c>
      <c r="P225">
        <v>27200</v>
      </c>
      <c r="Q225">
        <v>0</v>
      </c>
      <c r="R225">
        <v>11000</v>
      </c>
      <c r="S225">
        <v>2001</v>
      </c>
      <c r="T225">
        <v>4373</v>
      </c>
      <c r="U225" s="128">
        <v>0</v>
      </c>
      <c r="V225" s="128">
        <v>-1717</v>
      </c>
      <c r="W225" s="128">
        <v>84701</v>
      </c>
      <c r="X225" s="128">
        <v>86418</v>
      </c>
      <c r="Y225" s="128">
        <v>1864</v>
      </c>
      <c r="Z225" s="128">
        <v>2556488</v>
      </c>
      <c r="AA225" s="128">
        <v>55605</v>
      </c>
      <c r="AB225" s="128">
        <v>29732</v>
      </c>
      <c r="AC225" s="128" t="s">
        <v>134</v>
      </c>
      <c r="AD225" s="188">
        <f t="shared" si="84"/>
        <v>0.12306820462568328</v>
      </c>
      <c r="AE225" s="188">
        <v>0.37888572744123444</v>
      </c>
      <c r="AF225" s="188">
        <v>2.9869777216325662E-3</v>
      </c>
      <c r="AG225" s="188">
        <v>3.2313668079479579E-2</v>
      </c>
      <c r="AH225" s="188">
        <v>0.35662459711219463</v>
      </c>
      <c r="AI225" s="188">
        <v>0.29444977914346071</v>
      </c>
      <c r="AJ225" s="188">
        <v>-2.0271307304518246E-2</v>
      </c>
      <c r="AK225" s="188">
        <v>2.0233277791002141E-3</v>
      </c>
      <c r="AL225" s="188">
        <v>-5.1614361601928947E-3</v>
      </c>
      <c r="AM225" s="129">
        <f t="shared" si="85"/>
        <v>2</v>
      </c>
      <c r="AN225" s="188">
        <v>5.5017060011097862E-3</v>
      </c>
      <c r="AO225" s="188">
        <v>3.0182500796920933E-2</v>
      </c>
      <c r="AP225" s="188">
        <v>0.65648575577620094</v>
      </c>
      <c r="AQ225" s="128">
        <v>1985.4380465491727</v>
      </c>
      <c r="AR225" s="188">
        <v>3.9E-2</v>
      </c>
      <c r="AS225" s="188">
        <v>0.19399999999999998</v>
      </c>
      <c r="AT225" s="256">
        <v>7</v>
      </c>
    </row>
    <row r="226" spans="1:54" x14ac:dyDescent="0.25">
      <c r="A226" t="s">
        <v>383</v>
      </c>
      <c r="B226">
        <v>1242</v>
      </c>
      <c r="C226">
        <v>38776</v>
      </c>
      <c r="D226">
        <v>176483</v>
      </c>
      <c r="E226">
        <v>153</v>
      </c>
      <c r="F226">
        <v>11069</v>
      </c>
      <c r="G226">
        <v>17388</v>
      </c>
      <c r="H226">
        <v>359</v>
      </c>
      <c r="I226">
        <v>25349</v>
      </c>
      <c r="J226">
        <v>0</v>
      </c>
      <c r="K226">
        <v>37741</v>
      </c>
      <c r="L226">
        <v>1094</v>
      </c>
      <c r="M226">
        <v>9828</v>
      </c>
      <c r="N226">
        <v>122263</v>
      </c>
      <c r="O226">
        <v>41829</v>
      </c>
      <c r="P226">
        <v>109645</v>
      </c>
      <c r="Q226">
        <v>2241</v>
      </c>
      <c r="R226">
        <v>15000</v>
      </c>
      <c r="S226">
        <v>17961</v>
      </c>
      <c r="T226">
        <v>10543</v>
      </c>
      <c r="U226" s="128">
        <v>-79</v>
      </c>
      <c r="V226" s="128">
        <v>-658</v>
      </c>
      <c r="W226" s="128">
        <v>326983</v>
      </c>
      <c r="X226" s="128">
        <v>327641</v>
      </c>
      <c r="Y226" s="128">
        <v>21489</v>
      </c>
      <c r="Z226" s="128">
        <v>4297250</v>
      </c>
      <c r="AA226" s="128">
        <v>205449</v>
      </c>
      <c r="AB226" s="128">
        <v>92021</v>
      </c>
      <c r="AC226" s="128" t="s">
        <v>383</v>
      </c>
      <c r="AD226" s="188">
        <f t="shared" si="84"/>
        <v>4.2528204830220531E-2</v>
      </c>
      <c r="AE226" s="188">
        <v>0.23827232608423068</v>
      </c>
      <c r="AF226" s="188">
        <v>8.7028989274671772E-2</v>
      </c>
      <c r="AG226" s="188">
        <v>7.7523907970750774E-2</v>
      </c>
      <c r="AH226" s="188">
        <v>0.19444906921766575</v>
      </c>
      <c r="AI226" s="188">
        <v>0.38269135663355058</v>
      </c>
      <c r="AJ226" s="188">
        <v>-2.0123370328121032E-3</v>
      </c>
      <c r="AK226" s="188">
        <v>4.2536030176452619E-2</v>
      </c>
      <c r="AL226" s="188">
        <v>6.0181292027400293E-3</v>
      </c>
      <c r="AM226" s="129">
        <f t="shared" si="85"/>
        <v>1</v>
      </c>
      <c r="AN226" s="188">
        <v>1.642975322876113E-2</v>
      </c>
      <c r="AO226" s="188">
        <v>1.3142120538376613E-2</v>
      </c>
      <c r="AP226" s="188">
        <v>0.62831706847144964</v>
      </c>
      <c r="AQ226" s="128">
        <v>2244.6160767650863</v>
      </c>
      <c r="AR226" s="188">
        <v>4.4999999999999998E-2</v>
      </c>
      <c r="AS226" s="188">
        <v>0.22399999999999998</v>
      </c>
      <c r="AT226" s="256">
        <v>8.5</v>
      </c>
    </row>
    <row r="227" spans="1:54" x14ac:dyDescent="0.25">
      <c r="A227" t="s">
        <v>197</v>
      </c>
      <c r="B227">
        <v>7128</v>
      </c>
      <c r="C227">
        <v>9501</v>
      </c>
      <c r="D227">
        <v>123450</v>
      </c>
      <c r="E227">
        <v>279</v>
      </c>
      <c r="F227">
        <v>0</v>
      </c>
      <c r="G227">
        <v>11655</v>
      </c>
      <c r="H227">
        <v>0</v>
      </c>
      <c r="I227">
        <v>7432</v>
      </c>
      <c r="J227">
        <v>0</v>
      </c>
      <c r="K227">
        <v>2798</v>
      </c>
      <c r="L227">
        <v>980</v>
      </c>
      <c r="M227">
        <v>5245</v>
      </c>
      <c r="N227">
        <v>28000</v>
      </c>
      <c r="O227">
        <v>8127</v>
      </c>
      <c r="P227">
        <v>114374</v>
      </c>
      <c r="Q227">
        <v>2</v>
      </c>
      <c r="R227">
        <v>7000</v>
      </c>
      <c r="S227">
        <v>2694</v>
      </c>
      <c r="T227">
        <v>8273</v>
      </c>
      <c r="U227" s="128">
        <v>-238</v>
      </c>
      <c r="V227" s="128">
        <v>707</v>
      </c>
      <c r="W227" s="128">
        <v>106971</v>
      </c>
      <c r="X227" s="128">
        <v>106264</v>
      </c>
      <c r="Y227" s="128">
        <v>14343</v>
      </c>
      <c r="Z227" s="128">
        <v>1158954</v>
      </c>
      <c r="AA227" s="128">
        <v>70813</v>
      </c>
      <c r="AB227" s="128">
        <v>39391</v>
      </c>
      <c r="AC227" s="128" t="s">
        <v>197</v>
      </c>
      <c r="AD227" s="188">
        <f t="shared" si="84"/>
        <v>5.6276934870198463E-2</v>
      </c>
      <c r="AE227" s="188">
        <v>1.0438810518738724</v>
      </c>
      <c r="AF227" s="188">
        <v>0.10895476344055866</v>
      </c>
      <c r="AG227" s="188">
        <v>6.9476774078955972E-2</v>
      </c>
      <c r="AH227" s="188">
        <v>1.0083218816314703</v>
      </c>
      <c r="AI227" s="188">
        <v>0.16620169763162582</v>
      </c>
      <c r="AJ227" s="188">
        <v>6.6092679324302852E-3</v>
      </c>
      <c r="AK227" s="188">
        <v>-4.7545239295189369E-5</v>
      </c>
      <c r="AL227" s="188">
        <v>-2.5045412010788791E-3</v>
      </c>
      <c r="AM227" s="129">
        <f t="shared" si="85"/>
        <v>2</v>
      </c>
      <c r="AN227" s="188">
        <v>3.3520767310766468E-2</v>
      </c>
      <c r="AO227" s="188">
        <v>1.0834282188630563E-2</v>
      </c>
      <c r="AP227" s="188">
        <v>0.66198315431285115</v>
      </c>
      <c r="AQ227" s="128">
        <v>1793.0681373917901</v>
      </c>
      <c r="AR227" s="188">
        <v>2.8999999999999998E-2</v>
      </c>
      <c r="AS227" s="188">
        <v>0.14499999999999999</v>
      </c>
      <c r="AT227" s="256">
        <v>7.5</v>
      </c>
    </row>
    <row r="228" spans="1:54" x14ac:dyDescent="0.25">
      <c r="A228" t="s">
        <v>269</v>
      </c>
      <c r="B228">
        <v>3766</v>
      </c>
      <c r="C228">
        <v>97</v>
      </c>
      <c r="D228">
        <v>19635</v>
      </c>
      <c r="E228">
        <v>0</v>
      </c>
      <c r="F228">
        <v>0</v>
      </c>
      <c r="G228">
        <v>-105</v>
      </c>
      <c r="H228">
        <v>0</v>
      </c>
      <c r="I228">
        <v>-599</v>
      </c>
      <c r="J228">
        <v>0</v>
      </c>
      <c r="K228">
        <v>4428</v>
      </c>
      <c r="L228">
        <v>820</v>
      </c>
      <c r="M228">
        <v>2891</v>
      </c>
      <c r="N228">
        <v>16376</v>
      </c>
      <c r="O228">
        <v>10459</v>
      </c>
      <c r="P228">
        <v>0</v>
      </c>
      <c r="Q228">
        <v>0</v>
      </c>
      <c r="R228">
        <v>0</v>
      </c>
      <c r="S228">
        <v>3859</v>
      </c>
      <c r="T228">
        <v>239</v>
      </c>
      <c r="U228" s="128">
        <v>3</v>
      </c>
      <c r="V228" s="128">
        <v>-757</v>
      </c>
      <c r="W228" s="128">
        <v>32391</v>
      </c>
      <c r="X228" s="128">
        <v>33148</v>
      </c>
      <c r="Y228" s="128">
        <v>3641</v>
      </c>
      <c r="Z228" s="128">
        <v>2437564</v>
      </c>
      <c r="AA228" s="128">
        <v>18554</v>
      </c>
      <c r="AB228" s="128">
        <v>14007</v>
      </c>
      <c r="AC228" s="128" t="s">
        <v>269</v>
      </c>
      <c r="AD228" s="188">
        <f t="shared" si="84"/>
        <v>-2.5315674107005033E-2</v>
      </c>
      <c r="AE228" s="188">
        <v>-0.12151523571362416</v>
      </c>
      <c r="AF228" s="188">
        <v>-3.2416411966286933E-3</v>
      </c>
      <c r="AG228" s="188">
        <v>-1.8492791207434165E-2</v>
      </c>
      <c r="AH228" s="188">
        <v>-0.10895927881201568</v>
      </c>
      <c r="AI228" s="188">
        <v>0.52940225648983286</v>
      </c>
      <c r="AJ228" s="188">
        <v>-2.3370689389027817E-2</v>
      </c>
      <c r="AK228" s="188">
        <v>-7.9169207590486776E-2</v>
      </c>
      <c r="AL228" s="188">
        <v>-4.3982159716118109E-2</v>
      </c>
      <c r="AM228" s="129">
        <f t="shared" si="85"/>
        <v>3</v>
      </c>
      <c r="AN228" s="188">
        <v>2.8101941897440648E-2</v>
      </c>
      <c r="AO228" s="188">
        <v>7.5254360779228799E-2</v>
      </c>
      <c r="AP228" s="188">
        <v>0.57281343583094069</v>
      </c>
      <c r="AQ228" s="128">
        <v>1689.8664953237667</v>
      </c>
      <c r="AR228" s="188">
        <v>4.4000000000000004E-2</v>
      </c>
      <c r="AS228" s="188">
        <v>0.222</v>
      </c>
      <c r="AT228" s="256">
        <v>8</v>
      </c>
    </row>
    <row r="229" spans="1:54" x14ac:dyDescent="0.25">
      <c r="A229" t="s">
        <v>226</v>
      </c>
      <c r="B229">
        <v>0</v>
      </c>
      <c r="C229">
        <v>0</v>
      </c>
      <c r="D229">
        <v>14613</v>
      </c>
      <c r="E229">
        <v>0</v>
      </c>
      <c r="F229">
        <v>72</v>
      </c>
      <c r="G229">
        <v>371</v>
      </c>
      <c r="H229">
        <v>0</v>
      </c>
      <c r="I229">
        <v>2597</v>
      </c>
      <c r="J229">
        <v>0</v>
      </c>
      <c r="K229">
        <v>3710</v>
      </c>
      <c r="L229">
        <v>84</v>
      </c>
      <c r="M229">
        <v>17</v>
      </c>
      <c r="N229">
        <v>5457</v>
      </c>
      <c r="O229">
        <v>3596</v>
      </c>
      <c r="P229">
        <v>8600</v>
      </c>
      <c r="Q229">
        <v>52</v>
      </c>
      <c r="R229">
        <v>1000</v>
      </c>
      <c r="S229">
        <v>2759</v>
      </c>
      <c r="T229">
        <v>0</v>
      </c>
      <c r="U229" s="128">
        <v>-8</v>
      </c>
      <c r="V229" s="128">
        <v>-748</v>
      </c>
      <c r="W229" s="128">
        <v>23027</v>
      </c>
      <c r="X229" s="128">
        <v>23775</v>
      </c>
      <c r="Y229" s="128">
        <v>1957</v>
      </c>
      <c r="Z229" s="128">
        <v>923857</v>
      </c>
      <c r="AA229" s="128">
        <v>14177</v>
      </c>
      <c r="AB229" s="128">
        <v>10231</v>
      </c>
      <c r="AC229" s="128" t="s">
        <v>226</v>
      </c>
      <c r="AD229" s="188">
        <f t="shared" si="84"/>
        <v>3.9779389412428888E-2</v>
      </c>
      <c r="AE229" s="188">
        <v>0.35423633126329962</v>
      </c>
      <c r="AF229" s="188">
        <v>1.9238285490945414E-2</v>
      </c>
      <c r="AG229" s="188">
        <v>0.11278064880357841</v>
      </c>
      <c r="AH229" s="188">
        <v>0.27759847135970817</v>
      </c>
      <c r="AI229" s="188">
        <v>0.25423965710026092</v>
      </c>
      <c r="AJ229" s="188">
        <v>-3.248360620141573E-2</v>
      </c>
      <c r="AK229" s="188">
        <v>1.0310676977343645E-2</v>
      </c>
      <c r="AL229" s="188">
        <v>-1.890020366598778E-2</v>
      </c>
      <c r="AM229" s="129">
        <f t="shared" si="85"/>
        <v>2</v>
      </c>
      <c r="AN229" s="188">
        <v>2.1246797238024927E-2</v>
      </c>
      <c r="AO229" s="188">
        <v>4.0120597559386809E-2</v>
      </c>
      <c r="AP229" s="188">
        <v>0.61566856299127115</v>
      </c>
      <c r="AQ229" s="128">
        <v>1738.4189228814387</v>
      </c>
      <c r="AR229" s="188">
        <v>4.8000000000000001E-2</v>
      </c>
      <c r="AS229" s="188">
        <v>0.24</v>
      </c>
      <c r="AT229" s="256">
        <v>8</v>
      </c>
    </row>
    <row r="230" spans="1:54" x14ac:dyDescent="0.25">
      <c r="A230" t="s">
        <v>198</v>
      </c>
      <c r="B230">
        <v>1704</v>
      </c>
      <c r="C230">
        <v>19834</v>
      </c>
      <c r="D230">
        <v>108842</v>
      </c>
      <c r="E230">
        <v>754</v>
      </c>
      <c r="F230">
        <v>0</v>
      </c>
      <c r="G230">
        <v>7928</v>
      </c>
      <c r="H230">
        <v>0</v>
      </c>
      <c r="I230">
        <v>11228</v>
      </c>
      <c r="J230">
        <v>0</v>
      </c>
      <c r="K230">
        <v>5826</v>
      </c>
      <c r="L230">
        <v>0</v>
      </c>
      <c r="M230">
        <v>2537</v>
      </c>
      <c r="N230">
        <v>39668</v>
      </c>
      <c r="O230">
        <v>32283</v>
      </c>
      <c r="P230">
        <v>67252</v>
      </c>
      <c r="Q230">
        <v>70</v>
      </c>
      <c r="R230">
        <v>12408</v>
      </c>
      <c r="S230">
        <v>-1684</v>
      </c>
      <c r="T230">
        <v>8652</v>
      </c>
      <c r="U230" s="128">
        <v>2</v>
      </c>
      <c r="V230" s="128">
        <v>-1566</v>
      </c>
      <c r="W230" s="128">
        <v>112987</v>
      </c>
      <c r="X230" s="128">
        <v>114553</v>
      </c>
      <c r="Y230" s="128">
        <v>21536</v>
      </c>
      <c r="Z230" s="128">
        <v>5073256</v>
      </c>
      <c r="AA230" s="128">
        <v>76443</v>
      </c>
      <c r="AB230" s="128">
        <v>47886</v>
      </c>
      <c r="AC230" s="128" t="s">
        <v>198</v>
      </c>
      <c r="AD230" s="188">
        <f t="shared" si="84"/>
        <v>0.10981794365723491</v>
      </c>
      <c r="AE230" s="188">
        <v>0.62314248541867645</v>
      </c>
      <c r="AF230" s="188">
        <v>7.0167364387053371E-2</v>
      </c>
      <c r="AG230" s="188">
        <v>9.9374264295892453E-2</v>
      </c>
      <c r="AH230" s="188">
        <v>0.56200058413799814</v>
      </c>
      <c r="AI230" s="188">
        <v>0.25003624353131754</v>
      </c>
      <c r="AJ230" s="188">
        <v>-1.3860001593103631E-2</v>
      </c>
      <c r="AK230" s="188">
        <v>-1.7053601101457531E-2</v>
      </c>
      <c r="AL230" s="188">
        <v>-8.4621580443875119E-3</v>
      </c>
      <c r="AM230" s="129">
        <f t="shared" si="85"/>
        <v>3</v>
      </c>
      <c r="AN230" s="188">
        <v>4.7651499730057438E-2</v>
      </c>
      <c r="AO230" s="188">
        <v>4.4901236425429474E-2</v>
      </c>
      <c r="AP230" s="188">
        <v>0.67656456052466218</v>
      </c>
      <c r="AQ230" s="128">
        <v>1614.2528087541243</v>
      </c>
      <c r="AR230" s="188">
        <v>4.8000000000000001E-2</v>
      </c>
      <c r="AS230" s="188">
        <v>0.23800000000000002</v>
      </c>
      <c r="AT230" s="256">
        <v>6</v>
      </c>
    </row>
    <row r="231" spans="1:54" x14ac:dyDescent="0.25">
      <c r="A231" t="s">
        <v>312</v>
      </c>
      <c r="B231">
        <v>66</v>
      </c>
      <c r="C231">
        <v>28368</v>
      </c>
      <c r="D231">
        <v>90554</v>
      </c>
      <c r="E231">
        <v>5340</v>
      </c>
      <c r="F231">
        <v>1490</v>
      </c>
      <c r="G231">
        <v>18039</v>
      </c>
      <c r="H231">
        <v>0</v>
      </c>
      <c r="I231">
        <v>9370</v>
      </c>
      <c r="J231">
        <v>1048</v>
      </c>
      <c r="K231">
        <v>8139</v>
      </c>
      <c r="L231">
        <v>2755</v>
      </c>
      <c r="M231">
        <v>2739</v>
      </c>
      <c r="N231">
        <v>41484</v>
      </c>
      <c r="O231">
        <v>13681</v>
      </c>
      <c r="P231">
        <v>93929</v>
      </c>
      <c r="Q231">
        <v>37</v>
      </c>
      <c r="R231">
        <v>12000</v>
      </c>
      <c r="S231">
        <v>2739</v>
      </c>
      <c r="T231">
        <v>4037</v>
      </c>
      <c r="U231" s="128">
        <v>-4</v>
      </c>
      <c r="V231" s="128">
        <v>1589</v>
      </c>
      <c r="W231" s="128">
        <v>86140</v>
      </c>
      <c r="X231" s="128">
        <v>84551</v>
      </c>
      <c r="Y231" s="128">
        <v>21040</v>
      </c>
      <c r="Z231" s="128">
        <v>2121338.0000000009</v>
      </c>
      <c r="AA231" s="128">
        <v>52779</v>
      </c>
      <c r="AB231" s="128">
        <v>32161</v>
      </c>
      <c r="AC231" s="128" t="s">
        <v>312</v>
      </c>
      <c r="AD231" s="188">
        <f t="shared" si="84"/>
        <v>0.10732528442071047</v>
      </c>
      <c r="AE231" s="188">
        <v>0.92384490364522864</v>
      </c>
      <c r="AF231" s="188">
        <v>0.2267123287671233</v>
      </c>
      <c r="AG231" s="188">
        <v>0.12094265149756211</v>
      </c>
      <c r="AH231" s="188">
        <v>0.86639052704898989</v>
      </c>
      <c r="AI231" s="188">
        <v>0.24706533974164269</v>
      </c>
      <c r="AJ231" s="188">
        <v>1.8446714650568841E-2</v>
      </c>
      <c r="AK231" s="188">
        <v>8.0079930061196458E-2</v>
      </c>
      <c r="AL231" s="188">
        <v>3.9676537320379309E-3</v>
      </c>
      <c r="AM231" s="129">
        <f t="shared" si="85"/>
        <v>0</v>
      </c>
      <c r="AN231" s="188">
        <v>6.1063385186905038E-2</v>
      </c>
      <c r="AO231" s="188">
        <v>2.4626631065707002E-2</v>
      </c>
      <c r="AP231" s="188">
        <v>0.61271186440677972</v>
      </c>
      <c r="AQ231" s="128">
        <v>1690.7343677124468</v>
      </c>
      <c r="AR231" s="188">
        <v>2.7999999999999997E-2</v>
      </c>
      <c r="AS231" s="188">
        <v>0.13900000000000001</v>
      </c>
      <c r="AT231" s="256">
        <v>8</v>
      </c>
    </row>
    <row r="232" spans="1:54" x14ac:dyDescent="0.25">
      <c r="A232" t="s">
        <v>417</v>
      </c>
      <c r="B232">
        <v>4709</v>
      </c>
      <c r="C232">
        <v>19041</v>
      </c>
      <c r="D232">
        <v>118249</v>
      </c>
      <c r="E232">
        <v>1565</v>
      </c>
      <c r="F232">
        <v>1822</v>
      </c>
      <c r="G232">
        <v>4777</v>
      </c>
      <c r="H232">
        <v>0</v>
      </c>
      <c r="I232">
        <v>7878</v>
      </c>
      <c r="J232">
        <v>0</v>
      </c>
      <c r="K232">
        <v>8378</v>
      </c>
      <c r="L232">
        <v>437</v>
      </c>
      <c r="M232">
        <v>1272</v>
      </c>
      <c r="N232">
        <v>49143</v>
      </c>
      <c r="O232">
        <v>20569</v>
      </c>
      <c r="P232">
        <v>81273</v>
      </c>
      <c r="Q232">
        <v>4</v>
      </c>
      <c r="R232">
        <v>11000</v>
      </c>
      <c r="S232">
        <v>5057</v>
      </c>
      <c r="T232">
        <v>1058</v>
      </c>
      <c r="U232" s="128">
        <v>-132</v>
      </c>
      <c r="V232" s="128">
        <v>-4113</v>
      </c>
      <c r="W232" s="128">
        <v>96105</v>
      </c>
      <c r="X232" s="128">
        <v>100218</v>
      </c>
      <c r="Y232" s="128">
        <v>15767</v>
      </c>
      <c r="Z232" s="128">
        <v>4180426.9999999991</v>
      </c>
      <c r="AA232" s="128">
        <v>66029</v>
      </c>
      <c r="AB232" s="128">
        <v>43421</v>
      </c>
      <c r="AC232" s="128" t="s">
        <v>417</v>
      </c>
      <c r="AD232" s="188">
        <f t="shared" si="84"/>
        <v>0.10991103480568129</v>
      </c>
      <c r="AE232" s="188">
        <v>0.85017428853857757</v>
      </c>
      <c r="AF232" s="188">
        <v>6.8664481556630769E-2</v>
      </c>
      <c r="AG232" s="188">
        <v>8.1972842203839547E-2</v>
      </c>
      <c r="AH232" s="188">
        <v>0.80103303678268556</v>
      </c>
      <c r="AI232" s="188">
        <v>0.29233688668919239</v>
      </c>
      <c r="AJ232" s="188">
        <v>-4.2796940845949739E-2</v>
      </c>
      <c r="AK232" s="188">
        <v>3.1911161891016969E-2</v>
      </c>
      <c r="AL232" s="188">
        <v>-4.7420317887477921E-2</v>
      </c>
      <c r="AM232" s="129">
        <f t="shared" si="85"/>
        <v>2</v>
      </c>
      <c r="AN232" s="188">
        <v>4.1015035638104158E-2</v>
      </c>
      <c r="AO232" s="188">
        <v>4.3498538057333114E-2</v>
      </c>
      <c r="AP232" s="188">
        <v>0.68705062171583164</v>
      </c>
      <c r="AQ232" s="128">
        <v>1269.3028488519381</v>
      </c>
      <c r="AR232" s="188">
        <v>4.2999999999999997E-2</v>
      </c>
      <c r="AS232" s="188">
        <v>0.215</v>
      </c>
      <c r="AT232" s="256">
        <v>5.5</v>
      </c>
    </row>
    <row r="233" spans="1:54" x14ac:dyDescent="0.25">
      <c r="A233" t="s">
        <v>124</v>
      </c>
      <c r="B233">
        <v>29</v>
      </c>
      <c r="C233">
        <v>465</v>
      </c>
      <c r="D233">
        <v>19354</v>
      </c>
      <c r="E233">
        <v>107</v>
      </c>
      <c r="F233">
        <v>0</v>
      </c>
      <c r="G233">
        <v>164</v>
      </c>
      <c r="H233">
        <v>0</v>
      </c>
      <c r="I233">
        <v>3759</v>
      </c>
      <c r="J233">
        <v>0</v>
      </c>
      <c r="K233">
        <v>3662</v>
      </c>
      <c r="L233">
        <v>4118</v>
      </c>
      <c r="M233">
        <v>998</v>
      </c>
      <c r="N233">
        <v>12818</v>
      </c>
      <c r="O233">
        <v>3117</v>
      </c>
      <c r="P233">
        <v>8237</v>
      </c>
      <c r="Q233">
        <v>0</v>
      </c>
      <c r="R233">
        <v>5795</v>
      </c>
      <c r="S233">
        <v>2257</v>
      </c>
      <c r="T233">
        <v>432</v>
      </c>
      <c r="U233" s="128">
        <v>-94</v>
      </c>
      <c r="V233" s="128">
        <v>1472</v>
      </c>
      <c r="W233" s="128">
        <v>45136</v>
      </c>
      <c r="X233" s="128">
        <v>43664</v>
      </c>
      <c r="Y233" s="128">
        <v>-836</v>
      </c>
      <c r="Z233" s="128">
        <v>-796551</v>
      </c>
      <c r="AA233" s="128">
        <v>36333</v>
      </c>
      <c r="AB233" s="128">
        <v>12200</v>
      </c>
      <c r="AC233" s="128" t="s">
        <v>124</v>
      </c>
      <c r="AD233" s="188">
        <f t="shared" si="84"/>
        <v>3.7154377880184331E-2</v>
      </c>
      <c r="AE233" s="188">
        <v>0.1723457993619284</v>
      </c>
      <c r="AF233" s="188">
        <v>3.6334633108826659E-3</v>
      </c>
      <c r="AG233" s="188">
        <v>8.328163771712159E-2</v>
      </c>
      <c r="AH233" s="188">
        <v>0.1144846685572492</v>
      </c>
      <c r="AI233" s="188">
        <v>0.39251592356687898</v>
      </c>
      <c r="AJ233" s="188">
        <v>3.2612548741581003E-2</v>
      </c>
      <c r="AK233" s="188">
        <v>1.7686346605850457E-3</v>
      </c>
      <c r="AL233" s="188">
        <v>1.1117728806829461E-2</v>
      </c>
      <c r="AM233" s="129">
        <f t="shared" si="85"/>
        <v>0</v>
      </c>
      <c r="AN233" s="188">
        <v>-4.6304501949663238E-3</v>
      </c>
      <c r="AO233" s="188">
        <v>-1.7647797766749379E-2</v>
      </c>
      <c r="AP233" s="188">
        <v>0.80496721020914574</v>
      </c>
      <c r="AQ233" s="128">
        <v>1954.2716393442622</v>
      </c>
      <c r="AR233" s="188">
        <v>3.4000000000000002E-2</v>
      </c>
      <c r="AS233" s="188">
        <v>0.17</v>
      </c>
      <c r="AT233" s="256">
        <v>7</v>
      </c>
    </row>
    <row r="234" spans="1:54" x14ac:dyDescent="0.25">
      <c r="A234" t="s">
        <v>313</v>
      </c>
      <c r="B234">
        <v>146</v>
      </c>
      <c r="C234">
        <v>19866</v>
      </c>
      <c r="D234">
        <v>124200</v>
      </c>
      <c r="E234">
        <v>561</v>
      </c>
      <c r="F234">
        <v>0</v>
      </c>
      <c r="G234">
        <v>5976</v>
      </c>
      <c r="H234">
        <v>0</v>
      </c>
      <c r="I234">
        <v>38156</v>
      </c>
      <c r="J234">
        <v>0</v>
      </c>
      <c r="K234">
        <v>15991</v>
      </c>
      <c r="L234">
        <v>37052</v>
      </c>
      <c r="M234">
        <v>5388</v>
      </c>
      <c r="N234">
        <v>85231</v>
      </c>
      <c r="O234">
        <v>19859</v>
      </c>
      <c r="P234">
        <v>121550</v>
      </c>
      <c r="Q234">
        <v>22</v>
      </c>
      <c r="R234">
        <v>0</v>
      </c>
      <c r="S234">
        <v>11928</v>
      </c>
      <c r="T234">
        <v>8746</v>
      </c>
      <c r="U234" s="128">
        <v>-3</v>
      </c>
      <c r="V234" s="128">
        <v>-531</v>
      </c>
      <c r="W234" s="128">
        <v>128290</v>
      </c>
      <c r="X234" s="128">
        <v>128821</v>
      </c>
      <c r="Y234" s="128">
        <v>16116</v>
      </c>
      <c r="Z234" s="128">
        <v>6234015</v>
      </c>
      <c r="AA234" s="128">
        <v>67026</v>
      </c>
      <c r="AB234" s="128">
        <v>55293</v>
      </c>
      <c r="AC234" s="128" t="s">
        <v>313</v>
      </c>
      <c r="AD234" s="188">
        <f t="shared" si="84"/>
        <v>-0.28881440486398002</v>
      </c>
      <c r="AE234" s="188">
        <v>0.60674253644087617</v>
      </c>
      <c r="AF234" s="188">
        <v>4.6581962740665679E-2</v>
      </c>
      <c r="AG234" s="188">
        <v>0.29741990802089019</v>
      </c>
      <c r="AH234" s="188">
        <v>0.40413843635513297</v>
      </c>
      <c r="AI234" s="188">
        <v>0.34459601513730309</v>
      </c>
      <c r="AJ234" s="188">
        <v>-4.1390599423181858E-3</v>
      </c>
      <c r="AK234" s="188">
        <v>7.9068557487467564E-2</v>
      </c>
      <c r="AL234" s="188">
        <v>5.0342096297978652E-2</v>
      </c>
      <c r="AM234" s="129">
        <f t="shared" si="85"/>
        <v>1</v>
      </c>
      <c r="AN234" s="188">
        <v>3.1405409618832335E-2</v>
      </c>
      <c r="AO234" s="188">
        <v>4.8593148335801702E-2</v>
      </c>
      <c r="AP234" s="188">
        <f>AA234/W234</f>
        <v>0.52245693351001632</v>
      </c>
      <c r="AQ234" s="128">
        <v>-883.74604380301309</v>
      </c>
      <c r="AR234" s="188">
        <v>3.2000000000000001E-2</v>
      </c>
      <c r="AS234" s="188">
        <v>0.158</v>
      </c>
      <c r="AT234" s="256">
        <v>9</v>
      </c>
    </row>
    <row r="235" spans="1:54" x14ac:dyDescent="0.25">
      <c r="A235" t="s">
        <v>270</v>
      </c>
      <c r="B235">
        <v>472</v>
      </c>
      <c r="C235">
        <v>28674</v>
      </c>
      <c r="D235">
        <v>209263</v>
      </c>
      <c r="E235">
        <v>38311</v>
      </c>
      <c r="F235">
        <v>14694</v>
      </c>
      <c r="G235">
        <v>3308</v>
      </c>
      <c r="H235">
        <v>0</v>
      </c>
      <c r="I235">
        <v>36072</v>
      </c>
      <c r="J235">
        <v>0</v>
      </c>
      <c r="K235">
        <v>13318</v>
      </c>
      <c r="L235">
        <v>0</v>
      </c>
      <c r="M235">
        <v>10914</v>
      </c>
      <c r="N235">
        <v>46064</v>
      </c>
      <c r="O235">
        <v>7173</v>
      </c>
      <c r="P235">
        <v>270822</v>
      </c>
      <c r="Q235">
        <v>17</v>
      </c>
      <c r="R235">
        <v>8778</v>
      </c>
      <c r="S235">
        <v>5219</v>
      </c>
      <c r="T235">
        <v>16952</v>
      </c>
      <c r="U235" s="128">
        <v>0</v>
      </c>
      <c r="V235" s="128">
        <v>12524</v>
      </c>
      <c r="W235" s="128">
        <v>250256</v>
      </c>
      <c r="X235" s="128">
        <v>237732</v>
      </c>
      <c r="Y235" s="128">
        <v>25180</v>
      </c>
      <c r="Z235" s="128">
        <v>8209563</v>
      </c>
      <c r="AA235" s="128">
        <v>161610</v>
      </c>
      <c r="AB235" s="128">
        <v>81121</v>
      </c>
      <c r="AC235" s="128" t="s">
        <v>270</v>
      </c>
      <c r="AD235" s="188">
        <f t="shared" si="84"/>
        <v>3.5076082091937855E-2</v>
      </c>
      <c r="AE235" s="188">
        <v>1.0371539543507449</v>
      </c>
      <c r="AF235" s="188">
        <v>7.1934339236621694E-2</v>
      </c>
      <c r="AG235" s="188">
        <v>0.14414040023016431</v>
      </c>
      <c r="AH235" s="188">
        <v>0.94488779489802444</v>
      </c>
      <c r="AI235" s="188">
        <v>0.12974860925286952</v>
      </c>
      <c r="AJ235" s="188">
        <v>5.0044754171728149E-2</v>
      </c>
      <c r="AK235" s="188">
        <v>-3.7112719825793786E-4</v>
      </c>
      <c r="AL235" s="188">
        <v>-5.7301444081915413E-4</v>
      </c>
      <c r="AM235" s="129">
        <f t="shared" si="85"/>
        <v>2</v>
      </c>
      <c r="AN235" s="188">
        <v>2.5154242056134517E-2</v>
      </c>
      <c r="AO235" s="188">
        <v>3.2804660028131191E-2</v>
      </c>
      <c r="AP235" s="188">
        <v>0.64577872258806979</v>
      </c>
      <c r="AQ235" s="128">
        <v>1725.5409326808101</v>
      </c>
      <c r="AR235" s="188">
        <v>1.9E-2</v>
      </c>
      <c r="AS235" s="188">
        <v>9.3000000000000013E-2</v>
      </c>
      <c r="AT235" s="256">
        <v>7.5</v>
      </c>
    </row>
    <row r="236" spans="1:54" x14ac:dyDescent="0.25">
      <c r="A236" t="s">
        <v>199</v>
      </c>
      <c r="B236">
        <v>4923</v>
      </c>
      <c r="C236">
        <v>3688</v>
      </c>
      <c r="D236">
        <v>40767</v>
      </c>
      <c r="E236">
        <v>2140</v>
      </c>
      <c r="F236">
        <v>150</v>
      </c>
      <c r="G236">
        <v>9312</v>
      </c>
      <c r="H236">
        <v>0</v>
      </c>
      <c r="I236">
        <v>5417</v>
      </c>
      <c r="J236">
        <v>16</v>
      </c>
      <c r="K236">
        <v>30795</v>
      </c>
      <c r="L236">
        <v>1612</v>
      </c>
      <c r="M236">
        <v>0</v>
      </c>
      <c r="N236">
        <v>54304</v>
      </c>
      <c r="O236">
        <v>15493</v>
      </c>
      <c r="P236">
        <v>21080</v>
      </c>
      <c r="Q236">
        <v>0</v>
      </c>
      <c r="R236">
        <v>0</v>
      </c>
      <c r="S236">
        <v>4000</v>
      </c>
      <c r="T236">
        <v>3942</v>
      </c>
      <c r="U236" s="128">
        <v>-4</v>
      </c>
      <c r="V236" s="128">
        <v>3568</v>
      </c>
      <c r="W236" s="128">
        <v>58356</v>
      </c>
      <c r="X236" s="128">
        <v>54788</v>
      </c>
      <c r="Y236" s="128">
        <v>27882</v>
      </c>
      <c r="Z236" s="128">
        <v>4123350</v>
      </c>
      <c r="AA236" s="128">
        <v>35657</v>
      </c>
      <c r="AB236" s="128">
        <v>24129</v>
      </c>
      <c r="AC236" s="128" t="s">
        <v>199</v>
      </c>
      <c r="AD236" s="188">
        <f t="shared" si="84"/>
        <v>-2.7623551991226267E-2</v>
      </c>
      <c r="AE236" s="188">
        <v>-0.22014874220302968</v>
      </c>
      <c r="AF236" s="188">
        <v>0.16214271026115568</v>
      </c>
      <c r="AG236" s="188">
        <v>9.3100966481595729E-2</v>
      </c>
      <c r="AH236" s="188">
        <v>-0.26586229350880797</v>
      </c>
      <c r="AI236" s="188">
        <v>0.54952994869407701</v>
      </c>
      <c r="AJ236" s="188">
        <v>6.1141956268421414E-2</v>
      </c>
      <c r="AK236" s="188">
        <v>-2.0681667769688948E-4</v>
      </c>
      <c r="AL236" s="188">
        <v>-6.8333651460202325E-3</v>
      </c>
      <c r="AM236" s="129">
        <f t="shared" si="85"/>
        <v>2</v>
      </c>
      <c r="AN236" s="188">
        <v>0.11944787168414558</v>
      </c>
      <c r="AO236" s="188">
        <v>7.0658544108574958E-2</v>
      </c>
      <c r="AP236" s="188">
        <v>0.61102543011858246</v>
      </c>
      <c r="AQ236" s="128">
        <v>1437.4465995275398</v>
      </c>
      <c r="AR236" s="188">
        <v>0.03</v>
      </c>
      <c r="AS236" s="188">
        <v>0.152</v>
      </c>
      <c r="AT236" s="256">
        <v>8</v>
      </c>
    </row>
    <row r="237" spans="1:54" x14ac:dyDescent="0.25">
      <c r="A237" t="s">
        <v>156</v>
      </c>
      <c r="B237">
        <v>449</v>
      </c>
      <c r="C237">
        <v>9639</v>
      </c>
      <c r="D237">
        <v>103266</v>
      </c>
      <c r="E237">
        <v>299</v>
      </c>
      <c r="F237">
        <v>1298</v>
      </c>
      <c r="G237">
        <v>5699</v>
      </c>
      <c r="H237">
        <v>0</v>
      </c>
      <c r="I237">
        <v>19368</v>
      </c>
      <c r="J237">
        <v>0</v>
      </c>
      <c r="K237">
        <v>2440</v>
      </c>
      <c r="L237">
        <v>7408</v>
      </c>
      <c r="M237">
        <v>8457</v>
      </c>
      <c r="N237">
        <v>62226</v>
      </c>
      <c r="O237">
        <v>5155</v>
      </c>
      <c r="P237">
        <v>76404</v>
      </c>
      <c r="Q237">
        <v>6</v>
      </c>
      <c r="R237">
        <v>5002</v>
      </c>
      <c r="S237">
        <v>3504</v>
      </c>
      <c r="T237">
        <v>6023</v>
      </c>
      <c r="U237" s="128">
        <v>-119</v>
      </c>
      <c r="V237" s="128">
        <v>1912</v>
      </c>
      <c r="W237" s="128">
        <v>89362</v>
      </c>
      <c r="X237" s="128">
        <v>87450</v>
      </c>
      <c r="Y237" s="128">
        <v>20730</v>
      </c>
      <c r="Z237" s="128">
        <v>1798538</v>
      </c>
      <c r="AA237" s="128">
        <v>59072</v>
      </c>
      <c r="AB237" s="128">
        <v>37694</v>
      </c>
      <c r="AC237" s="128" t="s">
        <v>156</v>
      </c>
      <c r="AD237" s="188">
        <f t="shared" si="84"/>
        <v>-2.6924195966965825E-2</v>
      </c>
      <c r="AE237" s="188">
        <v>0.73450683735816114</v>
      </c>
      <c r="AF237" s="188">
        <v>7.8299500906425554E-2</v>
      </c>
      <c r="AG237" s="188">
        <v>0.21673642040240818</v>
      </c>
      <c r="AH237" s="188">
        <v>0.59218728318524649</v>
      </c>
      <c r="AI237" s="188">
        <v>0.39303941384537644</v>
      </c>
      <c r="AJ237" s="188">
        <v>2.139611915579329E-2</v>
      </c>
      <c r="AK237" s="188">
        <v>-4.6171517893091443E-2</v>
      </c>
      <c r="AL237" s="188">
        <v>4.0633600538416241E-2</v>
      </c>
      <c r="AM237" s="129">
        <f t="shared" si="85"/>
        <v>1</v>
      </c>
      <c r="AN237" s="188">
        <v>5.7994449542311047E-2</v>
      </c>
      <c r="AO237" s="188">
        <v>2.0126429578568073E-2</v>
      </c>
      <c r="AP237" s="188">
        <v>0.6610416060517893</v>
      </c>
      <c r="AQ237" s="128">
        <v>1517.6201252188678</v>
      </c>
      <c r="AR237" s="188">
        <v>3.6000000000000004E-2</v>
      </c>
      <c r="AS237" s="188">
        <v>0.17899999999999999</v>
      </c>
      <c r="AT237" s="256">
        <v>9</v>
      </c>
      <c r="BB237" s="129"/>
    </row>
    <row r="238" spans="1:54" x14ac:dyDescent="0.25">
      <c r="A238" t="s">
        <v>336</v>
      </c>
      <c r="B238">
        <v>627</v>
      </c>
      <c r="C238">
        <v>15283</v>
      </c>
      <c r="D238">
        <v>51372</v>
      </c>
      <c r="E238">
        <v>941</v>
      </c>
      <c r="F238">
        <v>0</v>
      </c>
      <c r="G238">
        <v>679</v>
      </c>
      <c r="H238">
        <v>0</v>
      </c>
      <c r="I238">
        <v>1258</v>
      </c>
      <c r="J238">
        <v>4</v>
      </c>
      <c r="K238">
        <v>6425</v>
      </c>
      <c r="L238">
        <v>16</v>
      </c>
      <c r="M238">
        <v>705</v>
      </c>
      <c r="N238">
        <v>33738</v>
      </c>
      <c r="O238">
        <v>7810</v>
      </c>
      <c r="P238">
        <v>25855</v>
      </c>
      <c r="Q238">
        <v>2</v>
      </c>
      <c r="R238">
        <v>3000</v>
      </c>
      <c r="S238">
        <v>1700</v>
      </c>
      <c r="T238">
        <v>5203</v>
      </c>
      <c r="U238" s="128">
        <v>1</v>
      </c>
      <c r="V238" s="128">
        <v>-124</v>
      </c>
      <c r="W238" s="128">
        <v>56625</v>
      </c>
      <c r="X238" s="128">
        <v>56749</v>
      </c>
      <c r="Y238" s="128">
        <v>7630</v>
      </c>
      <c r="Z238" s="128">
        <v>1826884</v>
      </c>
      <c r="AA238" s="128">
        <v>35958</v>
      </c>
      <c r="AB238" s="128">
        <v>22724</v>
      </c>
      <c r="AC238" s="128" t="s">
        <v>336</v>
      </c>
      <c r="AD238" s="188">
        <f t="shared" si="84"/>
        <v>5.2697571743929361E-2</v>
      </c>
      <c r="AE238" s="188">
        <v>0.49333333333333335</v>
      </c>
      <c r="AF238" s="188">
        <v>1.1991169977924945E-2</v>
      </c>
      <c r="AG238" s="188">
        <v>2.2286975717439293E-2</v>
      </c>
      <c r="AH238" s="188">
        <v>0.47917139072847681</v>
      </c>
      <c r="AI238" s="188">
        <v>0.43641020334247427</v>
      </c>
      <c r="AJ238" s="188">
        <v>-2.1898454746136866E-3</v>
      </c>
      <c r="AK238" s="188">
        <v>2.6368278283070049E-2</v>
      </c>
      <c r="AL238" s="188">
        <v>2.2158764301210852E-2</v>
      </c>
      <c r="AM238" s="129">
        <f t="shared" si="85"/>
        <v>1</v>
      </c>
      <c r="AN238" s="188">
        <v>3.3686534216335544E-2</v>
      </c>
      <c r="AO238" s="188">
        <v>3.2262852097130243E-2</v>
      </c>
      <c r="AP238" s="188">
        <v>0.63501986754966888</v>
      </c>
      <c r="AQ238" s="128">
        <v>1647.7889456081675</v>
      </c>
      <c r="AR238" s="188">
        <v>3.7000000000000005E-2</v>
      </c>
      <c r="AS238" s="188">
        <v>0.184</v>
      </c>
      <c r="AT238" s="256">
        <v>9</v>
      </c>
      <c r="BB238" s="129"/>
    </row>
    <row r="239" spans="1:54" x14ac:dyDescent="0.25">
      <c r="A239" t="s">
        <v>200</v>
      </c>
      <c r="B239">
        <v>12397</v>
      </c>
      <c r="C239">
        <v>3375</v>
      </c>
      <c r="D239">
        <v>43406</v>
      </c>
      <c r="E239">
        <v>1057</v>
      </c>
      <c r="F239">
        <v>0</v>
      </c>
      <c r="G239">
        <v>4688</v>
      </c>
      <c r="H239">
        <v>0</v>
      </c>
      <c r="I239">
        <v>914</v>
      </c>
      <c r="J239">
        <v>0</v>
      </c>
      <c r="K239">
        <v>10606</v>
      </c>
      <c r="L239">
        <v>962</v>
      </c>
      <c r="M239">
        <v>2022</v>
      </c>
      <c r="N239">
        <v>19929</v>
      </c>
      <c r="O239">
        <v>13433</v>
      </c>
      <c r="P239">
        <v>32130</v>
      </c>
      <c r="Q239">
        <v>0</v>
      </c>
      <c r="R239">
        <v>2778</v>
      </c>
      <c r="S239">
        <v>9956</v>
      </c>
      <c r="T239">
        <v>1203</v>
      </c>
      <c r="U239" s="128">
        <v>-20</v>
      </c>
      <c r="V239" s="128">
        <v>-2123</v>
      </c>
      <c r="W239" s="128">
        <v>83011</v>
      </c>
      <c r="X239" s="128">
        <v>85134</v>
      </c>
      <c r="Y239" s="128">
        <v>16313</v>
      </c>
      <c r="Z239" s="128">
        <v>2329709</v>
      </c>
      <c r="AA239" s="128">
        <v>57031</v>
      </c>
      <c r="AB239" s="128">
        <v>31408</v>
      </c>
      <c r="AC239" s="128" t="s">
        <v>200</v>
      </c>
      <c r="AD239" s="188">
        <f t="shared" si="84"/>
        <v>2.1876618761368975E-2</v>
      </c>
      <c r="AE239" s="188">
        <v>0.33476286275312911</v>
      </c>
      <c r="AF239" s="188">
        <v>5.6474443146089071E-2</v>
      </c>
      <c r="AG239" s="188">
        <v>1.1010588958089892E-2</v>
      </c>
      <c r="AH239" s="188">
        <v>0.3338323836599969</v>
      </c>
      <c r="AI239" s="188">
        <v>0.25090332246408742</v>
      </c>
      <c r="AJ239" s="188">
        <v>-2.5574923805278819E-2</v>
      </c>
      <c r="AK239" s="188">
        <v>-4.1707056396490444E-2</v>
      </c>
      <c r="AL239" s="188">
        <v>3.0401050660310821E-3</v>
      </c>
      <c r="AM239" s="129">
        <f t="shared" si="85"/>
        <v>2</v>
      </c>
      <c r="AN239" s="188">
        <v>4.912903109226488E-2</v>
      </c>
      <c r="AO239" s="188">
        <v>2.8065063666261096E-2</v>
      </c>
      <c r="AP239" s="188">
        <v>0.68702942983460025</v>
      </c>
      <c r="AQ239" s="128">
        <v>1771.6763245033112</v>
      </c>
      <c r="AR239" s="188">
        <v>4.2000000000000003E-2</v>
      </c>
      <c r="AS239" s="188">
        <v>0.21199999999999999</v>
      </c>
      <c r="AT239" s="256">
        <v>8</v>
      </c>
    </row>
    <row r="240" spans="1:54" x14ac:dyDescent="0.25">
      <c r="A240" t="s">
        <v>227</v>
      </c>
      <c r="B240">
        <v>240</v>
      </c>
      <c r="C240">
        <v>1615</v>
      </c>
      <c r="D240">
        <v>6432</v>
      </c>
      <c r="E240">
        <v>60</v>
      </c>
      <c r="F240">
        <v>1313</v>
      </c>
      <c r="G240">
        <v>24241</v>
      </c>
      <c r="H240">
        <v>0</v>
      </c>
      <c r="I240">
        <v>848</v>
      </c>
      <c r="J240">
        <v>0</v>
      </c>
      <c r="K240">
        <v>2544</v>
      </c>
      <c r="L240">
        <v>733</v>
      </c>
      <c r="M240">
        <v>13</v>
      </c>
      <c r="N240">
        <v>16717</v>
      </c>
      <c r="O240">
        <v>2360</v>
      </c>
      <c r="P240">
        <v>15247</v>
      </c>
      <c r="Q240">
        <v>36</v>
      </c>
      <c r="R240">
        <v>0</v>
      </c>
      <c r="S240">
        <v>2518</v>
      </c>
      <c r="T240">
        <v>1158</v>
      </c>
      <c r="U240" s="128">
        <v>-1</v>
      </c>
      <c r="V240" s="128">
        <v>993</v>
      </c>
      <c r="W240" s="128">
        <v>17926</v>
      </c>
      <c r="X240" s="128">
        <v>16933</v>
      </c>
      <c r="Y240" s="128">
        <v>3493</v>
      </c>
      <c r="Z240" s="128">
        <v>775193</v>
      </c>
      <c r="AA240" s="128">
        <v>7550</v>
      </c>
      <c r="AB240" s="128">
        <v>5441</v>
      </c>
      <c r="AC240" s="128" t="s">
        <v>227</v>
      </c>
      <c r="AD240" s="188">
        <f t="shared" si="84"/>
        <v>-4.0890326899475624E-2</v>
      </c>
      <c r="AE240" s="188">
        <v>-0.55143367176168689</v>
      </c>
      <c r="AF240" s="188">
        <v>1.4255271672431105</v>
      </c>
      <c r="AG240" s="188">
        <v>4.7305589646323774E-2</v>
      </c>
      <c r="AH240" s="188">
        <v>-0.41348432444494027</v>
      </c>
      <c r="AI240" s="188">
        <v>0.43950467977705332</v>
      </c>
      <c r="AJ240" s="188">
        <v>5.5394399196697537E-2</v>
      </c>
      <c r="AK240" s="188">
        <v>1.6422421166676169E-2</v>
      </c>
      <c r="AL240" s="188">
        <v>6.626447876447876E-2</v>
      </c>
      <c r="AM240" s="129">
        <f t="shared" si="85"/>
        <v>0</v>
      </c>
      <c r="AN240" s="188">
        <v>4.8714158205957828E-2</v>
      </c>
      <c r="AO240" s="188">
        <v>4.3244058908847485E-2</v>
      </c>
      <c r="AP240" s="188">
        <v>0.421175945553944</v>
      </c>
      <c r="AQ240" s="128">
        <v>1901.4811615511851</v>
      </c>
      <c r="AR240" s="188">
        <v>3.4000000000000002E-2</v>
      </c>
      <c r="AS240" s="188">
        <v>0.16800000000000001</v>
      </c>
      <c r="AT240" s="256">
        <v>8.5</v>
      </c>
    </row>
    <row r="241" spans="1:52" x14ac:dyDescent="0.25">
      <c r="A241" t="s">
        <v>384</v>
      </c>
      <c r="B241">
        <v>782</v>
      </c>
      <c r="C241">
        <v>1801</v>
      </c>
      <c r="D241">
        <v>24138</v>
      </c>
      <c r="E241">
        <v>12</v>
      </c>
      <c r="F241">
        <v>0</v>
      </c>
      <c r="G241">
        <v>352</v>
      </c>
      <c r="H241">
        <v>0</v>
      </c>
      <c r="I241">
        <v>26971</v>
      </c>
      <c r="J241">
        <v>0</v>
      </c>
      <c r="K241">
        <v>5091</v>
      </c>
      <c r="L241">
        <v>5</v>
      </c>
      <c r="M241">
        <v>4547</v>
      </c>
      <c r="N241">
        <v>19106</v>
      </c>
      <c r="O241">
        <v>19805</v>
      </c>
      <c r="P241">
        <v>16887</v>
      </c>
      <c r="Q241">
        <v>0</v>
      </c>
      <c r="R241">
        <v>981</v>
      </c>
      <c r="S241">
        <v>3969</v>
      </c>
      <c r="T241">
        <v>2951</v>
      </c>
      <c r="U241" s="128">
        <v>-1</v>
      </c>
      <c r="V241" s="128">
        <v>2964</v>
      </c>
      <c r="W241" s="128">
        <v>38127</v>
      </c>
      <c r="X241" s="128">
        <v>35163</v>
      </c>
      <c r="Y241" s="128">
        <v>3249</v>
      </c>
      <c r="Z241" s="128">
        <v>1178706</v>
      </c>
      <c r="AA241" s="128">
        <v>20560</v>
      </c>
      <c r="AB241" s="128">
        <v>13110</v>
      </c>
      <c r="AC241" s="128" t="s">
        <v>384</v>
      </c>
      <c r="AD241" s="188">
        <f t="shared" si="84"/>
        <v>2.559865711962651E-2</v>
      </c>
      <c r="AE241" s="188">
        <v>0.38799276103548669</v>
      </c>
      <c r="AF241" s="188">
        <v>9.2323025677341509E-3</v>
      </c>
      <c r="AG241" s="188">
        <v>0.70739895612033465</v>
      </c>
      <c r="AH241" s="188">
        <v>-0.10607863194061945</v>
      </c>
      <c r="AI241" s="188">
        <v>0.29994191431576633</v>
      </c>
      <c r="AJ241" s="188">
        <v>7.7740184121488712E-2</v>
      </c>
      <c r="AK241" s="188">
        <v>1.7546187269892866E-2</v>
      </c>
      <c r="AL241" s="188">
        <v>0.2102594397676365</v>
      </c>
      <c r="AM241" s="129">
        <f t="shared" si="85"/>
        <v>0</v>
      </c>
      <c r="AN241" s="188">
        <v>2.1303800456369502E-2</v>
      </c>
      <c r="AO241" s="188">
        <v>3.0915256904555825E-2</v>
      </c>
      <c r="AP241" s="188">
        <v>0.53925039997901747</v>
      </c>
      <c r="AQ241" s="128">
        <v>1744.7612509534706</v>
      </c>
      <c r="AR241" s="188">
        <v>1.8000000000000002E-2</v>
      </c>
      <c r="AS241" s="188">
        <v>9.0999999999999998E-2</v>
      </c>
      <c r="AT241" s="256">
        <v>10</v>
      </c>
    </row>
    <row r="242" spans="1:52" x14ac:dyDescent="0.25">
      <c r="A242" t="s">
        <v>201</v>
      </c>
      <c r="B242">
        <v>404</v>
      </c>
      <c r="C242">
        <v>4923</v>
      </c>
      <c r="D242">
        <v>109485</v>
      </c>
      <c r="E242">
        <v>609</v>
      </c>
      <c r="F242">
        <v>1949</v>
      </c>
      <c r="G242">
        <v>2743</v>
      </c>
      <c r="H242">
        <v>0</v>
      </c>
      <c r="I242">
        <v>1118</v>
      </c>
      <c r="J242">
        <v>0</v>
      </c>
      <c r="K242">
        <v>10653</v>
      </c>
      <c r="L242">
        <v>66</v>
      </c>
      <c r="M242">
        <v>2364</v>
      </c>
      <c r="N242">
        <v>26918</v>
      </c>
      <c r="O242">
        <v>3137</v>
      </c>
      <c r="P242">
        <v>80500</v>
      </c>
      <c r="Q242">
        <v>250</v>
      </c>
      <c r="R242">
        <v>5879</v>
      </c>
      <c r="S242">
        <v>15166</v>
      </c>
      <c r="T242">
        <v>2466</v>
      </c>
      <c r="U242" s="128">
        <v>-98</v>
      </c>
      <c r="V242" s="128">
        <v>-8187</v>
      </c>
      <c r="W242" s="128">
        <v>112382</v>
      </c>
      <c r="X242" s="128">
        <v>120569</v>
      </c>
      <c r="Y242" s="128">
        <v>8336</v>
      </c>
      <c r="Z242" s="128">
        <v>2184552</v>
      </c>
      <c r="AA242" s="128">
        <v>87537</v>
      </c>
      <c r="AB242" s="128">
        <v>43759</v>
      </c>
      <c r="AC242" s="128" t="s">
        <v>201</v>
      </c>
      <c r="AD242" s="188">
        <f t="shared" si="84"/>
        <v>5.1725365272018653E-2</v>
      </c>
      <c r="AE242" s="188">
        <v>0.76957163958641062</v>
      </c>
      <c r="AF242" s="188">
        <v>4.1750458258439961E-2</v>
      </c>
      <c r="AG242" s="188">
        <v>9.9482123471730348E-3</v>
      </c>
      <c r="AH242" s="188">
        <v>0.76761794593440236</v>
      </c>
      <c r="AI242" s="188">
        <v>0.20040799309091992</v>
      </c>
      <c r="AJ242" s="188">
        <v>-7.2849744621024726E-2</v>
      </c>
      <c r="AK242" s="188">
        <v>-9.2628484218608087E-2</v>
      </c>
      <c r="AL242" s="188">
        <v>-5.7004597577774201E-2</v>
      </c>
      <c r="AM242" s="129">
        <f t="shared" si="85"/>
        <v>3</v>
      </c>
      <c r="AN242" s="188">
        <v>1.8543894929793029E-2</v>
      </c>
      <c r="AO242" s="188">
        <v>1.9438628961933407E-2</v>
      </c>
      <c r="AP242" s="188">
        <v>0.77892367105052407</v>
      </c>
      <c r="AQ242" s="128">
        <v>1872.5370780867936</v>
      </c>
      <c r="AR242" s="188">
        <v>0.05</v>
      </c>
      <c r="AS242" s="188">
        <v>0.248</v>
      </c>
      <c r="AT242" s="256">
        <v>7</v>
      </c>
    </row>
    <row r="243" spans="1:52" x14ac:dyDescent="0.25">
      <c r="A243" t="s">
        <v>228</v>
      </c>
      <c r="B243">
        <v>265</v>
      </c>
      <c r="C243">
        <v>6885</v>
      </c>
      <c r="D243">
        <v>51372</v>
      </c>
      <c r="E243">
        <v>167</v>
      </c>
      <c r="F243">
        <v>0</v>
      </c>
      <c r="G243">
        <v>5655</v>
      </c>
      <c r="H243">
        <v>0</v>
      </c>
      <c r="I243">
        <v>0</v>
      </c>
      <c r="J243">
        <v>0</v>
      </c>
      <c r="K243">
        <v>4291</v>
      </c>
      <c r="L243">
        <v>816</v>
      </c>
      <c r="M243">
        <v>3790</v>
      </c>
      <c r="N243">
        <v>28720</v>
      </c>
      <c r="O243">
        <v>2020</v>
      </c>
      <c r="P243">
        <v>33163</v>
      </c>
      <c r="Q243">
        <v>0</v>
      </c>
      <c r="R243">
        <v>2200</v>
      </c>
      <c r="S243">
        <v>4626</v>
      </c>
      <c r="T243">
        <v>2512</v>
      </c>
      <c r="U243" s="128">
        <v>4</v>
      </c>
      <c r="V243" s="128">
        <v>-1175</v>
      </c>
      <c r="W243" s="128">
        <v>44951</v>
      </c>
      <c r="X243" s="128">
        <v>46126</v>
      </c>
      <c r="Y243" s="128">
        <v>11974</v>
      </c>
      <c r="Z243" s="128">
        <v>1149230</v>
      </c>
      <c r="AA243" s="128">
        <v>30123</v>
      </c>
      <c r="AB243" s="128">
        <v>20115</v>
      </c>
      <c r="AC243" s="128" t="s">
        <v>228</v>
      </c>
      <c r="AD243" s="188">
        <f t="shared" si="84"/>
        <v>3.0789081444239284E-2</v>
      </c>
      <c r="AE243" s="188">
        <v>0.62176592289381771</v>
      </c>
      <c r="AF243" s="188">
        <v>0.12580365286645459</v>
      </c>
      <c r="AG243" s="188">
        <v>0</v>
      </c>
      <c r="AH243" s="188">
        <v>0.63686236123779227</v>
      </c>
      <c r="AI243" s="188">
        <v>0.39213009106920987</v>
      </c>
      <c r="AJ243" s="188">
        <v>-2.6139574203021067E-2</v>
      </c>
      <c r="AK243" s="188">
        <v>4.2743186350542875E-2</v>
      </c>
      <c r="AL243" s="188">
        <v>7.7375047691720711E-2</v>
      </c>
      <c r="AM243" s="129">
        <f t="shared" si="85"/>
        <v>1</v>
      </c>
      <c r="AN243" s="188">
        <v>6.6594736490845588E-2</v>
      </c>
      <c r="AO243" s="188">
        <v>2.5566283286245023E-2</v>
      </c>
      <c r="AP243" s="188">
        <v>0.67012969678093925</v>
      </c>
      <c r="AQ243" s="128">
        <v>1559.6162068108376</v>
      </c>
      <c r="AR243" s="188">
        <v>4.2000000000000003E-2</v>
      </c>
      <c r="AS243" s="188">
        <v>0.20899999999999999</v>
      </c>
      <c r="AT243" s="256">
        <v>7.5</v>
      </c>
    </row>
    <row r="244" spans="1:52" x14ac:dyDescent="0.25">
      <c r="A244" t="s">
        <v>314</v>
      </c>
      <c r="B244">
        <v>47</v>
      </c>
      <c r="C244">
        <v>9179</v>
      </c>
      <c r="D244">
        <v>84591</v>
      </c>
      <c r="E244">
        <v>1256</v>
      </c>
      <c r="F244">
        <v>77</v>
      </c>
      <c r="G244">
        <v>981</v>
      </c>
      <c r="H244">
        <v>0</v>
      </c>
      <c r="I244">
        <v>1002</v>
      </c>
      <c r="J244">
        <v>0</v>
      </c>
      <c r="K244">
        <v>3834</v>
      </c>
      <c r="L244">
        <v>8573</v>
      </c>
      <c r="M244">
        <v>16621</v>
      </c>
      <c r="N244">
        <v>54848</v>
      </c>
      <c r="O244">
        <v>15738</v>
      </c>
      <c r="P244">
        <v>43352</v>
      </c>
      <c r="Q244">
        <v>13</v>
      </c>
      <c r="R244">
        <v>0</v>
      </c>
      <c r="S244">
        <v>11361</v>
      </c>
      <c r="T244">
        <v>848</v>
      </c>
      <c r="U244" s="128">
        <v>-4</v>
      </c>
      <c r="V244" s="128">
        <v>-3591</v>
      </c>
      <c r="W244" s="128">
        <v>135227</v>
      </c>
      <c r="X244" s="128">
        <v>138818</v>
      </c>
      <c r="Y244" s="128">
        <v>857</v>
      </c>
      <c r="Z244" s="128">
        <v>2123559</v>
      </c>
      <c r="AA244" s="128">
        <v>75340</v>
      </c>
      <c r="AB244" s="128">
        <v>46169</v>
      </c>
      <c r="AC244" s="128" t="s">
        <v>314</v>
      </c>
      <c r="AD244" s="188">
        <f t="shared" si="84"/>
        <v>-6.3397102649618786E-2</v>
      </c>
      <c r="AE244" s="188">
        <v>0.18848306920955135</v>
      </c>
      <c r="AF244" s="188">
        <v>7.8238813254749417E-3</v>
      </c>
      <c r="AG244" s="188">
        <v>7.4097628432191797E-3</v>
      </c>
      <c r="AH244" s="188">
        <v>0.18423510097835491</v>
      </c>
      <c r="AI244" s="188">
        <v>0.43474952441344322</v>
      </c>
      <c r="AJ244" s="188">
        <v>-2.6555347674650773E-2</v>
      </c>
      <c r="AK244" s="188">
        <v>3.3412844370800635E-3</v>
      </c>
      <c r="AL244" s="188">
        <v>-3.6983300617336631E-4</v>
      </c>
      <c r="AM244" s="129">
        <f t="shared" si="85"/>
        <v>2</v>
      </c>
      <c r="AN244" s="188">
        <v>1.5843729432731628E-3</v>
      </c>
      <c r="AO244" s="188">
        <v>1.5703661251081517E-2</v>
      </c>
      <c r="AP244" s="188">
        <v>0.55713725809194914</v>
      </c>
      <c r="AQ244" s="128">
        <v>2198.3363512313458</v>
      </c>
      <c r="AR244" s="188">
        <v>3.6000000000000004E-2</v>
      </c>
      <c r="AS244" s="188">
        <v>0.18</v>
      </c>
      <c r="AT244" s="256">
        <v>7</v>
      </c>
    </row>
    <row r="245" spans="1:52" x14ac:dyDescent="0.25">
      <c r="A245" t="s">
        <v>157</v>
      </c>
      <c r="B245">
        <v>332</v>
      </c>
      <c r="C245">
        <v>14236</v>
      </c>
      <c r="D245">
        <v>85250</v>
      </c>
      <c r="E245">
        <v>1796</v>
      </c>
      <c r="F245">
        <v>0</v>
      </c>
      <c r="G245">
        <v>5897</v>
      </c>
      <c r="H245">
        <v>0</v>
      </c>
      <c r="I245">
        <v>20801</v>
      </c>
      <c r="J245">
        <v>18</v>
      </c>
      <c r="K245">
        <v>5557</v>
      </c>
      <c r="L245">
        <v>485</v>
      </c>
      <c r="M245">
        <v>825</v>
      </c>
      <c r="N245">
        <v>62002</v>
      </c>
      <c r="O245">
        <v>21260</v>
      </c>
      <c r="P245">
        <v>36054</v>
      </c>
      <c r="Q245">
        <v>13</v>
      </c>
      <c r="R245">
        <v>9500</v>
      </c>
      <c r="S245">
        <v>4940</v>
      </c>
      <c r="T245">
        <v>1426</v>
      </c>
      <c r="U245" s="128">
        <v>4</v>
      </c>
      <c r="V245" s="128">
        <v>-1269</v>
      </c>
      <c r="W245" s="128">
        <v>97672</v>
      </c>
      <c r="X245" s="128">
        <v>98941</v>
      </c>
      <c r="Y245" s="128">
        <v>5657</v>
      </c>
      <c r="Z245" s="128">
        <v>3061432</v>
      </c>
      <c r="AA245" s="128">
        <v>61006</v>
      </c>
      <c r="AB245" s="128">
        <v>38181</v>
      </c>
      <c r="AC245" s="128" t="s">
        <v>157</v>
      </c>
      <c r="AD245" s="188">
        <f t="shared" si="84"/>
        <v>9.2298714063395862E-2</v>
      </c>
      <c r="AE245" s="188">
        <v>0.40102588254566301</v>
      </c>
      <c r="AF245" s="188">
        <v>6.0375542632484236E-2</v>
      </c>
      <c r="AG245" s="188">
        <v>0.21315218281595544</v>
      </c>
      <c r="AH245" s="188">
        <v>0.25906441969039234</v>
      </c>
      <c r="AI245" s="188">
        <v>0.45861163504567476</v>
      </c>
      <c r="AJ245" s="188">
        <v>-1.2992464575313294E-2</v>
      </c>
      <c r="AK245" s="188">
        <v>1.7666564274631192E-2</v>
      </c>
      <c r="AL245" s="188">
        <v>-2.6662291901453659E-2</v>
      </c>
      <c r="AM245" s="129">
        <f t="shared" si="85"/>
        <v>2</v>
      </c>
      <c r="AN245" s="188">
        <v>1.4479584732574331E-2</v>
      </c>
      <c r="AO245" s="188">
        <v>3.1344008518306168E-2</v>
      </c>
      <c r="AP245" s="188">
        <v>0.62460070439839466</v>
      </c>
      <c r="AQ245" s="128">
        <v>1730.8100102145047</v>
      </c>
      <c r="AR245" s="188">
        <v>0.03</v>
      </c>
      <c r="AS245" s="188">
        <v>0.14800000000000002</v>
      </c>
      <c r="AT245" s="256">
        <v>8</v>
      </c>
    </row>
    <row r="246" spans="1:52" x14ac:dyDescent="0.25">
      <c r="A246" t="s">
        <v>315</v>
      </c>
      <c r="B246">
        <v>679</v>
      </c>
      <c r="C246">
        <v>22462</v>
      </c>
      <c r="D246">
        <v>134044</v>
      </c>
      <c r="E246">
        <v>3215</v>
      </c>
      <c r="F246">
        <v>0</v>
      </c>
      <c r="G246">
        <v>3375</v>
      </c>
      <c r="H246">
        <v>0</v>
      </c>
      <c r="I246">
        <v>148339</v>
      </c>
      <c r="J246">
        <v>0</v>
      </c>
      <c r="K246">
        <v>37244</v>
      </c>
      <c r="L246">
        <v>1455</v>
      </c>
      <c r="M246">
        <v>0</v>
      </c>
      <c r="N246">
        <v>28656</v>
      </c>
      <c r="O246">
        <v>9001</v>
      </c>
      <c r="P246">
        <v>112742</v>
      </c>
      <c r="Q246">
        <v>0</v>
      </c>
      <c r="R246">
        <v>178001</v>
      </c>
      <c r="S246">
        <v>18386</v>
      </c>
      <c r="T246">
        <v>4026</v>
      </c>
      <c r="U246" s="128">
        <v>-128</v>
      </c>
      <c r="V246" s="128">
        <v>-5115</v>
      </c>
      <c r="W246" s="128">
        <v>169272</v>
      </c>
      <c r="X246" s="128">
        <v>174387</v>
      </c>
      <c r="Y246" s="128">
        <v>22574</v>
      </c>
      <c r="Z246" s="128">
        <v>4204698</v>
      </c>
      <c r="AA246" s="128">
        <v>106462</v>
      </c>
      <c r="AB246" s="128">
        <v>54271</v>
      </c>
      <c r="AC246" s="128" t="s">
        <v>315</v>
      </c>
      <c r="AD246" s="188">
        <f t="shared" si="84"/>
        <v>1.0429722576681317</v>
      </c>
      <c r="AE246" s="188">
        <v>1.6014521007609055</v>
      </c>
      <c r="AF246" s="188">
        <v>1.9938324117396853E-2</v>
      </c>
      <c r="AG246" s="188">
        <v>0.87633512925941681</v>
      </c>
      <c r="AH246" s="188">
        <v>0.99041010917340133</v>
      </c>
      <c r="AI246" s="188">
        <v>8.1684777031572467E-2</v>
      </c>
      <c r="AJ246" s="188">
        <v>-3.021763788458812E-2</v>
      </c>
      <c r="AK246" s="188">
        <v>-7.8322994858922058E-3</v>
      </c>
      <c r="AL246" s="188">
        <v>-4.498474623278173E-2</v>
      </c>
      <c r="AM246" s="129">
        <f t="shared" si="85"/>
        <v>3</v>
      </c>
      <c r="AN246" s="188">
        <v>3.3339831750082705E-2</v>
      </c>
      <c r="AO246" s="188">
        <v>2.4839890826598612E-2</v>
      </c>
      <c r="AP246" s="188">
        <v>0.62894040361075665</v>
      </c>
      <c r="AQ246" s="128">
        <v>1873.0346962466142</v>
      </c>
      <c r="AR246" s="188">
        <v>3.6000000000000004E-2</v>
      </c>
      <c r="AS246" s="188">
        <v>0.17800000000000002</v>
      </c>
      <c r="AT246" s="256">
        <v>4.5</v>
      </c>
    </row>
    <row r="247" spans="1:52" x14ac:dyDescent="0.25">
      <c r="A247" t="s">
        <v>418</v>
      </c>
      <c r="B247">
        <v>2550</v>
      </c>
      <c r="C247">
        <v>2267</v>
      </c>
      <c r="D247">
        <v>39050</v>
      </c>
      <c r="E247">
        <v>977</v>
      </c>
      <c r="F247">
        <v>0</v>
      </c>
      <c r="G247">
        <v>1491</v>
      </c>
      <c r="H247">
        <v>18137</v>
      </c>
      <c r="I247">
        <v>-627</v>
      </c>
      <c r="J247">
        <v>0</v>
      </c>
      <c r="K247">
        <v>5547</v>
      </c>
      <c r="L247">
        <v>17</v>
      </c>
      <c r="M247">
        <v>1340</v>
      </c>
      <c r="N247">
        <v>32163</v>
      </c>
      <c r="O247">
        <v>10250</v>
      </c>
      <c r="P247">
        <v>22605</v>
      </c>
      <c r="Q247">
        <v>0</v>
      </c>
      <c r="R247">
        <v>315</v>
      </c>
      <c r="S247">
        <v>3694</v>
      </c>
      <c r="T247">
        <v>1720</v>
      </c>
      <c r="U247" s="128">
        <v>2</v>
      </c>
      <c r="V247" s="128">
        <v>-4500</v>
      </c>
      <c r="W247" s="128">
        <v>60244</v>
      </c>
      <c r="X247" s="128">
        <v>64744</v>
      </c>
      <c r="Y247" s="128">
        <v>5307</v>
      </c>
      <c r="Z247" s="128">
        <v>1705991</v>
      </c>
      <c r="AA247" s="128">
        <v>35179</v>
      </c>
      <c r="AB247" s="128">
        <v>20589</v>
      </c>
      <c r="AC247" s="128" t="s">
        <v>418</v>
      </c>
      <c r="AD247" s="188">
        <f t="shared" si="84"/>
        <v>4.9465506938450301E-3</v>
      </c>
      <c r="AE247" s="188">
        <v>2.9911692450700484E-2</v>
      </c>
      <c r="AF247" s="188">
        <v>2.4749352632627314E-2</v>
      </c>
      <c r="AG247" s="188">
        <v>-1.0407675453157161E-2</v>
      </c>
      <c r="AH247" s="188">
        <v>4.0166987583825774E-2</v>
      </c>
      <c r="AI247" s="188">
        <v>0.45461998388624253</v>
      </c>
      <c r="AJ247" s="188">
        <v>-7.4696235309740386E-2</v>
      </c>
      <c r="AK247" s="188">
        <v>-4.228890439637125E-2</v>
      </c>
      <c r="AL247" s="188">
        <v>-1.1872021318392238E-2</v>
      </c>
      <c r="AM247" s="129">
        <f t="shared" si="85"/>
        <v>3</v>
      </c>
      <c r="AN247" s="188">
        <v>2.2022940043821791E-2</v>
      </c>
      <c r="AO247" s="188">
        <v>2.8318023371622071E-2</v>
      </c>
      <c r="AP247" s="188">
        <v>0.58394196932474607</v>
      </c>
      <c r="AQ247" s="128">
        <v>2135.786536500073</v>
      </c>
      <c r="AR247" s="188">
        <v>3.7999999999999999E-2</v>
      </c>
      <c r="AS247" s="188">
        <v>0.191</v>
      </c>
      <c r="AT247" s="256">
        <v>7.5</v>
      </c>
    </row>
    <row r="248" spans="1:52" x14ac:dyDescent="0.25">
      <c r="A248" t="s">
        <v>419</v>
      </c>
      <c r="B248">
        <v>950</v>
      </c>
      <c r="C248">
        <v>12999</v>
      </c>
      <c r="D248">
        <v>166076</v>
      </c>
      <c r="E248">
        <v>130</v>
      </c>
      <c r="F248">
        <v>0</v>
      </c>
      <c r="G248">
        <v>3769</v>
      </c>
      <c r="H248">
        <v>619</v>
      </c>
      <c r="I248">
        <v>1088</v>
      </c>
      <c r="J248">
        <v>100</v>
      </c>
      <c r="K248">
        <v>30296</v>
      </c>
      <c r="L248">
        <v>0</v>
      </c>
      <c r="M248">
        <v>0</v>
      </c>
      <c r="N248">
        <v>56870</v>
      </c>
      <c r="O248">
        <v>19419</v>
      </c>
      <c r="P248">
        <v>100736</v>
      </c>
      <c r="Q248">
        <v>3</v>
      </c>
      <c r="R248">
        <v>5668</v>
      </c>
      <c r="S248">
        <v>12059</v>
      </c>
      <c r="T248">
        <v>21274</v>
      </c>
      <c r="U248" s="128">
        <v>-4</v>
      </c>
      <c r="V248" s="128">
        <v>-1864</v>
      </c>
      <c r="W248" s="128">
        <v>193975</v>
      </c>
      <c r="X248" s="128">
        <v>195839</v>
      </c>
      <c r="Y248" s="128">
        <v>15225</v>
      </c>
      <c r="Z248" s="128">
        <v>3351463</v>
      </c>
      <c r="AA248" s="128">
        <v>139388</v>
      </c>
      <c r="AB248" s="128">
        <v>58293</v>
      </c>
      <c r="AC248" s="128" t="s">
        <v>419</v>
      </c>
      <c r="AD248" s="188">
        <f t="shared" si="84"/>
        <v>2.9220260342827684E-2</v>
      </c>
      <c r="AE248" s="188">
        <v>0.54159556643897411</v>
      </c>
      <c r="AF248" s="188">
        <v>1.9430338961206342E-2</v>
      </c>
      <c r="AG248" s="188">
        <v>6.124500579971646E-3</v>
      </c>
      <c r="AH248" s="188">
        <v>0.5396400567083387</v>
      </c>
      <c r="AI248" s="188">
        <v>0.26325169305972806</v>
      </c>
      <c r="AJ248" s="188">
        <v>-9.6094857584740293E-3</v>
      </c>
      <c r="AK248" s="188">
        <v>-1.997597718955569E-2</v>
      </c>
      <c r="AL248" s="188">
        <v>-2.871096163454771E-2</v>
      </c>
      <c r="AM248" s="129">
        <f t="shared" si="85"/>
        <v>3</v>
      </c>
      <c r="AN248" s="188">
        <v>1.9622374017270267E-2</v>
      </c>
      <c r="AO248" s="188">
        <v>1.7277808996004642E-2</v>
      </c>
      <c r="AP248" s="188">
        <v>0.71858744683593245</v>
      </c>
      <c r="AQ248" s="128">
        <v>2134.0679326848849</v>
      </c>
      <c r="AR248" s="188">
        <v>3.1E-2</v>
      </c>
      <c r="AS248" s="188">
        <v>0.156</v>
      </c>
      <c r="AT248" s="256">
        <v>8.5</v>
      </c>
    </row>
    <row r="249" spans="1:52" x14ac:dyDescent="0.25">
      <c r="A249" t="s">
        <v>385</v>
      </c>
      <c r="B249">
        <v>666</v>
      </c>
      <c r="C249">
        <v>11087</v>
      </c>
      <c r="D249">
        <v>126169</v>
      </c>
      <c r="E249">
        <v>6434</v>
      </c>
      <c r="F249">
        <v>6071</v>
      </c>
      <c r="G249">
        <v>14476</v>
      </c>
      <c r="H249">
        <v>0</v>
      </c>
      <c r="I249">
        <v>46855</v>
      </c>
      <c r="J249">
        <v>0</v>
      </c>
      <c r="K249">
        <v>9362</v>
      </c>
      <c r="L249">
        <v>9</v>
      </c>
      <c r="M249">
        <v>20418</v>
      </c>
      <c r="N249">
        <v>66262</v>
      </c>
      <c r="O249">
        <v>32432</v>
      </c>
      <c r="P249">
        <v>100641</v>
      </c>
      <c r="Q249">
        <v>0</v>
      </c>
      <c r="R249">
        <v>21527</v>
      </c>
      <c r="S249">
        <v>17752</v>
      </c>
      <c r="T249">
        <v>2933</v>
      </c>
      <c r="U249" s="128">
        <v>1</v>
      </c>
      <c r="V249" s="128">
        <v>-5531</v>
      </c>
      <c r="W249" s="128">
        <v>232128</v>
      </c>
      <c r="X249" s="128">
        <v>237659</v>
      </c>
      <c r="Y249" s="128">
        <v>-5129</v>
      </c>
      <c r="Z249" s="128">
        <v>7860436.8000000007</v>
      </c>
      <c r="AA249" s="128">
        <v>165294</v>
      </c>
      <c r="AB249" s="128">
        <v>77186</v>
      </c>
      <c r="AC249" s="128" t="s">
        <v>385</v>
      </c>
      <c r="AD249" s="188">
        <f t="shared" si="84"/>
        <v>9.269885580369451E-2</v>
      </c>
      <c r="AE249" s="188">
        <v>0.39856027708850289</v>
      </c>
      <c r="AF249" s="188">
        <v>8.8515818858560788E-2</v>
      </c>
      <c r="AG249" s="188">
        <v>0.20184984146677695</v>
      </c>
      <c r="AH249" s="188">
        <v>0.26788728632478631</v>
      </c>
      <c r="AI249" s="188">
        <v>0.27432342359871992</v>
      </c>
      <c r="AJ249" s="188">
        <v>-2.3827371105596913E-2</v>
      </c>
      <c r="AK249" s="188">
        <v>-5.041188924057266E-2</v>
      </c>
      <c r="AL249" s="188">
        <v>1.1889006722350281E-2</v>
      </c>
      <c r="AM249" s="129">
        <f t="shared" si="85"/>
        <v>2</v>
      </c>
      <c r="AN249" s="188">
        <v>-5.5238919906258612E-3</v>
      </c>
      <c r="AO249" s="188">
        <v>3.3862510339123242E-2</v>
      </c>
      <c r="AP249" s="188">
        <v>0.71208126550868489</v>
      </c>
      <c r="AQ249" s="128">
        <v>1914.1495608011815</v>
      </c>
      <c r="AR249" s="188">
        <v>3.9E-2</v>
      </c>
      <c r="AS249" s="188">
        <v>0.193</v>
      </c>
      <c r="AT249" s="256">
        <v>7</v>
      </c>
    </row>
    <row r="250" spans="1:52" x14ac:dyDescent="0.25">
      <c r="A250" t="s">
        <v>316</v>
      </c>
      <c r="B250">
        <v>36190</v>
      </c>
      <c r="C250">
        <v>198886</v>
      </c>
      <c r="D250">
        <v>2444633</v>
      </c>
      <c r="E250">
        <v>396588</v>
      </c>
      <c r="F250">
        <v>68751</v>
      </c>
      <c r="G250">
        <v>141627</v>
      </c>
      <c r="H250">
        <v>15</v>
      </c>
      <c r="I250">
        <v>-138206</v>
      </c>
      <c r="J250">
        <v>23127</v>
      </c>
      <c r="K250">
        <v>304616</v>
      </c>
      <c r="L250">
        <v>14501</v>
      </c>
      <c r="M250">
        <v>144314</v>
      </c>
      <c r="N250">
        <v>1115404</v>
      </c>
      <c r="O250">
        <v>101406</v>
      </c>
      <c r="P250">
        <v>1662928</v>
      </c>
      <c r="Q250">
        <v>2547</v>
      </c>
      <c r="R250">
        <v>331652</v>
      </c>
      <c r="S250">
        <v>102658</v>
      </c>
      <c r="T250">
        <v>318447</v>
      </c>
      <c r="U250" s="128">
        <v>-6392</v>
      </c>
      <c r="V250" s="128">
        <v>26214</v>
      </c>
      <c r="W250" s="128">
        <v>3551600</v>
      </c>
      <c r="X250" s="128">
        <v>3525386</v>
      </c>
      <c r="Y250" s="128">
        <v>157235</v>
      </c>
      <c r="Z250" s="128">
        <v>-14018064</v>
      </c>
      <c r="AA250" s="128">
        <v>2316541</v>
      </c>
      <c r="AB250" s="128">
        <v>651446</v>
      </c>
      <c r="AC250" s="128" t="s">
        <v>316</v>
      </c>
      <c r="AD250" s="188">
        <f t="shared" si="84"/>
        <v>8.9298062844914969E-2</v>
      </c>
      <c r="AE250" s="188">
        <v>0.49116116679806282</v>
      </c>
      <c r="AF250" s="188">
        <v>5.9234711116116681E-2</v>
      </c>
      <c r="AG250" s="188">
        <v>-3.240201599279198E-2</v>
      </c>
      <c r="AH250" s="188">
        <v>0.52095074332695124</v>
      </c>
      <c r="AI250" s="188">
        <v>0.30684762376885877</v>
      </c>
      <c r="AJ250" s="188">
        <v>7.3808987498592184E-3</v>
      </c>
      <c r="AK250" s="188">
        <v>-2.4772341055670413E-2</v>
      </c>
      <c r="AL250" s="188">
        <v>-9.9391923526556316E-3</v>
      </c>
      <c r="AM250" s="129">
        <f t="shared" si="85"/>
        <v>2</v>
      </c>
      <c r="AN250" s="188">
        <v>1.106789897510981E-2</v>
      </c>
      <c r="AO250" s="188">
        <v>-3.9469715058002026E-3</v>
      </c>
      <c r="AP250" s="188">
        <v>0.65225278747606708</v>
      </c>
      <c r="AQ250" s="128">
        <v>3331.8921276667597</v>
      </c>
      <c r="AR250" s="188">
        <v>2.2000000000000002E-2</v>
      </c>
      <c r="AS250" s="188">
        <v>0.111</v>
      </c>
      <c r="AT250" s="256">
        <v>6</v>
      </c>
    </row>
    <row r="251" spans="1:52" x14ac:dyDescent="0.25">
      <c r="A251" t="s">
        <v>202</v>
      </c>
      <c r="B251">
        <v>0</v>
      </c>
      <c r="C251">
        <v>59</v>
      </c>
      <c r="D251">
        <v>8097</v>
      </c>
      <c r="E251">
        <v>0</v>
      </c>
      <c r="F251">
        <v>0</v>
      </c>
      <c r="G251">
        <v>-87</v>
      </c>
      <c r="H251">
        <v>2354</v>
      </c>
      <c r="I251">
        <v>84</v>
      </c>
      <c r="J251">
        <v>1</v>
      </c>
      <c r="K251">
        <v>978</v>
      </c>
      <c r="L251">
        <v>2041</v>
      </c>
      <c r="M251">
        <v>47</v>
      </c>
      <c r="N251">
        <v>11060</v>
      </c>
      <c r="O251">
        <v>1102</v>
      </c>
      <c r="P251">
        <v>0</v>
      </c>
      <c r="Q251">
        <v>0</v>
      </c>
      <c r="R251">
        <v>0</v>
      </c>
      <c r="S251">
        <v>1412</v>
      </c>
      <c r="T251">
        <v>0</v>
      </c>
      <c r="U251" s="128">
        <v>-2</v>
      </c>
      <c r="V251" s="128">
        <v>663</v>
      </c>
      <c r="W251" s="128">
        <v>6101</v>
      </c>
      <c r="X251" s="128">
        <v>5438</v>
      </c>
      <c r="Y251" s="128">
        <v>7807</v>
      </c>
      <c r="Z251" s="128">
        <v>308838</v>
      </c>
      <c r="AA251" s="128">
        <v>2646</v>
      </c>
      <c r="AB251" s="128">
        <v>1698</v>
      </c>
      <c r="AC251" s="128" t="s">
        <v>202</v>
      </c>
      <c r="AD251" s="188">
        <f t="shared" si="84"/>
        <v>-0.3345353220783478</v>
      </c>
      <c r="AE251" s="188">
        <v>-0.64268152761842323</v>
      </c>
      <c r="AF251" s="188">
        <v>-1.4259957384035404E-2</v>
      </c>
      <c r="AG251" s="188">
        <v>1.3932142271758728E-2</v>
      </c>
      <c r="AH251" s="188">
        <v>-0.65414522209473858</v>
      </c>
      <c r="AI251" s="188">
        <v>0.81479298659201416</v>
      </c>
      <c r="AJ251" s="188">
        <v>0.10867070971971808</v>
      </c>
      <c r="AK251" s="188">
        <v>0.29445277361319339</v>
      </c>
      <c r="AL251" s="188">
        <v>0.10867070971971808</v>
      </c>
      <c r="AM251" s="129">
        <f t="shared" si="85"/>
        <v>0</v>
      </c>
      <c r="AN251" s="188">
        <v>0.31990657269300116</v>
      </c>
      <c r="AO251" s="188">
        <v>5.0620881822652029E-2</v>
      </c>
      <c r="AP251" s="188">
        <v>0.43369939354204229</v>
      </c>
      <c r="AQ251" s="128">
        <v>1949.831566548881</v>
      </c>
      <c r="AR251" s="188">
        <v>5.9000000000000004E-2</v>
      </c>
      <c r="AS251" s="188">
        <v>0.29600000000000004</v>
      </c>
      <c r="AT251" s="256">
        <v>7</v>
      </c>
      <c r="AX251" s="128"/>
      <c r="AZ251" s="128"/>
    </row>
    <row r="252" spans="1:52" x14ac:dyDescent="0.25">
      <c r="A252" t="s">
        <v>386</v>
      </c>
      <c r="B252">
        <v>3982</v>
      </c>
      <c r="C252">
        <v>6044</v>
      </c>
      <c r="D252">
        <v>61548</v>
      </c>
      <c r="E252">
        <v>153</v>
      </c>
      <c r="F252">
        <v>0</v>
      </c>
      <c r="G252">
        <v>405</v>
      </c>
      <c r="H252">
        <v>0</v>
      </c>
      <c r="I252">
        <v>7061</v>
      </c>
      <c r="J252">
        <v>10</v>
      </c>
      <c r="K252">
        <v>7624</v>
      </c>
      <c r="L252">
        <v>405</v>
      </c>
      <c r="M252">
        <v>543</v>
      </c>
      <c r="N252">
        <v>52121</v>
      </c>
      <c r="O252">
        <v>3482</v>
      </c>
      <c r="P252">
        <v>27121</v>
      </c>
      <c r="Q252">
        <v>18</v>
      </c>
      <c r="R252">
        <v>0</v>
      </c>
      <c r="S252">
        <v>4797</v>
      </c>
      <c r="T252">
        <v>238</v>
      </c>
      <c r="U252" s="128">
        <v>-8</v>
      </c>
      <c r="V252" s="128">
        <v>-2004</v>
      </c>
      <c r="W252" s="128">
        <v>54804</v>
      </c>
      <c r="X252" s="128">
        <v>56808</v>
      </c>
      <c r="Y252" s="128">
        <v>15392</v>
      </c>
      <c r="Z252" s="128">
        <v>2319090.0000000005</v>
      </c>
      <c r="AA252" s="128">
        <v>40729</v>
      </c>
      <c r="AB252" s="128">
        <v>22917</v>
      </c>
      <c r="AC252" s="128" t="s">
        <v>386</v>
      </c>
      <c r="AD252" s="188">
        <f t="shared" si="84"/>
        <v>-7.3899715349244584E-3</v>
      </c>
      <c r="AE252" s="188">
        <v>0.42327202393985841</v>
      </c>
      <c r="AF252" s="188">
        <v>7.3899715349244584E-3</v>
      </c>
      <c r="AG252" s="188">
        <v>0.1290234289467922</v>
      </c>
      <c r="AH252" s="188">
        <v>0.33384242026129485</v>
      </c>
      <c r="AI252" s="188">
        <v>0.59378880572359505</v>
      </c>
      <c r="AJ252" s="188">
        <v>-3.6566673965403987E-2</v>
      </c>
      <c r="AK252" s="188">
        <v>2.4148944457427746E-3</v>
      </c>
      <c r="AL252" s="188">
        <v>1.9810307802433785E-2</v>
      </c>
      <c r="AM252" s="129">
        <f t="shared" si="85"/>
        <v>1</v>
      </c>
      <c r="AN252" s="188">
        <v>7.0213853003430401E-2</v>
      </c>
      <c r="AO252" s="188">
        <v>4.2316071819575224E-2</v>
      </c>
      <c r="AP252" s="188">
        <v>0.74317568060725492</v>
      </c>
      <c r="AQ252" s="128">
        <v>1365.0075053453768</v>
      </c>
      <c r="AR252" s="188">
        <v>0.04</v>
      </c>
      <c r="AS252" s="188">
        <v>0.2</v>
      </c>
      <c r="AT252" s="256">
        <v>5.5</v>
      </c>
    </row>
    <row r="253" spans="1:52" x14ac:dyDescent="0.25">
      <c r="A253" t="s">
        <v>271</v>
      </c>
      <c r="B253">
        <v>7522</v>
      </c>
      <c r="C253">
        <v>11563</v>
      </c>
      <c r="D253">
        <v>88795</v>
      </c>
      <c r="E253">
        <v>326</v>
      </c>
      <c r="F253">
        <v>0</v>
      </c>
      <c r="G253">
        <v>3864</v>
      </c>
      <c r="H253">
        <v>0</v>
      </c>
      <c r="I253">
        <v>6019</v>
      </c>
      <c r="J253">
        <v>0</v>
      </c>
      <c r="K253">
        <v>16795</v>
      </c>
      <c r="L253">
        <v>8252</v>
      </c>
      <c r="M253">
        <v>0</v>
      </c>
      <c r="N253">
        <v>60897</v>
      </c>
      <c r="O253">
        <v>6635</v>
      </c>
      <c r="P253">
        <v>58530</v>
      </c>
      <c r="Q253">
        <v>14</v>
      </c>
      <c r="R253">
        <v>5000</v>
      </c>
      <c r="S253">
        <v>8506</v>
      </c>
      <c r="T253">
        <v>3547</v>
      </c>
      <c r="U253" s="128">
        <v>-4</v>
      </c>
      <c r="V253" s="128">
        <v>7702</v>
      </c>
      <c r="W253" s="128">
        <v>129618</v>
      </c>
      <c r="X253" s="128">
        <v>121916</v>
      </c>
      <c r="Y253" s="128">
        <v>9504</v>
      </c>
      <c r="Z253" s="128">
        <v>2902350</v>
      </c>
      <c r="AA253" s="128">
        <v>75377</v>
      </c>
      <c r="AB253" s="128">
        <v>46523</v>
      </c>
      <c r="AC253" s="128" t="s">
        <v>271</v>
      </c>
      <c r="AD253" s="188">
        <f t="shared" si="84"/>
        <v>-2.5089107994260056E-2</v>
      </c>
      <c r="AE253" s="188">
        <v>0.36018145627922049</v>
      </c>
      <c r="AF253" s="188">
        <v>2.9810674443364348E-2</v>
      </c>
      <c r="AG253" s="188">
        <v>4.6436451727383546E-2</v>
      </c>
      <c r="AH253" s="188">
        <v>0.33125322100325572</v>
      </c>
      <c r="AI253" s="188">
        <v>0.42546933186146763</v>
      </c>
      <c r="AJ253" s="188">
        <v>5.9420759462420342E-2</v>
      </c>
      <c r="AK253" s="188">
        <v>-2.4930425678517418E-2</v>
      </c>
      <c r="AL253" s="188">
        <v>-3.4230575720549127E-3</v>
      </c>
      <c r="AM253" s="129">
        <f t="shared" si="85"/>
        <v>2</v>
      </c>
      <c r="AN253" s="188">
        <v>1.8330787390640188E-2</v>
      </c>
      <c r="AO253" s="188">
        <v>2.2391565986205619E-2</v>
      </c>
      <c r="AP253" s="188">
        <v>0.58153188600348715</v>
      </c>
      <c r="AQ253" s="128">
        <v>1584.7220944479075</v>
      </c>
      <c r="AR253" s="188">
        <v>2.6000000000000002E-2</v>
      </c>
      <c r="AS253" s="188">
        <v>0.13100000000000001</v>
      </c>
      <c r="AT253" s="256">
        <v>9</v>
      </c>
    </row>
    <row r="254" spans="1:52" x14ac:dyDescent="0.25">
      <c r="A254" t="s">
        <v>203</v>
      </c>
      <c r="B254">
        <v>0</v>
      </c>
      <c r="C254">
        <v>3146</v>
      </c>
      <c r="D254">
        <v>18030</v>
      </c>
      <c r="E254">
        <v>0</v>
      </c>
      <c r="F254">
        <v>0</v>
      </c>
      <c r="G254">
        <v>4574</v>
      </c>
      <c r="H254">
        <v>17</v>
      </c>
      <c r="I254">
        <v>1725</v>
      </c>
      <c r="J254">
        <v>0</v>
      </c>
      <c r="K254">
        <v>2327</v>
      </c>
      <c r="L254">
        <v>5241</v>
      </c>
      <c r="M254">
        <v>549</v>
      </c>
      <c r="N254">
        <v>19409</v>
      </c>
      <c r="O254">
        <v>9255</v>
      </c>
      <c r="P254">
        <v>2500</v>
      </c>
      <c r="Q254">
        <v>1137</v>
      </c>
      <c r="R254">
        <v>0</v>
      </c>
      <c r="S254">
        <v>1762</v>
      </c>
      <c r="T254">
        <v>1546</v>
      </c>
      <c r="U254" s="128">
        <v>2</v>
      </c>
      <c r="V254" s="128">
        <v>275</v>
      </c>
      <c r="W254" s="128">
        <v>20723</v>
      </c>
      <c r="X254" s="128">
        <v>20448</v>
      </c>
      <c r="Y254" s="128">
        <v>4630</v>
      </c>
      <c r="Z254" s="128">
        <v>887638</v>
      </c>
      <c r="AA254" s="128">
        <v>12737</v>
      </c>
      <c r="AB254" s="128">
        <v>9866</v>
      </c>
      <c r="AC254" s="128" t="s">
        <v>203</v>
      </c>
      <c r="AD254" s="188">
        <f t="shared" si="84"/>
        <v>-0.2529073975775708</v>
      </c>
      <c r="AE254" s="188">
        <v>-0.27809680065627562</v>
      </c>
      <c r="AF254" s="188">
        <v>0.22072093808811466</v>
      </c>
      <c r="AG254" s="188">
        <v>8.324084350721421E-2</v>
      </c>
      <c r="AH254" s="188">
        <v>-0.3098788785407518</v>
      </c>
      <c r="AI254" s="188">
        <v>0.54505883344098405</v>
      </c>
      <c r="AJ254" s="188">
        <v>1.3270279399700815E-2</v>
      </c>
      <c r="AK254" s="188">
        <v>-1.4099589505621988E-2</v>
      </c>
      <c r="AL254" s="188">
        <v>-1.6127364829939005E-2</v>
      </c>
      <c r="AM254" s="129">
        <f t="shared" si="85"/>
        <v>2</v>
      </c>
      <c r="AN254" s="188">
        <v>5.5855812382377072E-2</v>
      </c>
      <c r="AO254" s="188">
        <v>4.283347005742412E-2</v>
      </c>
      <c r="AP254" s="188">
        <v>0.61463108623268836</v>
      </c>
      <c r="AQ254" s="128">
        <v>1546.9463815122645</v>
      </c>
      <c r="AR254" s="188">
        <v>6.0999999999999999E-2</v>
      </c>
      <c r="AS254" s="188">
        <v>0.307</v>
      </c>
      <c r="AT254" s="256">
        <v>8</v>
      </c>
    </row>
    <row r="255" spans="1:52" x14ac:dyDescent="0.25">
      <c r="A255" t="s">
        <v>317</v>
      </c>
      <c r="B255">
        <v>0</v>
      </c>
      <c r="C255">
        <v>305778</v>
      </c>
      <c r="D255">
        <v>271490</v>
      </c>
      <c r="E255">
        <v>12171</v>
      </c>
      <c r="F255">
        <v>0</v>
      </c>
      <c r="G255">
        <v>25552</v>
      </c>
      <c r="H255">
        <v>212</v>
      </c>
      <c r="I255">
        <v>11162</v>
      </c>
      <c r="J255">
        <v>0</v>
      </c>
      <c r="K255">
        <v>26907</v>
      </c>
      <c r="L255">
        <v>7768</v>
      </c>
      <c r="M255">
        <v>3687</v>
      </c>
      <c r="N255">
        <v>92481</v>
      </c>
      <c r="O255">
        <v>40672</v>
      </c>
      <c r="P255">
        <v>368318</v>
      </c>
      <c r="Q255">
        <v>113939</v>
      </c>
      <c r="R255">
        <v>24100</v>
      </c>
      <c r="S255">
        <v>6430</v>
      </c>
      <c r="T255">
        <v>18786</v>
      </c>
      <c r="U255" s="128">
        <v>-664</v>
      </c>
      <c r="V255" s="128">
        <v>-4175</v>
      </c>
      <c r="W255" s="128">
        <v>295193</v>
      </c>
      <c r="X255" s="128">
        <v>299368</v>
      </c>
      <c r="Y255" s="128">
        <v>69985</v>
      </c>
      <c r="Z255" s="128">
        <v>3009230</v>
      </c>
      <c r="AA255" s="128">
        <v>192356</v>
      </c>
      <c r="AB255" s="128">
        <v>78778</v>
      </c>
      <c r="AC255" s="128" t="s">
        <v>317</v>
      </c>
      <c r="AD255" s="188">
        <f t="shared" si="84"/>
        <v>5.5326515195143519E-2</v>
      </c>
      <c r="AE255" s="188">
        <v>1.5835300972584039</v>
      </c>
      <c r="AF255" s="188">
        <v>8.6560318164726133E-2</v>
      </c>
      <c r="AG255" s="188">
        <v>3.7812549755583638E-2</v>
      </c>
      <c r="AH255" s="188">
        <v>1.5674485506092626</v>
      </c>
      <c r="AI255" s="188">
        <v>0.13912649723344656</v>
      </c>
      <c r="AJ255" s="188">
        <v>-1.4143289305640716E-2</v>
      </c>
      <c r="AK255" s="188">
        <v>-7.1733963355008175E-4</v>
      </c>
      <c r="AL255" s="188">
        <v>-3.9289225872502609E-2</v>
      </c>
      <c r="AM255" s="129">
        <f t="shared" si="85"/>
        <v>3</v>
      </c>
      <c r="AN255" s="188">
        <v>5.9270545033249432E-2</v>
      </c>
      <c r="AO255" s="188">
        <v>1.0194110293943284E-2</v>
      </c>
      <c r="AP255" s="188">
        <v>0.6516279180061858</v>
      </c>
      <c r="AQ255" s="128">
        <v>2397.5093680976925</v>
      </c>
      <c r="AR255" s="188">
        <v>2.2000000000000002E-2</v>
      </c>
      <c r="AS255" s="188">
        <v>0.11</v>
      </c>
      <c r="AT255" s="256">
        <v>4</v>
      </c>
    </row>
    <row r="256" spans="1:52" x14ac:dyDescent="0.25">
      <c r="A256" t="s">
        <v>135</v>
      </c>
      <c r="B256">
        <v>16</v>
      </c>
      <c r="C256">
        <v>1229</v>
      </c>
      <c r="D256">
        <v>7222</v>
      </c>
      <c r="E256">
        <v>41</v>
      </c>
      <c r="F256">
        <v>0</v>
      </c>
      <c r="G256">
        <v>363</v>
      </c>
      <c r="H256">
        <v>0</v>
      </c>
      <c r="I256">
        <v>0</v>
      </c>
      <c r="J256">
        <v>0</v>
      </c>
      <c r="K256">
        <v>1272</v>
      </c>
      <c r="L256">
        <v>0</v>
      </c>
      <c r="M256">
        <v>583</v>
      </c>
      <c r="N256">
        <v>2761</v>
      </c>
      <c r="O256">
        <v>860</v>
      </c>
      <c r="P256">
        <v>5897</v>
      </c>
      <c r="Q256">
        <v>1</v>
      </c>
      <c r="R256">
        <v>572</v>
      </c>
      <c r="S256">
        <v>395</v>
      </c>
      <c r="T256">
        <v>242</v>
      </c>
      <c r="U256" s="128">
        <v>0</v>
      </c>
      <c r="V256" s="128">
        <v>358</v>
      </c>
      <c r="W256" s="128">
        <v>7284</v>
      </c>
      <c r="X256" s="128">
        <v>6926</v>
      </c>
      <c r="Y256" s="128">
        <v>476</v>
      </c>
      <c r="Z256" s="128">
        <v>287856</v>
      </c>
      <c r="AA256" s="128">
        <v>3541</v>
      </c>
      <c r="AB256" s="128">
        <v>944</v>
      </c>
      <c r="AC256" s="128" t="s">
        <v>135</v>
      </c>
      <c r="AD256" s="188">
        <f t="shared" ref="AD256:AD317" si="86">SUM(R256,-L256)/W256</f>
        <v>7.8528281164195496E-2</v>
      </c>
      <c r="AE256" s="188">
        <v>0.67119714442613954</v>
      </c>
      <c r="AF256" s="188">
        <v>4.983525535420099E-2</v>
      </c>
      <c r="AG256" s="188">
        <v>0</v>
      </c>
      <c r="AH256" s="188">
        <v>0.67717737506864362</v>
      </c>
      <c r="AI256" s="188">
        <v>0.25736390753169275</v>
      </c>
      <c r="AJ256" s="188">
        <v>4.9148819330038437E-2</v>
      </c>
      <c r="AK256" s="188">
        <v>-6.178600160901046E-2</v>
      </c>
      <c r="AL256" s="188">
        <v>-1.1764705882352941E-2</v>
      </c>
      <c r="AM256" s="129">
        <f t="shared" ref="AM256:AM317" si="87">COUNTIF(AJ256:AL256,"&lt;0")</f>
        <v>2</v>
      </c>
      <c r="AN256" s="188">
        <v>1.6337177375068644E-2</v>
      </c>
      <c r="AO256" s="188">
        <v>3.9518945634266889E-2</v>
      </c>
      <c r="AP256" s="188">
        <v>0.48613399231191651</v>
      </c>
      <c r="AQ256" s="128">
        <v>5253.2447033898306</v>
      </c>
      <c r="AR256" s="188">
        <v>-6.0000000000000001E-3</v>
      </c>
      <c r="AS256" s="188">
        <v>-3.1E-2</v>
      </c>
      <c r="AT256" s="256">
        <v>8</v>
      </c>
    </row>
    <row r="257" spans="1:46" x14ac:dyDescent="0.25">
      <c r="A257" t="s">
        <v>337</v>
      </c>
      <c r="B257">
        <v>482</v>
      </c>
      <c r="C257">
        <v>15968</v>
      </c>
      <c r="D257">
        <v>88563</v>
      </c>
      <c r="E257">
        <v>371</v>
      </c>
      <c r="F257">
        <v>0</v>
      </c>
      <c r="G257">
        <v>3926</v>
      </c>
      <c r="H257">
        <v>327</v>
      </c>
      <c r="I257">
        <v>6008</v>
      </c>
      <c r="J257">
        <v>1343</v>
      </c>
      <c r="K257">
        <v>23225</v>
      </c>
      <c r="L257">
        <v>1435</v>
      </c>
      <c r="M257">
        <v>2762</v>
      </c>
      <c r="N257">
        <v>38134</v>
      </c>
      <c r="O257">
        <v>20846</v>
      </c>
      <c r="P257">
        <v>72418</v>
      </c>
      <c r="Q257">
        <v>960</v>
      </c>
      <c r="R257">
        <v>0</v>
      </c>
      <c r="S257">
        <v>6684</v>
      </c>
      <c r="T257">
        <v>5369</v>
      </c>
      <c r="U257" s="128">
        <v>6</v>
      </c>
      <c r="V257" s="128">
        <v>-3127</v>
      </c>
      <c r="W257" s="128">
        <v>110357</v>
      </c>
      <c r="X257" s="128">
        <v>113484</v>
      </c>
      <c r="Y257" s="128">
        <v>12035</v>
      </c>
      <c r="Z257" s="128">
        <v>3733186</v>
      </c>
      <c r="AA257" s="128">
        <v>59641</v>
      </c>
      <c r="AB257" s="128">
        <v>33839</v>
      </c>
      <c r="AC257" s="128" t="s">
        <v>337</v>
      </c>
      <c r="AD257" s="188">
        <f t="shared" si="86"/>
        <v>-1.3003253078644762E-2</v>
      </c>
      <c r="AE257" s="188">
        <v>0.48711001567639572</v>
      </c>
      <c r="AF257" s="188">
        <v>3.557545058310755E-2</v>
      </c>
      <c r="AG257" s="188">
        <v>6.6611089464193488E-2</v>
      </c>
      <c r="AH257" s="188">
        <v>0.44475130712143318</v>
      </c>
      <c r="AI257" s="188">
        <v>0.26406575676368144</v>
      </c>
      <c r="AJ257" s="188">
        <v>-2.8335311760921373E-2</v>
      </c>
      <c r="AK257" s="188">
        <v>3.1660761229854839E-2</v>
      </c>
      <c r="AL257" s="188">
        <v>-4.5907612479850438E-2</v>
      </c>
      <c r="AM257" s="129">
        <f t="shared" si="87"/>
        <v>2</v>
      </c>
      <c r="AN257" s="188">
        <v>2.7263789338238625E-2</v>
      </c>
      <c r="AO257" s="188">
        <v>3.3828266444357859E-2</v>
      </c>
      <c r="AP257" s="188">
        <v>0.5404369455494441</v>
      </c>
      <c r="AQ257" s="128">
        <v>2316.5393480894827</v>
      </c>
      <c r="AR257" s="188">
        <v>2.7999999999999997E-2</v>
      </c>
      <c r="AS257" s="188">
        <v>0.14199999999999999</v>
      </c>
      <c r="AT257" s="256">
        <v>7.5</v>
      </c>
    </row>
    <row r="258" spans="1:46" x14ac:dyDescent="0.25">
      <c r="A258" t="s">
        <v>443</v>
      </c>
      <c r="B258">
        <v>359</v>
      </c>
      <c r="C258">
        <v>436703</v>
      </c>
      <c r="D258">
        <v>1367532</v>
      </c>
      <c r="E258">
        <v>104169</v>
      </c>
      <c r="F258">
        <v>94141</v>
      </c>
      <c r="G258">
        <v>76117</v>
      </c>
      <c r="H258">
        <v>122500</v>
      </c>
      <c r="I258">
        <v>35742</v>
      </c>
      <c r="J258">
        <v>449</v>
      </c>
      <c r="K258">
        <v>294028</v>
      </c>
      <c r="L258">
        <v>109473</v>
      </c>
      <c r="M258">
        <v>231577</v>
      </c>
      <c r="N258">
        <v>501259</v>
      </c>
      <c r="O258">
        <v>149146</v>
      </c>
      <c r="P258">
        <v>1448930</v>
      </c>
      <c r="Q258">
        <v>13660</v>
      </c>
      <c r="R258">
        <v>477000</v>
      </c>
      <c r="S258">
        <v>196663</v>
      </c>
      <c r="T258">
        <v>86132</v>
      </c>
      <c r="U258" s="128">
        <v>0</v>
      </c>
      <c r="V258" s="128">
        <v>-69868</v>
      </c>
      <c r="W258" s="128">
        <v>2392659</v>
      </c>
      <c r="X258" s="128">
        <v>2462527</v>
      </c>
      <c r="Y258" s="128">
        <v>399201</v>
      </c>
      <c r="Z258" s="128">
        <v>77778172</v>
      </c>
      <c r="AA258" s="128">
        <v>1738071</v>
      </c>
      <c r="AB258" s="128">
        <v>545339</v>
      </c>
      <c r="AC258" s="128" t="s">
        <v>443</v>
      </c>
      <c r="AD258" s="188">
        <f t="shared" si="86"/>
        <v>0.1536060926358499</v>
      </c>
      <c r="AE258" s="188">
        <v>0.54105035443830485</v>
      </c>
      <c r="AF258" s="188">
        <v>7.1158489362671398E-2</v>
      </c>
      <c r="AG258" s="188">
        <v>1.512584952556967E-2</v>
      </c>
      <c r="AH258" s="188">
        <v>0.53900127849392665</v>
      </c>
      <c r="AI258" s="188">
        <v>0.17448508244598457</v>
      </c>
      <c r="AJ258" s="188">
        <v>-2.9200985180086257E-2</v>
      </c>
      <c r="AK258" s="188">
        <v>-3.9593971753871429E-2</v>
      </c>
      <c r="AL258" s="188">
        <v>-6.73084162455789E-2</v>
      </c>
      <c r="AM258" s="129">
        <f t="shared" si="87"/>
        <v>3</v>
      </c>
      <c r="AN258" s="188">
        <v>4.1711021085746022E-2</v>
      </c>
      <c r="AO258" s="188">
        <v>3.2507002460442545E-2</v>
      </c>
      <c r="AP258" s="188">
        <v>0.72641818161300875</v>
      </c>
      <c r="AQ258" s="128">
        <v>2805.3748952486435</v>
      </c>
      <c r="AR258" s="188">
        <v>3.4000000000000002E-2</v>
      </c>
      <c r="AS258" s="188">
        <v>0.17199999999999999</v>
      </c>
      <c r="AT258" s="256">
        <v>4.5</v>
      </c>
    </row>
    <row r="259" spans="1:46" x14ac:dyDescent="0.25">
      <c r="A259" t="s">
        <v>480</v>
      </c>
      <c r="B259">
        <v>6098</v>
      </c>
      <c r="C259">
        <v>129670</v>
      </c>
      <c r="D259">
        <v>672698</v>
      </c>
      <c r="E259">
        <v>5849</v>
      </c>
      <c r="F259">
        <v>47732</v>
      </c>
      <c r="G259">
        <v>114905</v>
      </c>
      <c r="H259">
        <v>465</v>
      </c>
      <c r="I259">
        <v>30943</v>
      </c>
      <c r="J259">
        <v>487</v>
      </c>
      <c r="K259">
        <v>28511</v>
      </c>
      <c r="L259">
        <v>26061</v>
      </c>
      <c r="M259">
        <v>31551</v>
      </c>
      <c r="N259">
        <v>583588</v>
      </c>
      <c r="O259">
        <v>58240</v>
      </c>
      <c r="P259">
        <v>312087</v>
      </c>
      <c r="Q259">
        <v>1703</v>
      </c>
      <c r="R259">
        <v>40000</v>
      </c>
      <c r="S259">
        <v>21982</v>
      </c>
      <c r="T259">
        <v>77370</v>
      </c>
      <c r="U259" s="128">
        <v>-664</v>
      </c>
      <c r="V259" s="128">
        <v>492</v>
      </c>
      <c r="W259" s="128">
        <v>779244</v>
      </c>
      <c r="X259" s="128">
        <v>778752</v>
      </c>
      <c r="Y259" s="128">
        <v>115080</v>
      </c>
      <c r="Z259" s="128">
        <v>13646165</v>
      </c>
      <c r="AA259" s="128">
        <v>368518</v>
      </c>
      <c r="AB259" s="128">
        <v>155081</v>
      </c>
      <c r="AC259" s="128" t="s">
        <v>480</v>
      </c>
      <c r="AD259" s="188">
        <f t="shared" si="86"/>
        <v>1.7887850275395127E-2</v>
      </c>
      <c r="AE259" s="188">
        <v>0.26168568509991735</v>
      </c>
      <c r="AF259" s="188">
        <v>0.20871126373767396</v>
      </c>
      <c r="AG259" s="188">
        <v>4.0333964714518174E-2</v>
      </c>
      <c r="AH259" s="188">
        <v>0.25849726144827551</v>
      </c>
      <c r="AI259" s="188">
        <v>0.53297167958939518</v>
      </c>
      <c r="AJ259" s="188">
        <v>6.3138118484069178E-4</v>
      </c>
      <c r="AK259" s="188">
        <v>-4.8439267463700354E-3</v>
      </c>
      <c r="AL259" s="188">
        <v>-8.0778304206372833E-4</v>
      </c>
      <c r="AM259" s="129">
        <f t="shared" si="87"/>
        <v>2</v>
      </c>
      <c r="AN259" s="188">
        <v>3.692039977208679E-2</v>
      </c>
      <c r="AO259" s="188">
        <v>1.7512056557381257E-2</v>
      </c>
      <c r="AP259" s="188">
        <v>0.4729173403965895</v>
      </c>
      <c r="AQ259" s="128">
        <v>3072.7357058569391</v>
      </c>
      <c r="AR259" s="188">
        <v>2.6000000000000002E-2</v>
      </c>
      <c r="AS259" s="188">
        <v>0.13200000000000001</v>
      </c>
      <c r="AT259" s="256">
        <v>8</v>
      </c>
    </row>
    <row r="260" spans="1:46" x14ac:dyDescent="0.25">
      <c r="A260" t="s">
        <v>420</v>
      </c>
      <c r="B260">
        <v>0</v>
      </c>
      <c r="C260">
        <v>565</v>
      </c>
      <c r="D260">
        <v>21781</v>
      </c>
      <c r="E260">
        <v>95</v>
      </c>
      <c r="F260">
        <v>0</v>
      </c>
      <c r="G260">
        <v>1470</v>
      </c>
      <c r="H260">
        <v>0</v>
      </c>
      <c r="I260">
        <v>0</v>
      </c>
      <c r="J260">
        <v>0</v>
      </c>
      <c r="K260">
        <v>2073</v>
      </c>
      <c r="L260">
        <v>3047</v>
      </c>
      <c r="M260">
        <v>616</v>
      </c>
      <c r="N260">
        <v>13975</v>
      </c>
      <c r="O260">
        <v>2847</v>
      </c>
      <c r="P260">
        <v>9648</v>
      </c>
      <c r="Q260">
        <v>13</v>
      </c>
      <c r="R260">
        <v>11</v>
      </c>
      <c r="S260">
        <v>1040</v>
      </c>
      <c r="T260">
        <v>2113</v>
      </c>
      <c r="U260" s="128">
        <v>46</v>
      </c>
      <c r="V260" s="128">
        <v>542</v>
      </c>
      <c r="W260" s="128">
        <v>25938</v>
      </c>
      <c r="X260" s="128">
        <v>25396</v>
      </c>
      <c r="Y260" s="128">
        <v>1670</v>
      </c>
      <c r="Z260" s="128">
        <v>-155241</v>
      </c>
      <c r="AA260" s="128">
        <v>20044</v>
      </c>
      <c r="AB260" s="128">
        <v>10546</v>
      </c>
      <c r="AC260" s="128" t="s">
        <v>420</v>
      </c>
      <c r="AD260" s="188">
        <f t="shared" si="86"/>
        <v>-0.11704834605597965</v>
      </c>
      <c r="AE260" s="188">
        <v>0.21663196854036548</v>
      </c>
      <c r="AF260" s="188">
        <v>5.6673606291926901E-2</v>
      </c>
      <c r="AG260" s="188">
        <v>0</v>
      </c>
      <c r="AH260" s="188">
        <v>0.22343280129539672</v>
      </c>
      <c r="AI260" s="188">
        <v>0.47137990353155462</v>
      </c>
      <c r="AJ260" s="188">
        <v>2.0895982728043796E-2</v>
      </c>
      <c r="AK260" s="188">
        <v>-3.3191105276113894E-2</v>
      </c>
      <c r="AL260" s="188">
        <v>-2.4306378942376097E-2</v>
      </c>
      <c r="AM260" s="129">
        <f t="shared" si="87"/>
        <v>2</v>
      </c>
      <c r="AN260" s="188">
        <v>1.6096075256380599E-2</v>
      </c>
      <c r="AO260" s="188">
        <v>-5.9850798056904934E-3</v>
      </c>
      <c r="AP260" s="188">
        <v>0.7727658262009407</v>
      </c>
      <c r="AQ260" s="128">
        <v>1446.7313673430685</v>
      </c>
      <c r="AR260" s="188">
        <v>4.4000000000000004E-2</v>
      </c>
      <c r="AS260" s="188">
        <v>0.221</v>
      </c>
      <c r="AT260" s="256">
        <v>5.5</v>
      </c>
    </row>
    <row r="261" spans="1:46" x14ac:dyDescent="0.25">
      <c r="A261" t="s">
        <v>387</v>
      </c>
      <c r="B261">
        <v>5</v>
      </c>
      <c r="C261">
        <v>2673</v>
      </c>
      <c r="D261">
        <v>28061</v>
      </c>
      <c r="E261">
        <v>55</v>
      </c>
      <c r="F261">
        <v>0</v>
      </c>
      <c r="G261">
        <v>2117</v>
      </c>
      <c r="H261">
        <v>70</v>
      </c>
      <c r="I261">
        <v>2762</v>
      </c>
      <c r="J261">
        <v>0</v>
      </c>
      <c r="K261">
        <v>12347</v>
      </c>
      <c r="L261">
        <v>403</v>
      </c>
      <c r="M261">
        <v>4403</v>
      </c>
      <c r="N261">
        <v>16588</v>
      </c>
      <c r="O261">
        <v>14521</v>
      </c>
      <c r="P261">
        <v>3851</v>
      </c>
      <c r="Q261">
        <v>0</v>
      </c>
      <c r="R261">
        <v>5000</v>
      </c>
      <c r="S261">
        <v>11387</v>
      </c>
      <c r="T261">
        <v>1548</v>
      </c>
      <c r="U261" s="128">
        <v>7</v>
      </c>
      <c r="V261" s="128">
        <v>-5678</v>
      </c>
      <c r="W261" s="128">
        <v>63883</v>
      </c>
      <c r="X261" s="128">
        <v>69561</v>
      </c>
      <c r="Y261" s="128">
        <v>217</v>
      </c>
      <c r="Z261" s="128">
        <v>2136800</v>
      </c>
      <c r="AA261" s="128">
        <v>41679</v>
      </c>
      <c r="AB261" s="128">
        <v>29202</v>
      </c>
      <c r="AC261" s="128" t="s">
        <v>387</v>
      </c>
      <c r="AD261" s="188">
        <f t="shared" si="86"/>
        <v>7.1959676283205237E-2</v>
      </c>
      <c r="AE261" s="188">
        <v>3.8288746614905375E-2</v>
      </c>
      <c r="AF261" s="188">
        <v>3.3138706698182613E-2</v>
      </c>
      <c r="AG261" s="188">
        <v>4.3235289513642125E-2</v>
      </c>
      <c r="AH261" s="188">
        <v>1.20006887591378E-2</v>
      </c>
      <c r="AI261" s="188">
        <v>0.31360241988845827</v>
      </c>
      <c r="AJ261" s="188">
        <v>-8.888123600958002E-2</v>
      </c>
      <c r="AK261" s="188">
        <v>-2.8876669285153183E-2</v>
      </c>
      <c r="AL261" s="188">
        <v>-5.1882335986164711E-3</v>
      </c>
      <c r="AM261" s="129">
        <f t="shared" si="87"/>
        <v>3</v>
      </c>
      <c r="AN261" s="188">
        <v>8.4920870967236976E-4</v>
      </c>
      <c r="AO261" s="188">
        <v>3.3448648310192071E-2</v>
      </c>
      <c r="AP261" s="188">
        <v>0.65242709327990234</v>
      </c>
      <c r="AQ261" s="128">
        <v>1555.4198000136978</v>
      </c>
      <c r="AR261" s="188">
        <v>5.0999999999999997E-2</v>
      </c>
      <c r="AS261" s="188">
        <v>0.254</v>
      </c>
      <c r="AT261" s="256">
        <v>7</v>
      </c>
    </row>
    <row r="262" spans="1:46" x14ac:dyDescent="0.25">
      <c r="A262" t="s">
        <v>421</v>
      </c>
      <c r="B262">
        <v>25773</v>
      </c>
      <c r="C262">
        <v>20773</v>
      </c>
      <c r="D262">
        <v>327449</v>
      </c>
      <c r="E262">
        <v>3245</v>
      </c>
      <c r="F262">
        <v>128</v>
      </c>
      <c r="G262">
        <v>8308</v>
      </c>
      <c r="H262">
        <v>0</v>
      </c>
      <c r="I262">
        <v>9312</v>
      </c>
      <c r="J262">
        <v>19155</v>
      </c>
      <c r="K262">
        <v>20761</v>
      </c>
      <c r="L262">
        <v>5157</v>
      </c>
      <c r="M262">
        <v>12976</v>
      </c>
      <c r="N262">
        <v>57933</v>
      </c>
      <c r="O262">
        <v>9548</v>
      </c>
      <c r="P262">
        <v>335037</v>
      </c>
      <c r="Q262">
        <v>57</v>
      </c>
      <c r="R262">
        <v>5660</v>
      </c>
      <c r="S262">
        <v>17915</v>
      </c>
      <c r="T262">
        <v>26889</v>
      </c>
      <c r="U262" s="128">
        <v>174</v>
      </c>
      <c r="V262" s="128">
        <v>4107</v>
      </c>
      <c r="W262" s="128">
        <v>330716</v>
      </c>
      <c r="X262" s="128">
        <v>326609</v>
      </c>
      <c r="Y262" s="128">
        <v>46287</v>
      </c>
      <c r="Z262" s="128">
        <v>-23836058</v>
      </c>
      <c r="AA262" s="128">
        <v>209409</v>
      </c>
      <c r="AB262" s="128">
        <v>92487</v>
      </c>
      <c r="AC262" s="128" t="s">
        <v>421</v>
      </c>
      <c r="AD262" s="188">
        <f t="shared" si="86"/>
        <v>1.5209424400391878E-3</v>
      </c>
      <c r="AE262" s="188">
        <v>1.0227143531005456</v>
      </c>
      <c r="AF262" s="188">
        <v>2.5508291101730789E-2</v>
      </c>
      <c r="AG262" s="188">
        <v>8.6076875627426552E-2</v>
      </c>
      <c r="AH262" s="188">
        <v>0.96552153509355476</v>
      </c>
      <c r="AI262" s="188">
        <v>0.12787640799136499</v>
      </c>
      <c r="AJ262" s="188">
        <v>1.2418510141632096E-2</v>
      </c>
      <c r="AK262" s="188">
        <v>2.6407039362207123E-4</v>
      </c>
      <c r="AL262" s="188">
        <v>-3.3153244693374308E-2</v>
      </c>
      <c r="AM262" s="129">
        <f t="shared" si="87"/>
        <v>1</v>
      </c>
      <c r="AN262" s="188">
        <v>3.498999141257151E-2</v>
      </c>
      <c r="AO262" s="188">
        <v>-7.2074099831879929E-2</v>
      </c>
      <c r="AP262" s="188">
        <v>0.63319887758681159</v>
      </c>
      <c r="AQ262" s="128">
        <v>2295.9067220257984</v>
      </c>
      <c r="AR262" s="188">
        <v>1.6E-2</v>
      </c>
      <c r="AS262" s="188">
        <v>8.199999999999999E-2</v>
      </c>
      <c r="AT262" s="256">
        <v>6.5</v>
      </c>
    </row>
    <row r="263" spans="1:46" x14ac:dyDescent="0.25">
      <c r="A263" t="s">
        <v>318</v>
      </c>
      <c r="B263">
        <v>2668</v>
      </c>
      <c r="C263">
        <v>6719</v>
      </c>
      <c r="D263">
        <v>57422</v>
      </c>
      <c r="E263">
        <v>1166</v>
      </c>
      <c r="F263">
        <v>0</v>
      </c>
      <c r="G263">
        <v>2078</v>
      </c>
      <c r="H263">
        <v>0</v>
      </c>
      <c r="I263">
        <v>2780</v>
      </c>
      <c r="J263">
        <v>0</v>
      </c>
      <c r="K263">
        <v>7192</v>
      </c>
      <c r="L263">
        <v>3272</v>
      </c>
      <c r="M263">
        <v>4578</v>
      </c>
      <c r="N263">
        <v>28537</v>
      </c>
      <c r="O263">
        <v>10758</v>
      </c>
      <c r="P263">
        <v>32400</v>
      </c>
      <c r="Q263">
        <v>0</v>
      </c>
      <c r="R263">
        <v>0</v>
      </c>
      <c r="S263">
        <v>5845</v>
      </c>
      <c r="T263">
        <v>10335</v>
      </c>
      <c r="U263" s="128">
        <v>5</v>
      </c>
      <c r="V263" s="128">
        <v>-437</v>
      </c>
      <c r="W263" s="128">
        <v>68984</v>
      </c>
      <c r="X263" s="128">
        <v>69421</v>
      </c>
      <c r="Y263" s="128">
        <v>10420</v>
      </c>
      <c r="Z263" s="128">
        <v>2668140</v>
      </c>
      <c r="AA263" s="128">
        <v>48581</v>
      </c>
      <c r="AB263" s="128">
        <v>25214</v>
      </c>
      <c r="AC263" s="128" t="s">
        <v>318</v>
      </c>
      <c r="AD263" s="188">
        <f t="shared" si="86"/>
        <v>-4.7431288414704856E-2</v>
      </c>
      <c r="AE263" s="188">
        <v>0.4560477791951757</v>
      </c>
      <c r="AF263" s="188">
        <v>3.0122927055549111E-2</v>
      </c>
      <c r="AG263" s="188">
        <v>4.0299199814449731E-2</v>
      </c>
      <c r="AH263" s="188">
        <v>0.43145309057172676</v>
      </c>
      <c r="AI263" s="188">
        <v>0.32474537695590328</v>
      </c>
      <c r="AJ263" s="188">
        <v>-6.3348022729908388E-3</v>
      </c>
      <c r="AK263" s="188">
        <v>6.5327961923130761E-4</v>
      </c>
      <c r="AL263" s="188">
        <v>-7.9149344419571482E-3</v>
      </c>
      <c r="AM263" s="129">
        <f t="shared" si="87"/>
        <v>2</v>
      </c>
      <c r="AN263" s="188">
        <v>3.7762379682245155E-2</v>
      </c>
      <c r="AO263" s="188">
        <v>3.8677664385944568E-2</v>
      </c>
      <c r="AP263" s="188">
        <v>0.70423576481502959</v>
      </c>
      <c r="AQ263" s="128">
        <v>1844.5351788688824</v>
      </c>
      <c r="AR263" s="188">
        <v>3.4000000000000002E-2</v>
      </c>
      <c r="AS263" s="188">
        <v>0.17100000000000001</v>
      </c>
      <c r="AT263" s="256">
        <v>8</v>
      </c>
    </row>
    <row r="264" spans="1:46" x14ac:dyDescent="0.25">
      <c r="A264" t="s">
        <v>338</v>
      </c>
      <c r="B264">
        <v>197</v>
      </c>
      <c r="C264">
        <v>1769</v>
      </c>
      <c r="D264">
        <v>97218</v>
      </c>
      <c r="E264">
        <v>1276</v>
      </c>
      <c r="F264">
        <v>0</v>
      </c>
      <c r="G264">
        <v>1394</v>
      </c>
      <c r="H264">
        <v>0</v>
      </c>
      <c r="I264">
        <v>2530</v>
      </c>
      <c r="J264">
        <v>0</v>
      </c>
      <c r="K264">
        <v>7594</v>
      </c>
      <c r="L264">
        <v>1033</v>
      </c>
      <c r="M264">
        <v>4969</v>
      </c>
      <c r="N264">
        <v>26223</v>
      </c>
      <c r="O264">
        <v>15214</v>
      </c>
      <c r="P264">
        <v>61442</v>
      </c>
      <c r="Q264">
        <v>0</v>
      </c>
      <c r="R264">
        <v>5500</v>
      </c>
      <c r="S264">
        <v>3626</v>
      </c>
      <c r="T264">
        <v>5974</v>
      </c>
      <c r="U264" s="128">
        <v>2</v>
      </c>
      <c r="V264" s="128">
        <v>1633</v>
      </c>
      <c r="W264" s="128">
        <v>76845</v>
      </c>
      <c r="X264" s="128">
        <v>75212</v>
      </c>
      <c r="Y264" s="128">
        <v>4348</v>
      </c>
      <c r="Z264" s="128">
        <v>3107224</v>
      </c>
      <c r="AA264" s="128">
        <v>42814</v>
      </c>
      <c r="AB264" s="128">
        <v>23230</v>
      </c>
      <c r="AC264" s="128" t="s">
        <v>338</v>
      </c>
      <c r="AD264" s="188">
        <f t="shared" si="86"/>
        <v>5.8130001951981258E-2</v>
      </c>
      <c r="AE264" s="188">
        <v>0.80098900383889649</v>
      </c>
      <c r="AF264" s="188">
        <v>1.8140412518706486E-2</v>
      </c>
      <c r="AG264" s="188">
        <v>3.2923417268527558E-2</v>
      </c>
      <c r="AH264" s="188">
        <v>0.78011946125317189</v>
      </c>
      <c r="AI264" s="188">
        <v>0.22226836979462447</v>
      </c>
      <c r="AJ264" s="188">
        <v>2.1250569327867785E-2</v>
      </c>
      <c r="AK264" s="188">
        <v>5.5769075711559653E-3</v>
      </c>
      <c r="AL264" s="188">
        <v>1.0402874976357102E-2</v>
      </c>
      <c r="AM264" s="129">
        <f t="shared" si="87"/>
        <v>0</v>
      </c>
      <c r="AN264" s="188">
        <v>1.4145357537900969E-2</v>
      </c>
      <c r="AO264" s="188">
        <v>4.043495347777995E-2</v>
      </c>
      <c r="AP264" s="188">
        <v>0.55714750471728802</v>
      </c>
      <c r="AQ264" s="128">
        <v>2046.0343951786483</v>
      </c>
      <c r="AR264" s="188">
        <v>0.01</v>
      </c>
      <c r="AS264" s="188">
        <v>5.2000000000000005E-2</v>
      </c>
      <c r="AT264" s="256">
        <v>9</v>
      </c>
    </row>
    <row r="265" spans="1:46" x14ac:dyDescent="0.25">
      <c r="A265" t="s">
        <v>136</v>
      </c>
      <c r="B265">
        <v>0</v>
      </c>
      <c r="C265">
        <v>10836</v>
      </c>
      <c r="D265">
        <v>173217</v>
      </c>
      <c r="E265">
        <v>450</v>
      </c>
      <c r="F265">
        <v>363</v>
      </c>
      <c r="G265">
        <v>8566</v>
      </c>
      <c r="H265">
        <v>0</v>
      </c>
      <c r="I265">
        <v>60</v>
      </c>
      <c r="J265">
        <v>59</v>
      </c>
      <c r="K265">
        <v>17407</v>
      </c>
      <c r="L265">
        <v>13</v>
      </c>
      <c r="M265">
        <v>5407</v>
      </c>
      <c r="N265">
        <v>63007</v>
      </c>
      <c r="O265">
        <v>10613</v>
      </c>
      <c r="P265">
        <v>87160</v>
      </c>
      <c r="Q265">
        <v>61</v>
      </c>
      <c r="R265">
        <v>33874</v>
      </c>
      <c r="S265">
        <v>4349</v>
      </c>
      <c r="T265">
        <v>17315</v>
      </c>
      <c r="U265" s="128">
        <v>-6</v>
      </c>
      <c r="V265" s="128">
        <v>-11355</v>
      </c>
      <c r="W265" s="128">
        <v>187219</v>
      </c>
      <c r="X265" s="128">
        <v>198574</v>
      </c>
      <c r="Y265" s="128">
        <v>16729</v>
      </c>
      <c r="Z265" s="128">
        <v>-937026</v>
      </c>
      <c r="AA265" s="128">
        <v>137091</v>
      </c>
      <c r="AB265" s="128">
        <v>56214</v>
      </c>
      <c r="AC265" s="128" t="s">
        <v>136</v>
      </c>
      <c r="AD265" s="188">
        <f t="shared" si="86"/>
        <v>0.1808630534294062</v>
      </c>
      <c r="AE265" s="188">
        <v>0.59290456631004329</v>
      </c>
      <c r="AF265" s="188">
        <v>4.7692808956355928E-2</v>
      </c>
      <c r="AG265" s="188">
        <v>6.356192480464056E-4</v>
      </c>
      <c r="AH265" s="188">
        <v>0.59818276991117347</v>
      </c>
      <c r="AI265" s="188">
        <v>0.29118814672403515</v>
      </c>
      <c r="AJ265" s="188">
        <v>-6.0650895475352393E-2</v>
      </c>
      <c r="AK265" s="188">
        <v>-3.3655646726362738E-2</v>
      </c>
      <c r="AL265" s="188">
        <v>-6.8647962874344798E-2</v>
      </c>
      <c r="AM265" s="129">
        <f t="shared" si="87"/>
        <v>3</v>
      </c>
      <c r="AN265" s="188">
        <v>2.233881176589983E-2</v>
      </c>
      <c r="AO265" s="188">
        <v>-5.0049727858817745E-3</v>
      </c>
      <c r="AP265" s="188">
        <v>0.73224939776411579</v>
      </c>
      <c r="AQ265" s="128">
        <v>2183.6803287437292</v>
      </c>
      <c r="AR265" s="188">
        <v>4.9000000000000002E-2</v>
      </c>
      <c r="AS265" s="188">
        <v>0.24299999999999999</v>
      </c>
      <c r="AT265" s="256">
        <v>4.5</v>
      </c>
    </row>
    <row r="266" spans="1:46" x14ac:dyDescent="0.25">
      <c r="A266" t="s">
        <v>229</v>
      </c>
      <c r="B266">
        <v>521</v>
      </c>
      <c r="C266">
        <v>4275</v>
      </c>
      <c r="D266">
        <v>77609</v>
      </c>
      <c r="E266">
        <v>0</v>
      </c>
      <c r="F266">
        <v>364</v>
      </c>
      <c r="G266">
        <v>2800</v>
      </c>
      <c r="H266">
        <v>120</v>
      </c>
      <c r="I266">
        <v>3251</v>
      </c>
      <c r="J266">
        <v>4</v>
      </c>
      <c r="K266">
        <v>15523</v>
      </c>
      <c r="L266">
        <v>331</v>
      </c>
      <c r="M266">
        <v>9623</v>
      </c>
      <c r="N266">
        <v>47540</v>
      </c>
      <c r="O266">
        <v>9163</v>
      </c>
      <c r="P266">
        <v>34804</v>
      </c>
      <c r="Q266">
        <v>1</v>
      </c>
      <c r="R266">
        <v>9700</v>
      </c>
      <c r="S266">
        <v>3944</v>
      </c>
      <c r="T266">
        <v>9267</v>
      </c>
      <c r="U266" s="128">
        <v>3</v>
      </c>
      <c r="V266" s="128">
        <v>-3946</v>
      </c>
      <c r="W266" s="128">
        <v>108594</v>
      </c>
      <c r="X266" s="128">
        <v>112540</v>
      </c>
      <c r="Y266" s="128">
        <v>5693</v>
      </c>
      <c r="Z266" s="128">
        <v>7240583</v>
      </c>
      <c r="AA266" s="128">
        <v>72012</v>
      </c>
      <c r="AB266" s="128">
        <v>46620</v>
      </c>
      <c r="AC266" s="128" t="s">
        <v>229</v>
      </c>
      <c r="AD266" s="188">
        <f t="shared" si="86"/>
        <v>8.6275484833416211E-2</v>
      </c>
      <c r="AE266" s="188">
        <v>0.26663535738622762</v>
      </c>
      <c r="AF266" s="188">
        <v>2.9136048032119638E-2</v>
      </c>
      <c r="AG266" s="188">
        <v>2.9974031714459361E-2</v>
      </c>
      <c r="AH266" s="188">
        <v>0.24914986094996042</v>
      </c>
      <c r="AI266" s="188">
        <v>0.41549043428101978</v>
      </c>
      <c r="AJ266" s="188">
        <v>-3.6337182533104959E-2</v>
      </c>
      <c r="AK266" s="188">
        <v>-1.3415475603745687E-2</v>
      </c>
      <c r="AL266" s="188">
        <v>-1.6829191569675998E-2</v>
      </c>
      <c r="AM266" s="129">
        <f t="shared" si="87"/>
        <v>3</v>
      </c>
      <c r="AN266" s="188">
        <v>1.3106156877912223E-2</v>
      </c>
      <c r="AO266" s="188">
        <v>6.6675718732158315E-2</v>
      </c>
      <c r="AP266" s="188">
        <v>0.66313055969943091</v>
      </c>
      <c r="AQ266" s="128">
        <v>1625.9684899184899</v>
      </c>
      <c r="AR266" s="188">
        <v>3.4000000000000002E-2</v>
      </c>
      <c r="AS266" s="188">
        <v>0.16899999999999998</v>
      </c>
      <c r="AT266" s="256">
        <v>7.5</v>
      </c>
    </row>
    <row r="267" spans="1:46" x14ac:dyDescent="0.25">
      <c r="A267" t="s">
        <v>388</v>
      </c>
      <c r="B267">
        <v>0</v>
      </c>
      <c r="C267">
        <v>7599</v>
      </c>
      <c r="D267">
        <v>30707</v>
      </c>
      <c r="E267">
        <v>37</v>
      </c>
      <c r="F267">
        <v>0</v>
      </c>
      <c r="G267">
        <v>5012</v>
      </c>
      <c r="H267">
        <v>14981</v>
      </c>
      <c r="I267">
        <v>5199</v>
      </c>
      <c r="J267">
        <v>0</v>
      </c>
      <c r="K267">
        <v>10835</v>
      </c>
      <c r="L267">
        <v>17</v>
      </c>
      <c r="M267">
        <v>2597</v>
      </c>
      <c r="N267">
        <v>55676</v>
      </c>
      <c r="O267">
        <v>5887</v>
      </c>
      <c r="P267">
        <v>6000</v>
      </c>
      <c r="Q267">
        <v>266</v>
      </c>
      <c r="R267">
        <v>105</v>
      </c>
      <c r="S267">
        <v>5442</v>
      </c>
      <c r="T267">
        <v>3608</v>
      </c>
      <c r="U267" s="128">
        <v>3</v>
      </c>
      <c r="V267" s="128">
        <v>-6167</v>
      </c>
      <c r="W267" s="128">
        <v>46652</v>
      </c>
      <c r="X267" s="128">
        <v>52819</v>
      </c>
      <c r="Y267" s="128">
        <v>4049</v>
      </c>
      <c r="Z267" s="128">
        <v>1870627</v>
      </c>
      <c r="AA267" s="128">
        <v>28428</v>
      </c>
      <c r="AB267" s="128">
        <v>19395</v>
      </c>
      <c r="AC267" s="128" t="s">
        <v>388</v>
      </c>
      <c r="AD267" s="188">
        <f t="shared" si="86"/>
        <v>1.8863071250964588E-3</v>
      </c>
      <c r="AE267" s="188">
        <v>-0.38628568978821914</v>
      </c>
      <c r="AF267" s="188">
        <v>0.10743376489753922</v>
      </c>
      <c r="AG267" s="188">
        <v>0.11144216753836921</v>
      </c>
      <c r="AH267" s="188">
        <v>-0.4514031552773729</v>
      </c>
      <c r="AI267" s="188">
        <v>0.72321521355086771</v>
      </c>
      <c r="AJ267" s="188">
        <v>-0.13219154591443025</v>
      </c>
      <c r="AK267" s="188">
        <v>-1.8486798128342245E-2</v>
      </c>
      <c r="AL267" s="188">
        <v>5.0775407384082497E-3</v>
      </c>
      <c r="AM267" s="129">
        <f t="shared" si="87"/>
        <v>2</v>
      </c>
      <c r="AN267" s="188">
        <v>2.169789076566921E-2</v>
      </c>
      <c r="AO267" s="188">
        <v>4.0097466346566066E-2</v>
      </c>
      <c r="AP267" s="188">
        <v>0.60936294263911517</v>
      </c>
      <c r="AQ267" s="128">
        <v>1837.3884506316065</v>
      </c>
      <c r="AR267" s="188">
        <v>6.6000000000000003E-2</v>
      </c>
      <c r="AS267" s="188">
        <v>0.33</v>
      </c>
      <c r="AT267" s="256">
        <v>6</v>
      </c>
    </row>
    <row r="268" spans="1:46" x14ac:dyDescent="0.25">
      <c r="A268" t="s">
        <v>389</v>
      </c>
      <c r="B268">
        <v>1856</v>
      </c>
      <c r="C268">
        <v>2104</v>
      </c>
      <c r="D268">
        <v>39534</v>
      </c>
      <c r="E268">
        <v>-9</v>
      </c>
      <c r="F268">
        <v>-8</v>
      </c>
      <c r="G268">
        <v>1160</v>
      </c>
      <c r="H268">
        <v>0</v>
      </c>
      <c r="I268">
        <v>657</v>
      </c>
      <c r="J268">
        <v>11</v>
      </c>
      <c r="K268">
        <v>4587</v>
      </c>
      <c r="L268">
        <v>2</v>
      </c>
      <c r="M268">
        <v>393</v>
      </c>
      <c r="N268">
        <v>38989</v>
      </c>
      <c r="O268">
        <v>4730</v>
      </c>
      <c r="P268">
        <v>2226</v>
      </c>
      <c r="Q268">
        <v>12</v>
      </c>
      <c r="R268">
        <v>352</v>
      </c>
      <c r="S268">
        <v>1701</v>
      </c>
      <c r="T268">
        <v>2276</v>
      </c>
      <c r="U268" s="128">
        <v>2</v>
      </c>
      <c r="V268" s="128">
        <v>-1320</v>
      </c>
      <c r="W268" s="128">
        <v>41177</v>
      </c>
      <c r="X268" s="128">
        <v>42497</v>
      </c>
      <c r="Y268" s="128">
        <v>12226</v>
      </c>
      <c r="Z268" s="128">
        <v>3017180</v>
      </c>
      <c r="AA268" s="128">
        <v>22292</v>
      </c>
      <c r="AB268" s="128">
        <v>17279</v>
      </c>
      <c r="AC268" s="128" t="s">
        <v>389</v>
      </c>
      <c r="AD268" s="188">
        <f t="shared" si="86"/>
        <v>8.4998907156907978E-3</v>
      </c>
      <c r="AE268" s="188">
        <v>1.051557908541176E-2</v>
      </c>
      <c r="AF268" s="188">
        <v>2.7976783155645141E-2</v>
      </c>
      <c r="AG268" s="188">
        <v>1.6222648565947011E-2</v>
      </c>
      <c r="AH268" s="188">
        <v>2.5169390679262698E-3</v>
      </c>
      <c r="AI268" s="188">
        <v>0.77534502644871339</v>
      </c>
      <c r="AJ268" s="188">
        <v>-3.2056730699176722E-2</v>
      </c>
      <c r="AK268" s="188">
        <v>2.9276348713842458E-2</v>
      </c>
      <c r="AL268" s="188">
        <v>1.3880454584887654E-2</v>
      </c>
      <c r="AM268" s="129">
        <f t="shared" si="87"/>
        <v>1</v>
      </c>
      <c r="AN268" s="188">
        <v>7.4228331350025503E-2</v>
      </c>
      <c r="AO268" s="188">
        <v>7.3273429341622745E-2</v>
      </c>
      <c r="AP268" s="188">
        <v>0.54137018238336931</v>
      </c>
      <c r="AQ268" s="128">
        <v>1494.3919787024713</v>
      </c>
      <c r="AR268" s="188">
        <v>4.8000000000000001E-2</v>
      </c>
      <c r="AS268" s="188">
        <v>0.24</v>
      </c>
      <c r="AT268" s="256">
        <v>7.5</v>
      </c>
    </row>
    <row r="269" spans="1:46" x14ac:dyDescent="0.25">
      <c r="A269" t="s">
        <v>125</v>
      </c>
      <c r="B269">
        <v>2936</v>
      </c>
      <c r="C269">
        <v>2796</v>
      </c>
      <c r="D269">
        <v>83760</v>
      </c>
      <c r="E269">
        <v>651</v>
      </c>
      <c r="F269">
        <v>0</v>
      </c>
      <c r="G269">
        <v>3687</v>
      </c>
      <c r="H269">
        <v>3</v>
      </c>
      <c r="I269">
        <v>514</v>
      </c>
      <c r="J269">
        <v>0</v>
      </c>
      <c r="K269">
        <v>8762</v>
      </c>
      <c r="L269">
        <v>654</v>
      </c>
      <c r="M269">
        <v>5911</v>
      </c>
      <c r="N269">
        <v>40764</v>
      </c>
      <c r="O269">
        <v>6550</v>
      </c>
      <c r="P269">
        <v>37340</v>
      </c>
      <c r="Q269">
        <v>5</v>
      </c>
      <c r="R269">
        <v>11769</v>
      </c>
      <c r="S269">
        <v>8721</v>
      </c>
      <c r="T269">
        <v>4526</v>
      </c>
      <c r="U269" s="128">
        <v>-6</v>
      </c>
      <c r="V269" s="128">
        <v>-7215</v>
      </c>
      <c r="W269" s="128">
        <v>111900</v>
      </c>
      <c r="X269" s="128">
        <v>119115</v>
      </c>
      <c r="Y269" s="128">
        <v>15940</v>
      </c>
      <c r="Z269" s="128">
        <v>-750143</v>
      </c>
      <c r="AA269" s="128">
        <v>91581</v>
      </c>
      <c r="AB269" s="128">
        <v>31708</v>
      </c>
      <c r="AC269" s="128" t="s">
        <v>125</v>
      </c>
      <c r="AD269" s="188">
        <f t="shared" si="86"/>
        <v>9.9329758713136734E-2</v>
      </c>
      <c r="AE269" s="188">
        <v>0.38734584450402143</v>
      </c>
      <c r="AF269" s="188">
        <v>3.2949061662198388E-2</v>
      </c>
      <c r="AG269" s="188">
        <v>4.593386952636282E-3</v>
      </c>
      <c r="AH269" s="188">
        <v>0.38808436103663979</v>
      </c>
      <c r="AI269" s="188">
        <v>0.37167996352860727</v>
      </c>
      <c r="AJ269" s="188">
        <v>-6.4477211796246645E-2</v>
      </c>
      <c r="AK269" s="188">
        <v>-3.3112461225014225E-2</v>
      </c>
      <c r="AL269" s="188">
        <v>-4.1963854775567112E-2</v>
      </c>
      <c r="AM269" s="129">
        <f t="shared" si="87"/>
        <v>3</v>
      </c>
      <c r="AN269" s="188">
        <v>3.5612153708668451E-2</v>
      </c>
      <c r="AO269" s="188">
        <v>-6.7036907953529944E-3</v>
      </c>
      <c r="AP269" s="188">
        <v>0.81841823056300267</v>
      </c>
      <c r="AQ269" s="128">
        <v>2240.5710230856566</v>
      </c>
      <c r="AR269" s="188">
        <v>0.06</v>
      </c>
      <c r="AS269" s="188">
        <v>0.29799999999999999</v>
      </c>
      <c r="AT269" s="256">
        <v>4.5</v>
      </c>
    </row>
    <row r="270" spans="1:46" x14ac:dyDescent="0.25">
      <c r="A270" t="s">
        <v>158</v>
      </c>
      <c r="B270">
        <v>11</v>
      </c>
      <c r="C270">
        <v>6658</v>
      </c>
      <c r="D270">
        <v>22351</v>
      </c>
      <c r="E270">
        <v>184</v>
      </c>
      <c r="F270">
        <v>541</v>
      </c>
      <c r="G270">
        <v>1212</v>
      </c>
      <c r="H270">
        <v>0</v>
      </c>
      <c r="I270">
        <v>516</v>
      </c>
      <c r="J270">
        <v>0</v>
      </c>
      <c r="K270">
        <v>22809</v>
      </c>
      <c r="L270">
        <v>257</v>
      </c>
      <c r="M270">
        <v>1433</v>
      </c>
      <c r="N270">
        <v>49901</v>
      </c>
      <c r="O270">
        <v>2631</v>
      </c>
      <c r="P270">
        <v>144</v>
      </c>
      <c r="Q270">
        <v>0</v>
      </c>
      <c r="R270">
        <v>0</v>
      </c>
      <c r="S270">
        <v>772</v>
      </c>
      <c r="T270">
        <v>2524</v>
      </c>
      <c r="U270" s="128">
        <v>-1</v>
      </c>
      <c r="V270" s="128">
        <v>-3372</v>
      </c>
      <c r="W270" s="128">
        <v>35580</v>
      </c>
      <c r="X270" s="128">
        <v>38952</v>
      </c>
      <c r="Y270" s="128">
        <v>4154</v>
      </c>
      <c r="Z270" s="128">
        <v>1684254</v>
      </c>
      <c r="AA270" s="128">
        <v>23921</v>
      </c>
      <c r="AB270" s="128">
        <v>17123</v>
      </c>
      <c r="AC270" s="128" t="s">
        <v>158</v>
      </c>
      <c r="AD270" s="188">
        <f t="shared" si="86"/>
        <v>-7.2231590781337831E-3</v>
      </c>
      <c r="AE270" s="188">
        <v>-0.64114671163575043</v>
      </c>
      <c r="AF270" s="188">
        <v>4.9269252388982575E-2</v>
      </c>
      <c r="AG270" s="188">
        <v>1.4502529510961214E-2</v>
      </c>
      <c r="AH270" s="188">
        <v>-0.64538617200674531</v>
      </c>
      <c r="AI270" s="188">
        <v>0.89153505324090621</v>
      </c>
      <c r="AJ270" s="188">
        <v>-9.4772344013490731E-2</v>
      </c>
      <c r="AK270" s="188">
        <v>4.5414298363371512E-2</v>
      </c>
      <c r="AL270" s="188">
        <v>-3.3876891435287201E-2</v>
      </c>
      <c r="AM270" s="129">
        <f t="shared" si="87"/>
        <v>2</v>
      </c>
      <c r="AN270" s="188">
        <v>2.9187745924676784E-2</v>
      </c>
      <c r="AO270" s="188">
        <v>4.7337099494097805E-2</v>
      </c>
      <c r="AP270" s="188">
        <v>0.67231590781337836</v>
      </c>
      <c r="AQ270" s="128">
        <v>1486.1910880102785</v>
      </c>
      <c r="AR270" s="188">
        <v>6.0999999999999999E-2</v>
      </c>
      <c r="AS270" s="188">
        <v>0.30499999999999999</v>
      </c>
      <c r="AT270" s="256">
        <v>6.5</v>
      </c>
    </row>
    <row r="271" spans="1:46" x14ac:dyDescent="0.25">
      <c r="A271" t="s">
        <v>272</v>
      </c>
      <c r="B271">
        <v>313</v>
      </c>
      <c r="C271">
        <v>10905</v>
      </c>
      <c r="D271">
        <v>39035</v>
      </c>
      <c r="E271">
        <v>116</v>
      </c>
      <c r="F271">
        <v>0</v>
      </c>
      <c r="G271">
        <v>25104</v>
      </c>
      <c r="H271">
        <v>0</v>
      </c>
      <c r="I271">
        <v>1347</v>
      </c>
      <c r="J271">
        <v>3</v>
      </c>
      <c r="K271">
        <v>2211</v>
      </c>
      <c r="L271">
        <v>2123</v>
      </c>
      <c r="M271">
        <v>4937</v>
      </c>
      <c r="N271">
        <v>16534</v>
      </c>
      <c r="O271">
        <v>7188</v>
      </c>
      <c r="P271">
        <v>53499</v>
      </c>
      <c r="Q271">
        <v>-4</v>
      </c>
      <c r="R271">
        <v>0</v>
      </c>
      <c r="S271">
        <v>5904</v>
      </c>
      <c r="T271">
        <v>2976</v>
      </c>
      <c r="U271" s="128">
        <v>-4</v>
      </c>
      <c r="V271" s="128">
        <v>-3478</v>
      </c>
      <c r="W271" s="128">
        <v>50856</v>
      </c>
      <c r="X271" s="128">
        <v>54334</v>
      </c>
      <c r="Y271" s="128">
        <v>2664</v>
      </c>
      <c r="Z271" s="128">
        <v>1479665</v>
      </c>
      <c r="AA271" s="128">
        <v>36574</v>
      </c>
      <c r="AB271" s="128">
        <v>21718</v>
      </c>
      <c r="AC271" s="128" t="s">
        <v>272</v>
      </c>
      <c r="AD271" s="188">
        <f t="shared" si="86"/>
        <v>-4.1745320119553252E-2</v>
      </c>
      <c r="AE271" s="188">
        <v>0.55057417020607202</v>
      </c>
      <c r="AF271" s="188">
        <v>0.49362907031618686</v>
      </c>
      <c r="AG271" s="188">
        <v>2.6545540349221332E-2</v>
      </c>
      <c r="AH271" s="188">
        <v>0.59122778039955959</v>
      </c>
      <c r="AI271" s="188">
        <v>0.19203921158693102</v>
      </c>
      <c r="AJ271" s="188">
        <v>-6.8389177284882807E-2</v>
      </c>
      <c r="AK271" s="188">
        <v>-8.7040328971322092E-2</v>
      </c>
      <c r="AL271" s="188">
        <v>-0.18903647480497576</v>
      </c>
      <c r="AM271" s="129">
        <f t="shared" si="87"/>
        <v>3</v>
      </c>
      <c r="AN271" s="188">
        <v>1.3095799905615857E-2</v>
      </c>
      <c r="AO271" s="188">
        <v>2.9095190341355985E-2</v>
      </c>
      <c r="AP271" s="188">
        <v>0.71916784646845999</v>
      </c>
      <c r="AQ271" s="128">
        <v>1642.5993185376185</v>
      </c>
      <c r="AR271" s="188">
        <v>5.0999999999999997E-2</v>
      </c>
      <c r="AS271" s="188">
        <v>0.254</v>
      </c>
      <c r="AT271" s="256">
        <v>6</v>
      </c>
    </row>
    <row r="272" spans="1:46" x14ac:dyDescent="0.25">
      <c r="A272" t="s">
        <v>390</v>
      </c>
      <c r="B272">
        <v>0</v>
      </c>
      <c r="C272">
        <v>6322</v>
      </c>
      <c r="D272">
        <v>41482</v>
      </c>
      <c r="E272">
        <v>135</v>
      </c>
      <c r="F272">
        <v>0</v>
      </c>
      <c r="G272">
        <v>2863</v>
      </c>
      <c r="H272">
        <v>0</v>
      </c>
      <c r="I272">
        <v>-822</v>
      </c>
      <c r="J272">
        <v>0</v>
      </c>
      <c r="K272">
        <v>7410</v>
      </c>
      <c r="L272">
        <v>7471</v>
      </c>
      <c r="M272">
        <v>309</v>
      </c>
      <c r="N272">
        <v>36994</v>
      </c>
      <c r="O272">
        <v>19484</v>
      </c>
      <c r="P272">
        <v>0</v>
      </c>
      <c r="Q272">
        <v>2</v>
      </c>
      <c r="R272">
        <v>6369</v>
      </c>
      <c r="S272">
        <v>74</v>
      </c>
      <c r="T272">
        <v>2199</v>
      </c>
      <c r="U272" s="128">
        <v>48</v>
      </c>
      <c r="V272" s="128">
        <v>-2234</v>
      </c>
      <c r="W272" s="128">
        <v>60838</v>
      </c>
      <c r="X272" s="128">
        <v>63072</v>
      </c>
      <c r="Y272" s="128">
        <v>8211</v>
      </c>
      <c r="Z272" s="128">
        <v>1542590</v>
      </c>
      <c r="AA272" s="128">
        <v>43133</v>
      </c>
      <c r="AB272" s="128">
        <v>24626</v>
      </c>
      <c r="AC272" s="128" t="s">
        <v>390</v>
      </c>
      <c r="AD272" s="188">
        <f t="shared" si="86"/>
        <v>-1.811367895065584E-2</v>
      </c>
      <c r="AE272" s="188">
        <v>-0.1546566290805089</v>
      </c>
      <c r="AF272" s="188">
        <v>4.7059403662184821E-2</v>
      </c>
      <c r="AG272" s="188">
        <v>-1.3511292284427497E-2</v>
      </c>
      <c r="AH272" s="188">
        <v>-0.13955159604194745</v>
      </c>
      <c r="AI272" s="188">
        <v>0.56807223365375759</v>
      </c>
      <c r="AJ272" s="188">
        <v>-3.6720470758407571E-2</v>
      </c>
      <c r="AK272" s="188">
        <v>5.8577840938631911E-3</v>
      </c>
      <c r="AL272" s="188">
        <v>-3.2886885028510809E-2</v>
      </c>
      <c r="AM272" s="129">
        <f t="shared" si="87"/>
        <v>2</v>
      </c>
      <c r="AN272" s="188">
        <v>3.3741247246786545E-2</v>
      </c>
      <c r="AO272" s="188">
        <v>2.5355698740918503E-2</v>
      </c>
      <c r="AP272" s="188">
        <v>0.70898122883723991</v>
      </c>
      <c r="AQ272" s="128">
        <v>1657.6467554617072</v>
      </c>
      <c r="AR272" s="188">
        <v>4.9000000000000002E-2</v>
      </c>
      <c r="AS272" s="188">
        <v>0.24600000000000002</v>
      </c>
      <c r="AT272" s="256">
        <v>8</v>
      </c>
    </row>
    <row r="273" spans="1:46" x14ac:dyDescent="0.25">
      <c r="A273" t="s">
        <v>159</v>
      </c>
      <c r="B273">
        <v>0</v>
      </c>
      <c r="C273">
        <v>4476</v>
      </c>
      <c r="D273">
        <v>94774</v>
      </c>
      <c r="E273">
        <v>1246</v>
      </c>
      <c r="F273">
        <v>1539</v>
      </c>
      <c r="G273">
        <v>8174</v>
      </c>
      <c r="H273">
        <v>0</v>
      </c>
      <c r="I273">
        <v>14851</v>
      </c>
      <c r="J273">
        <v>461</v>
      </c>
      <c r="K273">
        <v>9079</v>
      </c>
      <c r="L273">
        <v>271</v>
      </c>
      <c r="M273">
        <v>4080</v>
      </c>
      <c r="N273">
        <v>45793</v>
      </c>
      <c r="O273">
        <v>11730</v>
      </c>
      <c r="P273">
        <v>65860</v>
      </c>
      <c r="Q273">
        <v>276</v>
      </c>
      <c r="R273">
        <v>4504</v>
      </c>
      <c r="S273">
        <v>7983</v>
      </c>
      <c r="T273">
        <v>2804</v>
      </c>
      <c r="U273" s="128">
        <v>0</v>
      </c>
      <c r="V273" s="128">
        <v>-4009</v>
      </c>
      <c r="W273" s="128">
        <v>125583</v>
      </c>
      <c r="X273" s="128">
        <v>129592</v>
      </c>
      <c r="Y273" s="128">
        <v>7084</v>
      </c>
      <c r="Z273" s="128">
        <v>4397785.0000000019</v>
      </c>
      <c r="AA273" s="128">
        <v>85516</v>
      </c>
      <c r="AB273" s="128">
        <v>44156</v>
      </c>
      <c r="AC273" s="128" t="s">
        <v>159</v>
      </c>
      <c r="AD273" s="188">
        <f t="shared" si="86"/>
        <v>3.3706791524330523E-2</v>
      </c>
      <c r="AE273" s="188">
        <v>0.46410740307207188</v>
      </c>
      <c r="AF273" s="188">
        <v>7.7343270984130019E-2</v>
      </c>
      <c r="AG273" s="188">
        <v>0.12192733092854925</v>
      </c>
      <c r="AH273" s="188">
        <v>0.38803946394018302</v>
      </c>
      <c r="AI273" s="188">
        <v>0.32956459157970491</v>
      </c>
      <c r="AJ273" s="188">
        <v>-3.1923110612105142E-2</v>
      </c>
      <c r="AK273" s="188">
        <v>3.2573832632148956E-3</v>
      </c>
      <c r="AL273" s="188">
        <v>-4.4681409384765856E-2</v>
      </c>
      <c r="AM273" s="129">
        <f t="shared" si="87"/>
        <v>2</v>
      </c>
      <c r="AN273" s="188">
        <v>1.4102227212281918E-2</v>
      </c>
      <c r="AO273" s="188">
        <v>3.5018951609692407E-2</v>
      </c>
      <c r="AP273" s="188">
        <v>0.68095203968690032</v>
      </c>
      <c r="AQ273" s="128">
        <v>1930.8153818280641</v>
      </c>
      <c r="AR273" s="188">
        <v>4.0999999999999995E-2</v>
      </c>
      <c r="AS273" s="188">
        <v>0.20499999999999999</v>
      </c>
      <c r="AT273" s="256">
        <v>8</v>
      </c>
    </row>
    <row r="274" spans="1:46" x14ac:dyDescent="0.25">
      <c r="A274" t="s">
        <v>422</v>
      </c>
      <c r="B274">
        <v>50</v>
      </c>
      <c r="C274">
        <v>5845</v>
      </c>
      <c r="D274">
        <v>78107</v>
      </c>
      <c r="E274">
        <v>668</v>
      </c>
      <c r="F274">
        <v>0</v>
      </c>
      <c r="G274">
        <v>6587</v>
      </c>
      <c r="H274">
        <v>0</v>
      </c>
      <c r="I274">
        <v>-9</v>
      </c>
      <c r="J274">
        <v>3</v>
      </c>
      <c r="K274">
        <v>5883</v>
      </c>
      <c r="L274">
        <v>134</v>
      </c>
      <c r="M274">
        <v>667</v>
      </c>
      <c r="N274">
        <v>27731</v>
      </c>
      <c r="O274">
        <v>5641</v>
      </c>
      <c r="P274">
        <v>48235</v>
      </c>
      <c r="Q274">
        <v>63</v>
      </c>
      <c r="R274">
        <v>7004</v>
      </c>
      <c r="S274">
        <v>4687</v>
      </c>
      <c r="T274">
        <v>4574</v>
      </c>
      <c r="U274" s="128">
        <v>-4</v>
      </c>
      <c r="V274" s="128">
        <v>-4667</v>
      </c>
      <c r="W274" s="128">
        <v>63570</v>
      </c>
      <c r="X274" s="128">
        <v>68237</v>
      </c>
      <c r="Y274" s="128">
        <v>13400</v>
      </c>
      <c r="Z274" s="128">
        <v>103860</v>
      </c>
      <c r="AA274" s="128">
        <v>40500</v>
      </c>
      <c r="AB274" s="128">
        <v>24990</v>
      </c>
      <c r="AC274" s="128" t="s">
        <v>422</v>
      </c>
      <c r="AD274" s="188">
        <f t="shared" si="86"/>
        <v>0.10806984426616328</v>
      </c>
      <c r="AE274" s="188">
        <v>0.80685858109170994</v>
      </c>
      <c r="AF274" s="188">
        <v>0.10361805883278276</v>
      </c>
      <c r="AG274" s="188">
        <v>-9.4384143463898065E-5</v>
      </c>
      <c r="AH274" s="188">
        <v>0.81935881705206859</v>
      </c>
      <c r="AI274" s="188">
        <v>0.28315719609945372</v>
      </c>
      <c r="AJ274" s="188">
        <v>-7.341513292433538E-2</v>
      </c>
      <c r="AK274" s="188">
        <v>9.6788535859639521E-3</v>
      </c>
      <c r="AL274" s="188">
        <v>-1.2176402614649627E-2</v>
      </c>
      <c r="AM274" s="129">
        <f t="shared" si="87"/>
        <v>2</v>
      </c>
      <c r="AN274" s="188">
        <v>5.2697813434009755E-2</v>
      </c>
      <c r="AO274" s="188">
        <v>1.6337895233600754E-3</v>
      </c>
      <c r="AP274" s="188">
        <v>0.63709296838131191</v>
      </c>
      <c r="AQ274" s="128">
        <v>1835.8254901960781</v>
      </c>
      <c r="AR274" s="188">
        <v>4.4000000000000004E-2</v>
      </c>
      <c r="AS274" s="188">
        <v>0.21899999999999997</v>
      </c>
      <c r="AT274" s="256">
        <v>6</v>
      </c>
    </row>
    <row r="275" spans="1:46" x14ac:dyDescent="0.25">
      <c r="A275" t="s">
        <v>230</v>
      </c>
      <c r="B275">
        <v>0</v>
      </c>
      <c r="C275">
        <v>6859</v>
      </c>
      <c r="D275">
        <v>155914</v>
      </c>
      <c r="E275">
        <v>127</v>
      </c>
      <c r="F275">
        <v>113</v>
      </c>
      <c r="G275">
        <v>2447</v>
      </c>
      <c r="H275">
        <v>0</v>
      </c>
      <c r="I275">
        <v>-317</v>
      </c>
      <c r="J275">
        <v>0</v>
      </c>
      <c r="K275">
        <v>13208</v>
      </c>
      <c r="L275">
        <v>8286</v>
      </c>
      <c r="M275">
        <v>1281</v>
      </c>
      <c r="N275">
        <v>50070</v>
      </c>
      <c r="O275">
        <v>20563</v>
      </c>
      <c r="P275">
        <v>83598</v>
      </c>
      <c r="Q275">
        <v>48</v>
      </c>
      <c r="R275">
        <v>20000</v>
      </c>
      <c r="S275">
        <v>8190</v>
      </c>
      <c r="T275">
        <v>5448</v>
      </c>
      <c r="U275" s="128">
        <v>3</v>
      </c>
      <c r="V275" s="128">
        <v>4675</v>
      </c>
      <c r="W275" s="128">
        <v>139742</v>
      </c>
      <c r="X275" s="128">
        <v>135067</v>
      </c>
      <c r="Y275" s="128">
        <v>26168</v>
      </c>
      <c r="Z275" s="128">
        <v>7248666.7999999989</v>
      </c>
      <c r="AA275" s="128">
        <v>89721</v>
      </c>
      <c r="AB275" s="128">
        <v>64857</v>
      </c>
      <c r="AC275" s="128" t="s">
        <v>230</v>
      </c>
      <c r="AD275" s="188">
        <f t="shared" si="86"/>
        <v>8.382590774427158E-2</v>
      </c>
      <c r="AE275" s="188">
        <v>0.65799115512873729</v>
      </c>
      <c r="AF275" s="188">
        <v>1.8319474460076427E-2</v>
      </c>
      <c r="AG275" s="188">
        <v>-2.2684661733766514E-3</v>
      </c>
      <c r="AH275" s="188">
        <v>0.66177741838531012</v>
      </c>
      <c r="AI275" s="188">
        <v>0.26644742093583867</v>
      </c>
      <c r="AJ275" s="188">
        <v>3.345450902377238E-2</v>
      </c>
      <c r="AK275" s="188">
        <v>-1.7633692582014422E-2</v>
      </c>
      <c r="AL275" s="188">
        <v>2.0133228022592136E-2</v>
      </c>
      <c r="AM275" s="129">
        <f t="shared" si="87"/>
        <v>1</v>
      </c>
      <c r="AN275" s="188">
        <v>4.6814844499148432E-2</v>
      </c>
      <c r="AO275" s="188">
        <v>5.1871783715704646E-2</v>
      </c>
      <c r="AP275" s="188">
        <v>0.64204748751270202</v>
      </c>
      <c r="AQ275" s="128">
        <v>1411.3715867215567</v>
      </c>
      <c r="AR275" s="188">
        <v>2.2000000000000002E-2</v>
      </c>
      <c r="AS275" s="188">
        <v>0.11</v>
      </c>
      <c r="AT275" s="256">
        <v>8.5</v>
      </c>
    </row>
    <row r="276" spans="1:46" x14ac:dyDescent="0.25">
      <c r="A276" t="s">
        <v>440</v>
      </c>
      <c r="B276">
        <v>595</v>
      </c>
      <c r="C276">
        <v>18941</v>
      </c>
      <c r="D276">
        <v>192439</v>
      </c>
      <c r="E276">
        <v>1401</v>
      </c>
      <c r="F276">
        <v>3482</v>
      </c>
      <c r="G276">
        <v>27626</v>
      </c>
      <c r="H276">
        <v>0</v>
      </c>
      <c r="I276">
        <v>-1873</v>
      </c>
      <c r="J276">
        <v>33</v>
      </c>
      <c r="K276">
        <v>20894</v>
      </c>
      <c r="L276">
        <v>47519</v>
      </c>
      <c r="M276">
        <v>4246</v>
      </c>
      <c r="N276">
        <v>47777</v>
      </c>
      <c r="O276">
        <v>24573</v>
      </c>
      <c r="P276">
        <v>197923</v>
      </c>
      <c r="Q276">
        <v>0</v>
      </c>
      <c r="R276">
        <v>16903</v>
      </c>
      <c r="S276">
        <v>13075</v>
      </c>
      <c r="T276">
        <v>15054</v>
      </c>
      <c r="U276" s="128">
        <v>-6</v>
      </c>
      <c r="V276" s="128">
        <v>-13280</v>
      </c>
      <c r="W276" s="128">
        <v>270954</v>
      </c>
      <c r="X276" s="128">
        <v>284234</v>
      </c>
      <c r="Y276" s="128">
        <v>8325</v>
      </c>
      <c r="Z276" s="128">
        <v>695757</v>
      </c>
      <c r="AA276" s="128">
        <v>187843</v>
      </c>
      <c r="AB276" s="128">
        <v>89951</v>
      </c>
      <c r="AC276" s="128" t="s">
        <v>440</v>
      </c>
      <c r="AD276" s="188">
        <f t="shared" si="86"/>
        <v>-0.11299334942462558</v>
      </c>
      <c r="AE276" s="188">
        <v>0.51369605172833765</v>
      </c>
      <c r="AF276" s="188">
        <v>0.11480915579766307</v>
      </c>
      <c r="AG276" s="188">
        <v>-6.7908205820914249E-3</v>
      </c>
      <c r="AH276" s="188">
        <v>0.53222672483152123</v>
      </c>
      <c r="AI276" s="188">
        <v>0.15152629993181205</v>
      </c>
      <c r="AJ276" s="188">
        <v>-4.9012009418572894E-2</v>
      </c>
      <c r="AK276" s="188">
        <v>-3.1865360748136382E-2</v>
      </c>
      <c r="AL276" s="188">
        <v>2.4776164627544593E-2</v>
      </c>
      <c r="AM276" s="129">
        <f t="shared" si="87"/>
        <v>2</v>
      </c>
      <c r="AN276" s="188">
        <v>7.6811931176509664E-3</v>
      </c>
      <c r="AO276" s="188">
        <v>2.5678048672468389E-3</v>
      </c>
      <c r="AP276" s="188">
        <v>0.69326527750097799</v>
      </c>
      <c r="AQ276" s="128">
        <v>1926.5007504085559</v>
      </c>
      <c r="AR276" s="188">
        <v>3.1E-2</v>
      </c>
      <c r="AS276" s="188">
        <v>0.157</v>
      </c>
      <c r="AT276" s="256">
        <v>7.5</v>
      </c>
    </row>
    <row r="277" spans="1:46" x14ac:dyDescent="0.25">
      <c r="A277" t="s">
        <v>339</v>
      </c>
      <c r="B277">
        <v>867</v>
      </c>
      <c r="C277">
        <v>9117</v>
      </c>
      <c r="D277">
        <v>185444</v>
      </c>
      <c r="E277">
        <v>0</v>
      </c>
      <c r="F277">
        <v>0</v>
      </c>
      <c r="G277">
        <v>1162</v>
      </c>
      <c r="H277">
        <v>668</v>
      </c>
      <c r="I277">
        <v>9725</v>
      </c>
      <c r="J277">
        <v>0</v>
      </c>
      <c r="K277">
        <v>6651</v>
      </c>
      <c r="L277">
        <v>8608</v>
      </c>
      <c r="M277">
        <v>9090</v>
      </c>
      <c r="N277">
        <v>46848</v>
      </c>
      <c r="O277">
        <v>13096</v>
      </c>
      <c r="P277">
        <v>153428</v>
      </c>
      <c r="Q277">
        <v>0</v>
      </c>
      <c r="R277">
        <v>235</v>
      </c>
      <c r="S277">
        <v>7932</v>
      </c>
      <c r="T277">
        <v>9796</v>
      </c>
      <c r="U277" s="128">
        <v>1</v>
      </c>
      <c r="V277" s="128">
        <v>-873</v>
      </c>
      <c r="W277" s="128">
        <v>162626</v>
      </c>
      <c r="X277" s="128">
        <v>163499</v>
      </c>
      <c r="Y277" s="128">
        <v>-3426</v>
      </c>
      <c r="Z277" s="128">
        <v>-1470267.0000000019</v>
      </c>
      <c r="AA277" s="128">
        <v>107932</v>
      </c>
      <c r="AB277" s="128">
        <v>54434</v>
      </c>
      <c r="AC277" s="128" t="s">
        <v>339</v>
      </c>
      <c r="AD277" s="188">
        <f t="shared" si="86"/>
        <v>-5.1486232213791151E-2</v>
      </c>
      <c r="AE277" s="188">
        <v>0.89291995129930024</v>
      </c>
      <c r="AF277" s="188">
        <v>7.1452289301833652E-3</v>
      </c>
      <c r="AG277" s="188">
        <v>5.9799786012076792E-2</v>
      </c>
      <c r="AH277" s="188">
        <v>0.8519175285624685</v>
      </c>
      <c r="AI277" s="188">
        <v>0.20251150928307432</v>
      </c>
      <c r="AJ277" s="188">
        <v>-5.3681453150172791E-3</v>
      </c>
      <c r="AK277" s="188">
        <v>3.9770658900618858E-2</v>
      </c>
      <c r="AL277" s="188">
        <v>2.3974554971108751E-2</v>
      </c>
      <c r="AM277" s="129">
        <f t="shared" si="87"/>
        <v>1</v>
      </c>
      <c r="AN277" s="188">
        <v>-5.2666855238399767E-3</v>
      </c>
      <c r="AO277" s="188">
        <v>-9.0407868360532877E-3</v>
      </c>
      <c r="AP277" s="188">
        <v>0.66368231402112821</v>
      </c>
      <c r="AQ277" s="128">
        <v>1847.9505823566153</v>
      </c>
      <c r="AR277" s="188">
        <v>2.4E-2</v>
      </c>
      <c r="AS277" s="188">
        <v>0.121</v>
      </c>
      <c r="AT277" s="256">
        <v>7</v>
      </c>
    </row>
    <row r="278" spans="1:46" x14ac:dyDescent="0.25">
      <c r="A278" t="s">
        <v>137</v>
      </c>
      <c r="B278">
        <v>0</v>
      </c>
      <c r="C278">
        <v>1133</v>
      </c>
      <c r="D278">
        <v>17769</v>
      </c>
      <c r="E278">
        <v>71</v>
      </c>
      <c r="F278">
        <v>0</v>
      </c>
      <c r="G278">
        <v>730</v>
      </c>
      <c r="H278">
        <v>97</v>
      </c>
      <c r="I278">
        <v>5080</v>
      </c>
      <c r="J278">
        <v>5</v>
      </c>
      <c r="K278">
        <v>1344</v>
      </c>
      <c r="L278">
        <v>1567</v>
      </c>
      <c r="M278">
        <v>2627</v>
      </c>
      <c r="N278">
        <v>9027</v>
      </c>
      <c r="O278">
        <v>4836</v>
      </c>
      <c r="P278">
        <v>10945</v>
      </c>
      <c r="Q278">
        <v>0</v>
      </c>
      <c r="R278">
        <v>2500</v>
      </c>
      <c r="S278">
        <v>1119</v>
      </c>
      <c r="T278">
        <v>1996</v>
      </c>
      <c r="U278" s="128">
        <v>322</v>
      </c>
      <c r="V278" s="128">
        <v>777</v>
      </c>
      <c r="W278" s="128">
        <v>22432</v>
      </c>
      <c r="X278" s="128">
        <v>21655</v>
      </c>
      <c r="Y278" s="128">
        <v>-1341</v>
      </c>
      <c r="Z278" s="128">
        <v>593570</v>
      </c>
      <c r="AA278" s="128">
        <v>12587</v>
      </c>
      <c r="AB278" s="128">
        <v>4898</v>
      </c>
      <c r="AC278" s="128" t="s">
        <v>137</v>
      </c>
      <c r="AD278" s="188">
        <f t="shared" si="86"/>
        <v>4.1592368045649072E-2</v>
      </c>
      <c r="AE278" s="188">
        <v>0.45448466476462196</v>
      </c>
      <c r="AF278" s="188">
        <v>3.2542796005706136E-2</v>
      </c>
      <c r="AG278" s="188">
        <v>0.22668509272467904</v>
      </c>
      <c r="AH278" s="188">
        <v>0.29971023537803132</v>
      </c>
      <c r="AI278" s="188">
        <v>0.29671630016763634</v>
      </c>
      <c r="AJ278" s="188">
        <v>3.4638017118402281E-2</v>
      </c>
      <c r="AK278" s="188">
        <v>-2.1099584022452763E-2</v>
      </c>
      <c r="AL278" s="188">
        <v>-1.1013215859030838E-2</v>
      </c>
      <c r="AM278" s="129">
        <f t="shared" si="87"/>
        <v>2</v>
      </c>
      <c r="AN278" s="188">
        <v>-1.4945167617689015E-2</v>
      </c>
      <c r="AO278" s="188">
        <v>2.6460859486447934E-2</v>
      </c>
      <c r="AP278" s="188">
        <v>0.56111804564907275</v>
      </c>
      <c r="AQ278" s="128">
        <v>2916.0389955083706</v>
      </c>
      <c r="AR278" s="188">
        <v>1.4999999999999999E-2</v>
      </c>
      <c r="AS278" s="188">
        <v>7.4999999999999997E-2</v>
      </c>
      <c r="AT278" s="256">
        <v>7</v>
      </c>
    </row>
    <row r="279" spans="1:46" x14ac:dyDescent="0.25">
      <c r="A279" t="s">
        <v>273</v>
      </c>
      <c r="B279">
        <v>907</v>
      </c>
      <c r="C279">
        <v>460</v>
      </c>
      <c r="D279">
        <v>54166</v>
      </c>
      <c r="E279">
        <v>2285</v>
      </c>
      <c r="F279">
        <v>4720</v>
      </c>
      <c r="G279">
        <v>469</v>
      </c>
      <c r="H279">
        <v>342</v>
      </c>
      <c r="I279">
        <v>3001</v>
      </c>
      <c r="J279">
        <v>0</v>
      </c>
      <c r="K279">
        <v>6402</v>
      </c>
      <c r="L279">
        <v>13</v>
      </c>
      <c r="M279">
        <v>7792</v>
      </c>
      <c r="N279">
        <v>19332</v>
      </c>
      <c r="O279">
        <v>12405</v>
      </c>
      <c r="P279">
        <v>24427</v>
      </c>
      <c r="Q279">
        <v>0</v>
      </c>
      <c r="R279">
        <v>15000</v>
      </c>
      <c r="S279">
        <v>5354</v>
      </c>
      <c r="T279">
        <v>4039</v>
      </c>
      <c r="U279" s="128">
        <v>-215</v>
      </c>
      <c r="V279" s="128">
        <v>1262</v>
      </c>
      <c r="W279" s="128">
        <v>54204</v>
      </c>
      <c r="X279" s="128">
        <v>52942</v>
      </c>
      <c r="Y279" s="128">
        <v>10936</v>
      </c>
      <c r="Z279" s="128">
        <v>5452856</v>
      </c>
      <c r="AA279" s="128">
        <v>27965</v>
      </c>
      <c r="AB279" s="128">
        <v>13583</v>
      </c>
      <c r="AC279" s="128" t="s">
        <v>273</v>
      </c>
      <c r="AD279" s="188">
        <f t="shared" si="86"/>
        <v>0.27649250977787615</v>
      </c>
      <c r="AE279" s="188">
        <v>0.53652866947088773</v>
      </c>
      <c r="AF279" s="188">
        <v>9.573094236587705E-2</v>
      </c>
      <c r="AG279" s="188">
        <v>5.5364917718249577E-2</v>
      </c>
      <c r="AH279" s="188">
        <v>0.50926094015201828</v>
      </c>
      <c r="AI279" s="188">
        <v>0.23997914520153432</v>
      </c>
      <c r="AJ279" s="188">
        <v>2.328241458194967E-2</v>
      </c>
      <c r="AK279" s="188">
        <v>2.0300216751318302E-2</v>
      </c>
      <c r="AL279" s="188">
        <v>3.2859190649465214E-2</v>
      </c>
      <c r="AM279" s="129">
        <f t="shared" si="87"/>
        <v>0</v>
      </c>
      <c r="AN279" s="188">
        <v>5.0439081986569254E-2</v>
      </c>
      <c r="AO279" s="188">
        <v>0.10059877499815512</v>
      </c>
      <c r="AP279" s="188">
        <v>0.51592133421887687</v>
      </c>
      <c r="AQ279" s="128">
        <v>2636.6522859456672</v>
      </c>
      <c r="AR279" s="188">
        <v>1.2E-2</v>
      </c>
      <c r="AS279" s="188">
        <v>6.0999999999999999E-2</v>
      </c>
      <c r="AT279" s="256">
        <v>7.5</v>
      </c>
    </row>
    <row r="280" spans="1:46" x14ac:dyDescent="0.25">
      <c r="A280" t="s">
        <v>319</v>
      </c>
      <c r="B280">
        <v>296</v>
      </c>
      <c r="C280">
        <v>11409</v>
      </c>
      <c r="D280">
        <v>63927</v>
      </c>
      <c r="E280">
        <v>277</v>
      </c>
      <c r="F280">
        <v>25200</v>
      </c>
      <c r="G280">
        <v>10941</v>
      </c>
      <c r="H280">
        <v>0</v>
      </c>
      <c r="I280">
        <v>2385</v>
      </c>
      <c r="J280">
        <v>0</v>
      </c>
      <c r="K280">
        <v>14022</v>
      </c>
      <c r="L280">
        <v>3383</v>
      </c>
      <c r="M280">
        <v>3825</v>
      </c>
      <c r="N280">
        <v>87558</v>
      </c>
      <c r="O280">
        <v>12944</v>
      </c>
      <c r="P280">
        <v>25610</v>
      </c>
      <c r="Q280">
        <v>32</v>
      </c>
      <c r="R280">
        <v>1283</v>
      </c>
      <c r="S280">
        <v>3342</v>
      </c>
      <c r="T280">
        <v>4898</v>
      </c>
      <c r="U280" s="128">
        <v>-2</v>
      </c>
      <c r="V280" s="128">
        <v>-2372</v>
      </c>
      <c r="W280" s="128">
        <v>78567</v>
      </c>
      <c r="X280" s="128">
        <v>80939</v>
      </c>
      <c r="Y280" s="128">
        <v>7384</v>
      </c>
      <c r="Z280" s="128">
        <v>6091685</v>
      </c>
      <c r="AA280" s="128">
        <v>49975</v>
      </c>
      <c r="AB280" s="128">
        <v>37391</v>
      </c>
      <c r="AC280" s="128" t="s">
        <v>319</v>
      </c>
      <c r="AD280" s="188">
        <f t="shared" si="86"/>
        <v>-2.6728779258467294E-2</v>
      </c>
      <c r="AE280" s="188">
        <v>-0.28263774867310704</v>
      </c>
      <c r="AF280" s="188">
        <v>0.46000229103822216</v>
      </c>
      <c r="AG280" s="188">
        <v>3.0356256443545001E-2</v>
      </c>
      <c r="AH280" s="188">
        <v>-0.24868685325900189</v>
      </c>
      <c r="AI280" s="188">
        <v>0.64538907766811382</v>
      </c>
      <c r="AJ280" s="188">
        <v>-3.0190792571944965E-2</v>
      </c>
      <c r="AK280" s="188">
        <v>3.0640888783457873E-2</v>
      </c>
      <c r="AL280" s="188">
        <v>-3.2575477717701584E-2</v>
      </c>
      <c r="AM280" s="129">
        <f t="shared" si="87"/>
        <v>2</v>
      </c>
      <c r="AN280" s="188">
        <v>2.3495869767205059E-2</v>
      </c>
      <c r="AO280" s="188">
        <v>7.7534906512912546E-2</v>
      </c>
      <c r="AP280" s="188">
        <v>0.63608130640090621</v>
      </c>
      <c r="AQ280" s="128">
        <v>1425.3857077906448</v>
      </c>
      <c r="AR280" s="188">
        <v>4.5999999999999999E-2</v>
      </c>
      <c r="AS280" s="188">
        <v>0.23</v>
      </c>
      <c r="AT280" s="256">
        <v>7.5</v>
      </c>
    </row>
    <row r="281" spans="1:46" x14ac:dyDescent="0.25">
      <c r="A281" t="s">
        <v>340</v>
      </c>
      <c r="B281">
        <v>1606</v>
      </c>
      <c r="C281">
        <v>7061</v>
      </c>
      <c r="D281">
        <v>34010</v>
      </c>
      <c r="E281">
        <v>287</v>
      </c>
      <c r="F281">
        <v>9007</v>
      </c>
      <c r="G281">
        <v>1003</v>
      </c>
      <c r="H281">
        <v>2573</v>
      </c>
      <c r="I281">
        <v>0</v>
      </c>
      <c r="J281">
        <v>18738</v>
      </c>
      <c r="K281">
        <v>18323</v>
      </c>
      <c r="L281">
        <v>2838</v>
      </c>
      <c r="M281">
        <v>1656</v>
      </c>
      <c r="N281">
        <v>21291</v>
      </c>
      <c r="O281">
        <v>8342</v>
      </c>
      <c r="P281">
        <v>61573</v>
      </c>
      <c r="Q281">
        <v>0</v>
      </c>
      <c r="R281">
        <v>65</v>
      </c>
      <c r="S281">
        <v>2470</v>
      </c>
      <c r="T281">
        <v>3362</v>
      </c>
      <c r="U281" s="128">
        <v>-3</v>
      </c>
      <c r="V281" s="128">
        <v>7034</v>
      </c>
      <c r="W281" s="128">
        <v>78757</v>
      </c>
      <c r="X281" s="128">
        <v>71723</v>
      </c>
      <c r="Y281" s="128">
        <v>227</v>
      </c>
      <c r="Z281" s="128">
        <v>1270714</v>
      </c>
      <c r="AA281" s="128">
        <v>43608</v>
      </c>
      <c r="AB281" s="128">
        <v>25722</v>
      </c>
      <c r="AC281" s="128" t="s">
        <v>340</v>
      </c>
      <c r="AD281" s="188">
        <f t="shared" si="86"/>
        <v>-3.5209568673260791E-2</v>
      </c>
      <c r="AE281" s="188">
        <v>0.40720189951369401</v>
      </c>
      <c r="AF281" s="188">
        <v>0.12709981334992446</v>
      </c>
      <c r="AG281" s="188">
        <v>0.2379217085465419</v>
      </c>
      <c r="AH281" s="188">
        <v>0.25590868113310561</v>
      </c>
      <c r="AI281" s="188">
        <v>0.21926202074086279</v>
      </c>
      <c r="AJ281" s="188">
        <v>8.931269601432254E-2</v>
      </c>
      <c r="AK281" s="188">
        <v>6.2384169743312852E-2</v>
      </c>
      <c r="AL281" s="188">
        <v>4.1619557915089549E-3</v>
      </c>
      <c r="AM281" s="129">
        <f t="shared" si="87"/>
        <v>0</v>
      </c>
      <c r="AN281" s="188">
        <v>7.2057086989093036E-4</v>
      </c>
      <c r="AO281" s="188">
        <v>1.6134616605508082E-2</v>
      </c>
      <c r="AP281" s="188">
        <v>0.55370316289345711</v>
      </c>
      <c r="AQ281" s="128">
        <v>1957.7183344996502</v>
      </c>
      <c r="AR281" s="188">
        <v>2.1000000000000001E-2</v>
      </c>
      <c r="AS281" s="188">
        <v>0.106</v>
      </c>
      <c r="AT281" s="256">
        <v>8.5</v>
      </c>
    </row>
    <row r="282" spans="1:46" x14ac:dyDescent="0.25">
      <c r="A282" t="s">
        <v>204</v>
      </c>
      <c r="B282">
        <v>1780</v>
      </c>
      <c r="C282">
        <v>5538</v>
      </c>
      <c r="D282">
        <v>130142</v>
      </c>
      <c r="E282">
        <v>135</v>
      </c>
      <c r="F282">
        <v>382</v>
      </c>
      <c r="G282">
        <v>10525</v>
      </c>
      <c r="H282">
        <v>0</v>
      </c>
      <c r="I282">
        <v>1937</v>
      </c>
      <c r="J282">
        <v>9</v>
      </c>
      <c r="K282">
        <v>28712</v>
      </c>
      <c r="L282">
        <v>1116</v>
      </c>
      <c r="M282">
        <v>3132</v>
      </c>
      <c r="N282">
        <v>38860</v>
      </c>
      <c r="O282">
        <v>8576</v>
      </c>
      <c r="P282">
        <v>117106</v>
      </c>
      <c r="Q282">
        <v>18</v>
      </c>
      <c r="R282">
        <v>643</v>
      </c>
      <c r="S282">
        <v>13457</v>
      </c>
      <c r="T282">
        <v>4748</v>
      </c>
      <c r="U282" s="128">
        <v>-48</v>
      </c>
      <c r="V282" s="128">
        <v>-1011</v>
      </c>
      <c r="W282" s="128">
        <v>133724</v>
      </c>
      <c r="X282" s="128">
        <v>134735</v>
      </c>
      <c r="Y282" s="128">
        <v>38282</v>
      </c>
      <c r="Z282" s="128">
        <v>1912535</v>
      </c>
      <c r="AA282" s="128">
        <v>95196</v>
      </c>
      <c r="AB282" s="128">
        <v>42216</v>
      </c>
      <c r="AC282" s="128" t="s">
        <v>204</v>
      </c>
      <c r="AD282" s="188">
        <f t="shared" si="86"/>
        <v>-3.5371361909604859E-3</v>
      </c>
      <c r="AE282" s="188">
        <v>0.68876940564147049</v>
      </c>
      <c r="AF282" s="188">
        <v>8.1563518889653311E-2</v>
      </c>
      <c r="AG282" s="188">
        <v>1.4552361580568933E-2</v>
      </c>
      <c r="AH282" s="188">
        <v>0.68837037480183072</v>
      </c>
      <c r="AI282" s="188">
        <v>0.21187734449969467</v>
      </c>
      <c r="AJ282" s="188">
        <v>-7.5603481798330891E-3</v>
      </c>
      <c r="AK282" s="188">
        <v>7.4413623075161334E-2</v>
      </c>
      <c r="AL282" s="188">
        <v>3.9215374335804512E-3</v>
      </c>
      <c r="AM282" s="129">
        <f t="shared" si="87"/>
        <v>1</v>
      </c>
      <c r="AN282" s="188">
        <v>7.1569052675660313E-2</v>
      </c>
      <c r="AO282" s="188">
        <v>1.4302107325536179E-2</v>
      </c>
      <c r="AP282" s="188">
        <v>0.71188417935449133</v>
      </c>
      <c r="AQ282" s="128">
        <v>1946.5541974606783</v>
      </c>
      <c r="AR282" s="188">
        <v>2.4E-2</v>
      </c>
      <c r="AS282" s="188">
        <v>0.12</v>
      </c>
      <c r="AT282" s="256">
        <v>8</v>
      </c>
    </row>
    <row r="283" spans="1:46" x14ac:dyDescent="0.25">
      <c r="A283" t="s">
        <v>391</v>
      </c>
      <c r="B283">
        <v>1829</v>
      </c>
      <c r="C283">
        <v>91047</v>
      </c>
      <c r="D283">
        <v>821845</v>
      </c>
      <c r="E283">
        <v>8320</v>
      </c>
      <c r="F283">
        <v>8978</v>
      </c>
      <c r="G283">
        <v>13068</v>
      </c>
      <c r="H283">
        <v>28717</v>
      </c>
      <c r="I283">
        <v>50577</v>
      </c>
      <c r="J283">
        <v>82</v>
      </c>
      <c r="K283">
        <v>103900</v>
      </c>
      <c r="L283">
        <v>4256</v>
      </c>
      <c r="M283">
        <v>38644</v>
      </c>
      <c r="N283">
        <v>851884</v>
      </c>
      <c r="O283">
        <v>29218</v>
      </c>
      <c r="P283">
        <v>132164</v>
      </c>
      <c r="Q283">
        <v>3353</v>
      </c>
      <c r="R283">
        <v>42000</v>
      </c>
      <c r="S283">
        <v>55852</v>
      </c>
      <c r="T283">
        <v>56792</v>
      </c>
      <c r="U283" s="128">
        <v>-2</v>
      </c>
      <c r="V283" s="128">
        <v>-8741</v>
      </c>
      <c r="W283" s="128">
        <v>828105</v>
      </c>
      <c r="X283" s="128">
        <v>836846</v>
      </c>
      <c r="Y283" s="128">
        <v>84946</v>
      </c>
      <c r="Z283" s="128">
        <v>18409925</v>
      </c>
      <c r="AA283" s="128">
        <v>587114</v>
      </c>
      <c r="AB283" s="128">
        <v>219798</v>
      </c>
      <c r="AC283" s="128" t="s">
        <v>391</v>
      </c>
      <c r="AD283" s="188">
        <f>SUM(R283,-L283)/W283</f>
        <v>4.5578761147439036E-2</v>
      </c>
      <c r="AE283" s="188">
        <v>0.11181915336823228</v>
      </c>
      <c r="AF283" s="188">
        <v>2.6622227857578448E-2</v>
      </c>
      <c r="AG283" s="188">
        <v>6.1174609500003016E-2</v>
      </c>
      <c r="AH283" s="188">
        <v>7.2191594061139591E-2</v>
      </c>
      <c r="AI283" s="188">
        <v>0.72732084937371022</v>
      </c>
      <c r="AJ283" s="188">
        <v>-1.0555424734786047E-2</v>
      </c>
      <c r="AK283" s="188">
        <v>-5.3319479383134635E-3</v>
      </c>
      <c r="AL283" s="188">
        <v>-2.7001740359325316E-2</v>
      </c>
      <c r="AM283" s="129">
        <f>COUNTIF(AJ283:AL283,"&lt;0")</f>
        <v>3</v>
      </c>
      <c r="AN283" s="188">
        <v>2.564469481527101E-2</v>
      </c>
      <c r="AO283" s="188">
        <v>2.2231389739223891E-2</v>
      </c>
      <c r="AP283" s="188">
        <v>0.70898497171252439</v>
      </c>
      <c r="AQ283" s="128">
        <v>2164.9661689369332</v>
      </c>
      <c r="AR283" s="188">
        <v>0.04</v>
      </c>
      <c r="AS283" s="188">
        <v>0.20199999999999999</v>
      </c>
      <c r="AT283" s="256">
        <v>8</v>
      </c>
    </row>
    <row r="284" spans="1:46" x14ac:dyDescent="0.25">
      <c r="A284" t="s">
        <v>160</v>
      </c>
      <c r="B284">
        <v>195</v>
      </c>
      <c r="C284">
        <v>4399</v>
      </c>
      <c r="D284">
        <v>24329</v>
      </c>
      <c r="E284">
        <v>696</v>
      </c>
      <c r="F284">
        <v>187</v>
      </c>
      <c r="G284">
        <v>1686</v>
      </c>
      <c r="H284">
        <v>0</v>
      </c>
      <c r="I284">
        <v>-618</v>
      </c>
      <c r="J284">
        <v>0</v>
      </c>
      <c r="K284">
        <v>7652</v>
      </c>
      <c r="L284">
        <v>4244</v>
      </c>
      <c r="M284">
        <v>349</v>
      </c>
      <c r="N284">
        <v>25684</v>
      </c>
      <c r="O284">
        <v>4349</v>
      </c>
      <c r="P284">
        <v>5967</v>
      </c>
      <c r="Q284">
        <v>0</v>
      </c>
      <c r="R284">
        <v>4000</v>
      </c>
      <c r="S284">
        <v>1456</v>
      </c>
      <c r="T284">
        <v>1663</v>
      </c>
      <c r="U284" s="128">
        <v>-2</v>
      </c>
      <c r="V284" s="128">
        <v>-127</v>
      </c>
      <c r="W284" s="128">
        <v>44321</v>
      </c>
      <c r="X284" s="128">
        <v>44448</v>
      </c>
      <c r="Y284" s="128">
        <v>-242</v>
      </c>
      <c r="Z284" s="128">
        <v>2186604</v>
      </c>
      <c r="AA284" s="128">
        <v>30463</v>
      </c>
      <c r="AB284" s="128">
        <v>21265</v>
      </c>
      <c r="AC284" s="128" t="s">
        <v>160</v>
      </c>
      <c r="AD284" s="188">
        <f t="shared" si="86"/>
        <v>-5.5052909456014083E-3</v>
      </c>
      <c r="AE284" s="188">
        <v>-2.3284673179756774E-2</v>
      </c>
      <c r="AF284" s="188">
        <v>4.225987680783376E-2</v>
      </c>
      <c r="AG284" s="188">
        <v>-1.3943728706482254E-2</v>
      </c>
      <c r="AH284" s="188">
        <v>-8.4528778682791458E-3</v>
      </c>
      <c r="AI284" s="188">
        <v>0.59565388807718178</v>
      </c>
      <c r="AJ284" s="188">
        <v>-2.8654588118499132E-3</v>
      </c>
      <c r="AK284" s="188">
        <v>7.5378676624847901E-2</v>
      </c>
      <c r="AL284" s="188">
        <v>-6.9398089538496952E-2</v>
      </c>
      <c r="AM284" s="129">
        <f t="shared" si="87"/>
        <v>2</v>
      </c>
      <c r="AN284" s="188">
        <v>-1.3650414024954311E-3</v>
      </c>
      <c r="AO284" s="188">
        <v>4.9335619683671394E-2</v>
      </c>
      <c r="AP284" s="188">
        <v>0.68732654949121186</v>
      </c>
      <c r="AQ284" s="128">
        <v>1418.6608041382553</v>
      </c>
      <c r="AR284" s="188">
        <v>4.8000000000000001E-2</v>
      </c>
      <c r="AS284" s="188">
        <v>0.24100000000000002</v>
      </c>
      <c r="AT284" s="256">
        <v>7</v>
      </c>
    </row>
    <row r="285" spans="1:46" x14ac:dyDescent="0.25">
      <c r="A285" t="s">
        <v>161</v>
      </c>
      <c r="B285">
        <v>21</v>
      </c>
      <c r="C285">
        <v>9903</v>
      </c>
      <c r="D285">
        <v>58021</v>
      </c>
      <c r="E285">
        <v>231</v>
      </c>
      <c r="F285">
        <v>12859</v>
      </c>
      <c r="G285">
        <v>4290</v>
      </c>
      <c r="H285">
        <v>181</v>
      </c>
      <c r="I285">
        <v>13689</v>
      </c>
      <c r="J285">
        <v>0</v>
      </c>
      <c r="K285">
        <v>9835</v>
      </c>
      <c r="L285">
        <v>754</v>
      </c>
      <c r="M285">
        <v>6546</v>
      </c>
      <c r="N285">
        <v>28797</v>
      </c>
      <c r="O285">
        <v>17232</v>
      </c>
      <c r="P285">
        <v>47233</v>
      </c>
      <c r="Q285">
        <v>0</v>
      </c>
      <c r="R285">
        <v>8000</v>
      </c>
      <c r="S285">
        <v>5560</v>
      </c>
      <c r="T285">
        <v>9508</v>
      </c>
      <c r="U285" s="128">
        <v>4</v>
      </c>
      <c r="V285" s="128">
        <v>-4597</v>
      </c>
      <c r="W285" s="128">
        <v>106845</v>
      </c>
      <c r="X285" s="128">
        <v>111442</v>
      </c>
      <c r="Y285" s="128">
        <v>4375</v>
      </c>
      <c r="Z285" s="128">
        <v>618400</v>
      </c>
      <c r="AA285" s="128">
        <v>62303</v>
      </c>
      <c r="AB285" s="128">
        <v>33768</v>
      </c>
      <c r="AC285" s="128" t="s">
        <v>161</v>
      </c>
      <c r="AD285" s="188">
        <f t="shared" si="86"/>
        <v>6.7817867003603344E-2</v>
      </c>
      <c r="AE285" s="188">
        <v>0.33540175019888624</v>
      </c>
      <c r="AF285" s="188">
        <v>0.16050353315550564</v>
      </c>
      <c r="AG285" s="188">
        <v>0.1281201740839534</v>
      </c>
      <c r="AH285" s="188">
        <v>0.26497805231877952</v>
      </c>
      <c r="AI285" s="188">
        <v>0.24754577495057165</v>
      </c>
      <c r="AJ285" s="188">
        <v>-4.3024942673966962E-2</v>
      </c>
      <c r="AK285" s="188">
        <v>1.1451636469900642E-2</v>
      </c>
      <c r="AL285" s="188">
        <v>9.661013100833277E-3</v>
      </c>
      <c r="AM285" s="129">
        <f t="shared" si="87"/>
        <v>1</v>
      </c>
      <c r="AN285" s="188">
        <v>1.0236791614020311E-2</v>
      </c>
      <c r="AO285" s="188">
        <v>5.7878234826150027E-3</v>
      </c>
      <c r="AP285" s="188">
        <v>0.58311572839159531</v>
      </c>
      <c r="AQ285" s="128">
        <v>2371.2721807628523</v>
      </c>
      <c r="AR285" s="188">
        <v>4.5999999999999999E-2</v>
      </c>
      <c r="AS285" s="188">
        <v>0.23</v>
      </c>
      <c r="AT285" s="256">
        <v>7</v>
      </c>
    </row>
    <row r="286" spans="1:46" x14ac:dyDescent="0.25">
      <c r="A286" t="s">
        <v>115</v>
      </c>
      <c r="B286">
        <v>1713</v>
      </c>
      <c r="C286">
        <v>28234</v>
      </c>
      <c r="D286">
        <v>85660</v>
      </c>
      <c r="E286">
        <v>50</v>
      </c>
      <c r="F286">
        <v>183</v>
      </c>
      <c r="G286">
        <v>8392</v>
      </c>
      <c r="H286">
        <v>0</v>
      </c>
      <c r="I286">
        <v>15100</v>
      </c>
      <c r="J286">
        <v>0</v>
      </c>
      <c r="K286">
        <v>4631</v>
      </c>
      <c r="L286">
        <v>3186</v>
      </c>
      <c r="M286">
        <v>3074</v>
      </c>
      <c r="N286">
        <v>57775</v>
      </c>
      <c r="O286">
        <v>23458</v>
      </c>
      <c r="P286">
        <v>60738</v>
      </c>
      <c r="Q286">
        <v>0</v>
      </c>
      <c r="R286">
        <v>2219</v>
      </c>
      <c r="S286">
        <v>3128</v>
      </c>
      <c r="T286">
        <v>2905</v>
      </c>
      <c r="U286" s="128">
        <v>0</v>
      </c>
      <c r="V286" s="128">
        <v>204</v>
      </c>
      <c r="W286" s="128">
        <v>82545</v>
      </c>
      <c r="X286" s="128">
        <v>82341</v>
      </c>
      <c r="Y286" s="128">
        <v>49420</v>
      </c>
      <c r="Z286" s="128">
        <v>3824176</v>
      </c>
      <c r="AA286" s="128">
        <v>49861</v>
      </c>
      <c r="AB286" s="128">
        <v>33829</v>
      </c>
      <c r="AC286" s="128" t="s">
        <v>115</v>
      </c>
      <c r="AD286" s="188">
        <f t="shared" si="86"/>
        <v>-1.1714822218184021E-2</v>
      </c>
      <c r="AE286" s="188">
        <v>0.59996365618753411</v>
      </c>
      <c r="AF286" s="188">
        <v>0.10388273063177661</v>
      </c>
      <c r="AG286" s="188">
        <v>0.1829305227451693</v>
      </c>
      <c r="AH286" s="188">
        <v>0.48437821794172886</v>
      </c>
      <c r="AI286" s="188">
        <v>0.38459490224532861</v>
      </c>
      <c r="AJ286" s="188">
        <v>2.4713792476830821E-3</v>
      </c>
      <c r="AK286" s="188">
        <v>0.12117906288479402</v>
      </c>
      <c r="AL286" s="188">
        <v>-7.5870396458039849E-2</v>
      </c>
      <c r="AM286" s="129">
        <f t="shared" si="87"/>
        <v>1</v>
      </c>
      <c r="AN286" s="188">
        <v>0.14967593433884549</v>
      </c>
      <c r="AO286" s="188">
        <v>4.6328378460233813E-2</v>
      </c>
      <c r="AP286" s="188">
        <v>0.60404627778787323</v>
      </c>
      <c r="AQ286" s="128">
        <v>1474.8441869401993</v>
      </c>
      <c r="AR286" s="188">
        <v>3.7000000000000005E-2</v>
      </c>
      <c r="AS286" s="188">
        <v>0.185</v>
      </c>
      <c r="AT286" s="256">
        <v>8</v>
      </c>
    </row>
    <row r="287" spans="1:46" x14ac:dyDescent="0.25">
      <c r="A287" t="s">
        <v>138</v>
      </c>
      <c r="B287">
        <v>0</v>
      </c>
      <c r="C287">
        <v>5829</v>
      </c>
      <c r="D287">
        <v>52429</v>
      </c>
      <c r="E287">
        <v>0</v>
      </c>
      <c r="F287">
        <v>331</v>
      </c>
      <c r="G287">
        <v>2637</v>
      </c>
      <c r="H287">
        <v>0</v>
      </c>
      <c r="I287">
        <v>1677</v>
      </c>
      <c r="J287">
        <v>3</v>
      </c>
      <c r="K287">
        <v>9348</v>
      </c>
      <c r="L287">
        <v>2097</v>
      </c>
      <c r="M287">
        <v>2558</v>
      </c>
      <c r="N287">
        <v>27388</v>
      </c>
      <c r="O287">
        <v>8144</v>
      </c>
      <c r="P287">
        <v>24808</v>
      </c>
      <c r="Q287">
        <v>14</v>
      </c>
      <c r="R287">
        <v>3000</v>
      </c>
      <c r="S287">
        <v>6821</v>
      </c>
      <c r="T287">
        <v>6734</v>
      </c>
      <c r="U287" s="128">
        <v>0</v>
      </c>
      <c r="V287" s="128">
        <v>12196</v>
      </c>
      <c r="W287" s="128">
        <v>95198</v>
      </c>
      <c r="X287" s="128">
        <v>83002</v>
      </c>
      <c r="Y287" s="128">
        <v>445</v>
      </c>
      <c r="Z287" s="128">
        <v>-1015067.9999999991</v>
      </c>
      <c r="AA287" s="128">
        <v>64693</v>
      </c>
      <c r="AB287" s="128">
        <v>32016</v>
      </c>
      <c r="AC287" s="128" t="s">
        <v>138</v>
      </c>
      <c r="AD287" s="188">
        <f t="shared" si="86"/>
        <v>9.4854933927183346E-3</v>
      </c>
      <c r="AE287" s="188">
        <v>0.25637093216244039</v>
      </c>
      <c r="AF287" s="188">
        <v>3.1177125569864912E-2</v>
      </c>
      <c r="AG287" s="188">
        <v>1.7647429567848063E-2</v>
      </c>
      <c r="AH287" s="188">
        <v>0.24775898653333053</v>
      </c>
      <c r="AI287" s="188">
        <v>0.35610916797773995</v>
      </c>
      <c r="AJ287" s="188">
        <v>0.12811193512468749</v>
      </c>
      <c r="AK287" s="188">
        <v>-3.9543933749377119E-2</v>
      </c>
      <c r="AL287" s="188">
        <v>-6.9872423945044157E-2</v>
      </c>
      <c r="AM287" s="129">
        <f t="shared" si="87"/>
        <v>2</v>
      </c>
      <c r="AN287" s="188">
        <v>1.1686169877518436E-3</v>
      </c>
      <c r="AO287" s="188">
        <v>-1.0662702997962133E-2</v>
      </c>
      <c r="AP287" s="188">
        <v>0.67956259585285406</v>
      </c>
      <c r="AQ287" s="128">
        <v>1538.9713893053474</v>
      </c>
      <c r="AR287" s="188">
        <v>4.0000000000000001E-3</v>
      </c>
      <c r="AS287" s="188">
        <v>7.4999999999999997E-2</v>
      </c>
      <c r="AT287" s="256">
        <v>7.5</v>
      </c>
    </row>
    <row r="288" spans="1:46" x14ac:dyDescent="0.25">
      <c r="A288" t="s">
        <v>274</v>
      </c>
      <c r="B288">
        <v>42</v>
      </c>
      <c r="C288">
        <v>1808</v>
      </c>
      <c r="D288">
        <v>15509</v>
      </c>
      <c r="E288">
        <v>365</v>
      </c>
      <c r="F288">
        <v>0</v>
      </c>
      <c r="G288">
        <v>247</v>
      </c>
      <c r="H288">
        <v>615</v>
      </c>
      <c r="I288">
        <v>0</v>
      </c>
      <c r="J288">
        <v>0</v>
      </c>
      <c r="K288">
        <v>3541</v>
      </c>
      <c r="L288">
        <v>931</v>
      </c>
      <c r="M288">
        <v>1297</v>
      </c>
      <c r="N288">
        <v>8138</v>
      </c>
      <c r="O288">
        <v>4610</v>
      </c>
      <c r="P288">
        <v>3780</v>
      </c>
      <c r="Q288">
        <v>0</v>
      </c>
      <c r="R288">
        <v>5258</v>
      </c>
      <c r="S288">
        <v>1375</v>
      </c>
      <c r="T288">
        <v>1194</v>
      </c>
      <c r="U288" s="128">
        <v>-94</v>
      </c>
      <c r="V288" s="128">
        <v>-934</v>
      </c>
      <c r="W288" s="128">
        <v>24595</v>
      </c>
      <c r="X288" s="128">
        <v>25529</v>
      </c>
      <c r="Y288" s="128">
        <v>1052</v>
      </c>
      <c r="Z288" s="128">
        <v>1042875</v>
      </c>
      <c r="AA288" s="128">
        <v>17014</v>
      </c>
      <c r="AB288" s="128">
        <v>13654</v>
      </c>
      <c r="AC288" s="128" t="s">
        <v>274</v>
      </c>
      <c r="AD288" s="188">
        <f t="shared" si="86"/>
        <v>0.17593006708680625</v>
      </c>
      <c r="AE288" s="188">
        <v>0.20231754421630413</v>
      </c>
      <c r="AF288" s="188">
        <v>1.0042691603984549E-2</v>
      </c>
      <c r="AG288" s="188">
        <v>0</v>
      </c>
      <c r="AH288" s="188">
        <v>0.20352266720878229</v>
      </c>
      <c r="AI288" s="188">
        <v>0.33414083350441387</v>
      </c>
      <c r="AJ288" s="188">
        <v>-3.7975198211018503E-2</v>
      </c>
      <c r="AK288" s="188">
        <v>3.7311714035653414E-3</v>
      </c>
      <c r="AL288" s="188">
        <v>-0.13873866015352407</v>
      </c>
      <c r="AM288" s="129">
        <f t="shared" si="87"/>
        <v>2</v>
      </c>
      <c r="AN288" s="188">
        <v>1.0693230331368164E-2</v>
      </c>
      <c r="AO288" s="188">
        <v>4.2401910957511689E-2</v>
      </c>
      <c r="AP288" s="188">
        <v>0.69176661923155114</v>
      </c>
      <c r="AQ288" s="128">
        <v>1316.024608173429</v>
      </c>
      <c r="AR288" s="188">
        <v>4.9000000000000002E-2</v>
      </c>
      <c r="AS288" s="188">
        <v>0.247</v>
      </c>
      <c r="AT288" s="256">
        <v>6</v>
      </c>
    </row>
    <row r="289" spans="1:46" x14ac:dyDescent="0.25">
      <c r="A289" t="s">
        <v>275</v>
      </c>
      <c r="B289">
        <v>1777</v>
      </c>
      <c r="C289">
        <v>3702</v>
      </c>
      <c r="D289">
        <v>79471</v>
      </c>
      <c r="E289">
        <v>0</v>
      </c>
      <c r="F289">
        <v>0</v>
      </c>
      <c r="G289">
        <v>0</v>
      </c>
      <c r="H289">
        <v>0</v>
      </c>
      <c r="I289">
        <v>-3971</v>
      </c>
      <c r="J289">
        <v>0</v>
      </c>
      <c r="K289">
        <v>6605</v>
      </c>
      <c r="L289">
        <v>20236</v>
      </c>
      <c r="M289">
        <v>16788</v>
      </c>
      <c r="N289">
        <v>31877</v>
      </c>
      <c r="O289">
        <v>3132</v>
      </c>
      <c r="P289">
        <v>12277</v>
      </c>
      <c r="Q289">
        <v>70636</v>
      </c>
      <c r="R289">
        <v>0</v>
      </c>
      <c r="S289">
        <v>6686</v>
      </c>
      <c r="T289">
        <v>0</v>
      </c>
      <c r="U289" s="128">
        <v>-8</v>
      </c>
      <c r="V289" s="128">
        <v>3119</v>
      </c>
      <c r="W289" s="128">
        <v>84574</v>
      </c>
      <c r="X289" s="128">
        <v>81455</v>
      </c>
      <c r="Y289" s="128">
        <v>-6184</v>
      </c>
      <c r="Z289" s="128">
        <v>2323060</v>
      </c>
      <c r="AA289" s="128">
        <v>44744</v>
      </c>
      <c r="AB289" s="128">
        <v>29469</v>
      </c>
      <c r="AC289" s="128" t="s">
        <v>275</v>
      </c>
      <c r="AD289" s="188">
        <f t="shared" si="86"/>
        <v>-0.23926975193321826</v>
      </c>
      <c r="AE289" s="188">
        <v>0.54354766240215668</v>
      </c>
      <c r="AF289" s="188">
        <v>0</v>
      </c>
      <c r="AG289" s="188">
        <v>-4.6952964267978341E-2</v>
      </c>
      <c r="AH289" s="188">
        <v>0.57641473738974147</v>
      </c>
      <c r="AI289" s="188">
        <v>0.25581824601951719</v>
      </c>
      <c r="AJ289" s="188">
        <v>3.6878946248255967E-2</v>
      </c>
      <c r="AK289" s="188">
        <v>-2.2444069896423065E-2</v>
      </c>
      <c r="AL289" s="188">
        <v>-5.3722079513893418E-3</v>
      </c>
      <c r="AM289" s="129">
        <f t="shared" si="87"/>
        <v>2</v>
      </c>
      <c r="AN289" s="188">
        <v>-1.8279849599167591E-2</v>
      </c>
      <c r="AO289" s="188">
        <v>2.7467779695887623E-2</v>
      </c>
      <c r="AP289" s="188">
        <v>0.52905148154279091</v>
      </c>
      <c r="AQ289" s="128">
        <v>1358.8959245308629</v>
      </c>
      <c r="AR289" s="188">
        <v>1.2E-2</v>
      </c>
      <c r="AS289" s="188">
        <v>0.06</v>
      </c>
      <c r="AT289" s="256">
        <v>7.5</v>
      </c>
    </row>
    <row r="290" spans="1:46" x14ac:dyDescent="0.25">
      <c r="A290" t="s">
        <v>433</v>
      </c>
      <c r="B290">
        <v>33</v>
      </c>
      <c r="C290">
        <v>4335</v>
      </c>
      <c r="D290">
        <v>54041</v>
      </c>
      <c r="E290">
        <v>4840</v>
      </c>
      <c r="F290">
        <v>3212</v>
      </c>
      <c r="G290">
        <v>314</v>
      </c>
      <c r="H290">
        <v>0</v>
      </c>
      <c r="I290">
        <v>31883</v>
      </c>
      <c r="J290">
        <v>20</v>
      </c>
      <c r="K290">
        <v>4509</v>
      </c>
      <c r="L290">
        <v>12063</v>
      </c>
      <c r="M290">
        <v>289</v>
      </c>
      <c r="N290">
        <v>37849</v>
      </c>
      <c r="O290">
        <v>11193</v>
      </c>
      <c r="P290">
        <v>60550</v>
      </c>
      <c r="Q290">
        <v>0</v>
      </c>
      <c r="R290">
        <v>0</v>
      </c>
      <c r="S290">
        <v>5875</v>
      </c>
      <c r="T290">
        <v>71</v>
      </c>
      <c r="U290" s="128">
        <v>2316</v>
      </c>
      <c r="V290" s="128">
        <v>-332</v>
      </c>
      <c r="W290" s="128">
        <v>63965</v>
      </c>
      <c r="X290" s="128">
        <v>64297</v>
      </c>
      <c r="Y290" s="128">
        <v>-3730</v>
      </c>
      <c r="Z290" s="128">
        <v>-507948.99999999953</v>
      </c>
      <c r="AA290" s="128">
        <v>30333</v>
      </c>
      <c r="AB290" s="128">
        <v>21018</v>
      </c>
      <c r="AC290" s="128" t="s">
        <v>433</v>
      </c>
      <c r="AD290" s="188">
        <f t="shared" si="86"/>
        <v>-0.18858750879387165</v>
      </c>
      <c r="AE290" s="188">
        <v>0.72084733838818105</v>
      </c>
      <c r="AF290" s="188">
        <v>5.512389588055968E-2</v>
      </c>
      <c r="AG290" s="188">
        <v>0.49875713280700384</v>
      </c>
      <c r="AH290" s="188">
        <v>0.37833221292894559</v>
      </c>
      <c r="AI290" s="188">
        <v>0.3275891914348526</v>
      </c>
      <c r="AJ290" s="188">
        <v>-5.1903384663487843E-3</v>
      </c>
      <c r="AK290" s="188">
        <v>6.471198233759283E-2</v>
      </c>
      <c r="AL290" s="188">
        <v>7.5979942518192385E-3</v>
      </c>
      <c r="AM290" s="129">
        <f t="shared" si="87"/>
        <v>1</v>
      </c>
      <c r="AN290" s="188">
        <v>-1.4578284999609161E-2</v>
      </c>
      <c r="AO290" s="188">
        <v>-7.941045884468062E-3</v>
      </c>
      <c r="AP290" s="188">
        <v>0.47421245993902916</v>
      </c>
      <c r="AQ290" s="128">
        <v>1584.2672946997814</v>
      </c>
      <c r="AR290" s="188">
        <v>0.03</v>
      </c>
      <c r="AS290" s="188">
        <v>0.151</v>
      </c>
      <c r="AT290" s="256">
        <v>7</v>
      </c>
    </row>
    <row r="291" spans="1:46" x14ac:dyDescent="0.25">
      <c r="A291" t="s">
        <v>231</v>
      </c>
      <c r="B291">
        <v>6453</v>
      </c>
      <c r="C291">
        <v>366711</v>
      </c>
      <c r="D291">
        <v>1263607</v>
      </c>
      <c r="E291">
        <v>5221</v>
      </c>
      <c r="F291">
        <v>99</v>
      </c>
      <c r="G291">
        <v>40041</v>
      </c>
      <c r="H291">
        <v>206</v>
      </c>
      <c r="I291">
        <v>-24109</v>
      </c>
      <c r="J291">
        <v>124</v>
      </c>
      <c r="K291">
        <v>146012</v>
      </c>
      <c r="L291">
        <v>9003</v>
      </c>
      <c r="M291">
        <v>47876</v>
      </c>
      <c r="N291">
        <v>662423</v>
      </c>
      <c r="O291">
        <v>76743</v>
      </c>
      <c r="P291">
        <v>878045</v>
      </c>
      <c r="Q291">
        <v>14155</v>
      </c>
      <c r="R291">
        <v>67000</v>
      </c>
      <c r="S291">
        <v>49985</v>
      </c>
      <c r="T291">
        <v>112893</v>
      </c>
      <c r="U291" s="128">
        <v>-4823</v>
      </c>
      <c r="V291" s="128">
        <v>29614</v>
      </c>
      <c r="W291" s="128">
        <v>1479364</v>
      </c>
      <c r="X291" s="128">
        <v>1449750</v>
      </c>
      <c r="Y291" s="128">
        <v>182537</v>
      </c>
      <c r="Z291" s="128">
        <v>24060252</v>
      </c>
      <c r="AA291" s="128">
        <v>910022</v>
      </c>
      <c r="AB291" s="128">
        <v>357669</v>
      </c>
      <c r="AC291" s="128" t="s">
        <v>231</v>
      </c>
      <c r="AD291" s="188">
        <f t="shared" si="86"/>
        <v>3.9204009290478882E-2</v>
      </c>
      <c r="AE291" s="188">
        <v>0.59406677464099433</v>
      </c>
      <c r="AF291" s="188">
        <v>2.7133281599390009E-2</v>
      </c>
      <c r="AG291" s="188">
        <v>-1.6213048309949411E-2</v>
      </c>
      <c r="AH291" s="188">
        <v>0.60867190224988565</v>
      </c>
      <c r="AI291" s="188">
        <v>0.35590336355684693</v>
      </c>
      <c r="AJ291" s="188">
        <v>2.0018061815753257E-2</v>
      </c>
      <c r="AK291" s="188">
        <v>-1.3051279083227226E-2</v>
      </c>
      <c r="AL291" s="188">
        <v>-1.1972535402466384E-2</v>
      </c>
      <c r="AM291" s="129">
        <f t="shared" si="87"/>
        <v>2</v>
      </c>
      <c r="AN291" s="188">
        <v>3.0847208665345377E-2</v>
      </c>
      <c r="AO291" s="188">
        <v>1.6263916115303603E-2</v>
      </c>
      <c r="AP291" s="188">
        <v>0.61514407542700777</v>
      </c>
      <c r="AQ291" s="128">
        <v>2246.6758511361063</v>
      </c>
      <c r="AR291" s="188">
        <v>3.6000000000000004E-2</v>
      </c>
      <c r="AS291" s="188">
        <v>0.17899999999999999</v>
      </c>
      <c r="AT291" s="256">
        <v>9</v>
      </c>
    </row>
    <row r="292" spans="1:46" x14ac:dyDescent="0.25">
      <c r="A292" t="s">
        <v>232</v>
      </c>
      <c r="B292">
        <v>1500</v>
      </c>
      <c r="C292">
        <v>10664</v>
      </c>
      <c r="D292">
        <v>139623</v>
      </c>
      <c r="E292">
        <v>740</v>
      </c>
      <c r="F292">
        <v>831</v>
      </c>
      <c r="G292">
        <v>3941</v>
      </c>
      <c r="H292">
        <v>69</v>
      </c>
      <c r="I292">
        <v>5052</v>
      </c>
      <c r="J292">
        <v>15</v>
      </c>
      <c r="K292">
        <v>11636</v>
      </c>
      <c r="L292">
        <v>0</v>
      </c>
      <c r="M292">
        <v>4166</v>
      </c>
      <c r="N292">
        <v>8966</v>
      </c>
      <c r="O292">
        <v>11169</v>
      </c>
      <c r="P292">
        <v>129423</v>
      </c>
      <c r="Q292">
        <v>38</v>
      </c>
      <c r="R292">
        <v>19315</v>
      </c>
      <c r="S292">
        <v>2548</v>
      </c>
      <c r="T292">
        <v>6782</v>
      </c>
      <c r="U292" s="128">
        <v>7</v>
      </c>
      <c r="V292" s="128">
        <v>-4092</v>
      </c>
      <c r="W292" s="128">
        <v>111804</v>
      </c>
      <c r="X292" s="128">
        <v>115896</v>
      </c>
      <c r="Y292" s="128">
        <v>14542</v>
      </c>
      <c r="Z292" s="128">
        <v>6696952</v>
      </c>
      <c r="AA292" s="128">
        <v>72845</v>
      </c>
      <c r="AB292" s="128">
        <v>49644</v>
      </c>
      <c r="AC292" s="128" t="s">
        <v>232</v>
      </c>
      <c r="AD292" s="188">
        <f t="shared" si="86"/>
        <v>0.17275768308826159</v>
      </c>
      <c r="AE292" s="188">
        <v>1.2294998390039713</v>
      </c>
      <c r="AF292" s="188">
        <v>4.2681836070265822E-2</v>
      </c>
      <c r="AG292" s="188">
        <v>4.5320382097241603E-2</v>
      </c>
      <c r="AH292" s="188">
        <v>1.2028973918643342</v>
      </c>
      <c r="AI292" s="188">
        <v>5.0302680079218585E-2</v>
      </c>
      <c r="AJ292" s="188">
        <v>-3.6599763872491142E-2</v>
      </c>
      <c r="AK292" s="188">
        <v>-4.0862378868396373E-2</v>
      </c>
      <c r="AL292" s="188">
        <v>-5.9037810518285418E-2</v>
      </c>
      <c r="AM292" s="129">
        <f t="shared" si="87"/>
        <v>3</v>
      </c>
      <c r="AN292" s="188">
        <v>3.2516725698543879E-2</v>
      </c>
      <c r="AO292" s="188">
        <v>5.9899037601516943E-2</v>
      </c>
      <c r="AP292" s="188">
        <v>0.65154198418661224</v>
      </c>
      <c r="AQ292" s="128">
        <v>1500.9313512206913</v>
      </c>
      <c r="AR292" s="188">
        <v>3.4000000000000002E-2</v>
      </c>
      <c r="AS292" s="188">
        <v>0.17</v>
      </c>
      <c r="AT292" s="256">
        <v>4</v>
      </c>
    </row>
    <row r="293" spans="1:46" x14ac:dyDescent="0.25">
      <c r="A293" t="s">
        <v>423</v>
      </c>
      <c r="B293">
        <v>118</v>
      </c>
      <c r="C293">
        <v>14554</v>
      </c>
      <c r="D293">
        <v>13953</v>
      </c>
      <c r="E293">
        <v>100</v>
      </c>
      <c r="F293">
        <v>0</v>
      </c>
      <c r="G293">
        <v>13</v>
      </c>
      <c r="H293">
        <v>0</v>
      </c>
      <c r="I293">
        <v>7077</v>
      </c>
      <c r="J293">
        <v>0</v>
      </c>
      <c r="K293">
        <v>3364</v>
      </c>
      <c r="L293">
        <v>31</v>
      </c>
      <c r="M293">
        <v>281</v>
      </c>
      <c r="N293">
        <v>6801</v>
      </c>
      <c r="O293">
        <v>1492</v>
      </c>
      <c r="P293">
        <v>26088</v>
      </c>
      <c r="Q293">
        <v>11</v>
      </c>
      <c r="R293">
        <v>0</v>
      </c>
      <c r="S293">
        <v>4349</v>
      </c>
      <c r="T293">
        <v>749</v>
      </c>
      <c r="U293" s="128">
        <v>-2</v>
      </c>
      <c r="V293" s="128">
        <v>-1089</v>
      </c>
      <c r="W293" s="128">
        <v>29719</v>
      </c>
      <c r="X293" s="128">
        <v>30808</v>
      </c>
      <c r="Y293" s="128">
        <v>-173</v>
      </c>
      <c r="Z293" s="128">
        <v>247326</v>
      </c>
      <c r="AA293" s="128">
        <v>21571</v>
      </c>
      <c r="AB293" s="128">
        <v>10119</v>
      </c>
      <c r="AC293" s="128" t="s">
        <v>423</v>
      </c>
      <c r="AD293" s="188">
        <f t="shared" si="86"/>
        <v>-1.0431037383492041E-3</v>
      </c>
      <c r="AE293" s="188">
        <v>0.92560314950031963</v>
      </c>
      <c r="AF293" s="188">
        <v>4.374305999528921E-4</v>
      </c>
      <c r="AG293" s="188">
        <v>0.23813048891281671</v>
      </c>
      <c r="AH293" s="188">
        <v>0.75896429893334227</v>
      </c>
      <c r="AI293" s="188">
        <v>0.17222081539630285</v>
      </c>
      <c r="AJ293" s="188">
        <v>-3.664322487297688E-2</v>
      </c>
      <c r="AK293" s="188">
        <v>-5.2533043771295918E-2</v>
      </c>
      <c r="AL293" s="188">
        <v>-3.9307197676830531E-2</v>
      </c>
      <c r="AM293" s="129">
        <f t="shared" si="87"/>
        <v>3</v>
      </c>
      <c r="AN293" s="188">
        <v>-1.4552979575355833E-3</v>
      </c>
      <c r="AO293" s="188">
        <v>8.3221508126114611E-3</v>
      </c>
      <c r="AP293" s="188">
        <v>0.7258319593526027</v>
      </c>
      <c r="AQ293" s="128">
        <v>1853.7405870145271</v>
      </c>
      <c r="AR293" s="188">
        <v>2.7999999999999997E-2</v>
      </c>
      <c r="AS293" s="188">
        <v>0.13800000000000001</v>
      </c>
      <c r="AT293" s="256">
        <v>5.5</v>
      </c>
    </row>
    <row r="294" spans="1:46" x14ac:dyDescent="0.25">
      <c r="A294" t="s">
        <v>424</v>
      </c>
      <c r="B294">
        <v>1074</v>
      </c>
      <c r="C294">
        <v>692</v>
      </c>
      <c r="D294">
        <v>50627</v>
      </c>
      <c r="E294">
        <v>229</v>
      </c>
      <c r="F294">
        <v>30</v>
      </c>
      <c r="G294">
        <v>0</v>
      </c>
      <c r="H294">
        <v>0</v>
      </c>
      <c r="I294">
        <v>-456</v>
      </c>
      <c r="J294">
        <v>0</v>
      </c>
      <c r="K294">
        <v>7672</v>
      </c>
      <c r="L294">
        <v>19446</v>
      </c>
      <c r="M294">
        <v>1105</v>
      </c>
      <c r="N294">
        <v>47403</v>
      </c>
      <c r="O294">
        <v>14355</v>
      </c>
      <c r="P294">
        <v>8714</v>
      </c>
      <c r="Q294">
        <v>4</v>
      </c>
      <c r="R294">
        <v>0</v>
      </c>
      <c r="S294">
        <v>2944</v>
      </c>
      <c r="T294">
        <v>6999</v>
      </c>
      <c r="U294" s="128">
        <v>0</v>
      </c>
      <c r="V294" s="128">
        <v>3772</v>
      </c>
      <c r="W294" s="128">
        <v>52899</v>
      </c>
      <c r="X294" s="128">
        <v>49127</v>
      </c>
      <c r="Y294" s="128">
        <v>-4409</v>
      </c>
      <c r="Z294" s="128">
        <v>-531108</v>
      </c>
      <c r="AA294" s="128">
        <v>29498</v>
      </c>
      <c r="AB294" s="128">
        <v>16356</v>
      </c>
      <c r="AC294" s="128" t="s">
        <v>424</v>
      </c>
      <c r="AD294" s="188">
        <f t="shared" si="86"/>
        <v>-0.36760619293370383</v>
      </c>
      <c r="AE294" s="188">
        <v>-0.18132667914327302</v>
      </c>
      <c r="AF294" s="188">
        <v>5.6711847104860206E-4</v>
      </c>
      <c r="AG294" s="188">
        <v>-8.6202007599387506E-3</v>
      </c>
      <c r="AH294" s="188">
        <v>-0.17522448439479005</v>
      </c>
      <c r="AI294" s="188">
        <v>0.58945025429313969</v>
      </c>
      <c r="AJ294" s="188">
        <v>7.1305695759844231E-2</v>
      </c>
      <c r="AK294" s="188">
        <v>-5.598431437987568E-2</v>
      </c>
      <c r="AL294" s="188">
        <v>2.5562888536751007E-2</v>
      </c>
      <c r="AM294" s="129">
        <f t="shared" si="87"/>
        <v>1</v>
      </c>
      <c r="AN294" s="188">
        <v>-2.0836877823777387E-2</v>
      </c>
      <c r="AO294" s="188">
        <v>-1.004003856405603E-2</v>
      </c>
      <c r="AP294" s="188">
        <v>0.55762868863305548</v>
      </c>
      <c r="AQ294" s="128">
        <v>2097.489911958914</v>
      </c>
      <c r="AR294" s="188">
        <v>6.0000000000000001E-3</v>
      </c>
      <c r="AS294" s="188">
        <v>3.1E-2</v>
      </c>
      <c r="AT294" s="256">
        <v>7</v>
      </c>
    </row>
    <row r="295" spans="1:46" x14ac:dyDescent="0.25">
      <c r="A295" t="s">
        <v>393</v>
      </c>
      <c r="B295">
        <v>1343</v>
      </c>
      <c r="C295">
        <v>8975</v>
      </c>
      <c r="D295">
        <v>78014</v>
      </c>
      <c r="E295">
        <v>32</v>
      </c>
      <c r="F295">
        <v>0</v>
      </c>
      <c r="G295">
        <v>939</v>
      </c>
      <c r="H295">
        <v>0</v>
      </c>
      <c r="I295">
        <v>7635</v>
      </c>
      <c r="J295">
        <v>0</v>
      </c>
      <c r="K295">
        <v>10170</v>
      </c>
      <c r="L295">
        <v>856</v>
      </c>
      <c r="M295">
        <v>3173</v>
      </c>
      <c r="N295">
        <v>21770</v>
      </c>
      <c r="O295">
        <v>13549</v>
      </c>
      <c r="P295">
        <v>68722</v>
      </c>
      <c r="Q295">
        <v>50</v>
      </c>
      <c r="R295">
        <v>0</v>
      </c>
      <c r="S295">
        <v>6052</v>
      </c>
      <c r="T295">
        <v>994</v>
      </c>
      <c r="U295" s="128">
        <v>2</v>
      </c>
      <c r="V295" s="128">
        <v>-1996</v>
      </c>
      <c r="W295" s="128">
        <v>77862</v>
      </c>
      <c r="X295" s="128">
        <v>79858</v>
      </c>
      <c r="Y295" s="128">
        <v>11699</v>
      </c>
      <c r="Z295" s="128">
        <v>1857805</v>
      </c>
      <c r="AA295" s="128">
        <v>53030</v>
      </c>
      <c r="AB295" s="128">
        <v>31152</v>
      </c>
      <c r="AC295" s="128" t="s">
        <v>393</v>
      </c>
      <c r="AD295" s="188">
        <f t="shared" si="86"/>
        <v>-1.0993809560504482E-2</v>
      </c>
      <c r="AE295" s="188">
        <v>0.7793275281909019</v>
      </c>
      <c r="AF295" s="188">
        <v>1.2059798104338444E-2</v>
      </c>
      <c r="AG295" s="188">
        <v>9.8058102797256685E-2</v>
      </c>
      <c r="AH295" s="188">
        <v>0.71213403200534287</v>
      </c>
      <c r="AI295" s="188">
        <v>0.19588435894436595</v>
      </c>
      <c r="AJ295" s="188">
        <v>-2.5635097993886621E-2</v>
      </c>
      <c r="AK295" s="188">
        <v>-6.4520555464075965E-2</v>
      </c>
      <c r="AL295" s="188">
        <v>-4.8116344600098823E-2</v>
      </c>
      <c r="AM295" s="129">
        <f t="shared" si="87"/>
        <v>3</v>
      </c>
      <c r="AN295" s="188">
        <v>3.7563252934679305E-2</v>
      </c>
      <c r="AO295" s="188">
        <v>2.3860227068403073E-2</v>
      </c>
      <c r="AP295" s="188">
        <v>0.68107677686162693</v>
      </c>
      <c r="AQ295" s="128">
        <v>1690.0938944530046</v>
      </c>
      <c r="AR295" s="188">
        <v>3.4000000000000002E-2</v>
      </c>
      <c r="AS295" s="188">
        <v>0.16899999999999998</v>
      </c>
      <c r="AT295" s="256">
        <v>8</v>
      </c>
    </row>
    <row r="296" spans="1:46" x14ac:dyDescent="0.25">
      <c r="A296" t="s">
        <v>126</v>
      </c>
      <c r="B296">
        <v>94</v>
      </c>
      <c r="C296">
        <v>8660</v>
      </c>
      <c r="D296">
        <v>33988</v>
      </c>
      <c r="E296">
        <v>628</v>
      </c>
      <c r="F296">
        <v>0</v>
      </c>
      <c r="G296">
        <v>964</v>
      </c>
      <c r="H296">
        <v>5370</v>
      </c>
      <c r="I296">
        <v>19123</v>
      </c>
      <c r="J296">
        <v>0</v>
      </c>
      <c r="K296">
        <v>9961</v>
      </c>
      <c r="L296">
        <v>555</v>
      </c>
      <c r="M296">
        <v>1520</v>
      </c>
      <c r="N296">
        <v>47416</v>
      </c>
      <c r="O296">
        <v>7065</v>
      </c>
      <c r="P296">
        <v>14800</v>
      </c>
      <c r="Q296">
        <v>30</v>
      </c>
      <c r="R296">
        <v>0</v>
      </c>
      <c r="S296">
        <v>7208</v>
      </c>
      <c r="T296">
        <v>4344</v>
      </c>
      <c r="U296" s="128">
        <v>28</v>
      </c>
      <c r="V296" s="128">
        <v>-368</v>
      </c>
      <c r="W296" s="128">
        <v>100192</v>
      </c>
      <c r="X296" s="128">
        <v>100560</v>
      </c>
      <c r="Y296" s="128">
        <v>-5267</v>
      </c>
      <c r="Z296" s="128">
        <v>-1733437</v>
      </c>
      <c r="AA296" s="128">
        <v>74191</v>
      </c>
      <c r="AB296" s="128">
        <v>27397</v>
      </c>
      <c r="AC296" s="128" t="s">
        <v>126</v>
      </c>
      <c r="AD296" s="188">
        <f t="shared" si="86"/>
        <v>-5.5393644203129994E-3</v>
      </c>
      <c r="AE296" s="188">
        <v>7.996646438837432E-2</v>
      </c>
      <c r="AF296" s="188">
        <v>9.621526668795911E-3</v>
      </c>
      <c r="AG296" s="188">
        <v>0.19086354199936123</v>
      </c>
      <c r="AH296" s="188">
        <v>-5.2483431810923034E-2</v>
      </c>
      <c r="AI296" s="188">
        <v>0.58637448524046842</v>
      </c>
      <c r="AJ296" s="188">
        <v>-3.6729479399552857E-3</v>
      </c>
      <c r="AK296" s="188">
        <v>3.370636138078717E-2</v>
      </c>
      <c r="AL296" s="188">
        <v>-2.6103721233882812E-2</v>
      </c>
      <c r="AM296" s="129">
        <f t="shared" si="87"/>
        <v>2</v>
      </c>
      <c r="AN296" s="188">
        <v>-1.3142266847652507E-2</v>
      </c>
      <c r="AO296" s="188">
        <v>-1.7301151788565953E-2</v>
      </c>
      <c r="AP296" s="188">
        <v>0.74048826253593103</v>
      </c>
      <c r="AQ296" s="128">
        <v>2254.973391247217</v>
      </c>
      <c r="AR296" s="188">
        <v>3.4000000000000002E-2</v>
      </c>
      <c r="AS296" s="188">
        <v>0.16899999999999998</v>
      </c>
      <c r="AT296" s="256">
        <v>5.5</v>
      </c>
    </row>
    <row r="297" spans="1:46" x14ac:dyDescent="0.25">
      <c r="A297" t="s">
        <v>233</v>
      </c>
      <c r="B297">
        <v>102</v>
      </c>
      <c r="C297">
        <v>17479</v>
      </c>
      <c r="D297">
        <v>211707</v>
      </c>
      <c r="E297">
        <v>2919</v>
      </c>
      <c r="F297">
        <v>0</v>
      </c>
      <c r="G297">
        <v>11999</v>
      </c>
      <c r="H297">
        <v>1771</v>
      </c>
      <c r="I297">
        <v>6901</v>
      </c>
      <c r="J297">
        <v>155</v>
      </c>
      <c r="K297">
        <v>13588</v>
      </c>
      <c r="L297">
        <v>5413</v>
      </c>
      <c r="M297">
        <v>3221</v>
      </c>
      <c r="N297">
        <v>77786</v>
      </c>
      <c r="O297">
        <v>21701</v>
      </c>
      <c r="P297">
        <v>129658</v>
      </c>
      <c r="Q297">
        <v>0</v>
      </c>
      <c r="R297">
        <v>22433</v>
      </c>
      <c r="S297">
        <v>8273</v>
      </c>
      <c r="T297">
        <v>15404</v>
      </c>
      <c r="U297" s="128">
        <v>-52</v>
      </c>
      <c r="V297" s="128">
        <v>-9326</v>
      </c>
      <c r="W297" s="128">
        <v>194888</v>
      </c>
      <c r="X297" s="128">
        <v>204214</v>
      </c>
      <c r="Y297" s="128">
        <v>-328</v>
      </c>
      <c r="Z297" s="128">
        <v>4317040</v>
      </c>
      <c r="AA297" s="128">
        <v>129735</v>
      </c>
      <c r="AB297" s="128">
        <v>66424</v>
      </c>
      <c r="AC297" s="128" t="s">
        <v>233</v>
      </c>
      <c r="AD297" s="188">
        <f t="shared" si="86"/>
        <v>8.7332211321374323E-2</v>
      </c>
      <c r="AE297" s="188">
        <v>0.71721193711259801</v>
      </c>
      <c r="AF297" s="188">
        <v>6.1568695866343746E-2</v>
      </c>
      <c r="AG297" s="188">
        <v>3.6205410286934032E-2</v>
      </c>
      <c r="AH297" s="188">
        <v>0.69925639341570545</v>
      </c>
      <c r="AI297" s="188">
        <v>0.28259613812646456</v>
      </c>
      <c r="AJ297" s="188">
        <v>-4.7853125897951647E-2</v>
      </c>
      <c r="AK297" s="188">
        <v>-7.0974559563427597E-4</v>
      </c>
      <c r="AL297" s="188">
        <v>-1.4617884736778953E-2</v>
      </c>
      <c r="AM297" s="129">
        <f t="shared" si="87"/>
        <v>3</v>
      </c>
      <c r="AN297" s="188">
        <v>-4.2075448462706788E-4</v>
      </c>
      <c r="AO297" s="188">
        <v>2.2151389516029719E-2</v>
      </c>
      <c r="AP297" s="188">
        <v>0.66569003735478838</v>
      </c>
      <c r="AQ297" s="128">
        <v>1807.9223322895339</v>
      </c>
      <c r="AR297" s="188">
        <v>3.7000000000000005E-2</v>
      </c>
      <c r="AS297" s="188">
        <v>0.183</v>
      </c>
      <c r="AT297" s="256">
        <v>6</v>
      </c>
    </row>
    <row r="298" spans="1:46" x14ac:dyDescent="0.25">
      <c r="A298" t="s">
        <v>341</v>
      </c>
      <c r="B298">
        <v>2326</v>
      </c>
      <c r="C298">
        <v>8682</v>
      </c>
      <c r="D298">
        <v>53649</v>
      </c>
      <c r="E298">
        <v>139</v>
      </c>
      <c r="F298">
        <v>0</v>
      </c>
      <c r="G298">
        <v>5457</v>
      </c>
      <c r="H298">
        <v>0</v>
      </c>
      <c r="I298">
        <v>7673</v>
      </c>
      <c r="J298">
        <v>16</v>
      </c>
      <c r="K298">
        <v>6918</v>
      </c>
      <c r="L298">
        <v>0</v>
      </c>
      <c r="M298">
        <v>3546</v>
      </c>
      <c r="N298">
        <v>27706</v>
      </c>
      <c r="O298">
        <v>8676</v>
      </c>
      <c r="P298">
        <v>43765</v>
      </c>
      <c r="Q298">
        <v>244</v>
      </c>
      <c r="R298">
        <v>2193</v>
      </c>
      <c r="S298">
        <v>5210</v>
      </c>
      <c r="T298">
        <v>615</v>
      </c>
      <c r="U298" s="128">
        <v>-3</v>
      </c>
      <c r="V298" s="128">
        <v>-1883</v>
      </c>
      <c r="W298" s="128">
        <v>77658</v>
      </c>
      <c r="X298" s="128">
        <v>79541</v>
      </c>
      <c r="Y298" s="128">
        <v>19678</v>
      </c>
      <c r="Z298" s="128">
        <v>4563231</v>
      </c>
      <c r="AA298" s="128">
        <v>30093</v>
      </c>
      <c r="AB298" s="128">
        <v>21901</v>
      </c>
      <c r="AC298" s="128" t="s">
        <v>341</v>
      </c>
      <c r="AD298" s="188">
        <f t="shared" si="86"/>
        <v>2.823920265780731E-2</v>
      </c>
      <c r="AE298" s="188">
        <v>0.46493600144222103</v>
      </c>
      <c r="AF298" s="188">
        <v>7.0269643822915867E-2</v>
      </c>
      <c r="AG298" s="188">
        <v>9.9011048443173919E-2</v>
      </c>
      <c r="AH298" s="188">
        <v>0.40406062479074922</v>
      </c>
      <c r="AI298" s="188">
        <v>0.31338438394281126</v>
      </c>
      <c r="AJ298" s="188">
        <v>-2.424734090499369E-2</v>
      </c>
      <c r="AK298" s="188">
        <v>2.2863741339491917E-2</v>
      </c>
      <c r="AL298" s="188">
        <v>-2.11685562525162E-3</v>
      </c>
      <c r="AM298" s="129">
        <f t="shared" si="87"/>
        <v>2</v>
      </c>
      <c r="AN298" s="188">
        <v>6.3348270622472891E-2</v>
      </c>
      <c r="AO298" s="188">
        <v>5.8760604187591749E-2</v>
      </c>
      <c r="AP298" s="188">
        <v>0.38750676041103299</v>
      </c>
      <c r="AQ298" s="128">
        <v>2449.9539290443358</v>
      </c>
      <c r="AR298" s="188">
        <v>2.3E-2</v>
      </c>
      <c r="AS298" s="188">
        <v>0.115</v>
      </c>
      <c r="AT298" s="256">
        <v>6.5</v>
      </c>
    </row>
    <row r="299" spans="1:46" x14ac:dyDescent="0.25">
      <c r="A299" t="s">
        <v>394</v>
      </c>
      <c r="B299">
        <v>112</v>
      </c>
      <c r="C299">
        <v>17816</v>
      </c>
      <c r="D299">
        <v>113664</v>
      </c>
      <c r="E299">
        <v>175</v>
      </c>
      <c r="F299">
        <v>0</v>
      </c>
      <c r="G299">
        <v>1236</v>
      </c>
      <c r="H299">
        <v>8</v>
      </c>
      <c r="I299">
        <v>86033</v>
      </c>
      <c r="J299">
        <v>0</v>
      </c>
      <c r="K299">
        <v>10504</v>
      </c>
      <c r="L299">
        <v>3884</v>
      </c>
      <c r="M299">
        <v>7845</v>
      </c>
      <c r="N299">
        <v>70087</v>
      </c>
      <c r="O299">
        <v>17669</v>
      </c>
      <c r="P299">
        <v>117816</v>
      </c>
      <c r="Q299">
        <v>0</v>
      </c>
      <c r="R299">
        <v>0</v>
      </c>
      <c r="S299">
        <v>7537</v>
      </c>
      <c r="T299">
        <v>28168</v>
      </c>
      <c r="U299" s="128">
        <v>-1</v>
      </c>
      <c r="V299" s="128">
        <v>-2674</v>
      </c>
      <c r="W299" s="128">
        <v>116766</v>
      </c>
      <c r="X299" s="128">
        <v>119440</v>
      </c>
      <c r="Y299" s="128">
        <v>8114</v>
      </c>
      <c r="Z299" s="128">
        <v>6045322.9999999981</v>
      </c>
      <c r="AA299" s="128">
        <v>68682</v>
      </c>
      <c r="AB299" s="128">
        <v>45481</v>
      </c>
      <c r="AC299" s="128" t="s">
        <v>394</v>
      </c>
      <c r="AD299" s="188">
        <f t="shared" si="86"/>
        <v>-3.3263107411404001E-2</v>
      </c>
      <c r="AE299" s="188">
        <v>1.1137146087045886</v>
      </c>
      <c r="AF299" s="188">
        <v>1.058527311032321E-2</v>
      </c>
      <c r="AG299" s="188">
        <v>0.73679838309096823</v>
      </c>
      <c r="AH299" s="188">
        <v>0.59922597331414962</v>
      </c>
      <c r="AI299" s="188">
        <v>0.29048355209986859</v>
      </c>
      <c r="AJ299" s="188">
        <v>-2.2900501858417691E-2</v>
      </c>
      <c r="AK299" s="188">
        <v>6.8556246092744452E-2</v>
      </c>
      <c r="AL299" s="188">
        <v>3.3984141295829717E-2</v>
      </c>
      <c r="AM299" s="129">
        <f t="shared" si="87"/>
        <v>1</v>
      </c>
      <c r="AN299" s="188">
        <v>1.7372351540688214E-2</v>
      </c>
      <c r="AO299" s="188">
        <v>5.177297329702138E-2</v>
      </c>
      <c r="AP299" s="188">
        <v>0.58820204511587282</v>
      </c>
      <c r="AQ299" s="128">
        <v>1610.4618192212129</v>
      </c>
      <c r="AR299" s="188">
        <v>4.0999999999999995E-2</v>
      </c>
      <c r="AS299" s="188">
        <v>0.20499999999999999</v>
      </c>
      <c r="AT299" s="256">
        <v>8</v>
      </c>
    </row>
    <row r="300" spans="1:46" x14ac:dyDescent="0.25">
      <c r="A300" t="s">
        <v>276</v>
      </c>
      <c r="B300">
        <v>1901</v>
      </c>
      <c r="C300">
        <v>30984</v>
      </c>
      <c r="D300">
        <v>167271</v>
      </c>
      <c r="E300">
        <v>1491</v>
      </c>
      <c r="F300">
        <v>0</v>
      </c>
      <c r="G300">
        <v>7004</v>
      </c>
      <c r="H300">
        <v>25</v>
      </c>
      <c r="I300">
        <v>13011</v>
      </c>
      <c r="J300">
        <v>4238</v>
      </c>
      <c r="K300">
        <v>16522</v>
      </c>
      <c r="L300">
        <v>0</v>
      </c>
      <c r="M300">
        <v>5167</v>
      </c>
      <c r="N300">
        <v>45472</v>
      </c>
      <c r="O300">
        <v>20748</v>
      </c>
      <c r="P300">
        <v>146242</v>
      </c>
      <c r="Q300">
        <v>2514</v>
      </c>
      <c r="R300">
        <v>15519</v>
      </c>
      <c r="S300">
        <v>6436</v>
      </c>
      <c r="T300">
        <v>10683</v>
      </c>
      <c r="U300" s="128">
        <v>-218</v>
      </c>
      <c r="V300" s="128">
        <v>-11326</v>
      </c>
      <c r="W300" s="128">
        <v>180862</v>
      </c>
      <c r="X300" s="128">
        <v>192188</v>
      </c>
      <c r="Y300" s="128">
        <v>15334</v>
      </c>
      <c r="Z300" s="128">
        <v>5375962</v>
      </c>
      <c r="AA300" s="128">
        <v>119832</v>
      </c>
      <c r="AB300" s="128">
        <v>68590</v>
      </c>
      <c r="AC300" s="128" t="s">
        <v>276</v>
      </c>
      <c r="AD300" s="188">
        <f t="shared" si="86"/>
        <v>8.5805752452145834E-2</v>
      </c>
      <c r="AE300" s="188">
        <v>0.84415742389224935</v>
      </c>
      <c r="AF300" s="188">
        <v>3.8725658236666627E-2</v>
      </c>
      <c r="AG300" s="188">
        <v>9.5371056385531505E-2</v>
      </c>
      <c r="AH300" s="188">
        <v>0.78204476341077733</v>
      </c>
      <c r="AI300" s="188">
        <v>0.18364066652127908</v>
      </c>
      <c r="AJ300" s="188">
        <v>-6.2622330837876397E-2</v>
      </c>
      <c r="AK300" s="188">
        <v>5.5328740077227275E-4</v>
      </c>
      <c r="AL300" s="188">
        <v>-1.2709804375506424E-2</v>
      </c>
      <c r="AM300" s="129">
        <f t="shared" si="87"/>
        <v>2</v>
      </c>
      <c r="AN300" s="188">
        <v>2.1195718282447391E-2</v>
      </c>
      <c r="AO300" s="188">
        <v>2.9724110094989552E-2</v>
      </c>
      <c r="AP300" s="188">
        <v>0.66256040517079318</v>
      </c>
      <c r="AQ300" s="128">
        <v>1758.7821839918356</v>
      </c>
      <c r="AR300" s="188">
        <v>3.2000000000000001E-2</v>
      </c>
      <c r="AS300" s="188">
        <v>0.16200000000000001</v>
      </c>
      <c r="AT300" s="256">
        <v>7</v>
      </c>
    </row>
    <row r="301" spans="1:46" x14ac:dyDescent="0.25">
      <c r="A301" t="s">
        <v>425</v>
      </c>
      <c r="B301">
        <v>25555</v>
      </c>
      <c r="C301">
        <v>33633</v>
      </c>
      <c r="D301">
        <v>227246</v>
      </c>
      <c r="E301">
        <v>23535</v>
      </c>
      <c r="F301">
        <v>20625</v>
      </c>
      <c r="G301">
        <v>14488</v>
      </c>
      <c r="H301">
        <v>5639</v>
      </c>
      <c r="I301">
        <v>12248</v>
      </c>
      <c r="J301">
        <v>0</v>
      </c>
      <c r="K301">
        <v>29151</v>
      </c>
      <c r="L301">
        <v>49056</v>
      </c>
      <c r="M301">
        <v>2148</v>
      </c>
      <c r="N301">
        <v>91710</v>
      </c>
      <c r="O301">
        <v>29927</v>
      </c>
      <c r="P301">
        <v>270464</v>
      </c>
      <c r="Q301">
        <v>38</v>
      </c>
      <c r="R301">
        <v>0</v>
      </c>
      <c r="S301">
        <v>32070</v>
      </c>
      <c r="T301">
        <v>19115</v>
      </c>
      <c r="U301" s="128">
        <v>2</v>
      </c>
      <c r="V301" s="128">
        <v>22359</v>
      </c>
      <c r="W301" s="128">
        <v>425055</v>
      </c>
      <c r="X301" s="128">
        <v>402696</v>
      </c>
      <c r="Y301" s="128">
        <v>-10787</v>
      </c>
      <c r="Z301" s="128">
        <v>-9403062</v>
      </c>
      <c r="AA301" s="128">
        <v>289935</v>
      </c>
      <c r="AB301" s="128">
        <v>101869</v>
      </c>
      <c r="AC301" s="128" t="s">
        <v>425</v>
      </c>
      <c r="AD301" s="188">
        <f t="shared" si="86"/>
        <v>-0.115410946818647</v>
      </c>
      <c r="AE301" s="188">
        <v>0.47189187281645906</v>
      </c>
      <c r="AF301" s="188">
        <v>8.2608133065132747E-2</v>
      </c>
      <c r="AG301" s="188">
        <v>2.8815094517180128E-2</v>
      </c>
      <c r="AH301" s="188">
        <v>0.46163428262224893</v>
      </c>
      <c r="AI301" s="188">
        <v>0.20686901679133093</v>
      </c>
      <c r="AJ301" s="188">
        <v>5.2602604368846381E-2</v>
      </c>
      <c r="AK301" s="188">
        <v>-6.8577886469994076E-2</v>
      </c>
      <c r="AL301" s="188">
        <v>5.9332133449031176E-2</v>
      </c>
      <c r="AM301" s="129">
        <f t="shared" si="87"/>
        <v>1</v>
      </c>
      <c r="AN301" s="188">
        <v>-6.3444730681911756E-3</v>
      </c>
      <c r="AO301" s="188">
        <v>-2.212198891908106E-2</v>
      </c>
      <c r="AP301" s="188">
        <v>0.68211172671771891</v>
      </c>
      <c r="AQ301" s="128">
        <v>2117.4004358538909</v>
      </c>
      <c r="AR301" s="188">
        <v>1.9E-2</v>
      </c>
      <c r="AS301" s="188">
        <v>9.6000000000000002E-2</v>
      </c>
      <c r="AT301" s="256">
        <v>8</v>
      </c>
    </row>
    <row r="302" spans="1:46" x14ac:dyDescent="0.25">
      <c r="A302" t="s">
        <v>426</v>
      </c>
      <c r="B302">
        <v>2367</v>
      </c>
      <c r="C302">
        <v>7296</v>
      </c>
      <c r="D302">
        <v>114116</v>
      </c>
      <c r="E302">
        <v>2954</v>
      </c>
      <c r="F302">
        <v>6945</v>
      </c>
      <c r="G302">
        <v>8397</v>
      </c>
      <c r="H302">
        <v>957</v>
      </c>
      <c r="I302">
        <v>1598</v>
      </c>
      <c r="J302">
        <v>0</v>
      </c>
      <c r="K302">
        <v>19027</v>
      </c>
      <c r="L302">
        <v>280</v>
      </c>
      <c r="M302">
        <v>616</v>
      </c>
      <c r="N302">
        <v>50077</v>
      </c>
      <c r="O302">
        <v>19948</v>
      </c>
      <c r="P302">
        <v>71569</v>
      </c>
      <c r="Q302">
        <v>130</v>
      </c>
      <c r="R302">
        <v>0</v>
      </c>
      <c r="S302">
        <v>9720</v>
      </c>
      <c r="T302">
        <v>13111</v>
      </c>
      <c r="U302" s="128">
        <v>7</v>
      </c>
      <c r="V302" s="128">
        <v>-615</v>
      </c>
      <c r="W302" s="128">
        <v>122430</v>
      </c>
      <c r="X302" s="128">
        <v>123045</v>
      </c>
      <c r="Y302" s="128">
        <v>25316</v>
      </c>
      <c r="Z302" s="128">
        <v>-1095063</v>
      </c>
      <c r="AA302" s="128">
        <v>89170</v>
      </c>
      <c r="AB302" s="128">
        <v>43596</v>
      </c>
      <c r="AC302" s="128" t="s">
        <v>426</v>
      </c>
      <c r="AD302" s="188">
        <f t="shared" si="86"/>
        <v>-2.2870211549456832E-3</v>
      </c>
      <c r="AE302" s="188">
        <v>0.47625581965204605</v>
      </c>
      <c r="AF302" s="188">
        <v>0.12531242342563098</v>
      </c>
      <c r="AG302" s="188">
        <v>1.3052356448582863E-2</v>
      </c>
      <c r="AH302" s="188">
        <v>0.48215666094911375</v>
      </c>
      <c r="AI302" s="188">
        <v>0.30431770532648661</v>
      </c>
      <c r="AJ302" s="188">
        <v>-5.0232786081842685E-3</v>
      </c>
      <c r="AK302" s="188">
        <v>1.6265548591800977E-2</v>
      </c>
      <c r="AL302" s="188">
        <v>4.0440385792512447E-2</v>
      </c>
      <c r="AM302" s="129">
        <f t="shared" si="87"/>
        <v>1</v>
      </c>
      <c r="AN302" s="188">
        <v>5.1694846034468674E-2</v>
      </c>
      <c r="AO302" s="188">
        <v>-8.9444008821367316E-3</v>
      </c>
      <c r="AP302" s="188">
        <v>0.72833455852323781</v>
      </c>
      <c r="AQ302" s="128">
        <v>1776.2436232681898</v>
      </c>
      <c r="AR302" s="188">
        <v>3.7000000000000005E-2</v>
      </c>
      <c r="AS302" s="188">
        <v>0.18600000000000003</v>
      </c>
      <c r="AT302" s="256">
        <v>6</v>
      </c>
    </row>
    <row r="303" spans="1:46" x14ac:dyDescent="0.25">
      <c r="A303" t="s">
        <v>605</v>
      </c>
      <c r="B303">
        <v>378</v>
      </c>
      <c r="C303">
        <v>11476</v>
      </c>
      <c r="D303">
        <v>164391</v>
      </c>
      <c r="E303">
        <v>7541</v>
      </c>
      <c r="F303">
        <v>0</v>
      </c>
      <c r="G303">
        <v>20153</v>
      </c>
      <c r="H303">
        <v>0</v>
      </c>
      <c r="I303">
        <v>25881</v>
      </c>
      <c r="J303">
        <v>0</v>
      </c>
      <c r="K303">
        <v>17886</v>
      </c>
      <c r="L303">
        <v>1124</v>
      </c>
      <c r="M303">
        <v>9610</v>
      </c>
      <c r="N303">
        <v>41240</v>
      </c>
      <c r="O303">
        <v>56830</v>
      </c>
      <c r="P303">
        <v>126392</v>
      </c>
      <c r="Q303">
        <v>102</v>
      </c>
      <c r="R303">
        <v>15468</v>
      </c>
      <c r="S303">
        <v>9510</v>
      </c>
      <c r="T303">
        <v>8898</v>
      </c>
      <c r="U303" s="128">
        <v>0</v>
      </c>
      <c r="V303" s="128">
        <v>3266</v>
      </c>
      <c r="W303" s="128">
        <v>159631</v>
      </c>
      <c r="X303" s="128">
        <v>156365</v>
      </c>
      <c r="Y303" s="128">
        <v>40973</v>
      </c>
      <c r="Z303" s="128">
        <v>3083355</v>
      </c>
      <c r="AA303" s="128">
        <v>96535</v>
      </c>
      <c r="AB303" s="128">
        <v>56740</v>
      </c>
      <c r="AC303" s="128" t="s">
        <v>605</v>
      </c>
      <c r="AD303" s="188">
        <f t="shared" si="86"/>
        <v>8.985723324416936E-2</v>
      </c>
      <c r="AE303" s="188">
        <v>0.69909353446385725</v>
      </c>
      <c r="AF303" s="188">
        <v>0.12624740808489579</v>
      </c>
      <c r="AG303" s="188">
        <v>0.1621301626876985</v>
      </c>
      <c r="AH303" s="188">
        <v>0.60075210955265579</v>
      </c>
      <c r="AI303" s="188">
        <v>0.15957282154465252</v>
      </c>
      <c r="AJ303" s="188">
        <v>2.0459685148874591E-2</v>
      </c>
      <c r="AK303" s="188">
        <v>-5.5591813741318073E-2</v>
      </c>
      <c r="AL303" s="188">
        <v>-7.4523345729295793E-4</v>
      </c>
      <c r="AM303" s="129">
        <f t="shared" si="87"/>
        <v>2</v>
      </c>
      <c r="AN303" s="188">
        <v>6.4168300643358753E-2</v>
      </c>
      <c r="AO303" s="188">
        <v>1.9315515156830439E-2</v>
      </c>
      <c r="AP303" s="188">
        <v>0.604738427999574</v>
      </c>
      <c r="AQ303" s="128">
        <v>1811.0624779696864</v>
      </c>
      <c r="AR303" s="188">
        <v>2.1000000000000001E-2</v>
      </c>
      <c r="AS303" s="188">
        <v>0.107</v>
      </c>
      <c r="AT303" s="256">
        <v>6</v>
      </c>
    </row>
    <row r="304" spans="1:46" x14ac:dyDescent="0.25">
      <c r="A304" t="s">
        <v>320</v>
      </c>
      <c r="B304">
        <v>78</v>
      </c>
      <c r="C304">
        <v>122849</v>
      </c>
      <c r="D304">
        <v>178197</v>
      </c>
      <c r="E304">
        <v>1575</v>
      </c>
      <c r="F304">
        <v>0</v>
      </c>
      <c r="G304">
        <v>1140</v>
      </c>
      <c r="H304">
        <v>5906</v>
      </c>
      <c r="I304">
        <v>16442</v>
      </c>
      <c r="J304">
        <v>130</v>
      </c>
      <c r="K304">
        <v>34968</v>
      </c>
      <c r="L304">
        <v>200</v>
      </c>
      <c r="M304">
        <v>3449</v>
      </c>
      <c r="N304">
        <v>41095</v>
      </c>
      <c r="O304">
        <v>17077</v>
      </c>
      <c r="P304">
        <v>240000</v>
      </c>
      <c r="Q304">
        <v>34071</v>
      </c>
      <c r="R304">
        <v>0</v>
      </c>
      <c r="S304">
        <v>8538</v>
      </c>
      <c r="T304">
        <v>24156</v>
      </c>
      <c r="U304" s="128">
        <v>35483</v>
      </c>
      <c r="V304" s="128">
        <v>-8652</v>
      </c>
      <c r="W304" s="128">
        <v>261453</v>
      </c>
      <c r="X304" s="128">
        <v>270105</v>
      </c>
      <c r="Y304" s="128">
        <v>-9419</v>
      </c>
      <c r="Z304" s="128">
        <v>-1055166</v>
      </c>
      <c r="AA304" s="128">
        <v>192595</v>
      </c>
      <c r="AB304" s="128">
        <v>73403</v>
      </c>
      <c r="AC304" s="128" t="s">
        <v>320</v>
      </c>
      <c r="AD304" s="188">
        <f t="shared" si="86"/>
        <v>-7.6495584292396717E-4</v>
      </c>
      <c r="AE304" s="188">
        <v>0.99865750249566843</v>
      </c>
      <c r="AF304" s="188">
        <v>4.3602483046666128E-3</v>
      </c>
      <c r="AG304" s="188">
        <v>6.3384241144679929E-2</v>
      </c>
      <c r="AH304" s="188">
        <v>0.95481176349095243</v>
      </c>
      <c r="AI304" s="188">
        <v>0.11260847762764532</v>
      </c>
      <c r="AJ304" s="188">
        <v>-3.309198976489082E-2</v>
      </c>
      <c r="AK304" s="188">
        <v>1.9040928602644166E-2</v>
      </c>
      <c r="AL304" s="188">
        <v>1.5932292379195214E-2</v>
      </c>
      <c r="AM304" s="129">
        <f t="shared" si="87"/>
        <v>1</v>
      </c>
      <c r="AN304" s="188">
        <v>-9.0063988556260584E-3</v>
      </c>
      <c r="AO304" s="188">
        <v>-4.035776984773554E-3</v>
      </c>
      <c r="AP304" s="188">
        <v>0.73663335283970732</v>
      </c>
      <c r="AQ304" s="128">
        <v>2021.2063539637345</v>
      </c>
      <c r="AR304" s="188">
        <v>2.9000000000000001E-2</v>
      </c>
      <c r="AS304" s="188">
        <v>0.14699999999999999</v>
      </c>
      <c r="AT304" s="256">
        <v>5</v>
      </c>
    </row>
    <row r="305" spans="1:46" x14ac:dyDescent="0.25">
      <c r="A305" t="s">
        <v>139</v>
      </c>
      <c r="B305">
        <v>0</v>
      </c>
      <c r="C305">
        <v>1028</v>
      </c>
      <c r="D305">
        <v>9629</v>
      </c>
      <c r="E305">
        <v>1810</v>
      </c>
      <c r="F305">
        <v>0</v>
      </c>
      <c r="G305">
        <v>0</v>
      </c>
      <c r="H305">
        <v>8</v>
      </c>
      <c r="I305">
        <v>8</v>
      </c>
      <c r="J305">
        <v>0</v>
      </c>
      <c r="K305">
        <v>4919</v>
      </c>
      <c r="L305">
        <v>47</v>
      </c>
      <c r="M305">
        <v>1830</v>
      </c>
      <c r="N305">
        <v>8498</v>
      </c>
      <c r="O305">
        <v>1407</v>
      </c>
      <c r="P305">
        <v>8394</v>
      </c>
      <c r="Q305">
        <v>5</v>
      </c>
      <c r="R305">
        <v>0</v>
      </c>
      <c r="S305">
        <v>351</v>
      </c>
      <c r="T305">
        <v>621</v>
      </c>
      <c r="U305" s="128">
        <v>-41</v>
      </c>
      <c r="V305" s="128">
        <v>961</v>
      </c>
      <c r="W305" s="128">
        <v>8779</v>
      </c>
      <c r="X305" s="128">
        <v>7818</v>
      </c>
      <c r="Y305" s="128">
        <v>-1428</v>
      </c>
      <c r="Z305" s="128">
        <v>377960.69999999995</v>
      </c>
      <c r="AA305" s="128">
        <v>4082</v>
      </c>
      <c r="AB305" s="128">
        <v>1161</v>
      </c>
      <c r="AC305" s="128" t="s">
        <v>139</v>
      </c>
      <c r="AD305" s="188">
        <f t="shared" si="86"/>
        <v>-5.3536849299464628E-3</v>
      </c>
      <c r="AE305" s="188">
        <v>0.29240232372707597</v>
      </c>
      <c r="AF305" s="188">
        <v>0</v>
      </c>
      <c r="AG305" s="188">
        <v>9.1126551999088734E-4</v>
      </c>
      <c r="AH305" s="188">
        <v>0.29176443786308237</v>
      </c>
      <c r="AI305" s="188">
        <v>0.44085909939821538</v>
      </c>
      <c r="AJ305" s="188">
        <v>0.10946577058890535</v>
      </c>
      <c r="AK305" s="188">
        <v>-3.3520234032179422E-2</v>
      </c>
      <c r="AL305" s="188">
        <v>4.8035996594916697E-2</v>
      </c>
      <c r="AM305" s="129">
        <f t="shared" si="87"/>
        <v>1</v>
      </c>
      <c r="AN305" s="188">
        <v>-4.0665223829593346E-2</v>
      </c>
      <c r="AO305" s="188">
        <v>4.3052819227702467E-2</v>
      </c>
      <c r="AP305" s="188">
        <v>0.46497323157535025</v>
      </c>
      <c r="AQ305" s="128">
        <v>4169.7304048234282</v>
      </c>
      <c r="AR305" s="188">
        <v>-1.2999999999999999E-2</v>
      </c>
      <c r="AS305" s="188">
        <v>-6.6000000000000003E-2</v>
      </c>
      <c r="AT305" s="256">
        <v>8</v>
      </c>
    </row>
    <row r="306" spans="1:46" x14ac:dyDescent="0.25">
      <c r="A306" t="s">
        <v>342</v>
      </c>
      <c r="B306">
        <v>8197</v>
      </c>
      <c r="C306">
        <v>0</v>
      </c>
      <c r="D306">
        <v>134197</v>
      </c>
      <c r="E306">
        <v>2575</v>
      </c>
      <c r="F306">
        <v>0</v>
      </c>
      <c r="G306">
        <v>1432</v>
      </c>
      <c r="H306">
        <v>101</v>
      </c>
      <c r="I306">
        <v>15682</v>
      </c>
      <c r="J306">
        <v>0</v>
      </c>
      <c r="K306">
        <v>9691</v>
      </c>
      <c r="L306">
        <v>36</v>
      </c>
      <c r="M306">
        <v>19635</v>
      </c>
      <c r="N306">
        <v>-86554</v>
      </c>
      <c r="O306">
        <v>38865</v>
      </c>
      <c r="P306">
        <v>204086</v>
      </c>
      <c r="Q306">
        <v>688</v>
      </c>
      <c r="R306">
        <v>12861</v>
      </c>
      <c r="S306">
        <v>6632</v>
      </c>
      <c r="T306">
        <v>14968</v>
      </c>
      <c r="U306" s="128">
        <v>1</v>
      </c>
      <c r="V306" s="128">
        <v>16492</v>
      </c>
      <c r="W306" s="128">
        <v>250260</v>
      </c>
      <c r="X306" s="128">
        <v>233768</v>
      </c>
      <c r="Y306" s="128">
        <v>7855.43299999999</v>
      </c>
      <c r="Z306" s="128">
        <v>-2252251</v>
      </c>
      <c r="AA306" s="128">
        <v>176425</v>
      </c>
      <c r="AB306" s="128">
        <v>44466</v>
      </c>
      <c r="AC306" s="128" t="s">
        <v>342</v>
      </c>
      <c r="AD306" s="188">
        <f t="shared" si="86"/>
        <v>5.1246703428434431E-2</v>
      </c>
      <c r="AE306" s="188">
        <v>0.83249420602573321</v>
      </c>
      <c r="AF306" s="188">
        <v>5.7220490689682728E-3</v>
      </c>
      <c r="AG306" s="188">
        <v>6.2662830656117635E-2</v>
      </c>
      <c r="AH306" s="188">
        <v>0.78931687045472698</v>
      </c>
      <c r="AI306" s="188">
        <v>-0.45187056894949518</v>
      </c>
      <c r="AJ306" s="188">
        <v>6.5899464556860868E-2</v>
      </c>
      <c r="AK306" s="188">
        <v>3.535115449318766E-2</v>
      </c>
      <c r="AL306" s="188">
        <v>0.112256361181192</v>
      </c>
      <c r="AM306" s="129">
        <f t="shared" si="87"/>
        <v>0</v>
      </c>
      <c r="AN306" s="188">
        <v>7.8472718372892096E-3</v>
      </c>
      <c r="AO306" s="188">
        <v>-8.9996443698553506E-3</v>
      </c>
      <c r="AP306" s="188">
        <v>0.70496683449212816</v>
      </c>
      <c r="AQ306" s="128">
        <v>2383.3190977375971</v>
      </c>
      <c r="AR306" s="188">
        <v>7.0000000000000001E-3</v>
      </c>
      <c r="AS306" s="188">
        <v>3.6000000000000004E-2</v>
      </c>
      <c r="AT306" s="256">
        <v>7.5</v>
      </c>
    </row>
    <row r="307" spans="1:46" x14ac:dyDescent="0.25">
      <c r="A307" t="s">
        <v>427</v>
      </c>
      <c r="B307">
        <v>0</v>
      </c>
      <c r="C307">
        <v>3124</v>
      </c>
      <c r="D307">
        <v>35286</v>
      </c>
      <c r="E307">
        <v>320</v>
      </c>
      <c r="F307">
        <v>0</v>
      </c>
      <c r="G307">
        <v>11</v>
      </c>
      <c r="H307">
        <v>0</v>
      </c>
      <c r="I307">
        <v>0</v>
      </c>
      <c r="J307">
        <v>11</v>
      </c>
      <c r="K307">
        <v>5573</v>
      </c>
      <c r="L307">
        <v>111</v>
      </c>
      <c r="M307">
        <v>1605</v>
      </c>
      <c r="N307">
        <v>19551</v>
      </c>
      <c r="O307">
        <v>2657</v>
      </c>
      <c r="P307">
        <v>19108</v>
      </c>
      <c r="Q307">
        <v>8</v>
      </c>
      <c r="R307">
        <v>1000</v>
      </c>
      <c r="S307">
        <v>3719</v>
      </c>
      <c r="T307">
        <v>1</v>
      </c>
      <c r="U307" s="128">
        <v>-3</v>
      </c>
      <c r="V307" s="128">
        <v>-382</v>
      </c>
      <c r="W307" s="128">
        <v>26405</v>
      </c>
      <c r="X307" s="128">
        <v>26787</v>
      </c>
      <c r="Y307" s="128">
        <v>9790</v>
      </c>
      <c r="Z307" s="128">
        <v>448859.4700000002</v>
      </c>
      <c r="AA307" s="128">
        <v>18501</v>
      </c>
      <c r="AB307" s="128">
        <v>12487</v>
      </c>
      <c r="AC307" s="128" t="s">
        <v>427</v>
      </c>
      <c r="AD307" s="188">
        <f t="shared" si="86"/>
        <v>3.3667865934482108E-2</v>
      </c>
      <c r="AE307" s="188">
        <v>0.62624502935050175</v>
      </c>
      <c r="AF307" s="188">
        <v>4.165877674682825E-4</v>
      </c>
      <c r="AG307" s="188">
        <v>4.165877674682825E-4</v>
      </c>
      <c r="AH307" s="188">
        <v>0.62600340844537017</v>
      </c>
      <c r="AI307" s="188">
        <v>0.42461558509252018</v>
      </c>
      <c r="AJ307" s="188">
        <v>-1.446695701571672E-2</v>
      </c>
      <c r="AK307" s="188">
        <v>4.3047515443490426E-2</v>
      </c>
      <c r="AL307" s="188">
        <v>-4.7295159759569758E-2</v>
      </c>
      <c r="AM307" s="129">
        <f t="shared" si="87"/>
        <v>2</v>
      </c>
      <c r="AN307" s="188">
        <v>9.2690778261692863E-2</v>
      </c>
      <c r="AO307" s="188">
        <v>1.6999033137663329E-2</v>
      </c>
      <c r="AP307" s="188">
        <v>0.7006627532664268</v>
      </c>
      <c r="AQ307" s="128">
        <v>1368.8815568190921</v>
      </c>
      <c r="AR307" s="188">
        <v>3.2000000000000001E-2</v>
      </c>
      <c r="AS307" s="188">
        <v>0.16</v>
      </c>
      <c r="AT307" s="256">
        <v>7.5</v>
      </c>
    </row>
    <row r="308" spans="1:46" x14ac:dyDescent="0.25">
      <c r="A308" t="s">
        <v>321</v>
      </c>
      <c r="B308">
        <v>9000</v>
      </c>
      <c r="C308">
        <v>2703</v>
      </c>
      <c r="D308">
        <v>53151</v>
      </c>
      <c r="E308">
        <v>290</v>
      </c>
      <c r="F308">
        <v>0</v>
      </c>
      <c r="G308">
        <v>6198</v>
      </c>
      <c r="H308">
        <v>0</v>
      </c>
      <c r="I308">
        <v>4825</v>
      </c>
      <c r="J308">
        <v>0</v>
      </c>
      <c r="K308">
        <v>11690</v>
      </c>
      <c r="L308">
        <v>0</v>
      </c>
      <c r="M308">
        <v>1055</v>
      </c>
      <c r="N308">
        <v>37215</v>
      </c>
      <c r="O308">
        <v>11560</v>
      </c>
      <c r="P308">
        <v>26250</v>
      </c>
      <c r="Q308">
        <v>6</v>
      </c>
      <c r="R308">
        <v>3851</v>
      </c>
      <c r="S308">
        <v>4922</v>
      </c>
      <c r="T308">
        <v>5105</v>
      </c>
      <c r="U308" s="128">
        <v>3</v>
      </c>
      <c r="V308" s="128">
        <v>2047</v>
      </c>
      <c r="W308" s="128">
        <v>55475</v>
      </c>
      <c r="X308" s="128">
        <v>53428</v>
      </c>
      <c r="Y308" s="128">
        <v>17251</v>
      </c>
      <c r="Z308" s="128">
        <v>1658165</v>
      </c>
      <c r="AA308" s="128">
        <v>33384</v>
      </c>
      <c r="AB308" s="128">
        <v>25598</v>
      </c>
      <c r="AC308" s="128" t="s">
        <v>321</v>
      </c>
      <c r="AD308" s="188">
        <f t="shared" si="86"/>
        <v>6.9418657052726457E-2</v>
      </c>
      <c r="AE308" s="188">
        <v>0.381991888237945</v>
      </c>
      <c r="AF308" s="188">
        <v>0.11172600270392069</v>
      </c>
      <c r="AG308" s="188">
        <v>8.6976115367282558E-2</v>
      </c>
      <c r="AH308" s="188">
        <v>0.33451572780531769</v>
      </c>
      <c r="AI308" s="188">
        <v>0.41857404762172556</v>
      </c>
      <c r="AJ308" s="188">
        <v>3.6899504281207751E-2</v>
      </c>
      <c r="AK308" s="188">
        <v>6.178616448298254E-2</v>
      </c>
      <c r="AL308" s="188">
        <v>1.6887637952744242E-2</v>
      </c>
      <c r="AM308" s="129">
        <f t="shared" si="87"/>
        <v>0</v>
      </c>
      <c r="AN308" s="188">
        <v>7.7742226228030648E-2</v>
      </c>
      <c r="AO308" s="188">
        <v>2.9890310950878775E-2</v>
      </c>
      <c r="AP308" s="188">
        <v>0.60178458765209553</v>
      </c>
      <c r="AQ308" s="128">
        <v>1413.3869052269708</v>
      </c>
      <c r="AR308" s="188">
        <v>2.6000000000000002E-2</v>
      </c>
      <c r="AS308" s="188">
        <v>0.13200000000000001</v>
      </c>
      <c r="AT308" s="256">
        <v>9</v>
      </c>
    </row>
    <row r="309" spans="1:46" x14ac:dyDescent="0.25">
      <c r="A309" t="s">
        <v>205</v>
      </c>
      <c r="B309">
        <v>142</v>
      </c>
      <c r="C309">
        <v>9725</v>
      </c>
      <c r="D309">
        <v>54988</v>
      </c>
      <c r="E309">
        <v>5991</v>
      </c>
      <c r="F309">
        <v>0</v>
      </c>
      <c r="G309">
        <v>1534</v>
      </c>
      <c r="H309">
        <v>0</v>
      </c>
      <c r="I309">
        <v>3759</v>
      </c>
      <c r="J309">
        <v>927</v>
      </c>
      <c r="K309">
        <v>876</v>
      </c>
      <c r="L309">
        <v>2464</v>
      </c>
      <c r="M309">
        <v>4938</v>
      </c>
      <c r="N309">
        <v>18091</v>
      </c>
      <c r="O309">
        <v>18744</v>
      </c>
      <c r="P309">
        <v>29563</v>
      </c>
      <c r="Q309">
        <v>50</v>
      </c>
      <c r="R309">
        <v>8846</v>
      </c>
      <c r="S309">
        <v>5553</v>
      </c>
      <c r="T309">
        <v>4486</v>
      </c>
      <c r="U309" s="128">
        <v>-12</v>
      </c>
      <c r="V309" s="128">
        <v>-1943</v>
      </c>
      <c r="W309" s="128">
        <v>65819</v>
      </c>
      <c r="X309" s="128">
        <v>67762</v>
      </c>
      <c r="Y309" s="128">
        <v>17319</v>
      </c>
      <c r="Z309" s="128">
        <v>2709018.0000000009</v>
      </c>
      <c r="AA309" s="128">
        <v>41680</v>
      </c>
      <c r="AB309" s="128">
        <v>24562</v>
      </c>
      <c r="AC309" s="128" t="s">
        <v>205</v>
      </c>
      <c r="AD309" s="188">
        <f t="shared" si="86"/>
        <v>9.6962883058083538E-2</v>
      </c>
      <c r="AE309" s="188">
        <v>0.58776341178079283</v>
      </c>
      <c r="AF309" s="188">
        <v>2.3306340114556588E-2</v>
      </c>
      <c r="AG309" s="188">
        <v>7.1195247572889281E-2</v>
      </c>
      <c r="AH309" s="188">
        <v>0.54072349929351715</v>
      </c>
      <c r="AI309" s="188">
        <v>0.21200473439349374</v>
      </c>
      <c r="AJ309" s="188">
        <v>-2.952035126635166E-2</v>
      </c>
      <c r="AK309" s="188">
        <v>-2.8337724404141904E-3</v>
      </c>
      <c r="AL309" s="188">
        <v>-3.5096481271282634E-2</v>
      </c>
      <c r="AM309" s="129">
        <f t="shared" si="87"/>
        <v>3</v>
      </c>
      <c r="AN309" s="188">
        <v>6.5782676734681481E-2</v>
      </c>
      <c r="AO309" s="188">
        <v>4.1158601619593144E-2</v>
      </c>
      <c r="AP309" s="188">
        <v>0.6332517965936888</v>
      </c>
      <c r="AQ309" s="128">
        <v>1657.8656868333198</v>
      </c>
      <c r="AR309" s="188">
        <v>4.9000000000000002E-2</v>
      </c>
      <c r="AS309" s="188">
        <v>0.24299999999999999</v>
      </c>
      <c r="AT309" s="256">
        <v>6</v>
      </c>
    </row>
    <row r="310" spans="1:46" x14ac:dyDescent="0.25">
      <c r="A310" t="s">
        <v>395</v>
      </c>
      <c r="B310">
        <v>0</v>
      </c>
      <c r="C310">
        <v>3916</v>
      </c>
      <c r="D310">
        <v>95224</v>
      </c>
      <c r="E310">
        <v>16</v>
      </c>
      <c r="F310">
        <v>0</v>
      </c>
      <c r="G310">
        <v>1732</v>
      </c>
      <c r="H310">
        <v>74</v>
      </c>
      <c r="I310">
        <v>-3933</v>
      </c>
      <c r="J310">
        <v>0</v>
      </c>
      <c r="K310">
        <v>6286</v>
      </c>
      <c r="L310">
        <v>24</v>
      </c>
      <c r="M310">
        <v>3407</v>
      </c>
      <c r="N310">
        <v>49371</v>
      </c>
      <c r="O310">
        <v>6288</v>
      </c>
      <c r="P310">
        <v>38954</v>
      </c>
      <c r="Q310">
        <v>0</v>
      </c>
      <c r="R310">
        <v>4727</v>
      </c>
      <c r="S310">
        <v>3045</v>
      </c>
      <c r="T310">
        <v>4359</v>
      </c>
      <c r="U310" s="128">
        <v>7</v>
      </c>
      <c r="V310" s="128">
        <v>4378</v>
      </c>
      <c r="W310" s="128">
        <v>77719</v>
      </c>
      <c r="X310" s="128">
        <v>73341</v>
      </c>
      <c r="Y310" s="128">
        <v>16429</v>
      </c>
      <c r="Z310" s="128">
        <v>2597300</v>
      </c>
      <c r="AA310" s="128">
        <v>41664</v>
      </c>
      <c r="AB310" s="128">
        <v>26527</v>
      </c>
      <c r="AC310" s="128" t="s">
        <v>395</v>
      </c>
      <c r="AD310" s="188">
        <f t="shared" si="86"/>
        <v>6.0512873299965263E-2</v>
      </c>
      <c r="AE310" s="188">
        <v>0.50903897373872542</v>
      </c>
      <c r="AF310" s="188">
        <v>2.228541283341268E-2</v>
      </c>
      <c r="AG310" s="188">
        <v>-5.0605386070330292E-2</v>
      </c>
      <c r="AH310" s="188">
        <v>0.54713699352796608</v>
      </c>
      <c r="AI310" s="188">
        <v>0.46251779959529343</v>
      </c>
      <c r="AJ310" s="188">
        <v>5.6331141677067383E-2</v>
      </c>
      <c r="AK310" s="188">
        <v>5.8688890983264443E-2</v>
      </c>
      <c r="AL310" s="188">
        <v>6.2318752098659912E-2</v>
      </c>
      <c r="AM310" s="129">
        <f t="shared" si="87"/>
        <v>0</v>
      </c>
      <c r="AN310" s="188">
        <v>5.284743756353015E-2</v>
      </c>
      <c r="AO310" s="188">
        <v>3.3419112443546624E-2</v>
      </c>
      <c r="AP310" s="188">
        <v>0.53608512718897572</v>
      </c>
      <c r="AQ310" s="128">
        <v>1506.978173182041</v>
      </c>
      <c r="AR310" s="188">
        <v>1.6E-2</v>
      </c>
      <c r="AS310" s="188">
        <v>7.8E-2</v>
      </c>
      <c r="AT310" s="256">
        <v>8.5</v>
      </c>
    </row>
    <row r="311" spans="1:46" x14ac:dyDescent="0.25">
      <c r="A311" t="s">
        <v>606</v>
      </c>
      <c r="B311">
        <v>0</v>
      </c>
      <c r="C311">
        <v>6396</v>
      </c>
      <c r="D311">
        <v>74090</v>
      </c>
      <c r="E311">
        <v>880</v>
      </c>
      <c r="F311">
        <v>6</v>
      </c>
      <c r="G311">
        <v>1060</v>
      </c>
      <c r="H311">
        <v>0</v>
      </c>
      <c r="I311">
        <v>22460</v>
      </c>
      <c r="J311">
        <v>0</v>
      </c>
      <c r="K311">
        <v>2104</v>
      </c>
      <c r="L311">
        <v>0</v>
      </c>
      <c r="M311">
        <v>7154</v>
      </c>
      <c r="N311">
        <v>41163</v>
      </c>
      <c r="O311">
        <v>23637</v>
      </c>
      <c r="P311">
        <v>37380</v>
      </c>
      <c r="Q311">
        <v>0</v>
      </c>
      <c r="R311">
        <v>1992</v>
      </c>
      <c r="S311">
        <v>5672</v>
      </c>
      <c r="T311">
        <v>4306</v>
      </c>
      <c r="U311" s="128">
        <v>0</v>
      </c>
      <c r="V311" s="128">
        <v>-2000</v>
      </c>
      <c r="W311" s="128">
        <v>138988</v>
      </c>
      <c r="X311" s="128">
        <v>140988</v>
      </c>
      <c r="Y311" s="128">
        <v>6114</v>
      </c>
      <c r="Z311" s="128">
        <v>1524609</v>
      </c>
      <c r="AA311" s="128">
        <v>93933</v>
      </c>
      <c r="AB311" s="128">
        <v>46062</v>
      </c>
      <c r="AC311" s="128" t="s">
        <v>606</v>
      </c>
      <c r="AD311" s="188">
        <f t="shared" si="86"/>
        <v>1.4332172561659999E-2</v>
      </c>
      <c r="AE311" s="188">
        <v>0.28078683051774256</v>
      </c>
      <c r="AF311" s="188">
        <v>7.6697268828963654E-3</v>
      </c>
      <c r="AG311" s="188">
        <v>0.16159668460586527</v>
      </c>
      <c r="AH311" s="188">
        <v>0.16858951851958445</v>
      </c>
      <c r="AI311" s="188">
        <v>0.36060446780551908</v>
      </c>
      <c r="AJ311" s="188">
        <v>-1.4389731487610441E-2</v>
      </c>
      <c r="AK311" s="188">
        <v>-8.3646935026485222E-2</v>
      </c>
      <c r="AL311" s="188">
        <v>2.4240710601086866E-2</v>
      </c>
      <c r="AM311" s="129">
        <f t="shared" si="87"/>
        <v>2</v>
      </c>
      <c r="AN311" s="188">
        <v>1.099735228940628E-2</v>
      </c>
      <c r="AO311" s="188">
        <v>1.0969357066797133E-2</v>
      </c>
      <c r="AP311" s="188">
        <v>0.67583532391285583</v>
      </c>
      <c r="AQ311" s="128">
        <v>2148.1697711779775</v>
      </c>
      <c r="AR311" s="188">
        <v>3.6000000000000004E-2</v>
      </c>
      <c r="AS311" s="188">
        <v>0.18100000000000002</v>
      </c>
      <c r="AT311" s="256">
        <v>7.5</v>
      </c>
    </row>
    <row r="312" spans="1:46" x14ac:dyDescent="0.25">
      <c r="A312" t="s">
        <v>396</v>
      </c>
      <c r="B312">
        <v>0</v>
      </c>
      <c r="C312">
        <v>1650</v>
      </c>
      <c r="D312">
        <v>30118</v>
      </c>
      <c r="E312">
        <v>16</v>
      </c>
      <c r="F312">
        <v>118</v>
      </c>
      <c r="G312">
        <v>810</v>
      </c>
      <c r="H312">
        <v>0</v>
      </c>
      <c r="I312">
        <v>2861</v>
      </c>
      <c r="J312">
        <v>0</v>
      </c>
      <c r="K312">
        <v>4726</v>
      </c>
      <c r="L312">
        <v>180</v>
      </c>
      <c r="M312">
        <v>133</v>
      </c>
      <c r="N312">
        <v>9764</v>
      </c>
      <c r="O312">
        <v>17665</v>
      </c>
      <c r="P312">
        <v>8006</v>
      </c>
      <c r="Q312">
        <v>11</v>
      </c>
      <c r="R312">
        <v>0</v>
      </c>
      <c r="S312">
        <v>2556</v>
      </c>
      <c r="T312">
        <v>2605</v>
      </c>
      <c r="U312" s="128">
        <v>7</v>
      </c>
      <c r="V312" s="128">
        <v>-1786</v>
      </c>
      <c r="W312" s="128">
        <v>36684</v>
      </c>
      <c r="X312" s="128">
        <v>38470</v>
      </c>
      <c r="Y312" s="128">
        <v>11164</v>
      </c>
      <c r="Z312" s="128">
        <v>2013296.9</v>
      </c>
      <c r="AA312" s="128">
        <v>22045</v>
      </c>
      <c r="AB312" s="128">
        <v>17455</v>
      </c>
      <c r="AC312" s="128" t="s">
        <v>396</v>
      </c>
      <c r="AD312" s="188">
        <f t="shared" si="86"/>
        <v>-4.9067713444553487E-3</v>
      </c>
      <c r="AE312" s="188">
        <v>0.19657071202704177</v>
      </c>
      <c r="AF312" s="188">
        <v>2.5297132264747575E-2</v>
      </c>
      <c r="AG312" s="188">
        <v>7.7990404536037505E-2</v>
      </c>
      <c r="AH312" s="188">
        <v>0.14501308472358523</v>
      </c>
      <c r="AI312" s="188">
        <v>0.24045115374196568</v>
      </c>
      <c r="AJ312" s="188">
        <v>-4.868607567331807E-2</v>
      </c>
      <c r="AK312" s="188">
        <v>-0.1847990329404654</v>
      </c>
      <c r="AL312" s="188">
        <v>-8.7533875338753394E-3</v>
      </c>
      <c r="AM312" s="129">
        <f t="shared" si="87"/>
        <v>3</v>
      </c>
      <c r="AN312" s="188">
        <v>7.6082215679860427E-2</v>
      </c>
      <c r="AO312" s="188">
        <v>5.4882152982226581E-2</v>
      </c>
      <c r="AP312" s="188">
        <v>0.60094319049176748</v>
      </c>
      <c r="AQ312" s="128">
        <v>1316.6919507304497</v>
      </c>
      <c r="AR312" s="188">
        <v>3.9E-2</v>
      </c>
      <c r="AS312" s="188">
        <v>0.19699999999999998</v>
      </c>
      <c r="AT312" s="256">
        <v>6.5</v>
      </c>
    </row>
    <row r="313" spans="1:46" x14ac:dyDescent="0.25">
      <c r="A313" t="s">
        <v>397</v>
      </c>
      <c r="B313">
        <v>653</v>
      </c>
      <c r="C313">
        <v>50848</v>
      </c>
      <c r="D313">
        <v>170620</v>
      </c>
      <c r="E313">
        <v>4992</v>
      </c>
      <c r="F313">
        <v>4207</v>
      </c>
      <c r="G313">
        <v>14596</v>
      </c>
      <c r="H313">
        <v>0</v>
      </c>
      <c r="I313">
        <v>11515</v>
      </c>
      <c r="J313">
        <v>0</v>
      </c>
      <c r="K313">
        <v>8876</v>
      </c>
      <c r="L313">
        <v>761</v>
      </c>
      <c r="M313">
        <v>4310</v>
      </c>
      <c r="N313">
        <v>95594</v>
      </c>
      <c r="O313">
        <v>7416</v>
      </c>
      <c r="P313">
        <v>138015</v>
      </c>
      <c r="Q313">
        <v>0</v>
      </c>
      <c r="R313">
        <v>10000</v>
      </c>
      <c r="S313">
        <v>7410</v>
      </c>
      <c r="T313">
        <v>12943</v>
      </c>
      <c r="U313" s="128">
        <v>3</v>
      </c>
      <c r="V313" s="128">
        <v>5456</v>
      </c>
      <c r="W313" s="128">
        <v>175858</v>
      </c>
      <c r="X313" s="128">
        <v>170402</v>
      </c>
      <c r="Y313" s="128">
        <v>35861</v>
      </c>
      <c r="Z313" s="128">
        <v>3939295</v>
      </c>
      <c r="AA313" s="128">
        <v>86623</v>
      </c>
      <c r="AB313" s="128">
        <v>48653</v>
      </c>
      <c r="AC313" s="128" t="s">
        <v>397</v>
      </c>
      <c r="AD313" s="188">
        <f t="shared" si="86"/>
        <v>5.2536705751231108E-2</v>
      </c>
      <c r="AE313" s="188">
        <v>0.77117901943613598</v>
      </c>
      <c r="AF313" s="188">
        <v>0.10692149347769223</v>
      </c>
      <c r="AG313" s="188">
        <v>6.5478965983918849E-2</v>
      </c>
      <c r="AH313" s="188">
        <v>0.73817432246471593</v>
      </c>
      <c r="AI313" s="188">
        <v>0.35225405154434036</v>
      </c>
      <c r="AJ313" s="188">
        <v>3.1025031559553731E-2</v>
      </c>
      <c r="AK313" s="188">
        <v>4.9048047507648011E-2</v>
      </c>
      <c r="AL313" s="188">
        <v>1.7423943592525023E-2</v>
      </c>
      <c r="AM313" s="129">
        <f t="shared" si="87"/>
        <v>0</v>
      </c>
      <c r="AN313" s="188">
        <v>5.0980052087479674E-2</v>
      </c>
      <c r="AO313" s="188">
        <v>2.2400431029580684E-2</v>
      </c>
      <c r="AP313" s="188">
        <v>0.49257355366261413</v>
      </c>
      <c r="AQ313" s="128">
        <v>2428.9405792037492</v>
      </c>
      <c r="AR313" s="188">
        <v>2.1000000000000001E-2</v>
      </c>
      <c r="AS313" s="188">
        <v>0.106</v>
      </c>
      <c r="AT313" s="256">
        <v>8.5</v>
      </c>
    </row>
    <row r="314" spans="1:46" x14ac:dyDescent="0.25">
      <c r="A314" t="s">
        <v>322</v>
      </c>
      <c r="B314">
        <v>220</v>
      </c>
      <c r="C314">
        <v>10844</v>
      </c>
      <c r="D314">
        <v>81410</v>
      </c>
      <c r="E314">
        <v>5168</v>
      </c>
      <c r="F314">
        <v>0</v>
      </c>
      <c r="G314">
        <v>812</v>
      </c>
      <c r="H314">
        <v>0</v>
      </c>
      <c r="I314">
        <v>38475</v>
      </c>
      <c r="J314">
        <v>0</v>
      </c>
      <c r="K314">
        <v>23158</v>
      </c>
      <c r="L314">
        <v>355</v>
      </c>
      <c r="M314">
        <v>3726</v>
      </c>
      <c r="N314">
        <v>48358</v>
      </c>
      <c r="O314">
        <v>16356</v>
      </c>
      <c r="P314">
        <v>91980</v>
      </c>
      <c r="Q314">
        <v>0</v>
      </c>
      <c r="R314">
        <v>0</v>
      </c>
      <c r="S314">
        <v>2947</v>
      </c>
      <c r="T314">
        <v>4531</v>
      </c>
      <c r="U314" s="128">
        <v>-3</v>
      </c>
      <c r="V314" s="128">
        <v>-1947</v>
      </c>
      <c r="W314" s="128">
        <v>80523</v>
      </c>
      <c r="X314" s="128">
        <v>82470</v>
      </c>
      <c r="Y314" s="128">
        <v>37322</v>
      </c>
      <c r="Z314" s="128">
        <v>376470</v>
      </c>
      <c r="AA314" s="128">
        <v>44581</v>
      </c>
      <c r="AB314" s="128">
        <v>29122</v>
      </c>
      <c r="AC314" s="128" t="s">
        <v>322</v>
      </c>
      <c r="AD314" s="188">
        <f t="shared" si="86"/>
        <v>-4.4086782658370903E-3</v>
      </c>
      <c r="AE314" s="188">
        <v>0.88679010965811012</v>
      </c>
      <c r="AF314" s="188">
        <v>1.0084075357351317E-2</v>
      </c>
      <c r="AG314" s="188">
        <v>0.47781379233262544</v>
      </c>
      <c r="AH314" s="188">
        <v>0.55353054406815438</v>
      </c>
      <c r="AI314" s="188">
        <v>0.29455692809979778</v>
      </c>
      <c r="AJ314" s="188">
        <v>-2.417942699601356E-2</v>
      </c>
      <c r="AK314" s="188">
        <v>3.2307188705292971E-3</v>
      </c>
      <c r="AL314" s="188">
        <v>1.6851657650735638E-2</v>
      </c>
      <c r="AM314" s="129">
        <f t="shared" si="87"/>
        <v>1</v>
      </c>
      <c r="AN314" s="188">
        <v>0.11587372551941681</v>
      </c>
      <c r="AO314" s="188">
        <v>4.6753101598301112E-3</v>
      </c>
      <c r="AP314" s="188">
        <v>0.55364305850502338</v>
      </c>
      <c r="AQ314" s="128">
        <v>1512.6735801112561</v>
      </c>
      <c r="AR314" s="188">
        <v>1.3000000000000001E-2</v>
      </c>
      <c r="AS314" s="188">
        <v>6.4000000000000001E-2</v>
      </c>
      <c r="AT314" s="256">
        <v>8</v>
      </c>
    </row>
    <row r="315" spans="1:46" x14ac:dyDescent="0.25">
      <c r="A315" t="s">
        <v>206</v>
      </c>
      <c r="B315">
        <v>15298</v>
      </c>
      <c r="C315">
        <v>4655</v>
      </c>
      <c r="D315">
        <v>63229</v>
      </c>
      <c r="E315">
        <v>963</v>
      </c>
      <c r="F315">
        <v>3025</v>
      </c>
      <c r="G315">
        <v>2320</v>
      </c>
      <c r="H315">
        <v>0</v>
      </c>
      <c r="I315">
        <v>1717</v>
      </c>
      <c r="J315">
        <v>1043</v>
      </c>
      <c r="K315">
        <v>13218</v>
      </c>
      <c r="L315">
        <v>464</v>
      </c>
      <c r="M315">
        <v>1935</v>
      </c>
      <c r="N315">
        <v>38880</v>
      </c>
      <c r="O315">
        <v>8664</v>
      </c>
      <c r="P315">
        <v>39197</v>
      </c>
      <c r="Q315">
        <v>46</v>
      </c>
      <c r="R315">
        <v>10315</v>
      </c>
      <c r="S315">
        <v>5335</v>
      </c>
      <c r="T315">
        <v>5430</v>
      </c>
      <c r="U315" s="128">
        <v>2</v>
      </c>
      <c r="V315" s="128">
        <v>1047</v>
      </c>
      <c r="W315" s="128">
        <v>107658</v>
      </c>
      <c r="X315" s="128">
        <v>106611</v>
      </c>
      <c r="Y315" s="128">
        <v>14114</v>
      </c>
      <c r="Z315" s="128">
        <v>533807.99999999814</v>
      </c>
      <c r="AA315" s="128">
        <v>67434</v>
      </c>
      <c r="AB315" s="128">
        <v>39607</v>
      </c>
      <c r="AC315" s="128" t="s">
        <v>206</v>
      </c>
      <c r="AD315" s="188">
        <f t="shared" si="86"/>
        <v>9.1502721581303764E-2</v>
      </c>
      <c r="AE315" s="188">
        <v>0.36561147336937339</v>
      </c>
      <c r="AF315" s="188">
        <v>4.9647959278455854E-2</v>
      </c>
      <c r="AG315" s="188">
        <v>2.5636738560998719E-2</v>
      </c>
      <c r="AH315" s="188">
        <v>0.35362351149008897</v>
      </c>
      <c r="AI315" s="188">
        <v>0.36044387996328814</v>
      </c>
      <c r="AJ315" s="188">
        <v>9.7252410410745144E-3</v>
      </c>
      <c r="AK315" s="188">
        <v>-3.4628395486863695E-2</v>
      </c>
      <c r="AL315" s="188">
        <v>2.9322192722161487E-2</v>
      </c>
      <c r="AM315" s="129">
        <f t="shared" si="87"/>
        <v>1</v>
      </c>
      <c r="AN315" s="188">
        <v>3.2775084062494193E-2</v>
      </c>
      <c r="AO315" s="188">
        <v>4.9583681658585347E-3</v>
      </c>
      <c r="AP315" s="188">
        <v>0.62637240149361872</v>
      </c>
      <c r="AQ315" s="128">
        <v>1698.5260181281083</v>
      </c>
      <c r="AR315" s="188">
        <v>2.5000000000000001E-2</v>
      </c>
      <c r="AS315" s="188">
        <v>0.126</v>
      </c>
      <c r="AT315" s="256">
        <v>8</v>
      </c>
    </row>
    <row r="316" spans="1:46" x14ac:dyDescent="0.25">
      <c r="A316" t="s">
        <v>323</v>
      </c>
      <c r="B316">
        <v>47</v>
      </c>
      <c r="C316">
        <v>22</v>
      </c>
      <c r="D316">
        <v>36920</v>
      </c>
      <c r="E316">
        <v>455</v>
      </c>
      <c r="F316">
        <v>0</v>
      </c>
      <c r="G316">
        <v>2530</v>
      </c>
      <c r="H316">
        <v>0</v>
      </c>
      <c r="I316">
        <v>0</v>
      </c>
      <c r="J316">
        <v>0</v>
      </c>
      <c r="K316">
        <v>46346</v>
      </c>
      <c r="L316">
        <v>234</v>
      </c>
      <c r="M316">
        <v>1784</v>
      </c>
      <c r="N316">
        <v>60782</v>
      </c>
      <c r="O316">
        <v>18903</v>
      </c>
      <c r="P316">
        <v>0</v>
      </c>
      <c r="Q316">
        <v>128</v>
      </c>
      <c r="R316">
        <v>89</v>
      </c>
      <c r="S316">
        <v>5201</v>
      </c>
      <c r="T316">
        <v>3234</v>
      </c>
      <c r="U316" s="128">
        <v>-5</v>
      </c>
      <c r="V316" s="128">
        <v>-3737</v>
      </c>
      <c r="W316" s="128">
        <v>57839</v>
      </c>
      <c r="X316" s="128">
        <v>61576</v>
      </c>
      <c r="Y316" s="128">
        <v>-1442</v>
      </c>
      <c r="Z316" s="128">
        <v>5397705</v>
      </c>
      <c r="AA316" s="128">
        <v>33806</v>
      </c>
      <c r="AB316" s="128">
        <v>26187</v>
      </c>
      <c r="AC316" s="128" t="s">
        <v>323</v>
      </c>
      <c r="AD316" s="188">
        <f t="shared" si="86"/>
        <v>-2.5069589723197149E-3</v>
      </c>
      <c r="AE316" s="188">
        <v>-0.73033766143951317</v>
      </c>
      <c r="AF316" s="188">
        <v>4.3742111723923303E-2</v>
      </c>
      <c r="AG316" s="188">
        <v>0</v>
      </c>
      <c r="AH316" s="188">
        <v>-0.72508860803264241</v>
      </c>
      <c r="AI316" s="188">
        <v>0.68806955182992402</v>
      </c>
      <c r="AJ316" s="188">
        <v>-6.4610383996957066E-2</v>
      </c>
      <c r="AK316" s="188">
        <v>2.0285446222955108E-2</v>
      </c>
      <c r="AL316" s="188">
        <v>5.8950427708948178E-2</v>
      </c>
      <c r="AM316" s="129">
        <f t="shared" si="87"/>
        <v>1</v>
      </c>
      <c r="AN316" s="188">
        <v>-6.2328186863534986E-3</v>
      </c>
      <c r="AO316" s="188">
        <v>9.3322930894379222E-2</v>
      </c>
      <c r="AP316" s="188">
        <v>0.58448451736717444</v>
      </c>
      <c r="AQ316" s="128">
        <v>1750.1895597051973</v>
      </c>
      <c r="AR316" s="188">
        <v>4.0999999999999995E-2</v>
      </c>
      <c r="AS316" s="188">
        <v>0.20499999999999999</v>
      </c>
      <c r="AT316" s="256">
        <v>7</v>
      </c>
    </row>
    <row r="317" spans="1:46" x14ac:dyDescent="0.25">
      <c r="A317" t="s">
        <v>277</v>
      </c>
      <c r="B317">
        <v>505</v>
      </c>
      <c r="C317">
        <v>1901</v>
      </c>
      <c r="D317">
        <v>31675</v>
      </c>
      <c r="E317">
        <v>450</v>
      </c>
      <c r="F317">
        <v>0</v>
      </c>
      <c r="G317">
        <v>598</v>
      </c>
      <c r="H317">
        <v>0</v>
      </c>
      <c r="I317">
        <v>8848</v>
      </c>
      <c r="J317">
        <v>0</v>
      </c>
      <c r="K317">
        <v>1511</v>
      </c>
      <c r="L317">
        <v>40</v>
      </c>
      <c r="M317">
        <v>5989</v>
      </c>
      <c r="N317">
        <v>11992</v>
      </c>
      <c r="O317">
        <v>10088</v>
      </c>
      <c r="P317">
        <v>21700</v>
      </c>
      <c r="Q317">
        <v>50</v>
      </c>
      <c r="R317">
        <v>3626</v>
      </c>
      <c r="S317">
        <v>2838</v>
      </c>
      <c r="T317">
        <v>1226</v>
      </c>
      <c r="U317" s="128">
        <v>-2</v>
      </c>
      <c r="V317" s="128">
        <v>-2129</v>
      </c>
      <c r="W317" s="128">
        <v>39416</v>
      </c>
      <c r="X317" s="128">
        <v>41545</v>
      </c>
      <c r="Y317" s="128">
        <v>9194</v>
      </c>
      <c r="Z317" s="128">
        <v>2469610</v>
      </c>
      <c r="AA317" s="128">
        <v>22938</v>
      </c>
      <c r="AB317" s="128">
        <v>17430</v>
      </c>
      <c r="AC317" s="128" t="s">
        <v>277</v>
      </c>
      <c r="AD317" s="188">
        <f t="shared" si="86"/>
        <v>9.0978282930789522E-2</v>
      </c>
      <c r="AE317" s="188">
        <v>0.54044043028211897</v>
      </c>
      <c r="AF317" s="188">
        <v>1.5171503957783642E-2</v>
      </c>
      <c r="AG317" s="188">
        <v>0.22447736959610309</v>
      </c>
      <c r="AH317" s="188">
        <v>0.38512685203978086</v>
      </c>
      <c r="AI317" s="188">
        <v>0.2327639751552795</v>
      </c>
      <c r="AJ317" s="188">
        <v>-5.4013598538664505E-2</v>
      </c>
      <c r="AK317" s="188">
        <v>-0.12452645728950262</v>
      </c>
      <c r="AL317" s="188">
        <v>-4.866414844633158E-2</v>
      </c>
      <c r="AM317" s="129">
        <f t="shared" si="87"/>
        <v>3</v>
      </c>
      <c r="AN317" s="188">
        <v>5.8313882687233608E-2</v>
      </c>
      <c r="AO317" s="188">
        <v>6.2655013192612144E-2</v>
      </c>
      <c r="AP317" s="188">
        <v>0.58194641769839661</v>
      </c>
      <c r="AQ317" s="128">
        <v>1810.2027538726334</v>
      </c>
      <c r="AR317" s="188">
        <v>4.0999999999999995E-2</v>
      </c>
      <c r="AS317" s="188">
        <v>0.20300000000000001</v>
      </c>
      <c r="AT317" s="256">
        <v>5.5</v>
      </c>
    </row>
    <row r="318" spans="1:46" x14ac:dyDescent="0.25">
      <c r="A318" t="s">
        <v>428</v>
      </c>
      <c r="B318">
        <v>1293</v>
      </c>
      <c r="C318">
        <v>37502</v>
      </c>
      <c r="D318">
        <v>146102</v>
      </c>
      <c r="E318">
        <v>293</v>
      </c>
      <c r="F318">
        <v>0</v>
      </c>
      <c r="G318">
        <v>17057</v>
      </c>
      <c r="H318">
        <v>0</v>
      </c>
      <c r="I318">
        <v>24260</v>
      </c>
      <c r="J318">
        <v>2343</v>
      </c>
      <c r="K318">
        <v>21260</v>
      </c>
      <c r="L318">
        <v>1393</v>
      </c>
      <c r="M318">
        <v>23018</v>
      </c>
      <c r="N318">
        <v>90362</v>
      </c>
      <c r="O318">
        <v>29453</v>
      </c>
      <c r="P318">
        <v>134182</v>
      </c>
      <c r="Q318">
        <v>40</v>
      </c>
      <c r="R318">
        <v>0</v>
      </c>
      <c r="S318">
        <v>6931</v>
      </c>
      <c r="T318">
        <v>13552</v>
      </c>
      <c r="U318" s="128">
        <v>0</v>
      </c>
      <c r="V318" s="128">
        <v>-2468</v>
      </c>
      <c r="W318" s="128">
        <v>161843</v>
      </c>
      <c r="X318" s="128">
        <v>164311</v>
      </c>
      <c r="Y318" s="128">
        <v>-376</v>
      </c>
      <c r="Z318" s="128">
        <v>4489810</v>
      </c>
      <c r="AA318" s="128">
        <v>96034</v>
      </c>
      <c r="AB318" s="128">
        <v>50138</v>
      </c>
      <c r="AC318" s="128" t="s">
        <v>428</v>
      </c>
      <c r="AD318" s="188">
        <f t="shared" ref="AD318:AD352" si="88">SUM(R318,-L318)/W318</f>
        <v>-8.6071068875391583E-3</v>
      </c>
      <c r="AE318" s="188">
        <v>0.56831002885512505</v>
      </c>
      <c r="AF318" s="188">
        <v>0.10539226287204266</v>
      </c>
      <c r="AG318" s="188">
        <v>0.16437535142082141</v>
      </c>
      <c r="AH318" s="188">
        <v>0.46589435440519522</v>
      </c>
      <c r="AI318" s="188">
        <v>0.32916363106513186</v>
      </c>
      <c r="AJ318" s="188">
        <v>-1.5249346588978207E-2</v>
      </c>
      <c r="AK318" s="188">
        <v>-7.7198697068403908E-3</v>
      </c>
      <c r="AL318" s="188">
        <v>-1.1134090523817596E-2</v>
      </c>
      <c r="AM318" s="129">
        <f t="shared" ref="AM318:AM352" si="89">COUNTIF(AJ318:AL318,"&lt;0")</f>
        <v>3</v>
      </c>
      <c r="AN318" s="188">
        <v>-5.8080979714908898E-4</v>
      </c>
      <c r="AO318" s="188">
        <v>2.7741762078063312E-2</v>
      </c>
      <c r="AP318" s="188">
        <v>0.59337753254697456</v>
      </c>
      <c r="AQ318" s="128">
        <v>2116.5372372252582</v>
      </c>
      <c r="AR318" s="188">
        <v>3.6000000000000004E-2</v>
      </c>
      <c r="AS318" s="188">
        <v>0.17800000000000002</v>
      </c>
      <c r="AT318" s="256">
        <v>7.5</v>
      </c>
    </row>
    <row r="319" spans="1:46" x14ac:dyDescent="0.25">
      <c r="A319" t="s">
        <v>278</v>
      </c>
      <c r="B319">
        <v>0</v>
      </c>
      <c r="C319">
        <v>2659</v>
      </c>
      <c r="D319">
        <v>50236</v>
      </c>
      <c r="E319">
        <v>80</v>
      </c>
      <c r="F319">
        <v>0</v>
      </c>
      <c r="G319">
        <v>1363</v>
      </c>
      <c r="H319">
        <v>0</v>
      </c>
      <c r="I319">
        <v>415</v>
      </c>
      <c r="J319">
        <v>0</v>
      </c>
      <c r="K319">
        <v>7242</v>
      </c>
      <c r="L319">
        <v>555</v>
      </c>
      <c r="M319">
        <v>777</v>
      </c>
      <c r="N319">
        <v>11257</v>
      </c>
      <c r="O319">
        <v>5155</v>
      </c>
      <c r="P319">
        <v>33765</v>
      </c>
      <c r="Q319">
        <v>0</v>
      </c>
      <c r="R319">
        <v>5600</v>
      </c>
      <c r="S319">
        <v>7172</v>
      </c>
      <c r="T319">
        <v>380</v>
      </c>
      <c r="U319" s="128">
        <v>-12</v>
      </c>
      <c r="V319" s="128">
        <v>1519</v>
      </c>
      <c r="W319" s="128">
        <v>51591</v>
      </c>
      <c r="X319" s="128">
        <v>50072</v>
      </c>
      <c r="Y319" s="128">
        <v>6433</v>
      </c>
      <c r="Z319" s="128">
        <v>2209242</v>
      </c>
      <c r="AA319" s="128">
        <v>33193</v>
      </c>
      <c r="AB319" s="128">
        <v>19651</v>
      </c>
      <c r="AC319" s="128" t="s">
        <v>278</v>
      </c>
      <c r="AD319" s="188">
        <f t="shared" si="88"/>
        <v>9.7788373941191289E-2</v>
      </c>
      <c r="AE319" s="188">
        <v>0.71679168847279562</v>
      </c>
      <c r="AF319" s="188">
        <v>2.6419336706014616E-2</v>
      </c>
      <c r="AG319" s="188">
        <v>8.0440386889186095E-3</v>
      </c>
      <c r="AH319" s="188">
        <v>0.71433118179527433</v>
      </c>
      <c r="AI319" s="188">
        <v>0.17775426739724298</v>
      </c>
      <c r="AJ319" s="188">
        <v>2.9443119924017755E-2</v>
      </c>
      <c r="AK319" s="188">
        <v>-2.2067725721832923E-2</v>
      </c>
      <c r="AL319" s="188">
        <v>3.4617587235134972E-2</v>
      </c>
      <c r="AM319" s="129">
        <f t="shared" si="89"/>
        <v>1</v>
      </c>
      <c r="AN319" s="188">
        <v>3.1173072822779167E-2</v>
      </c>
      <c r="AO319" s="188">
        <v>4.2822236436587779E-2</v>
      </c>
      <c r="AP319" s="188">
        <v>0.64338741253319376</v>
      </c>
      <c r="AQ319" s="128">
        <v>1691.4287822502672</v>
      </c>
      <c r="AR319" s="188">
        <v>1.9E-2</v>
      </c>
      <c r="AS319" s="188">
        <v>9.6999999999999989E-2</v>
      </c>
      <c r="AT319" s="256">
        <v>7.5</v>
      </c>
    </row>
    <row r="320" spans="1:46" x14ac:dyDescent="0.25">
      <c r="A320" t="s">
        <v>607</v>
      </c>
      <c r="B320">
        <v>1297</v>
      </c>
      <c r="C320">
        <v>7642</v>
      </c>
      <c r="D320">
        <v>101189</v>
      </c>
      <c r="E320">
        <v>3337</v>
      </c>
      <c r="F320">
        <v>0</v>
      </c>
      <c r="G320">
        <v>4746</v>
      </c>
      <c r="H320">
        <v>3630</v>
      </c>
      <c r="I320">
        <v>56975</v>
      </c>
      <c r="J320">
        <v>274</v>
      </c>
      <c r="K320">
        <v>18237</v>
      </c>
      <c r="L320">
        <v>762</v>
      </c>
      <c r="M320">
        <v>1268</v>
      </c>
      <c r="N320">
        <v>78659</v>
      </c>
      <c r="O320">
        <v>10880</v>
      </c>
      <c r="P320">
        <v>93195</v>
      </c>
      <c r="Q320">
        <v>65</v>
      </c>
      <c r="R320">
        <v>6</v>
      </c>
      <c r="S320">
        <v>10061</v>
      </c>
      <c r="T320">
        <v>6491</v>
      </c>
      <c r="U320" s="128">
        <v>-523</v>
      </c>
      <c r="V320" s="128">
        <v>4486</v>
      </c>
      <c r="W320" s="128">
        <v>127848</v>
      </c>
      <c r="X320" s="128">
        <v>123362</v>
      </c>
      <c r="Y320" s="128">
        <v>7100</v>
      </c>
      <c r="Z320" s="128">
        <v>2049473</v>
      </c>
      <c r="AA320" s="128">
        <v>74153</v>
      </c>
      <c r="AB320" s="128">
        <v>51156</v>
      </c>
      <c r="AC320" s="128" t="s">
        <v>607</v>
      </c>
      <c r="AD320" s="188">
        <f t="shared" si="88"/>
        <v>-5.9132720105124839E-3</v>
      </c>
      <c r="AE320" s="188">
        <v>0.6349336712345911</v>
      </c>
      <c r="AF320" s="188">
        <v>3.7122207621550593E-2</v>
      </c>
      <c r="AG320" s="188">
        <v>0.44778956260559416</v>
      </c>
      <c r="AH320" s="188">
        <v>0.32593564232526134</v>
      </c>
      <c r="AI320" s="188">
        <v>0.39456352172233733</v>
      </c>
      <c r="AJ320" s="188">
        <v>3.5088542644390215E-2</v>
      </c>
      <c r="AK320" s="188">
        <v>7.6239364204306312E-2</v>
      </c>
      <c r="AL320" s="188">
        <v>9.202223557692308E-3</v>
      </c>
      <c r="AM320" s="129">
        <f t="shared" si="89"/>
        <v>0</v>
      </c>
      <c r="AN320" s="188">
        <v>1.3883674363306427E-2</v>
      </c>
      <c r="AO320" s="188">
        <v>1.6030544083599274E-2</v>
      </c>
      <c r="AP320" s="188">
        <v>0.58000907327451345</v>
      </c>
      <c r="AQ320" s="128">
        <v>1577.3220345609509</v>
      </c>
      <c r="AR320" s="188">
        <v>2.6000000000000002E-2</v>
      </c>
      <c r="AS320" s="188">
        <v>0.129</v>
      </c>
      <c r="AT320" s="256">
        <v>10</v>
      </c>
    </row>
    <row r="321" spans="1:46" x14ac:dyDescent="0.25">
      <c r="A321" t="s">
        <v>207</v>
      </c>
      <c r="B321">
        <v>12</v>
      </c>
      <c r="C321">
        <v>2339</v>
      </c>
      <c r="D321">
        <v>32727</v>
      </c>
      <c r="E321">
        <v>0</v>
      </c>
      <c r="F321">
        <v>19</v>
      </c>
      <c r="G321">
        <v>15572</v>
      </c>
      <c r="H321">
        <v>0</v>
      </c>
      <c r="I321">
        <v>1076</v>
      </c>
      <c r="J321">
        <v>534</v>
      </c>
      <c r="K321">
        <v>4620</v>
      </c>
      <c r="L321">
        <v>0</v>
      </c>
      <c r="M321">
        <v>2345</v>
      </c>
      <c r="N321">
        <v>12167</v>
      </c>
      <c r="O321">
        <v>9383</v>
      </c>
      <c r="P321">
        <v>30176</v>
      </c>
      <c r="Q321">
        <v>0</v>
      </c>
      <c r="R321">
        <v>2371</v>
      </c>
      <c r="S321">
        <v>2071</v>
      </c>
      <c r="T321">
        <v>3073</v>
      </c>
      <c r="U321" s="128">
        <v>2</v>
      </c>
      <c r="V321" s="128">
        <v>-3402</v>
      </c>
      <c r="W321" s="128">
        <v>44537</v>
      </c>
      <c r="X321" s="128">
        <v>47939</v>
      </c>
      <c r="Y321" s="128">
        <v>4077</v>
      </c>
      <c r="Z321" s="128">
        <v>791060</v>
      </c>
      <c r="AA321" s="128">
        <v>28484</v>
      </c>
      <c r="AB321" s="128">
        <v>19318</v>
      </c>
      <c r="AC321" s="128" t="s">
        <v>207</v>
      </c>
      <c r="AD321" s="188">
        <f t="shared" si="88"/>
        <v>5.3236634708220133E-2</v>
      </c>
      <c r="AE321" s="188">
        <v>0.33982980443226979</v>
      </c>
      <c r="AF321" s="188">
        <v>0.35006848238543231</v>
      </c>
      <c r="AG321" s="188">
        <v>3.6149718211823875E-2</v>
      </c>
      <c r="AH321" s="188">
        <v>0.35653321957024492</v>
      </c>
      <c r="AI321" s="188">
        <v>0.20538140814638511</v>
      </c>
      <c r="AJ321" s="188">
        <v>-7.6385926308462623E-2</v>
      </c>
      <c r="AK321" s="188">
        <v>-5.9054230717215887E-3</v>
      </c>
      <c r="AL321" s="188">
        <v>-3.6174026397262506E-2</v>
      </c>
      <c r="AM321" s="129">
        <f t="shared" si="89"/>
        <v>3</v>
      </c>
      <c r="AN321" s="188">
        <v>2.2885466017019556E-2</v>
      </c>
      <c r="AO321" s="188">
        <v>1.7761860924624468E-2</v>
      </c>
      <c r="AP321" s="188">
        <v>0.63955812021465297</v>
      </c>
      <c r="AQ321" s="128">
        <v>1552.8866342271456</v>
      </c>
      <c r="AR321" s="188">
        <v>4.7E-2</v>
      </c>
      <c r="AS321" s="188">
        <v>0.23699999999999999</v>
      </c>
      <c r="AT321" s="256">
        <v>8</v>
      </c>
    </row>
    <row r="322" spans="1:46" x14ac:dyDescent="0.25">
      <c r="A322" t="s">
        <v>608</v>
      </c>
      <c r="B322">
        <v>5774</v>
      </c>
      <c r="C322">
        <v>10345</v>
      </c>
      <c r="D322">
        <v>158005</v>
      </c>
      <c r="E322">
        <v>335</v>
      </c>
      <c r="F322">
        <v>27</v>
      </c>
      <c r="G322">
        <v>4940</v>
      </c>
      <c r="H322">
        <v>0</v>
      </c>
      <c r="I322">
        <v>37241</v>
      </c>
      <c r="J322">
        <v>697</v>
      </c>
      <c r="K322">
        <v>18156</v>
      </c>
      <c r="L322">
        <v>0</v>
      </c>
      <c r="M322">
        <v>6590</v>
      </c>
      <c r="N322">
        <v>29400</v>
      </c>
      <c r="O322">
        <v>12644</v>
      </c>
      <c r="P322">
        <v>157101</v>
      </c>
      <c r="Q322">
        <v>19</v>
      </c>
      <c r="R322">
        <v>24486</v>
      </c>
      <c r="S322">
        <v>12621</v>
      </c>
      <c r="T322">
        <v>5839</v>
      </c>
      <c r="U322" s="128">
        <v>-7</v>
      </c>
      <c r="V322" s="128">
        <v>-3705</v>
      </c>
      <c r="W322" s="128">
        <v>164458</v>
      </c>
      <c r="X322" s="128">
        <v>168163</v>
      </c>
      <c r="Y322" s="128">
        <v>11555</v>
      </c>
      <c r="Z322" s="128">
        <v>2249665</v>
      </c>
      <c r="AA322" s="128">
        <v>119299</v>
      </c>
      <c r="AB322" s="128">
        <v>63359</v>
      </c>
      <c r="AC322" s="128" t="s">
        <v>608</v>
      </c>
      <c r="AD322" s="188">
        <f t="shared" si="88"/>
        <v>0.14888907806248403</v>
      </c>
      <c r="AE322" s="188">
        <v>1.0358450181809338</v>
      </c>
      <c r="AF322" s="188">
        <v>3.0202240085614566E-2</v>
      </c>
      <c r="AG322" s="188">
        <v>0.23068503812523564</v>
      </c>
      <c r="AH322" s="188">
        <v>0.87798976030354248</v>
      </c>
      <c r="AI322" s="188">
        <v>0.1214324067572591</v>
      </c>
      <c r="AJ322" s="188">
        <v>-2.252854832236802E-2</v>
      </c>
      <c r="AK322" s="188">
        <v>-1.5500474771618479E-2</v>
      </c>
      <c r="AL322" s="188">
        <v>-5.1558579285006463E-2</v>
      </c>
      <c r="AM322" s="129">
        <f t="shared" si="89"/>
        <v>3</v>
      </c>
      <c r="AN322" s="188">
        <v>1.7565275024626348E-2</v>
      </c>
      <c r="AO322" s="188">
        <v>1.3679267654963577E-2</v>
      </c>
      <c r="AP322" s="188">
        <v>0.72540709482056209</v>
      </c>
      <c r="AQ322" s="128">
        <v>1719.3361006329014</v>
      </c>
      <c r="AR322" s="188">
        <v>3.7999999999999999E-2</v>
      </c>
      <c r="AS322" s="188">
        <v>0.18899999999999997</v>
      </c>
      <c r="AT322" s="256">
        <v>5.5</v>
      </c>
    </row>
    <row r="323" spans="1:46" x14ac:dyDescent="0.25">
      <c r="A323" t="s">
        <v>116</v>
      </c>
      <c r="B323">
        <v>19</v>
      </c>
      <c r="C323">
        <v>3587</v>
      </c>
      <c r="D323">
        <v>36851</v>
      </c>
      <c r="E323">
        <v>488</v>
      </c>
      <c r="F323">
        <v>228</v>
      </c>
      <c r="G323">
        <v>1</v>
      </c>
      <c r="H323">
        <v>604</v>
      </c>
      <c r="I323">
        <v>-646</v>
      </c>
      <c r="J323">
        <v>5</v>
      </c>
      <c r="K323">
        <v>1865</v>
      </c>
      <c r="L323">
        <v>284</v>
      </c>
      <c r="M323">
        <v>4411</v>
      </c>
      <c r="N323">
        <v>18313</v>
      </c>
      <c r="O323">
        <v>10743</v>
      </c>
      <c r="P323">
        <v>6775</v>
      </c>
      <c r="Q323">
        <v>0</v>
      </c>
      <c r="R323">
        <v>7000</v>
      </c>
      <c r="S323">
        <v>3123</v>
      </c>
      <c r="T323">
        <v>1743</v>
      </c>
      <c r="U323" s="128">
        <v>-4</v>
      </c>
      <c r="V323" s="128">
        <v>-2897</v>
      </c>
      <c r="W323" s="128">
        <v>49929</v>
      </c>
      <c r="X323" s="128">
        <v>52826</v>
      </c>
      <c r="Y323" s="128">
        <v>7681</v>
      </c>
      <c r="Z323" s="128">
        <v>2603266</v>
      </c>
      <c r="AA323" s="128">
        <v>34137</v>
      </c>
      <c r="AB323" s="128">
        <v>19480</v>
      </c>
      <c r="AC323" s="128" t="s">
        <v>116</v>
      </c>
      <c r="AD323" s="188">
        <f t="shared" si="88"/>
        <v>0.13451100562799176</v>
      </c>
      <c r="AE323" s="188">
        <v>0.22527989745438523</v>
      </c>
      <c r="AF323" s="188">
        <v>4.5865128482445068E-3</v>
      </c>
      <c r="AG323" s="188">
        <v>-1.283823028700755E-2</v>
      </c>
      <c r="AH323" s="188">
        <v>0.23481704019707986</v>
      </c>
      <c r="AI323" s="188">
        <v>0.38394448288152294</v>
      </c>
      <c r="AJ323" s="188">
        <v>-5.8022391796350818E-2</v>
      </c>
      <c r="AK323" s="188">
        <v>-2.2788003163812822E-2</v>
      </c>
      <c r="AL323" s="188">
        <v>-7.2593701934752689E-2</v>
      </c>
      <c r="AM323" s="129">
        <f t="shared" si="89"/>
        <v>3</v>
      </c>
      <c r="AN323" s="188">
        <v>3.8459612649962949E-2</v>
      </c>
      <c r="AO323" s="188">
        <v>5.2139357888201246E-2</v>
      </c>
      <c r="AP323" s="188">
        <v>0.68371086943459713</v>
      </c>
      <c r="AQ323" s="128">
        <v>1807.1009753593432</v>
      </c>
      <c r="AR323" s="188">
        <v>4.8000000000000001E-2</v>
      </c>
      <c r="AS323" s="188">
        <v>0.24</v>
      </c>
      <c r="AT323" s="256">
        <v>7</v>
      </c>
    </row>
    <row r="324" spans="1:46" x14ac:dyDescent="0.25">
      <c r="A324" t="s">
        <v>208</v>
      </c>
      <c r="B324">
        <v>0</v>
      </c>
      <c r="C324">
        <v>1619</v>
      </c>
      <c r="D324">
        <v>27398</v>
      </c>
      <c r="E324">
        <v>159</v>
      </c>
      <c r="F324">
        <v>0</v>
      </c>
      <c r="G324">
        <v>1829</v>
      </c>
      <c r="H324">
        <v>0</v>
      </c>
      <c r="I324">
        <v>485</v>
      </c>
      <c r="J324">
        <v>0</v>
      </c>
      <c r="K324">
        <v>7874</v>
      </c>
      <c r="L324">
        <v>265</v>
      </c>
      <c r="M324">
        <v>0</v>
      </c>
      <c r="N324">
        <v>3714</v>
      </c>
      <c r="O324">
        <v>2078</v>
      </c>
      <c r="P324">
        <v>24516</v>
      </c>
      <c r="Q324">
        <v>0</v>
      </c>
      <c r="R324">
        <v>4315</v>
      </c>
      <c r="S324">
        <v>866</v>
      </c>
      <c r="T324">
        <v>4141</v>
      </c>
      <c r="U324" s="128">
        <v>-2</v>
      </c>
      <c r="V324" s="128">
        <v>-3605</v>
      </c>
      <c r="W324" s="128">
        <v>38198</v>
      </c>
      <c r="X324" s="128">
        <v>41803</v>
      </c>
      <c r="Y324" s="128">
        <v>1687</v>
      </c>
      <c r="Z324" s="128">
        <v>355347</v>
      </c>
      <c r="AA324" s="128">
        <v>29309</v>
      </c>
      <c r="AB324" s="128">
        <v>14953</v>
      </c>
      <c r="AC324" s="128" t="s">
        <v>208</v>
      </c>
      <c r="AD324" s="188">
        <f t="shared" si="88"/>
        <v>0.10602649353369287</v>
      </c>
      <c r="AE324" s="188">
        <v>0.62490182732080213</v>
      </c>
      <c r="AF324" s="188">
        <v>4.7882088067438086E-2</v>
      </c>
      <c r="AG324" s="188">
        <v>1.2696999842923714E-2</v>
      </c>
      <c r="AH324" s="188">
        <v>0.62175977799884818</v>
      </c>
      <c r="AI324" s="188">
        <v>9.3716881150643458E-2</v>
      </c>
      <c r="AJ324" s="188">
        <v>-9.4376668935546359E-2</v>
      </c>
      <c r="AK324" s="188">
        <v>-7.3066681936610645E-2</v>
      </c>
      <c r="AL324" s="188">
        <v>-2.4619625435775477E-2</v>
      </c>
      <c r="AM324" s="129">
        <f t="shared" si="89"/>
        <v>3</v>
      </c>
      <c r="AN324" s="188">
        <v>1.1041153987119745E-2</v>
      </c>
      <c r="AO324" s="188">
        <v>9.3027645426462108E-3</v>
      </c>
      <c r="AP324" s="188">
        <v>0.76729148122938373</v>
      </c>
      <c r="AQ324" s="128">
        <v>1801.3628034508126</v>
      </c>
      <c r="AR324" s="188">
        <v>5.7000000000000002E-2</v>
      </c>
      <c r="AS324" s="188">
        <v>0.28699999999999998</v>
      </c>
      <c r="AT324" s="256">
        <v>4.5</v>
      </c>
    </row>
    <row r="325" spans="1:46" x14ac:dyDescent="0.25">
      <c r="A325" t="s">
        <v>609</v>
      </c>
      <c r="B325">
        <v>560</v>
      </c>
      <c r="C325">
        <v>5632</v>
      </c>
      <c r="D325">
        <v>54378</v>
      </c>
      <c r="E325">
        <v>1776</v>
      </c>
      <c r="F325">
        <v>741</v>
      </c>
      <c r="G325">
        <v>5342</v>
      </c>
      <c r="H325">
        <v>12</v>
      </c>
      <c r="I325">
        <v>311</v>
      </c>
      <c r="J325">
        <v>0</v>
      </c>
      <c r="K325">
        <v>9732</v>
      </c>
      <c r="L325">
        <v>573</v>
      </c>
      <c r="M325">
        <v>1894</v>
      </c>
      <c r="N325">
        <v>36628</v>
      </c>
      <c r="O325">
        <v>11394</v>
      </c>
      <c r="P325">
        <v>16063</v>
      </c>
      <c r="Q325">
        <v>0</v>
      </c>
      <c r="R325">
        <v>4500</v>
      </c>
      <c r="S325">
        <v>5784</v>
      </c>
      <c r="T325">
        <v>6584</v>
      </c>
      <c r="U325" s="128">
        <v>23</v>
      </c>
      <c r="V325" s="128">
        <v>-685</v>
      </c>
      <c r="W325" s="128">
        <v>90030</v>
      </c>
      <c r="X325" s="128">
        <v>90715</v>
      </c>
      <c r="Y325" s="128">
        <v>10093</v>
      </c>
      <c r="Z325" s="128">
        <v>311712.99999999907</v>
      </c>
      <c r="AA325" s="128">
        <v>70528</v>
      </c>
      <c r="AB325" s="128">
        <v>25663</v>
      </c>
      <c r="AC325" s="128" t="s">
        <v>609</v>
      </c>
      <c r="AD325" s="188">
        <f t="shared" si="88"/>
        <v>4.3618793735421525E-2</v>
      </c>
      <c r="AE325" s="188">
        <v>0.16257914028657114</v>
      </c>
      <c r="AF325" s="188">
        <v>6.7566366766633343E-2</v>
      </c>
      <c r="AG325" s="188">
        <v>3.4544040875263801E-3</v>
      </c>
      <c r="AH325" s="188">
        <v>0.16826902143729869</v>
      </c>
      <c r="AI325" s="188">
        <v>0.45246006942299855</v>
      </c>
      <c r="AJ325" s="188">
        <v>-7.6085749194712872E-3</v>
      </c>
      <c r="AK325" s="188">
        <v>-9.0524811356176502E-2</v>
      </c>
      <c r="AL325" s="188">
        <v>-5.9990823583390687E-3</v>
      </c>
      <c r="AM325" s="129">
        <f t="shared" si="89"/>
        <v>3</v>
      </c>
      <c r="AN325" s="188">
        <v>2.8026768854826169E-2</v>
      </c>
      <c r="AO325" s="188">
        <v>3.4623236698878047E-3</v>
      </c>
      <c r="AP325" s="188">
        <v>0.78338331667222039</v>
      </c>
      <c r="AQ325" s="128">
        <v>2041.9016872540233</v>
      </c>
      <c r="AR325" s="188">
        <v>5.2000000000000005E-2</v>
      </c>
      <c r="AS325" s="188">
        <v>0.25800000000000001</v>
      </c>
      <c r="AT325" s="256">
        <v>6</v>
      </c>
    </row>
    <row r="326" spans="1:46" x14ac:dyDescent="0.25">
      <c r="A326" t="s">
        <v>324</v>
      </c>
      <c r="B326">
        <v>31316</v>
      </c>
      <c r="C326">
        <v>35098</v>
      </c>
      <c r="D326">
        <v>389061</v>
      </c>
      <c r="E326">
        <v>8947</v>
      </c>
      <c r="F326">
        <v>-23</v>
      </c>
      <c r="G326">
        <v>19837</v>
      </c>
      <c r="H326">
        <v>0</v>
      </c>
      <c r="I326">
        <v>193864</v>
      </c>
      <c r="J326">
        <v>2153</v>
      </c>
      <c r="K326">
        <v>30227</v>
      </c>
      <c r="L326">
        <v>712</v>
      </c>
      <c r="M326">
        <v>9987</v>
      </c>
      <c r="N326">
        <v>252225</v>
      </c>
      <c r="O326">
        <v>60839</v>
      </c>
      <c r="P326">
        <v>346165</v>
      </c>
      <c r="Q326">
        <v>118</v>
      </c>
      <c r="R326">
        <v>11264</v>
      </c>
      <c r="S326">
        <v>27857</v>
      </c>
      <c r="T326">
        <v>22709</v>
      </c>
      <c r="U326" s="128">
        <v>131</v>
      </c>
      <c r="V326" s="128">
        <v>-6039</v>
      </c>
      <c r="W326" s="128">
        <v>270119</v>
      </c>
      <c r="X326" s="128">
        <v>276158</v>
      </c>
      <c r="Y326" s="128">
        <v>69233</v>
      </c>
      <c r="Z326" s="128">
        <v>12086248</v>
      </c>
      <c r="AA326" s="128">
        <v>152689</v>
      </c>
      <c r="AB326" s="128">
        <v>110252</v>
      </c>
      <c r="AC326" s="128" t="s">
        <v>324</v>
      </c>
      <c r="AD326" s="188">
        <f t="shared" si="88"/>
        <v>3.90642642687112E-2</v>
      </c>
      <c r="AE326" s="188">
        <v>1.2859998741295504</v>
      </c>
      <c r="AF326" s="188">
        <v>7.3352855593275562E-2</v>
      </c>
      <c r="AG326" s="188">
        <v>0.72566905697118678</v>
      </c>
      <c r="AH326" s="188">
        <v>0.78683387692091289</v>
      </c>
      <c r="AI326" s="188">
        <v>0.34974077098964607</v>
      </c>
      <c r="AJ326" s="188">
        <v>-2.2356813108296715E-2</v>
      </c>
      <c r="AK326" s="188">
        <v>2.1537772023305611E-3</v>
      </c>
      <c r="AL326" s="188">
        <v>-4.8782192403117024E-3</v>
      </c>
      <c r="AM326" s="129">
        <f t="shared" si="89"/>
        <v>2</v>
      </c>
      <c r="AN326" s="188">
        <v>6.4076388554674055E-2</v>
      </c>
      <c r="AO326" s="188">
        <v>4.4744160906859565E-2</v>
      </c>
      <c r="AP326" s="188">
        <v>0.56526567920064863</v>
      </c>
      <c r="AQ326" s="128">
        <v>1528.3021441787907</v>
      </c>
      <c r="AR326" s="188">
        <v>2.8999999999999998E-2</v>
      </c>
      <c r="AS326" s="188">
        <v>0.14499999999999999</v>
      </c>
      <c r="AT326" s="256">
        <v>7.5</v>
      </c>
    </row>
    <row r="327" spans="1:46" x14ac:dyDescent="0.25">
      <c r="A327" t="s">
        <v>140</v>
      </c>
      <c r="B327">
        <v>937</v>
      </c>
      <c r="C327">
        <v>2042</v>
      </c>
      <c r="D327">
        <v>61250</v>
      </c>
      <c r="E327">
        <v>338</v>
      </c>
      <c r="F327">
        <v>0</v>
      </c>
      <c r="G327">
        <v>2102</v>
      </c>
      <c r="H327">
        <v>3443</v>
      </c>
      <c r="I327">
        <v>21418</v>
      </c>
      <c r="J327">
        <v>1</v>
      </c>
      <c r="K327">
        <v>7184</v>
      </c>
      <c r="L327">
        <v>468</v>
      </c>
      <c r="M327">
        <v>0</v>
      </c>
      <c r="N327">
        <v>30508</v>
      </c>
      <c r="O327">
        <v>6524</v>
      </c>
      <c r="P327">
        <v>55232</v>
      </c>
      <c r="Q327">
        <v>0</v>
      </c>
      <c r="R327">
        <v>0</v>
      </c>
      <c r="S327">
        <v>5178</v>
      </c>
      <c r="T327">
        <v>1739</v>
      </c>
      <c r="U327" s="128">
        <v>-4</v>
      </c>
      <c r="V327" s="128">
        <v>8081</v>
      </c>
      <c r="W327" s="128">
        <v>87404</v>
      </c>
      <c r="X327" s="128">
        <v>79323</v>
      </c>
      <c r="Y327" s="128">
        <v>-1473</v>
      </c>
      <c r="Z327" s="128">
        <v>1116564</v>
      </c>
      <c r="AA327" s="128">
        <v>52137</v>
      </c>
      <c r="AB327" s="128">
        <v>25899</v>
      </c>
      <c r="AC327" s="128" t="s">
        <v>140</v>
      </c>
      <c r="AD327" s="188">
        <f t="shared" si="88"/>
        <v>-5.3544460207770811E-3</v>
      </c>
      <c r="AE327" s="188">
        <v>0.56006590087410191</v>
      </c>
      <c r="AF327" s="188">
        <v>2.4049242597592786E-2</v>
      </c>
      <c r="AG327" s="188">
        <v>0.24505743444235961</v>
      </c>
      <c r="AH327" s="188">
        <v>0.39141160587616136</v>
      </c>
      <c r="AI327" s="188">
        <v>0.30759923775723175</v>
      </c>
      <c r="AJ327" s="188">
        <v>9.2455722850212807E-2</v>
      </c>
      <c r="AK327" s="188">
        <v>-8.5567039184382271E-3</v>
      </c>
      <c r="AL327" s="188">
        <v>-7.9574562144872508E-3</v>
      </c>
      <c r="AM327" s="129">
        <f t="shared" si="89"/>
        <v>2</v>
      </c>
      <c r="AN327" s="188">
        <v>-4.2131939041691454E-3</v>
      </c>
      <c r="AO327" s="188">
        <v>1.2774747151160131E-2</v>
      </c>
      <c r="AP327" s="188">
        <v>0.5965058807377237</v>
      </c>
      <c r="AQ327" s="128">
        <v>2021.7639677207615</v>
      </c>
      <c r="AR327" s="188">
        <v>5.0000000000000001E-3</v>
      </c>
      <c r="AS327" s="188">
        <v>2.5000000000000001E-2</v>
      </c>
      <c r="AT327" s="256">
        <v>7.5</v>
      </c>
    </row>
    <row r="328" spans="1:46" x14ac:dyDescent="0.25">
      <c r="A328" t="s">
        <v>325</v>
      </c>
      <c r="B328">
        <v>43</v>
      </c>
      <c r="C328">
        <v>8884</v>
      </c>
      <c r="D328">
        <v>84425</v>
      </c>
      <c r="E328">
        <v>1634</v>
      </c>
      <c r="F328">
        <v>0</v>
      </c>
      <c r="G328">
        <v>2702</v>
      </c>
      <c r="H328">
        <v>0</v>
      </c>
      <c r="I328">
        <v>-2613</v>
      </c>
      <c r="J328">
        <v>1</v>
      </c>
      <c r="K328">
        <v>4448</v>
      </c>
      <c r="L328">
        <v>5767</v>
      </c>
      <c r="M328">
        <v>3077</v>
      </c>
      <c r="N328">
        <v>26766</v>
      </c>
      <c r="O328">
        <v>4762</v>
      </c>
      <c r="P328">
        <v>72314</v>
      </c>
      <c r="Q328">
        <v>21</v>
      </c>
      <c r="R328">
        <v>0</v>
      </c>
      <c r="S328">
        <v>3727</v>
      </c>
      <c r="T328">
        <v>771</v>
      </c>
      <c r="U328" s="128">
        <v>8</v>
      </c>
      <c r="V328" s="128">
        <v>-2699</v>
      </c>
      <c r="W328" s="128">
        <v>58302</v>
      </c>
      <c r="X328" s="128">
        <v>61001</v>
      </c>
      <c r="Y328" s="128">
        <v>18287</v>
      </c>
      <c r="Z328" s="128">
        <v>2581372</v>
      </c>
      <c r="AA328" s="128">
        <v>18936</v>
      </c>
      <c r="AB328" s="128">
        <v>14734</v>
      </c>
      <c r="AC328" s="128" t="s">
        <v>325</v>
      </c>
      <c r="AD328" s="188">
        <f t="shared" si="88"/>
        <v>-9.8915989159891596E-2</v>
      </c>
      <c r="AE328" s="188">
        <v>1.0435148022366301</v>
      </c>
      <c r="AF328" s="188">
        <v>4.6344893828685126E-2</v>
      </c>
      <c r="AG328" s="188">
        <v>-4.4801207505745941E-2</v>
      </c>
      <c r="AH328" s="188">
        <v>1.0804370347500944</v>
      </c>
      <c r="AI328" s="188">
        <v>0.24700768726755937</v>
      </c>
      <c r="AJ328" s="188">
        <v>-4.6293437617920485E-2</v>
      </c>
      <c r="AK328" s="188">
        <v>-6.6332539781982211E-2</v>
      </c>
      <c r="AL328" s="188">
        <v>-6.8353169491816509E-2</v>
      </c>
      <c r="AM328" s="129">
        <f t="shared" si="89"/>
        <v>3</v>
      </c>
      <c r="AN328" s="188">
        <v>7.8414977187746565E-2</v>
      </c>
      <c r="AO328" s="188">
        <v>4.4275873897979483E-2</v>
      </c>
      <c r="AP328" s="188">
        <v>0.3247916023464032</v>
      </c>
      <c r="AQ328" s="128">
        <v>2614.0328491923442</v>
      </c>
      <c r="AR328" s="188">
        <v>8.0000000000000002E-3</v>
      </c>
      <c r="AS328" s="188">
        <v>4.2000000000000003E-2</v>
      </c>
      <c r="AT328" s="256">
        <v>5.5</v>
      </c>
    </row>
    <row r="329" spans="1:46" x14ac:dyDescent="0.25">
      <c r="A329" t="s">
        <v>162</v>
      </c>
      <c r="B329">
        <v>0</v>
      </c>
      <c r="C329">
        <v>6303</v>
      </c>
      <c r="D329">
        <v>30043</v>
      </c>
      <c r="E329">
        <v>137</v>
      </c>
      <c r="F329">
        <v>0</v>
      </c>
      <c r="G329">
        <v>9345</v>
      </c>
      <c r="H329">
        <v>0</v>
      </c>
      <c r="I329">
        <v>2177</v>
      </c>
      <c r="J329">
        <v>5</v>
      </c>
      <c r="K329">
        <v>4966</v>
      </c>
      <c r="L329">
        <v>317</v>
      </c>
      <c r="M329">
        <v>3948</v>
      </c>
      <c r="N329">
        <v>15169</v>
      </c>
      <c r="O329">
        <v>10312</v>
      </c>
      <c r="P329">
        <v>26142</v>
      </c>
      <c r="Q329">
        <v>0</v>
      </c>
      <c r="R329">
        <v>0</v>
      </c>
      <c r="S329">
        <v>2926</v>
      </c>
      <c r="T329">
        <v>2694</v>
      </c>
      <c r="U329" s="128">
        <v>-5</v>
      </c>
      <c r="V329" s="128">
        <v>-1023</v>
      </c>
      <c r="W329" s="128">
        <v>56935</v>
      </c>
      <c r="X329" s="128">
        <v>57958</v>
      </c>
      <c r="Y329" s="128">
        <v>5600</v>
      </c>
      <c r="Z329" s="128">
        <v>2847243</v>
      </c>
      <c r="AA329" s="128">
        <v>33975</v>
      </c>
      <c r="AB329" s="128">
        <v>24413</v>
      </c>
      <c r="AC329" s="128" t="s">
        <v>162</v>
      </c>
      <c r="AD329" s="188">
        <f t="shared" si="88"/>
        <v>-5.567752700447879E-3</v>
      </c>
      <c r="AE329" s="188">
        <v>0.23159743567225785</v>
      </c>
      <c r="AF329" s="188">
        <v>0.16413453938702027</v>
      </c>
      <c r="AG329" s="188">
        <v>3.8324405023272154E-2</v>
      </c>
      <c r="AH329" s="188">
        <v>0.2244664968824098</v>
      </c>
      <c r="AI329" s="188">
        <v>0.26499309959296335</v>
      </c>
      <c r="AJ329" s="188">
        <v>-1.796785808377975E-2</v>
      </c>
      <c r="AK329" s="188">
        <v>2.5844670354313051E-2</v>
      </c>
      <c r="AL329" s="188">
        <v>-1.7378711078928313E-2</v>
      </c>
      <c r="AM329" s="129">
        <f t="shared" si="89"/>
        <v>2</v>
      </c>
      <c r="AN329" s="188">
        <v>2.4589444102924386E-2</v>
      </c>
      <c r="AO329" s="188">
        <v>5.0008658997101954E-2</v>
      </c>
      <c r="AP329" s="188">
        <v>0.59673311671203999</v>
      </c>
      <c r="AQ329" s="128">
        <v>1638.7646335968541</v>
      </c>
      <c r="AR329" s="188">
        <v>4.5999999999999999E-2</v>
      </c>
      <c r="AS329" s="188">
        <v>0.22899999999999998</v>
      </c>
      <c r="AT329" s="256">
        <v>8</v>
      </c>
    </row>
    <row r="330" spans="1:46" x14ac:dyDescent="0.25">
      <c r="A330" t="s">
        <v>209</v>
      </c>
      <c r="B330">
        <v>21</v>
      </c>
      <c r="C330">
        <v>1619</v>
      </c>
      <c r="D330">
        <v>64555</v>
      </c>
      <c r="E330">
        <v>458</v>
      </c>
      <c r="F330">
        <v>706</v>
      </c>
      <c r="G330">
        <v>18296</v>
      </c>
      <c r="H330">
        <v>0</v>
      </c>
      <c r="I330">
        <v>1925</v>
      </c>
      <c r="J330">
        <v>3</v>
      </c>
      <c r="K330">
        <v>3851</v>
      </c>
      <c r="L330">
        <v>1545</v>
      </c>
      <c r="M330">
        <v>7973</v>
      </c>
      <c r="N330">
        <v>43831</v>
      </c>
      <c r="O330">
        <v>26805</v>
      </c>
      <c r="P330">
        <v>19511</v>
      </c>
      <c r="Q330">
        <v>0</v>
      </c>
      <c r="R330">
        <v>0</v>
      </c>
      <c r="S330">
        <v>6930</v>
      </c>
      <c r="T330">
        <v>3875</v>
      </c>
      <c r="U330" s="128">
        <v>95</v>
      </c>
      <c r="V330" s="128">
        <v>-4536</v>
      </c>
      <c r="W330" s="128">
        <v>97989</v>
      </c>
      <c r="X330" s="128">
        <v>102525</v>
      </c>
      <c r="Y330" s="128">
        <v>-1068</v>
      </c>
      <c r="Z330" s="128">
        <v>3056626</v>
      </c>
      <c r="AA330" s="128">
        <v>68896</v>
      </c>
      <c r="AB330" s="128">
        <v>41080</v>
      </c>
      <c r="AC330" s="128" t="s">
        <v>209</v>
      </c>
      <c r="AD330" s="188">
        <f t="shared" si="88"/>
        <v>-1.5767075896274071E-2</v>
      </c>
      <c r="AE330" s="188">
        <v>-2.0971741726112113E-2</v>
      </c>
      <c r="AF330" s="188">
        <v>0.19391972568349508</v>
      </c>
      <c r="AG330" s="188">
        <v>1.9675677882211268E-2</v>
      </c>
      <c r="AH330" s="188">
        <v>-1.1474349161640592E-2</v>
      </c>
      <c r="AI330" s="188">
        <v>0.43417663840240905</v>
      </c>
      <c r="AJ330" s="188">
        <v>-4.6290910204206594E-2</v>
      </c>
      <c r="AK330" s="188">
        <v>1.9805111984082444E-2</v>
      </c>
      <c r="AL330" s="188">
        <v>-4.6245886320237274E-2</v>
      </c>
      <c r="AM330" s="129">
        <f t="shared" si="89"/>
        <v>2</v>
      </c>
      <c r="AN330" s="188">
        <v>-2.7247956403269754E-3</v>
      </c>
      <c r="AO330" s="188">
        <v>3.119356254273439E-2</v>
      </c>
      <c r="AP330" s="188">
        <v>0.70309932747553294</v>
      </c>
      <c r="AQ330" s="128">
        <v>1741.1417721518983</v>
      </c>
      <c r="AR330" s="188">
        <v>4.8000000000000001E-2</v>
      </c>
      <c r="AS330" s="188">
        <v>0.24</v>
      </c>
      <c r="AT330" s="256">
        <v>7</v>
      </c>
    </row>
    <row r="331" spans="1:46" x14ac:dyDescent="0.25">
      <c r="A331" t="s">
        <v>279</v>
      </c>
      <c r="B331">
        <v>16</v>
      </c>
      <c r="C331">
        <v>673</v>
      </c>
      <c r="D331">
        <v>48748</v>
      </c>
      <c r="E331">
        <v>85</v>
      </c>
      <c r="F331">
        <v>0</v>
      </c>
      <c r="G331">
        <v>1361</v>
      </c>
      <c r="H331">
        <v>0</v>
      </c>
      <c r="I331">
        <v>2055</v>
      </c>
      <c r="J331">
        <v>0</v>
      </c>
      <c r="K331">
        <v>1568</v>
      </c>
      <c r="L331">
        <v>25</v>
      </c>
      <c r="M331">
        <v>4285</v>
      </c>
      <c r="N331">
        <v>19184</v>
      </c>
      <c r="O331">
        <v>8014</v>
      </c>
      <c r="P331">
        <v>21279</v>
      </c>
      <c r="Q331">
        <v>2</v>
      </c>
      <c r="R331">
        <v>865</v>
      </c>
      <c r="S331">
        <v>3947</v>
      </c>
      <c r="T331">
        <v>5525</v>
      </c>
      <c r="U331" s="128">
        <v>1</v>
      </c>
      <c r="V331" s="128">
        <v>-4984</v>
      </c>
      <c r="W331" s="128">
        <v>53126</v>
      </c>
      <c r="X331" s="128">
        <v>58110</v>
      </c>
      <c r="Y331" s="128">
        <v>12436</v>
      </c>
      <c r="Z331" s="128">
        <v>2875496</v>
      </c>
      <c r="AA331" s="128">
        <v>28406</v>
      </c>
      <c r="AB331" s="128">
        <v>24321</v>
      </c>
      <c r="AC331" s="128" t="s">
        <v>279</v>
      </c>
      <c r="AD331" s="188">
        <f t="shared" si="88"/>
        <v>1.581146707826676E-2</v>
      </c>
      <c r="AE331" s="188">
        <v>0.45889018559650641</v>
      </c>
      <c r="AF331" s="188">
        <v>2.5618341301810791E-2</v>
      </c>
      <c r="AG331" s="188">
        <v>3.8681624816474046E-2</v>
      </c>
      <c r="AH331" s="188">
        <v>0.43488724918119187</v>
      </c>
      <c r="AI331" s="188">
        <v>0.3261697497279652</v>
      </c>
      <c r="AJ331" s="188">
        <v>-9.3814704664382784E-2</v>
      </c>
      <c r="AK331" s="188">
        <v>4.8519769521160341E-2</v>
      </c>
      <c r="AL331" s="188">
        <v>-2.1494051102008971E-2</v>
      </c>
      <c r="AM331" s="129">
        <f t="shared" si="89"/>
        <v>2</v>
      </c>
      <c r="AN331" s="188">
        <v>5.8521251364680192E-2</v>
      </c>
      <c r="AO331" s="188">
        <v>5.412596468772353E-2</v>
      </c>
      <c r="AP331" s="188">
        <v>0.53469111169672101</v>
      </c>
      <c r="AQ331" s="128">
        <v>1728.4400312487151</v>
      </c>
      <c r="AR331" s="188">
        <v>4.8000000000000001E-2</v>
      </c>
      <c r="AS331" s="188">
        <v>0.23899999999999999</v>
      </c>
      <c r="AT331" s="256">
        <v>7</v>
      </c>
    </row>
    <row r="332" spans="1:46" x14ac:dyDescent="0.25">
      <c r="A332" t="s">
        <v>234</v>
      </c>
      <c r="B332">
        <v>5094</v>
      </c>
      <c r="C332">
        <v>2865</v>
      </c>
      <c r="D332">
        <v>45263</v>
      </c>
      <c r="E332">
        <v>162</v>
      </c>
      <c r="F332">
        <v>618</v>
      </c>
      <c r="G332">
        <v>2907</v>
      </c>
      <c r="H332">
        <v>0</v>
      </c>
      <c r="I332">
        <v>2872</v>
      </c>
      <c r="J332">
        <v>0</v>
      </c>
      <c r="K332">
        <v>3152</v>
      </c>
      <c r="L332">
        <v>179</v>
      </c>
      <c r="M332">
        <v>2948</v>
      </c>
      <c r="N332">
        <v>15943</v>
      </c>
      <c r="O332">
        <v>15684</v>
      </c>
      <c r="P332">
        <v>19081</v>
      </c>
      <c r="Q332">
        <v>10</v>
      </c>
      <c r="R332">
        <v>9000</v>
      </c>
      <c r="S332">
        <v>5307</v>
      </c>
      <c r="T332">
        <v>1034</v>
      </c>
      <c r="U332" s="128">
        <v>-14</v>
      </c>
      <c r="V332" s="128">
        <v>-2239</v>
      </c>
      <c r="W332" s="128">
        <v>51617</v>
      </c>
      <c r="X332" s="128">
        <v>53856</v>
      </c>
      <c r="Y332" s="128">
        <v>10909</v>
      </c>
      <c r="Z332" s="128">
        <v>925779.99999999907</v>
      </c>
      <c r="AA332" s="128">
        <v>33642</v>
      </c>
      <c r="AB332" s="128">
        <v>23897</v>
      </c>
      <c r="AC332" s="128" t="s">
        <v>234</v>
      </c>
      <c r="AD332" s="188">
        <f t="shared" si="88"/>
        <v>0.17089331034349148</v>
      </c>
      <c r="AE332" s="188">
        <v>0.47712962783579055</v>
      </c>
      <c r="AF332" s="188">
        <v>6.8291454365809717E-2</v>
      </c>
      <c r="AG332" s="188">
        <v>5.5640583528682411E-2</v>
      </c>
      <c r="AH332" s="188">
        <v>0.44637619388961003</v>
      </c>
      <c r="AI332" s="188">
        <v>0.24134485838417172</v>
      </c>
      <c r="AJ332" s="188">
        <v>-4.3377181936183819E-2</v>
      </c>
      <c r="AK332" s="188">
        <v>-2.3023839397741531E-2</v>
      </c>
      <c r="AL332" s="188">
        <v>1.6299190622383476E-2</v>
      </c>
      <c r="AM332" s="129">
        <f t="shared" si="89"/>
        <v>2</v>
      </c>
      <c r="AN332" s="188">
        <v>5.283627487068214E-2</v>
      </c>
      <c r="AO332" s="188">
        <v>1.7935563864618229E-2</v>
      </c>
      <c r="AP332" s="188">
        <v>0.65176201638994902</v>
      </c>
      <c r="AQ332" s="128">
        <v>1503.616479055948</v>
      </c>
      <c r="AR332" s="188">
        <v>4.2999999999999997E-2</v>
      </c>
      <c r="AS332" s="188">
        <v>0.21600000000000003</v>
      </c>
      <c r="AT332" s="256">
        <v>7</v>
      </c>
    </row>
    <row r="333" spans="1:46" x14ac:dyDescent="0.25">
      <c r="A333" t="s">
        <v>210</v>
      </c>
      <c r="B333">
        <v>1195</v>
      </c>
      <c r="C333">
        <v>8150</v>
      </c>
      <c r="D333">
        <v>119948</v>
      </c>
      <c r="E333">
        <v>505</v>
      </c>
      <c r="F333">
        <v>4333</v>
      </c>
      <c r="G333">
        <v>2324</v>
      </c>
      <c r="H333">
        <v>61</v>
      </c>
      <c r="I333">
        <v>3663</v>
      </c>
      <c r="J333">
        <v>0</v>
      </c>
      <c r="K333">
        <v>9296</v>
      </c>
      <c r="L333">
        <v>3018</v>
      </c>
      <c r="M333">
        <v>0</v>
      </c>
      <c r="N333">
        <v>60791</v>
      </c>
      <c r="O333">
        <v>9499</v>
      </c>
      <c r="P333">
        <v>66653</v>
      </c>
      <c r="Q333">
        <v>0</v>
      </c>
      <c r="R333">
        <v>6000</v>
      </c>
      <c r="S333">
        <v>5321</v>
      </c>
      <c r="T333">
        <v>4230</v>
      </c>
      <c r="U333" s="128">
        <v>687</v>
      </c>
      <c r="V333" s="128">
        <v>-1082</v>
      </c>
      <c r="W333" s="128">
        <v>107988</v>
      </c>
      <c r="X333" s="128">
        <v>109070</v>
      </c>
      <c r="Y333" s="128">
        <v>6267</v>
      </c>
      <c r="Z333" s="128">
        <v>1476222</v>
      </c>
      <c r="AA333" s="128">
        <v>59255</v>
      </c>
      <c r="AB333" s="128">
        <v>28851</v>
      </c>
      <c r="AC333" s="128" t="s">
        <v>210</v>
      </c>
      <c r="AD333" s="188">
        <f t="shared" si="88"/>
        <v>2.7614179353261475E-2</v>
      </c>
      <c r="AE333" s="188">
        <v>0.58499092491758342</v>
      </c>
      <c r="AF333" s="188">
        <v>6.1645738415379486E-2</v>
      </c>
      <c r="AG333" s="188">
        <v>3.3920435603955995E-2</v>
      </c>
      <c r="AH333" s="188">
        <v>0.56864410860465975</v>
      </c>
      <c r="AI333" s="188">
        <v>0.39864519259774156</v>
      </c>
      <c r="AJ333" s="188">
        <v>-1.0019631810941957E-2</v>
      </c>
      <c r="AK333" s="188">
        <v>4.3378576669112255E-3</v>
      </c>
      <c r="AL333" s="188">
        <v>1.8223527252706918E-2</v>
      </c>
      <c r="AM333" s="129">
        <f t="shared" si="89"/>
        <v>1</v>
      </c>
      <c r="AN333" s="188">
        <v>1.4508556506278475E-2</v>
      </c>
      <c r="AO333" s="188">
        <v>1.3670241137904212E-2</v>
      </c>
      <c r="AP333" s="188">
        <v>0.54871837611586471</v>
      </c>
      <c r="AQ333" s="128">
        <v>2597.5698935912101</v>
      </c>
      <c r="AR333" s="188">
        <v>0.03</v>
      </c>
      <c r="AS333" s="188">
        <v>0.14800000000000002</v>
      </c>
      <c r="AT333" s="256">
        <v>8</v>
      </c>
    </row>
    <row r="334" spans="1:46" x14ac:dyDescent="0.25">
      <c r="A334" t="s">
        <v>398</v>
      </c>
      <c r="B334">
        <v>25</v>
      </c>
      <c r="C334">
        <v>3698</v>
      </c>
      <c r="D334">
        <v>34870</v>
      </c>
      <c r="E334">
        <v>2507</v>
      </c>
      <c r="F334">
        <v>750</v>
      </c>
      <c r="G334">
        <v>1176</v>
      </c>
      <c r="H334">
        <v>352</v>
      </c>
      <c r="I334">
        <v>831</v>
      </c>
      <c r="J334">
        <v>5</v>
      </c>
      <c r="K334">
        <v>5243</v>
      </c>
      <c r="L334">
        <v>71</v>
      </c>
      <c r="M334">
        <v>1761</v>
      </c>
      <c r="N334">
        <v>17022</v>
      </c>
      <c r="O334">
        <v>16438</v>
      </c>
      <c r="P334">
        <v>9030</v>
      </c>
      <c r="Q334">
        <v>5</v>
      </c>
      <c r="R334">
        <v>3000</v>
      </c>
      <c r="S334">
        <v>4117</v>
      </c>
      <c r="T334">
        <v>1676</v>
      </c>
      <c r="U334" s="128">
        <v>2372</v>
      </c>
      <c r="V334" s="128">
        <v>-3749</v>
      </c>
      <c r="W334" s="128">
        <v>48409</v>
      </c>
      <c r="X334" s="128">
        <v>52158</v>
      </c>
      <c r="Y334" s="128">
        <v>1716</v>
      </c>
      <c r="Z334" s="128">
        <v>2337801</v>
      </c>
      <c r="AA334" s="128">
        <v>34621</v>
      </c>
      <c r="AB334" s="128">
        <v>21879</v>
      </c>
      <c r="AC334" s="128" t="s">
        <v>398</v>
      </c>
      <c r="AD334" s="188">
        <f t="shared" si="88"/>
        <v>6.0505277944183936E-2</v>
      </c>
      <c r="AE334" s="188">
        <v>0.17507075130657523</v>
      </c>
      <c r="AF334" s="188">
        <v>3.9785990208432313E-2</v>
      </c>
      <c r="AG334" s="188">
        <v>1.7269515999091076E-2</v>
      </c>
      <c r="AH334" s="188">
        <v>0.16775640893222335</v>
      </c>
      <c r="AI334" s="188">
        <v>0.33189050070191856</v>
      </c>
      <c r="AJ334" s="188">
        <v>-7.7444276890660829E-2</v>
      </c>
      <c r="AK334" s="188">
        <v>-1.0181505745891956E-2</v>
      </c>
      <c r="AL334" s="188">
        <v>-1.7648950711586394E-2</v>
      </c>
      <c r="AM334" s="129">
        <f t="shared" si="89"/>
        <v>3</v>
      </c>
      <c r="AN334" s="188">
        <v>8.8619884732177908E-3</v>
      </c>
      <c r="AO334" s="188">
        <v>4.8292693507405643E-2</v>
      </c>
      <c r="AP334" s="188">
        <v>0.71517692990972748</v>
      </c>
      <c r="AQ334" s="128">
        <v>1590.603318250377</v>
      </c>
      <c r="AR334" s="188">
        <v>5.5999999999999994E-2</v>
      </c>
      <c r="AS334" s="188">
        <v>0.27899999999999997</v>
      </c>
      <c r="AT334" s="256">
        <v>7</v>
      </c>
    </row>
    <row r="335" spans="1:46" x14ac:dyDescent="0.25">
      <c r="A335" t="s">
        <v>235</v>
      </c>
      <c r="B335">
        <v>25</v>
      </c>
      <c r="C335">
        <v>6404</v>
      </c>
      <c r="D335">
        <v>242835</v>
      </c>
      <c r="E335">
        <v>352</v>
      </c>
      <c r="F335">
        <v>0</v>
      </c>
      <c r="G335">
        <v>3022</v>
      </c>
      <c r="H335">
        <v>2855</v>
      </c>
      <c r="I335">
        <v>-12002</v>
      </c>
      <c r="J335">
        <v>0</v>
      </c>
      <c r="K335">
        <v>13483</v>
      </c>
      <c r="L335">
        <v>861</v>
      </c>
      <c r="M335">
        <v>3694</v>
      </c>
      <c r="N335">
        <v>65034</v>
      </c>
      <c r="O335">
        <v>9325</v>
      </c>
      <c r="P335">
        <v>146826</v>
      </c>
      <c r="Q335">
        <v>90</v>
      </c>
      <c r="R335">
        <v>20600</v>
      </c>
      <c r="S335">
        <v>11619</v>
      </c>
      <c r="T335">
        <v>8036</v>
      </c>
      <c r="U335" s="128">
        <v>3</v>
      </c>
      <c r="V335" s="128">
        <v>-6081</v>
      </c>
      <c r="W335" s="128">
        <v>128429</v>
      </c>
      <c r="X335" s="128">
        <v>134510</v>
      </c>
      <c r="Y335" s="128">
        <v>52819</v>
      </c>
      <c r="Z335" s="128">
        <v>3921213</v>
      </c>
      <c r="AA335" s="128">
        <v>81053</v>
      </c>
      <c r="AB335" s="128">
        <v>52320</v>
      </c>
      <c r="AC335" s="128" t="s">
        <v>235</v>
      </c>
      <c r="AD335" s="188">
        <f t="shared" si="88"/>
        <v>0.15369581636546262</v>
      </c>
      <c r="AE335" s="188">
        <v>1.2711770705993195</v>
      </c>
      <c r="AF335" s="188">
        <v>2.3530511021653988E-2</v>
      </c>
      <c r="AG335" s="188">
        <v>-9.3452413395728379E-2</v>
      </c>
      <c r="AH335" s="188">
        <v>1.3394174212989278</v>
      </c>
      <c r="AI335" s="188">
        <v>0.2486674568883111</v>
      </c>
      <c r="AJ335" s="188">
        <v>-4.7349118968457282E-2</v>
      </c>
      <c r="AK335" s="188">
        <v>2.9719436777191573E-2</v>
      </c>
      <c r="AL335" s="188">
        <v>-5.3772936138288895E-2</v>
      </c>
      <c r="AM335" s="129">
        <f t="shared" si="89"/>
        <v>2</v>
      </c>
      <c r="AN335" s="188">
        <v>0.10281751006392637</v>
      </c>
      <c r="AO335" s="188">
        <v>3.0532146166364297E-2</v>
      </c>
      <c r="AP335" s="188">
        <v>0.63111135335477186</v>
      </c>
      <c r="AQ335" s="128">
        <v>1830.523356269113</v>
      </c>
      <c r="AR335" s="188">
        <v>3.6000000000000004E-2</v>
      </c>
      <c r="AS335" s="188">
        <v>0.17899999999999999</v>
      </c>
      <c r="AT335" s="256">
        <v>3</v>
      </c>
    </row>
    <row r="336" spans="1:46" x14ac:dyDescent="0.25">
      <c r="A336" t="s">
        <v>280</v>
      </c>
      <c r="B336">
        <v>0</v>
      </c>
      <c r="C336">
        <v>762</v>
      </c>
      <c r="D336">
        <v>30663</v>
      </c>
      <c r="E336">
        <v>803</v>
      </c>
      <c r="F336">
        <v>0</v>
      </c>
      <c r="G336">
        <v>3801</v>
      </c>
      <c r="H336">
        <v>0</v>
      </c>
      <c r="I336">
        <v>8</v>
      </c>
      <c r="J336">
        <v>0</v>
      </c>
      <c r="K336">
        <v>6071</v>
      </c>
      <c r="L336">
        <v>168</v>
      </c>
      <c r="M336">
        <v>329</v>
      </c>
      <c r="N336">
        <v>17980</v>
      </c>
      <c r="O336">
        <v>5194</v>
      </c>
      <c r="P336">
        <v>15387</v>
      </c>
      <c r="Q336">
        <v>6</v>
      </c>
      <c r="R336">
        <v>0</v>
      </c>
      <c r="S336">
        <v>2054</v>
      </c>
      <c r="T336">
        <v>1985</v>
      </c>
      <c r="U336" s="128">
        <v>7</v>
      </c>
      <c r="V336" s="128">
        <v>-1231</v>
      </c>
      <c r="W336" s="128">
        <v>36236</v>
      </c>
      <c r="X336" s="128">
        <v>37467</v>
      </c>
      <c r="Y336" s="128">
        <v>1395</v>
      </c>
      <c r="Z336" s="128">
        <v>1343914.5999999996</v>
      </c>
      <c r="AA336" s="128">
        <v>24403</v>
      </c>
      <c r="AB336" s="128">
        <v>16293</v>
      </c>
      <c r="AC336" s="128" t="s">
        <v>280</v>
      </c>
      <c r="AD336" s="188">
        <f t="shared" si="88"/>
        <v>-4.6362733193509214E-3</v>
      </c>
      <c r="AE336" s="188">
        <v>0.25011038745998454</v>
      </c>
      <c r="AF336" s="188">
        <v>0.1048956838503146</v>
      </c>
      <c r="AG336" s="188">
        <v>2.2077491996909152E-4</v>
      </c>
      <c r="AH336" s="188">
        <v>0.2625433270780439</v>
      </c>
      <c r="AI336" s="188">
        <v>0.42200629019386943</v>
      </c>
      <c r="AJ336" s="188">
        <v>-3.3971740810243956E-2</v>
      </c>
      <c r="AK336" s="188">
        <v>5.2373456042625333E-3</v>
      </c>
      <c r="AL336" s="188">
        <v>-5.72684625143835E-2</v>
      </c>
      <c r="AM336" s="129">
        <f t="shared" si="89"/>
        <v>2</v>
      </c>
      <c r="AN336" s="188">
        <v>9.6244066674025831E-3</v>
      </c>
      <c r="AO336" s="188">
        <v>3.7087829782536691E-2</v>
      </c>
      <c r="AP336" s="188">
        <v>0.67344629650071752</v>
      </c>
      <c r="AQ336" s="128">
        <v>1601.2354999079359</v>
      </c>
      <c r="AR336" s="188">
        <v>4.5999999999999999E-2</v>
      </c>
      <c r="AS336" s="188">
        <v>0.23100000000000001</v>
      </c>
      <c r="AT336" s="256">
        <v>8</v>
      </c>
    </row>
    <row r="337" spans="1:46" x14ac:dyDescent="0.25">
      <c r="A337" t="s">
        <v>236</v>
      </c>
      <c r="B337">
        <v>34</v>
      </c>
      <c r="C337">
        <v>3054</v>
      </c>
      <c r="D337">
        <v>19369</v>
      </c>
      <c r="E337">
        <v>188</v>
      </c>
      <c r="F337">
        <v>0</v>
      </c>
      <c r="G337">
        <v>1529</v>
      </c>
      <c r="H337">
        <v>734</v>
      </c>
      <c r="I337">
        <v>12551</v>
      </c>
      <c r="J337">
        <v>0</v>
      </c>
      <c r="K337">
        <v>3679</v>
      </c>
      <c r="L337">
        <v>0</v>
      </c>
      <c r="M337">
        <v>625</v>
      </c>
      <c r="N337">
        <v>8585</v>
      </c>
      <c r="O337">
        <v>7741</v>
      </c>
      <c r="P337">
        <v>18121</v>
      </c>
      <c r="Q337">
        <v>6</v>
      </c>
      <c r="R337">
        <v>195</v>
      </c>
      <c r="S337">
        <v>6931</v>
      </c>
      <c r="T337">
        <v>184</v>
      </c>
      <c r="U337" s="128">
        <v>0</v>
      </c>
      <c r="V337" s="128">
        <v>-2257</v>
      </c>
      <c r="W337" s="128">
        <v>40676</v>
      </c>
      <c r="X337" s="128">
        <v>42933</v>
      </c>
      <c r="Y337" s="128">
        <v>1128</v>
      </c>
      <c r="Z337" s="128">
        <v>1302715</v>
      </c>
      <c r="AA337" s="128">
        <v>17936</v>
      </c>
      <c r="AB337" s="128">
        <v>13334</v>
      </c>
      <c r="AC337" s="128" t="s">
        <v>236</v>
      </c>
      <c r="AD337" s="188">
        <f t="shared" si="88"/>
        <v>4.7939817091159406E-3</v>
      </c>
      <c r="AE337" s="188">
        <v>0.46390992231291178</v>
      </c>
      <c r="AF337" s="188">
        <v>3.7589733503786013E-2</v>
      </c>
      <c r="AG337" s="188">
        <v>0.30856033041597009</v>
      </c>
      <c r="AH337" s="188">
        <v>0.25242845904218703</v>
      </c>
      <c r="AI337" s="188">
        <v>0.20556473433421929</v>
      </c>
      <c r="AJ337" s="188">
        <v>-5.5487265217818861E-2</v>
      </c>
      <c r="AK337" s="188">
        <v>6.0023835130657212E-2</v>
      </c>
      <c r="AL337" s="188">
        <v>-6.8160597572362272E-2</v>
      </c>
      <c r="AM337" s="129">
        <f t="shared" si="89"/>
        <v>2</v>
      </c>
      <c r="AN337" s="188">
        <v>6.9328350870292068E-3</v>
      </c>
      <c r="AO337" s="188">
        <v>3.2026625036876782E-2</v>
      </c>
      <c r="AP337" s="188">
        <v>0.4409479791523257</v>
      </c>
      <c r="AQ337" s="128">
        <v>1684.6541172941354</v>
      </c>
      <c r="AR337" s="188">
        <v>5.2000000000000005E-2</v>
      </c>
      <c r="AS337" s="188">
        <v>0.26100000000000001</v>
      </c>
      <c r="AT337" s="256">
        <v>6.5</v>
      </c>
    </row>
    <row r="338" spans="1:46" x14ac:dyDescent="0.25">
      <c r="A338" t="s">
        <v>281</v>
      </c>
      <c r="B338">
        <v>0</v>
      </c>
      <c r="C338">
        <v>142965</v>
      </c>
      <c r="D338">
        <v>568370</v>
      </c>
      <c r="E338">
        <v>3913</v>
      </c>
      <c r="F338">
        <v>19365</v>
      </c>
      <c r="G338">
        <v>14686</v>
      </c>
      <c r="H338">
        <v>0</v>
      </c>
      <c r="I338">
        <v>40410</v>
      </c>
      <c r="J338">
        <v>2795</v>
      </c>
      <c r="K338">
        <v>64216</v>
      </c>
      <c r="L338">
        <v>3651</v>
      </c>
      <c r="M338">
        <v>19407</v>
      </c>
      <c r="N338">
        <v>143949</v>
      </c>
      <c r="O338">
        <v>22441</v>
      </c>
      <c r="P338">
        <v>507200</v>
      </c>
      <c r="Q338">
        <v>78</v>
      </c>
      <c r="R338">
        <v>135000</v>
      </c>
      <c r="S338">
        <v>16191</v>
      </c>
      <c r="T338">
        <v>54923</v>
      </c>
      <c r="U338" s="128">
        <v>15</v>
      </c>
      <c r="V338" s="128">
        <v>12594</v>
      </c>
      <c r="W338" s="128">
        <v>500475</v>
      </c>
      <c r="X338" s="128">
        <v>487881</v>
      </c>
      <c r="Y338" s="128">
        <v>126647</v>
      </c>
      <c r="Z338" s="128">
        <v>4931544</v>
      </c>
      <c r="AA338" s="128">
        <v>345522</v>
      </c>
      <c r="AB338" s="128">
        <v>156783</v>
      </c>
      <c r="AC338" s="128" t="s">
        <v>281</v>
      </c>
      <c r="AD338" s="188">
        <f t="shared" si="88"/>
        <v>0.26244867375992809</v>
      </c>
      <c r="AE338" s="188">
        <v>1.1830101403666518</v>
      </c>
      <c r="AF338" s="188">
        <v>6.803736450372147E-2</v>
      </c>
      <c r="AG338" s="188">
        <v>8.632798841100954E-2</v>
      </c>
      <c r="AH338" s="188">
        <v>1.1307450322193917</v>
      </c>
      <c r="AI338" s="188">
        <v>0.16361894196516866</v>
      </c>
      <c r="AJ338" s="188">
        <v>2.5164094110594934E-2</v>
      </c>
      <c r="AK338" s="188">
        <v>8.0100805015316662E-3</v>
      </c>
      <c r="AL338" s="188">
        <v>8.1560248348165783E-3</v>
      </c>
      <c r="AM338" s="129">
        <f t="shared" si="89"/>
        <v>0</v>
      </c>
      <c r="AN338" s="188">
        <v>6.326339977021829E-2</v>
      </c>
      <c r="AO338" s="188">
        <v>9.8537269593885809E-3</v>
      </c>
      <c r="AP338" s="188">
        <v>0.69038813127528853</v>
      </c>
      <c r="AQ338" s="128">
        <v>1844.7847343143071</v>
      </c>
      <c r="AR338" s="188">
        <v>1.8000000000000002E-2</v>
      </c>
      <c r="AS338" s="188">
        <v>9.0999999999999998E-2</v>
      </c>
      <c r="AT338" s="256">
        <v>6</v>
      </c>
    </row>
    <row r="339" spans="1:46" x14ac:dyDescent="0.25">
      <c r="A339" t="s">
        <v>211</v>
      </c>
      <c r="B339">
        <v>19</v>
      </c>
      <c r="C339">
        <v>10199</v>
      </c>
      <c r="D339">
        <v>50628</v>
      </c>
      <c r="E339">
        <v>34</v>
      </c>
      <c r="F339">
        <v>0</v>
      </c>
      <c r="G339">
        <v>1632</v>
      </c>
      <c r="H339">
        <v>0</v>
      </c>
      <c r="I339">
        <v>16075</v>
      </c>
      <c r="J339">
        <v>0</v>
      </c>
      <c r="K339">
        <v>9413</v>
      </c>
      <c r="L339">
        <v>3614</v>
      </c>
      <c r="M339">
        <v>5039</v>
      </c>
      <c r="N339">
        <v>41339</v>
      </c>
      <c r="O339">
        <v>6457</v>
      </c>
      <c r="P339">
        <v>31590</v>
      </c>
      <c r="Q339">
        <v>108</v>
      </c>
      <c r="R339">
        <v>5000</v>
      </c>
      <c r="S339">
        <v>7860</v>
      </c>
      <c r="T339">
        <v>4296</v>
      </c>
      <c r="U339" s="128">
        <v>4</v>
      </c>
      <c r="V339" s="128">
        <v>-3602</v>
      </c>
      <c r="W339" s="128">
        <v>86196</v>
      </c>
      <c r="X339" s="128">
        <v>89798</v>
      </c>
      <c r="Y339" s="128">
        <v>15671</v>
      </c>
      <c r="Z339" s="128">
        <v>1171178</v>
      </c>
      <c r="AA339" s="128">
        <v>44823</v>
      </c>
      <c r="AB339" s="128">
        <v>28844</v>
      </c>
      <c r="AC339" s="128" t="s">
        <v>211</v>
      </c>
      <c r="AD339" s="188">
        <f t="shared" si="88"/>
        <v>1.6079632465543645E-2</v>
      </c>
      <c r="AE339" s="188">
        <v>0.33825235509768437</v>
      </c>
      <c r="AF339" s="188">
        <v>1.8933593206181262E-2</v>
      </c>
      <c r="AG339" s="188">
        <v>0.18649357278760034</v>
      </c>
      <c r="AH339" s="188">
        <v>0.20997888533110587</v>
      </c>
      <c r="AI339" s="188">
        <v>0.42771857216761511</v>
      </c>
      <c r="AJ339" s="188">
        <v>-4.1788482064132909E-2</v>
      </c>
      <c r="AK339" s="188">
        <v>0.14318886404901005</v>
      </c>
      <c r="AL339" s="188">
        <v>0.10584867909148171</v>
      </c>
      <c r="AM339" s="129">
        <f t="shared" si="89"/>
        <v>1</v>
      </c>
      <c r="AN339" s="188">
        <v>4.5451645087939113E-2</v>
      </c>
      <c r="AO339" s="188">
        <v>1.3587382245115784E-2</v>
      </c>
      <c r="AP339" s="188">
        <v>0.52001252958373934</v>
      </c>
      <c r="AQ339" s="128">
        <v>2099.7390791845792</v>
      </c>
      <c r="AR339" s="188">
        <v>4.7E-2</v>
      </c>
      <c r="AS339" s="188">
        <v>0.23300000000000001</v>
      </c>
      <c r="AT339" s="256">
        <v>7.5</v>
      </c>
    </row>
    <row r="340" spans="1:46" x14ac:dyDescent="0.25">
      <c r="A340" t="s">
        <v>282</v>
      </c>
      <c r="B340">
        <v>0</v>
      </c>
      <c r="C340">
        <v>97</v>
      </c>
      <c r="D340">
        <v>52300</v>
      </c>
      <c r="E340">
        <v>1353</v>
      </c>
      <c r="F340">
        <v>0</v>
      </c>
      <c r="G340">
        <v>1286</v>
      </c>
      <c r="H340">
        <v>0</v>
      </c>
      <c r="I340">
        <v>5323</v>
      </c>
      <c r="J340">
        <v>0</v>
      </c>
      <c r="K340">
        <v>7708</v>
      </c>
      <c r="L340">
        <v>18</v>
      </c>
      <c r="M340">
        <v>1238</v>
      </c>
      <c r="N340">
        <v>21480</v>
      </c>
      <c r="O340">
        <v>3925</v>
      </c>
      <c r="P340">
        <v>34358</v>
      </c>
      <c r="Q340">
        <v>231</v>
      </c>
      <c r="R340">
        <v>2419</v>
      </c>
      <c r="S340">
        <v>2426</v>
      </c>
      <c r="T340">
        <v>4486</v>
      </c>
      <c r="U340" s="128">
        <v>-441</v>
      </c>
      <c r="V340" s="128">
        <v>-1632</v>
      </c>
      <c r="W340" s="128">
        <v>55033</v>
      </c>
      <c r="X340" s="128">
        <v>56665</v>
      </c>
      <c r="Y340" s="128">
        <v>-6116.2569999999978</v>
      </c>
      <c r="Z340" s="128">
        <v>2669950</v>
      </c>
      <c r="AA340" s="128">
        <v>29768</v>
      </c>
      <c r="AB340" s="128">
        <v>17116</v>
      </c>
      <c r="AC340" s="128" t="s">
        <v>282</v>
      </c>
      <c r="AD340" s="188">
        <f t="shared" si="88"/>
        <v>4.3628368433485366E-2</v>
      </c>
      <c r="AE340" s="188">
        <v>0.61181472934421166</v>
      </c>
      <c r="AF340" s="188">
        <v>2.3367797503316193E-2</v>
      </c>
      <c r="AG340" s="188">
        <v>9.6723783911471295E-2</v>
      </c>
      <c r="AH340" s="188">
        <v>0.54691221630657971</v>
      </c>
      <c r="AI340" s="188">
        <v>0.30984493328525065</v>
      </c>
      <c r="AJ340" s="188">
        <v>-2.9654934312139988E-2</v>
      </c>
      <c r="AK340" s="188">
        <v>-8.8579563429294524E-3</v>
      </c>
      <c r="AL340" s="188">
        <v>-6.8083042659155771E-3</v>
      </c>
      <c r="AM340" s="129">
        <f t="shared" si="89"/>
        <v>3</v>
      </c>
      <c r="AN340" s="188">
        <v>-2.7784497483328174E-2</v>
      </c>
      <c r="AO340" s="188">
        <v>4.8515436192829754E-2</v>
      </c>
      <c r="AP340" s="188">
        <v>0.54091181654643572</v>
      </c>
      <c r="AQ340" s="128">
        <v>2254.3534120121521</v>
      </c>
      <c r="AR340" s="188">
        <v>2.5000000000000001E-2</v>
      </c>
      <c r="AS340" s="188">
        <v>0.126</v>
      </c>
      <c r="AT340" s="256">
        <v>6.5</v>
      </c>
    </row>
    <row r="341" spans="1:46" x14ac:dyDescent="0.25">
      <c r="A341" t="s">
        <v>434</v>
      </c>
      <c r="B341">
        <v>2524</v>
      </c>
      <c r="C341">
        <v>2165</v>
      </c>
      <c r="D341">
        <v>25807</v>
      </c>
      <c r="E341">
        <v>568</v>
      </c>
      <c r="F341">
        <v>0</v>
      </c>
      <c r="G341">
        <v>0</v>
      </c>
      <c r="H341">
        <v>4412</v>
      </c>
      <c r="I341">
        <v>48286</v>
      </c>
      <c r="J341">
        <v>3</v>
      </c>
      <c r="K341">
        <v>24739</v>
      </c>
      <c r="L341">
        <v>542</v>
      </c>
      <c r="M341">
        <v>0</v>
      </c>
      <c r="N341">
        <v>75025</v>
      </c>
      <c r="O341">
        <v>27177</v>
      </c>
      <c r="P341">
        <v>0</v>
      </c>
      <c r="Q341">
        <v>346</v>
      </c>
      <c r="R341">
        <v>0</v>
      </c>
      <c r="S341">
        <v>6266</v>
      </c>
      <c r="T341">
        <v>258</v>
      </c>
      <c r="U341" s="128">
        <v>7</v>
      </c>
      <c r="V341" s="128">
        <v>2040</v>
      </c>
      <c r="W341" s="128">
        <v>52820</v>
      </c>
      <c r="X341" s="128">
        <v>50780</v>
      </c>
      <c r="Y341" s="128">
        <v>5563</v>
      </c>
      <c r="Z341" s="128">
        <v>1985816</v>
      </c>
      <c r="AA341" s="128">
        <v>34257</v>
      </c>
      <c r="AB341" s="128">
        <v>22674</v>
      </c>
      <c r="AC341" s="128" t="s">
        <v>434</v>
      </c>
      <c r="AD341" s="188">
        <f t="shared" si="88"/>
        <v>-1.0261264672472549E-2</v>
      </c>
      <c r="AE341" s="188">
        <v>-0.43209011737978037</v>
      </c>
      <c r="AF341" s="188">
        <v>0</v>
      </c>
      <c r="AG341" s="188">
        <v>0.91421809920484665</v>
      </c>
      <c r="AH341" s="188">
        <v>-1.072042786823173</v>
      </c>
      <c r="AI341" s="188">
        <v>0.68784839372157836</v>
      </c>
      <c r="AJ341" s="188">
        <v>3.8621734191594093E-2</v>
      </c>
      <c r="AK341" s="188">
        <v>0.15132686353151431</v>
      </c>
      <c r="AL341" s="188">
        <v>9.3284396389247098E-2</v>
      </c>
      <c r="AM341" s="129">
        <f t="shared" si="89"/>
        <v>0</v>
      </c>
      <c r="AN341" s="188">
        <v>2.6329988640666414E-2</v>
      </c>
      <c r="AO341" s="188">
        <v>3.7595910639909129E-2</v>
      </c>
      <c r="AP341" s="188">
        <v>0.6485611510791367</v>
      </c>
      <c r="AQ341" s="128">
        <v>1702.9582782041107</v>
      </c>
      <c r="AR341" s="188">
        <v>3.6000000000000004E-2</v>
      </c>
      <c r="AS341" s="188">
        <v>0.18100000000000002</v>
      </c>
      <c r="AT341" s="256">
        <v>10</v>
      </c>
    </row>
    <row r="342" spans="1:46" x14ac:dyDescent="0.25">
      <c r="A342" t="s">
        <v>237</v>
      </c>
      <c r="B342">
        <v>74</v>
      </c>
      <c r="C342">
        <v>32975</v>
      </c>
      <c r="D342">
        <v>125334</v>
      </c>
      <c r="E342">
        <v>918</v>
      </c>
      <c r="F342">
        <v>0</v>
      </c>
      <c r="G342">
        <v>8344</v>
      </c>
      <c r="H342">
        <v>0</v>
      </c>
      <c r="I342">
        <v>0</v>
      </c>
      <c r="J342">
        <v>3258</v>
      </c>
      <c r="K342">
        <v>30817</v>
      </c>
      <c r="L342">
        <v>535</v>
      </c>
      <c r="M342">
        <v>6770</v>
      </c>
      <c r="N342">
        <v>140531</v>
      </c>
      <c r="O342">
        <v>21681</v>
      </c>
      <c r="P342">
        <v>32650</v>
      </c>
      <c r="Q342">
        <v>29</v>
      </c>
      <c r="R342">
        <v>0</v>
      </c>
      <c r="S342">
        <v>12920</v>
      </c>
      <c r="T342">
        <v>1215</v>
      </c>
      <c r="U342" s="128">
        <v>1623</v>
      </c>
      <c r="V342" s="128">
        <v>-7598</v>
      </c>
      <c r="W342" s="128">
        <v>160953</v>
      </c>
      <c r="X342" s="128">
        <v>168551</v>
      </c>
      <c r="Y342" s="128">
        <v>34460</v>
      </c>
      <c r="Z342" s="128">
        <v>11917758</v>
      </c>
      <c r="AA342" s="128">
        <v>119288</v>
      </c>
      <c r="AB342" s="128">
        <v>64798</v>
      </c>
      <c r="AC342" s="128" t="s">
        <v>237</v>
      </c>
      <c r="AD342" s="188">
        <f t="shared" si="88"/>
        <v>-3.3239517126117564E-3</v>
      </c>
      <c r="AE342" s="188">
        <v>2.1621218616614786E-3</v>
      </c>
      <c r="AF342" s="188">
        <v>5.1841220729032696E-2</v>
      </c>
      <c r="AG342" s="188">
        <v>2.0241933980727295E-2</v>
      </c>
      <c r="AH342" s="188">
        <v>-5.7862854373637029E-3</v>
      </c>
      <c r="AI342" s="188">
        <v>0.67231349210146107</v>
      </c>
      <c r="AJ342" s="188">
        <v>-4.7206327312942289E-2</v>
      </c>
      <c r="AK342" s="188">
        <v>2.3328702058224821E-2</v>
      </c>
      <c r="AL342" s="188">
        <v>-1.677046234696309E-2</v>
      </c>
      <c r="AM342" s="129">
        <f t="shared" si="89"/>
        <v>2</v>
      </c>
      <c r="AN342" s="188">
        <v>5.35249420638323E-2</v>
      </c>
      <c r="AO342" s="188">
        <v>7.4044957223537308E-2</v>
      </c>
      <c r="AP342" s="188">
        <v>0.74113561101688075</v>
      </c>
      <c r="AQ342" s="128">
        <v>1717.2214883175407</v>
      </c>
      <c r="AR342" s="188">
        <v>4.7E-2</v>
      </c>
      <c r="AS342" s="188">
        <v>0.23300000000000001</v>
      </c>
      <c r="AT342" s="256">
        <v>6</v>
      </c>
    </row>
    <row r="343" spans="1:46" x14ac:dyDescent="0.25">
      <c r="A343" t="s">
        <v>212</v>
      </c>
      <c r="B343">
        <v>360</v>
      </c>
      <c r="C343">
        <v>30474</v>
      </c>
      <c r="D343">
        <v>120485</v>
      </c>
      <c r="E343">
        <v>35</v>
      </c>
      <c r="F343">
        <v>310</v>
      </c>
      <c r="G343">
        <v>9997</v>
      </c>
      <c r="H343">
        <v>0</v>
      </c>
      <c r="I343">
        <v>21706</v>
      </c>
      <c r="J343">
        <v>0</v>
      </c>
      <c r="K343">
        <v>18293</v>
      </c>
      <c r="L343">
        <v>0</v>
      </c>
      <c r="M343">
        <v>0</v>
      </c>
      <c r="N343">
        <v>47804</v>
      </c>
      <c r="O343">
        <v>7469</v>
      </c>
      <c r="P343">
        <v>116862</v>
      </c>
      <c r="Q343">
        <v>646</v>
      </c>
      <c r="R343">
        <v>13297</v>
      </c>
      <c r="S343">
        <v>5293</v>
      </c>
      <c r="T343">
        <v>10292</v>
      </c>
      <c r="U343" s="128">
        <v>40</v>
      </c>
      <c r="V343" s="128">
        <v>803</v>
      </c>
      <c r="W343" s="128">
        <v>152150</v>
      </c>
      <c r="X343" s="128">
        <v>151347</v>
      </c>
      <c r="Y343" s="128">
        <v>34296</v>
      </c>
      <c r="Z343" s="128">
        <v>-35610</v>
      </c>
      <c r="AA343" s="128">
        <v>80618</v>
      </c>
      <c r="AB343" s="128">
        <v>43684</v>
      </c>
      <c r="AC343" s="128" t="s">
        <v>212</v>
      </c>
      <c r="AD343" s="188">
        <f t="shared" si="88"/>
        <v>8.7394019060138023E-2</v>
      </c>
      <c r="AE343" s="188">
        <v>0.77417022674991787</v>
      </c>
      <c r="AF343" s="188">
        <v>6.7742359513637856E-2</v>
      </c>
      <c r="AG343" s="188">
        <v>0.14266184686164968</v>
      </c>
      <c r="AH343" s="188">
        <v>0.68243601708839963</v>
      </c>
      <c r="AI343" s="188">
        <v>0.23704893807986591</v>
      </c>
      <c r="AJ343" s="188">
        <v>5.2776864935918499E-3</v>
      </c>
      <c r="AK343" s="188">
        <v>-4.0384422194689081E-2</v>
      </c>
      <c r="AL343" s="188">
        <v>4.9303041971505583E-2</v>
      </c>
      <c r="AM343" s="129">
        <f t="shared" si="89"/>
        <v>1</v>
      </c>
      <c r="AN343" s="188">
        <v>5.6352283930331912E-2</v>
      </c>
      <c r="AO343" s="188">
        <v>-2.3404534998356885E-4</v>
      </c>
      <c r="AP343" s="188">
        <v>0.52985869208018399</v>
      </c>
      <c r="AQ343" s="128">
        <v>2448.1043860452342</v>
      </c>
      <c r="AR343" s="188">
        <v>3.4000000000000002E-2</v>
      </c>
      <c r="AS343" s="188">
        <v>0.16899999999999998</v>
      </c>
      <c r="AT343" s="256">
        <v>6</v>
      </c>
    </row>
    <row r="344" spans="1:46" x14ac:dyDescent="0.25">
      <c r="A344" t="s">
        <v>326</v>
      </c>
      <c r="B344">
        <v>885</v>
      </c>
      <c r="C344">
        <v>62422</v>
      </c>
      <c r="D344">
        <v>289501</v>
      </c>
      <c r="E344">
        <v>9</v>
      </c>
      <c r="F344">
        <v>0</v>
      </c>
      <c r="G344">
        <v>6171</v>
      </c>
      <c r="H344">
        <v>0</v>
      </c>
      <c r="I344">
        <v>14642</v>
      </c>
      <c r="J344">
        <v>0</v>
      </c>
      <c r="K344">
        <v>13014</v>
      </c>
      <c r="L344">
        <v>131</v>
      </c>
      <c r="M344">
        <v>31564</v>
      </c>
      <c r="N344">
        <v>239600</v>
      </c>
      <c r="O344">
        <v>44504</v>
      </c>
      <c r="P344">
        <v>80417</v>
      </c>
      <c r="Q344">
        <v>10</v>
      </c>
      <c r="R344">
        <v>13148</v>
      </c>
      <c r="S344">
        <v>10897</v>
      </c>
      <c r="T344">
        <v>29763</v>
      </c>
      <c r="U344" s="128">
        <v>38</v>
      </c>
      <c r="V344" s="128">
        <v>-6563</v>
      </c>
      <c r="W344" s="128">
        <v>359655</v>
      </c>
      <c r="X344" s="128">
        <v>366218</v>
      </c>
      <c r="Y344" s="128">
        <v>83309</v>
      </c>
      <c r="Z344" s="128">
        <v>-3953572</v>
      </c>
      <c r="AA344" s="128">
        <v>250901</v>
      </c>
      <c r="AB344" s="128">
        <v>125320</v>
      </c>
      <c r="AC344" s="128" t="s">
        <v>326</v>
      </c>
      <c r="AD344" s="188">
        <f t="shared" si="88"/>
        <v>3.6193018309212996E-2</v>
      </c>
      <c r="AE344" s="188">
        <v>0.23176377361638237</v>
      </c>
      <c r="AF344" s="188">
        <v>1.7158109855277975E-2</v>
      </c>
      <c r="AG344" s="188">
        <v>4.0711237157831814E-2</v>
      </c>
      <c r="AH344" s="188">
        <v>0.20532488078853345</v>
      </c>
      <c r="AI344" s="188">
        <v>0.57274124573611351</v>
      </c>
      <c r="AJ344" s="188">
        <v>-1.8248043263683251E-2</v>
      </c>
      <c r="AK344" s="188">
        <v>-2.3052354654317332E-3</v>
      </c>
      <c r="AL344" s="188">
        <v>2.4065612850129128E-3</v>
      </c>
      <c r="AM344" s="129">
        <f t="shared" si="89"/>
        <v>2</v>
      </c>
      <c r="AN344" s="188">
        <v>5.7908968316859211E-2</v>
      </c>
      <c r="AO344" s="188">
        <v>-1.0992679095244054E-2</v>
      </c>
      <c r="AP344" s="188">
        <v>0.69761577066911351</v>
      </c>
      <c r="AQ344" s="128">
        <v>2014.6908474305778</v>
      </c>
      <c r="AR344" s="188">
        <v>3.9E-2</v>
      </c>
      <c r="AS344" s="188">
        <v>0.19500000000000001</v>
      </c>
      <c r="AT344" s="256">
        <v>7.5</v>
      </c>
    </row>
    <row r="345" spans="1:46" x14ac:dyDescent="0.25">
      <c r="A345" t="s">
        <v>327</v>
      </c>
      <c r="B345">
        <v>2812</v>
      </c>
      <c r="C345">
        <v>3944</v>
      </c>
      <c r="D345">
        <v>27359</v>
      </c>
      <c r="E345">
        <v>1085</v>
      </c>
      <c r="F345">
        <v>0</v>
      </c>
      <c r="G345">
        <v>308</v>
      </c>
      <c r="H345">
        <v>7089</v>
      </c>
      <c r="I345">
        <v>1503</v>
      </c>
      <c r="J345">
        <v>37</v>
      </c>
      <c r="K345">
        <v>7800</v>
      </c>
      <c r="L345">
        <v>160</v>
      </c>
      <c r="M345">
        <v>87</v>
      </c>
      <c r="N345">
        <v>23919</v>
      </c>
      <c r="O345">
        <v>3561</v>
      </c>
      <c r="P345">
        <v>20968</v>
      </c>
      <c r="Q345">
        <v>1</v>
      </c>
      <c r="R345">
        <v>0</v>
      </c>
      <c r="S345">
        <v>3173</v>
      </c>
      <c r="T345">
        <v>563</v>
      </c>
      <c r="U345" s="128">
        <v>-1</v>
      </c>
      <c r="V345" s="128">
        <v>1851</v>
      </c>
      <c r="W345" s="128">
        <v>21094</v>
      </c>
      <c r="X345" s="128">
        <v>19243</v>
      </c>
      <c r="Y345" s="128">
        <v>16403</v>
      </c>
      <c r="Z345" s="128">
        <v>-223741</v>
      </c>
      <c r="AA345" s="128">
        <v>11434</v>
      </c>
      <c r="AB345" s="128">
        <v>8582</v>
      </c>
      <c r="AC345" s="128" t="s">
        <v>327</v>
      </c>
      <c r="AD345" s="188">
        <f t="shared" si="88"/>
        <v>-7.5850952877595523E-3</v>
      </c>
      <c r="AE345" s="188">
        <v>0.43903479662463257</v>
      </c>
      <c r="AF345" s="188">
        <v>1.4601308428937138E-2</v>
      </c>
      <c r="AG345" s="188">
        <v>7.3006542144685688E-2</v>
      </c>
      <c r="AH345" s="188">
        <v>0.38968237413482504</v>
      </c>
      <c r="AI345" s="188">
        <v>0.45835010060362175</v>
      </c>
      <c r="AJ345" s="188">
        <v>8.7750071110268321E-2</v>
      </c>
      <c r="AK345" s="188">
        <v>8.4124357746233558E-2</v>
      </c>
      <c r="AL345" s="188">
        <v>7.6823352291736369E-2</v>
      </c>
      <c r="AM345" s="129">
        <f t="shared" si="89"/>
        <v>0</v>
      </c>
      <c r="AN345" s="188">
        <v>0.19440362188299989</v>
      </c>
      <c r="AO345" s="188">
        <v>-1.0606855029866313E-2</v>
      </c>
      <c r="AP345" s="188">
        <v>0.542049872001517</v>
      </c>
      <c r="AQ345" s="128">
        <v>1559.0974131903986</v>
      </c>
      <c r="AR345" s="188">
        <v>3.0000000000000001E-3</v>
      </c>
      <c r="AS345" s="188">
        <v>1.3999999999999999E-2</v>
      </c>
      <c r="AT345" s="256">
        <v>8</v>
      </c>
    </row>
    <row r="346" spans="1:46" x14ac:dyDescent="0.25">
      <c r="A346" t="s">
        <v>328</v>
      </c>
      <c r="B346">
        <v>4306</v>
      </c>
      <c r="C346">
        <v>36968</v>
      </c>
      <c r="D346">
        <v>115996</v>
      </c>
      <c r="E346">
        <v>564</v>
      </c>
      <c r="F346">
        <v>2855</v>
      </c>
      <c r="G346">
        <v>6321</v>
      </c>
      <c r="H346">
        <v>21</v>
      </c>
      <c r="I346">
        <v>18237</v>
      </c>
      <c r="J346">
        <v>1754</v>
      </c>
      <c r="K346">
        <v>15346</v>
      </c>
      <c r="L346">
        <v>11175</v>
      </c>
      <c r="M346">
        <v>6105</v>
      </c>
      <c r="N346">
        <v>51984</v>
      </c>
      <c r="O346">
        <v>23604</v>
      </c>
      <c r="P346">
        <v>100279</v>
      </c>
      <c r="Q346">
        <v>218</v>
      </c>
      <c r="R346">
        <v>30212</v>
      </c>
      <c r="S346">
        <v>3822</v>
      </c>
      <c r="T346">
        <v>9529</v>
      </c>
      <c r="U346" s="128">
        <v>-6</v>
      </c>
      <c r="V346" s="128">
        <v>4159</v>
      </c>
      <c r="W346" s="128">
        <v>114418</v>
      </c>
      <c r="X346" s="128">
        <v>110259</v>
      </c>
      <c r="Y346" s="128">
        <v>49871</v>
      </c>
      <c r="Z346" s="128">
        <v>4278469</v>
      </c>
      <c r="AA346" s="128">
        <v>64047</v>
      </c>
      <c r="AB346" s="128">
        <v>43899</v>
      </c>
      <c r="AC346" s="128" t="s">
        <v>328</v>
      </c>
      <c r="AD346" s="188">
        <f t="shared" si="88"/>
        <v>0.16638116380289814</v>
      </c>
      <c r="AE346" s="188">
        <v>0.89353947805415235</v>
      </c>
      <c r="AF346" s="188">
        <v>8.0197171773671971E-2</v>
      </c>
      <c r="AG346" s="188">
        <v>0.17471901274275026</v>
      </c>
      <c r="AH346" s="188">
        <v>0.7808598297470678</v>
      </c>
      <c r="AI346" s="188">
        <v>0.23666958041958042</v>
      </c>
      <c r="AJ346" s="188">
        <v>3.634917582897796E-2</v>
      </c>
      <c r="AK346" s="188">
        <v>4.5808520384791572E-3</v>
      </c>
      <c r="AL346" s="188">
        <v>3.2061510406620961E-2</v>
      </c>
      <c r="AM346" s="129">
        <f t="shared" si="89"/>
        <v>0</v>
      </c>
      <c r="AN346" s="188">
        <v>0.10896668356377492</v>
      </c>
      <c r="AO346" s="188">
        <v>3.7393320980964533E-2</v>
      </c>
      <c r="AP346" s="188">
        <v>0.55976332395252493</v>
      </c>
      <c r="AQ346" s="128">
        <v>1281.4201918039134</v>
      </c>
      <c r="AR346" s="188">
        <v>2.7999999999999997E-2</v>
      </c>
      <c r="AS346" s="188">
        <v>0.13900000000000001</v>
      </c>
      <c r="AT346" s="256">
        <v>7</v>
      </c>
    </row>
    <row r="347" spans="1:46" x14ac:dyDescent="0.25">
      <c r="A347" t="s">
        <v>399</v>
      </c>
      <c r="B347">
        <v>163</v>
      </c>
      <c r="C347">
        <v>4419</v>
      </c>
      <c r="D347">
        <v>36702</v>
      </c>
      <c r="E347">
        <v>358</v>
      </c>
      <c r="F347">
        <v>1565</v>
      </c>
      <c r="G347">
        <v>696</v>
      </c>
      <c r="H347">
        <v>0</v>
      </c>
      <c r="I347">
        <v>1849</v>
      </c>
      <c r="J347">
        <v>0</v>
      </c>
      <c r="K347">
        <v>8312</v>
      </c>
      <c r="L347">
        <v>172352</v>
      </c>
      <c r="M347">
        <v>1260</v>
      </c>
      <c r="N347">
        <v>11146</v>
      </c>
      <c r="O347">
        <v>14635</v>
      </c>
      <c r="P347">
        <v>24378</v>
      </c>
      <c r="Q347">
        <v>5</v>
      </c>
      <c r="R347">
        <v>1394</v>
      </c>
      <c r="S347">
        <v>172315</v>
      </c>
      <c r="T347">
        <v>3802</v>
      </c>
      <c r="U347" s="128">
        <v>31</v>
      </c>
      <c r="V347" s="128">
        <v>-1066</v>
      </c>
      <c r="W347" s="128">
        <v>50550</v>
      </c>
      <c r="X347" s="128">
        <v>51616</v>
      </c>
      <c r="Y347" s="128">
        <v>14502</v>
      </c>
      <c r="Z347" s="128">
        <v>1837878</v>
      </c>
      <c r="AA347" s="128">
        <v>32553</v>
      </c>
      <c r="AB347" s="128">
        <v>21885</v>
      </c>
      <c r="AC347" s="128" t="s">
        <v>399</v>
      </c>
      <c r="AD347" s="188">
        <f t="shared" si="88"/>
        <v>-3.3819584569732939</v>
      </c>
      <c r="AE347" s="188">
        <v>0.35032640949554894</v>
      </c>
      <c r="AF347" s="188">
        <v>4.4727992087042534E-2</v>
      </c>
      <c r="AG347" s="188">
        <v>3.6577645895153311E-2</v>
      </c>
      <c r="AH347" s="188">
        <v>0.33008941641938672</v>
      </c>
      <c r="AI347" s="188">
        <v>4.8955748325463927E-2</v>
      </c>
      <c r="AJ347" s="188">
        <v>-2.1088031651829871E-2</v>
      </c>
      <c r="AK347" s="188">
        <v>-4.2872730879873026E-2</v>
      </c>
      <c r="AL347" s="188">
        <v>-4.5092884377665966E-3</v>
      </c>
      <c r="AM347" s="129">
        <f t="shared" si="89"/>
        <v>3</v>
      </c>
      <c r="AN347" s="188">
        <v>7.1721068249258155E-2</v>
      </c>
      <c r="AO347" s="188">
        <v>3.6357626112759646E-2</v>
      </c>
      <c r="AP347" s="188">
        <v>0.64397626112759643</v>
      </c>
      <c r="AQ347" s="128">
        <v>1632.5766506739776</v>
      </c>
      <c r="AR347" s="188">
        <v>0.03</v>
      </c>
      <c r="AS347" s="188">
        <v>0.151</v>
      </c>
      <c r="AT347" s="256">
        <v>7</v>
      </c>
    </row>
    <row r="348" spans="1:46" x14ac:dyDescent="0.25">
      <c r="A348" t="s">
        <v>213</v>
      </c>
      <c r="B348">
        <v>215</v>
      </c>
      <c r="C348">
        <v>11763</v>
      </c>
      <c r="D348">
        <v>137790</v>
      </c>
      <c r="E348">
        <v>5444</v>
      </c>
      <c r="F348">
        <v>10739</v>
      </c>
      <c r="G348">
        <v>11583</v>
      </c>
      <c r="H348">
        <v>69</v>
      </c>
      <c r="I348">
        <v>27924</v>
      </c>
      <c r="J348">
        <v>1</v>
      </c>
      <c r="K348">
        <v>13753</v>
      </c>
      <c r="L348">
        <v>3814</v>
      </c>
      <c r="M348">
        <v>8406</v>
      </c>
      <c r="N348">
        <v>39276</v>
      </c>
      <c r="O348">
        <v>16156</v>
      </c>
      <c r="P348">
        <v>132659</v>
      </c>
      <c r="Q348">
        <v>98</v>
      </c>
      <c r="R348">
        <v>16000</v>
      </c>
      <c r="S348">
        <v>4206</v>
      </c>
      <c r="T348">
        <v>23077</v>
      </c>
      <c r="U348" s="128">
        <v>-3</v>
      </c>
      <c r="V348" s="128">
        <v>-2137</v>
      </c>
      <c r="W348" s="128">
        <v>173754</v>
      </c>
      <c r="X348" s="128">
        <v>175891</v>
      </c>
      <c r="Y348" s="128">
        <v>2622</v>
      </c>
      <c r="Z348" s="128">
        <v>1692081</v>
      </c>
      <c r="AA348" s="128">
        <v>115258</v>
      </c>
      <c r="AB348" s="128">
        <v>47912</v>
      </c>
      <c r="AC348" s="128" t="s">
        <v>213</v>
      </c>
      <c r="AD348" s="188">
        <f t="shared" si="88"/>
        <v>7.0133637211229671E-2</v>
      </c>
      <c r="AE348" s="188">
        <v>0.73480898281478413</v>
      </c>
      <c r="AF348" s="188">
        <v>0.12846898488667888</v>
      </c>
      <c r="AG348" s="188">
        <v>0.16071572453008276</v>
      </c>
      <c r="AH348" s="188">
        <v>0.63772425383012765</v>
      </c>
      <c r="AI348" s="188">
        <v>0.16967927006290179</v>
      </c>
      <c r="AJ348" s="188">
        <v>-1.2298997433152619E-2</v>
      </c>
      <c r="AK348" s="188">
        <v>-0.10020111413672202</v>
      </c>
      <c r="AL348" s="188">
        <v>-5.6507955145893268E-2</v>
      </c>
      <c r="AM348" s="129">
        <f t="shared" si="89"/>
        <v>3</v>
      </c>
      <c r="AN348" s="188">
        <v>3.7725750198556582E-3</v>
      </c>
      <c r="AO348" s="188">
        <v>9.7383714907282697E-3</v>
      </c>
      <c r="AP348" s="188">
        <v>0.66334012454389535</v>
      </c>
      <c r="AQ348" s="128">
        <v>2184.1385456670564</v>
      </c>
      <c r="AR348" s="188">
        <v>3.4000000000000002E-2</v>
      </c>
      <c r="AS348" s="188">
        <v>0.17</v>
      </c>
      <c r="AT348" s="256">
        <v>7</v>
      </c>
    </row>
    <row r="349" spans="1:46" x14ac:dyDescent="0.25">
      <c r="A349" t="s">
        <v>163</v>
      </c>
      <c r="B349">
        <v>786</v>
      </c>
      <c r="C349">
        <v>16087</v>
      </c>
      <c r="D349">
        <v>52067</v>
      </c>
      <c r="E349">
        <v>423</v>
      </c>
      <c r="F349">
        <v>1202</v>
      </c>
      <c r="G349">
        <v>2686</v>
      </c>
      <c r="H349">
        <v>0</v>
      </c>
      <c r="I349">
        <v>20098</v>
      </c>
      <c r="J349">
        <v>4</v>
      </c>
      <c r="K349">
        <v>5053</v>
      </c>
      <c r="L349">
        <v>7570</v>
      </c>
      <c r="M349">
        <v>4924</v>
      </c>
      <c r="N349">
        <v>27801</v>
      </c>
      <c r="O349">
        <v>4702</v>
      </c>
      <c r="P349">
        <v>65048</v>
      </c>
      <c r="Q349">
        <v>-7</v>
      </c>
      <c r="R349">
        <v>0</v>
      </c>
      <c r="S349">
        <v>7556</v>
      </c>
      <c r="T349">
        <v>5800</v>
      </c>
      <c r="U349" s="128">
        <v>8</v>
      </c>
      <c r="V349" s="128">
        <v>-2295</v>
      </c>
      <c r="W349" s="128">
        <v>55494</v>
      </c>
      <c r="X349" s="128">
        <v>57789</v>
      </c>
      <c r="Y349" s="128">
        <v>9339</v>
      </c>
      <c r="Z349" s="128">
        <v>1379842</v>
      </c>
      <c r="AA349" s="128">
        <v>32793</v>
      </c>
      <c r="AB349" s="128">
        <v>22679</v>
      </c>
      <c r="AC349" s="128" t="s">
        <v>163</v>
      </c>
      <c r="AD349" s="188">
        <f t="shared" si="88"/>
        <v>-0.13641114354705014</v>
      </c>
      <c r="AE349" s="188">
        <v>1.0264533102677766</v>
      </c>
      <c r="AF349" s="188">
        <v>7.0061628284138824E-2</v>
      </c>
      <c r="AG349" s="188">
        <v>0.36223735899376508</v>
      </c>
      <c r="AH349" s="188">
        <v>0.78129455436623774</v>
      </c>
      <c r="AI349" s="188">
        <v>0.25068530207394046</v>
      </c>
      <c r="AJ349" s="188">
        <v>-4.1355822251054171E-2</v>
      </c>
      <c r="AK349" s="188">
        <v>1.7159048128554164E-2</v>
      </c>
      <c r="AL349" s="188">
        <v>6.7691556857003413E-2</v>
      </c>
      <c r="AM349" s="129">
        <f t="shared" si="89"/>
        <v>1</v>
      </c>
      <c r="AN349" s="188">
        <v>4.20721159044221E-2</v>
      </c>
      <c r="AO349" s="188">
        <v>2.4864706094352543E-2</v>
      </c>
      <c r="AP349" s="188">
        <v>0.59092874905395176</v>
      </c>
      <c r="AQ349" s="128">
        <v>1729.2987786057586</v>
      </c>
      <c r="AR349" s="188">
        <v>4.2999999999999997E-2</v>
      </c>
      <c r="AS349" s="188">
        <v>0.21299999999999999</v>
      </c>
      <c r="AT349" s="256">
        <v>8</v>
      </c>
    </row>
    <row r="350" spans="1:46" x14ac:dyDescent="0.25">
      <c r="A350" t="s">
        <v>329</v>
      </c>
      <c r="B350">
        <v>1327</v>
      </c>
      <c r="C350">
        <v>28515</v>
      </c>
      <c r="D350">
        <v>157508</v>
      </c>
      <c r="E350">
        <v>1601</v>
      </c>
      <c r="F350">
        <v>2033</v>
      </c>
      <c r="G350">
        <v>3938</v>
      </c>
      <c r="H350">
        <v>0</v>
      </c>
      <c r="I350">
        <v>11034</v>
      </c>
      <c r="J350">
        <v>0</v>
      </c>
      <c r="K350">
        <v>21194</v>
      </c>
      <c r="L350">
        <v>452</v>
      </c>
      <c r="M350">
        <v>4467</v>
      </c>
      <c r="N350">
        <v>43704</v>
      </c>
      <c r="O350">
        <v>15548</v>
      </c>
      <c r="P350">
        <v>142813</v>
      </c>
      <c r="Q350">
        <v>0</v>
      </c>
      <c r="R350">
        <v>18000</v>
      </c>
      <c r="S350">
        <v>4225</v>
      </c>
      <c r="T350">
        <v>7781</v>
      </c>
      <c r="U350" s="128">
        <v>172</v>
      </c>
      <c r="V350" s="128">
        <v>-3103</v>
      </c>
      <c r="W350" s="128">
        <v>134554</v>
      </c>
      <c r="X350" s="128">
        <v>137657</v>
      </c>
      <c r="Y350" s="128">
        <v>29067</v>
      </c>
      <c r="Z350" s="128">
        <v>1021103.0000000019</v>
      </c>
      <c r="AA350" s="128">
        <v>89416</v>
      </c>
      <c r="AB350" s="128">
        <v>44721</v>
      </c>
      <c r="AC350" s="128" t="s">
        <v>329</v>
      </c>
      <c r="AD350" s="188">
        <f t="shared" si="88"/>
        <v>0.1304160411433328</v>
      </c>
      <c r="AE350" s="188">
        <v>1.0459369472479452</v>
      </c>
      <c r="AF350" s="188">
        <v>4.4376235563416917E-2</v>
      </c>
      <c r="AG350" s="188">
        <v>8.2004251081350232E-2</v>
      </c>
      <c r="AH350" s="188">
        <v>0.99385911975860997</v>
      </c>
      <c r="AI350" s="188">
        <v>0.18832167741768682</v>
      </c>
      <c r="AJ350" s="188">
        <v>-2.306137312900397E-2</v>
      </c>
      <c r="AK350" s="188">
        <v>6.7595741476214263E-2</v>
      </c>
      <c r="AL350" s="188">
        <v>-1.1359123043927239E-3</v>
      </c>
      <c r="AM350" s="129">
        <f t="shared" si="89"/>
        <v>2</v>
      </c>
      <c r="AN350" s="188">
        <v>5.4006198254975699E-2</v>
      </c>
      <c r="AO350" s="188">
        <v>7.5887970628892628E-3</v>
      </c>
      <c r="AP350" s="188">
        <v>0.66453617135127907</v>
      </c>
      <c r="AQ350" s="128">
        <v>1903.383645267324</v>
      </c>
      <c r="AR350" s="188">
        <v>3.3000000000000002E-2</v>
      </c>
      <c r="AS350" s="188">
        <v>0.16300000000000001</v>
      </c>
      <c r="AT350" s="256">
        <v>5</v>
      </c>
    </row>
    <row r="351" spans="1:46" x14ac:dyDescent="0.25">
      <c r="A351" t="s">
        <v>164</v>
      </c>
      <c r="B351">
        <v>3832</v>
      </c>
      <c r="C351">
        <v>78481</v>
      </c>
      <c r="D351">
        <v>371146</v>
      </c>
      <c r="E351">
        <v>982</v>
      </c>
      <c r="F351">
        <v>6981</v>
      </c>
      <c r="G351">
        <v>17125</v>
      </c>
      <c r="H351">
        <v>0</v>
      </c>
      <c r="I351">
        <v>70144</v>
      </c>
      <c r="J351">
        <v>301</v>
      </c>
      <c r="K351">
        <v>27687</v>
      </c>
      <c r="L351">
        <v>776</v>
      </c>
      <c r="M351">
        <v>26529</v>
      </c>
      <c r="N351">
        <v>183644</v>
      </c>
      <c r="O351">
        <v>11293</v>
      </c>
      <c r="P351">
        <v>287133</v>
      </c>
      <c r="Q351">
        <v>0</v>
      </c>
      <c r="R351">
        <v>46146</v>
      </c>
      <c r="S351">
        <v>28445</v>
      </c>
      <c r="T351">
        <v>47321</v>
      </c>
      <c r="U351" s="128">
        <v>40</v>
      </c>
      <c r="V351" s="128">
        <v>9276</v>
      </c>
      <c r="W351" s="128">
        <v>596277</v>
      </c>
      <c r="X351" s="128">
        <v>587001</v>
      </c>
      <c r="Y351" s="128">
        <v>88865</v>
      </c>
      <c r="Z351" s="128">
        <v>-3011340</v>
      </c>
      <c r="AA351" s="128">
        <v>355112</v>
      </c>
      <c r="AB351" s="128">
        <v>128707</v>
      </c>
      <c r="AC351" s="128" t="s">
        <v>164</v>
      </c>
      <c r="AD351" s="188">
        <f t="shared" si="88"/>
        <v>7.6088797656122906E-2</v>
      </c>
      <c r="AE351" s="188">
        <v>0.5533451734680358</v>
      </c>
      <c r="AF351" s="188">
        <v>4.0427519424696912E-2</v>
      </c>
      <c r="AG351" s="188">
        <v>0.11814140072483091</v>
      </c>
      <c r="AH351" s="188">
        <v>0.47549749529161783</v>
      </c>
      <c r="AI351" s="188">
        <v>0.30405541887009879</v>
      </c>
      <c r="AJ351" s="188">
        <v>1.5556528257839897E-2</v>
      </c>
      <c r="AK351" s="188">
        <v>3.6546817312556733E-2</v>
      </c>
      <c r="AL351" s="188">
        <v>1.8757112950135585E-3</v>
      </c>
      <c r="AM351" s="129">
        <f t="shared" si="89"/>
        <v>0</v>
      </c>
      <c r="AN351" s="188">
        <v>3.7258270904294483E-2</v>
      </c>
      <c r="AO351" s="188">
        <v>-5.0502367188404052E-3</v>
      </c>
      <c r="AP351" s="188">
        <v>0.59554871309810709</v>
      </c>
      <c r="AQ351" s="128">
        <v>2461.4869587512721</v>
      </c>
      <c r="AR351" s="188">
        <v>3.4000000000000002E-2</v>
      </c>
      <c r="AS351" s="188">
        <v>0.16899999999999998</v>
      </c>
      <c r="AT351" s="256">
        <v>9</v>
      </c>
    </row>
    <row r="352" spans="1:46" x14ac:dyDescent="0.25">
      <c r="A352" t="s">
        <v>442</v>
      </c>
      <c r="B352">
        <f t="shared" ref="B352:T352" si="90">SUM(B2:B351)</f>
        <v>1085658</v>
      </c>
      <c r="C352">
        <f t="shared" si="90"/>
        <v>15446811</v>
      </c>
      <c r="D352">
        <f t="shared" si="90"/>
        <v>48467748</v>
      </c>
      <c r="E352">
        <f t="shared" si="90"/>
        <v>1916589</v>
      </c>
      <c r="F352">
        <f t="shared" si="90"/>
        <v>1447926</v>
      </c>
      <c r="G352">
        <f t="shared" si="90"/>
        <v>3539758</v>
      </c>
      <c r="H352">
        <f t="shared" si="90"/>
        <v>622668</v>
      </c>
      <c r="I352">
        <f t="shared" si="90"/>
        <v>5372134</v>
      </c>
      <c r="J352">
        <f t="shared" si="90"/>
        <v>186691</v>
      </c>
      <c r="K352">
        <f t="shared" si="90"/>
        <v>6554429</v>
      </c>
      <c r="L352">
        <f t="shared" si="90"/>
        <v>1872015</v>
      </c>
      <c r="M352">
        <f t="shared" si="90"/>
        <v>3033093</v>
      </c>
      <c r="N352">
        <f t="shared" si="90"/>
        <v>29602583</v>
      </c>
      <c r="O352">
        <f t="shared" si="90"/>
        <v>6551542</v>
      </c>
      <c r="P352">
        <f t="shared" si="90"/>
        <v>40195896</v>
      </c>
      <c r="Q352">
        <f t="shared" si="90"/>
        <v>336179</v>
      </c>
      <c r="R352">
        <f t="shared" si="90"/>
        <v>4740568</v>
      </c>
      <c r="S352">
        <f t="shared" si="90"/>
        <v>3593704</v>
      </c>
      <c r="T352">
        <f t="shared" si="90"/>
        <v>4525079</v>
      </c>
      <c r="U352" s="128">
        <v>24190</v>
      </c>
      <c r="V352" s="128">
        <v>-748959</v>
      </c>
      <c r="W352" s="128">
        <v>59739403</v>
      </c>
      <c r="X352" s="128">
        <f>SUM(X2:X351)</f>
        <v>61090008</v>
      </c>
      <c r="Y352" s="128">
        <v>8910764.4649999999</v>
      </c>
      <c r="Z352" s="128">
        <v>1066180651.9399999</v>
      </c>
      <c r="AA352" s="128">
        <v>38010591</v>
      </c>
      <c r="AB352" s="128">
        <v>17407631</v>
      </c>
      <c r="AC352" s="128" t="s">
        <v>442</v>
      </c>
      <c r="AD352" s="188">
        <f t="shared" si="88"/>
        <v>4.8017771453122825E-2</v>
      </c>
      <c r="AE352" s="188">
        <v>0.60412039939535389</v>
      </c>
      <c r="AF352" s="188">
        <v>8.214698764231039E-2</v>
      </c>
      <c r="AG352" s="188">
        <v>9.410355172113119E-2</v>
      </c>
      <c r="AH352" s="188">
        <v>0.5481055517076393</v>
      </c>
      <c r="AI352" s="188">
        <v>0.33206467555900376</v>
      </c>
      <c r="AJ352" s="188">
        <v>-1.2537102186976994E-2</v>
      </c>
      <c r="AK352" s="188">
        <v>3.5730549356912623E-3</v>
      </c>
      <c r="AL352" s="188">
        <v>-2.9284473396837944E-3</v>
      </c>
      <c r="AM352" s="129">
        <f t="shared" si="89"/>
        <v>2</v>
      </c>
      <c r="AN352" s="188">
        <v>3.7290146944555173E-2</v>
      </c>
      <c r="AO352" s="188">
        <v>1.7847192948011216E-2</v>
      </c>
      <c r="AP352" s="188">
        <v>0.63627336550383673</v>
      </c>
      <c r="AQ352" s="128">
        <v>2120.5738036956323</v>
      </c>
      <c r="AR352" s="188">
        <v>3.4000000000000002E-2</v>
      </c>
      <c r="AS352" s="188">
        <v>0.16899999999999998</v>
      </c>
      <c r="AT352" s="256">
        <v>7.5</v>
      </c>
    </row>
    <row r="353" spans="1:46" x14ac:dyDescent="0.25">
      <c r="AQ353" s="128"/>
    </row>
    <row r="356" spans="1:46" x14ac:dyDescent="0.25">
      <c r="A356" t="s">
        <v>119</v>
      </c>
      <c r="B356">
        <v>6</v>
      </c>
      <c r="C356">
        <v>2236</v>
      </c>
      <c r="D356">
        <v>18210</v>
      </c>
      <c r="E356">
        <v>678</v>
      </c>
      <c r="F356">
        <v>0</v>
      </c>
      <c r="G356">
        <v>238</v>
      </c>
      <c r="H356">
        <v>0</v>
      </c>
      <c r="I356">
        <v>2558</v>
      </c>
      <c r="J356">
        <v>0</v>
      </c>
      <c r="K356">
        <v>2150</v>
      </c>
      <c r="L356">
        <v>94332</v>
      </c>
      <c r="M356">
        <v>4712</v>
      </c>
      <c r="N356">
        <v>19865</v>
      </c>
      <c r="O356">
        <v>1628</v>
      </c>
      <c r="P356">
        <v>6640</v>
      </c>
      <c r="Q356">
        <v>8</v>
      </c>
      <c r="R356">
        <v>0</v>
      </c>
      <c r="S356">
        <v>2602</v>
      </c>
      <c r="T356">
        <v>94398</v>
      </c>
      <c r="U356" s="128">
        <v>1</v>
      </c>
      <c r="V356" s="128">
        <v>3071</v>
      </c>
      <c r="W356" s="128">
        <v>53319</v>
      </c>
      <c r="X356" s="128">
        <v>50248</v>
      </c>
      <c r="Y356" s="128">
        <v>153</v>
      </c>
      <c r="Z356" s="128">
        <v>-1202034</v>
      </c>
      <c r="AA356" s="128">
        <v>39531</v>
      </c>
      <c r="AB356" s="128">
        <v>11679</v>
      </c>
      <c r="AC356" s="128" t="s">
        <v>119</v>
      </c>
      <c r="AD356" s="188">
        <f>SUM(R356,-L356)/W356</f>
        <v>-1.7692004726270185</v>
      </c>
      <c r="AE356" s="188">
        <v>4.1561169564320412E-2</v>
      </c>
      <c r="AF356" s="188">
        <v>4.4636996192726798E-3</v>
      </c>
      <c r="AG356" s="188">
        <v>4.7975393386972751E-2</v>
      </c>
      <c r="AH356" s="188">
        <v>8.5140381477522079E-3</v>
      </c>
      <c r="AI356" s="188">
        <v>0.15874094021943247</v>
      </c>
      <c r="AJ356" s="188">
        <v>5.7596729120951255E-2</v>
      </c>
      <c r="AK356" s="188">
        <v>1.4706207567615382E-2</v>
      </c>
      <c r="AL356" s="188">
        <v>-8.2781772750681899E-3</v>
      </c>
      <c r="AM356" s="129">
        <f>COUNTIF(AJ356:AL356,"&lt;0")</f>
        <v>1</v>
      </c>
      <c r="AN356" s="188">
        <v>7.1738029595453778E-4</v>
      </c>
      <c r="AO356" s="188">
        <v>-2.2544196252742926E-2</v>
      </c>
      <c r="AP356" s="188">
        <v>0.74140550272885841</v>
      </c>
      <c r="AQ356" s="128">
        <v>2278.1358849216545</v>
      </c>
      <c r="AR356" s="188">
        <v>0.01</v>
      </c>
      <c r="AS356" s="188">
        <v>4.9000000000000002E-2</v>
      </c>
      <c r="AT356" s="256">
        <v>6</v>
      </c>
    </row>
    <row r="357" spans="1:46" x14ac:dyDescent="0.25">
      <c r="A357" t="s">
        <v>120</v>
      </c>
      <c r="B357">
        <v>286</v>
      </c>
      <c r="C357">
        <v>2526</v>
      </c>
      <c r="D357">
        <v>86277</v>
      </c>
      <c r="E357">
        <v>545</v>
      </c>
      <c r="F357">
        <v>7</v>
      </c>
      <c r="G357">
        <v>0</v>
      </c>
      <c r="H357">
        <v>1181</v>
      </c>
      <c r="I357">
        <v>2861</v>
      </c>
      <c r="J357">
        <v>0</v>
      </c>
      <c r="K357">
        <v>52346</v>
      </c>
      <c r="L357">
        <v>35</v>
      </c>
      <c r="M357">
        <v>1</v>
      </c>
      <c r="N357">
        <v>40108</v>
      </c>
      <c r="O357">
        <v>4324</v>
      </c>
      <c r="P357">
        <v>56947</v>
      </c>
      <c r="Q357">
        <v>0</v>
      </c>
      <c r="R357">
        <v>0</v>
      </c>
      <c r="S357">
        <v>8385</v>
      </c>
      <c r="T357">
        <v>36298</v>
      </c>
      <c r="U357" s="128">
        <v>-18</v>
      </c>
      <c r="V357" s="128">
        <v>4792</v>
      </c>
      <c r="W357" s="128">
        <v>109086</v>
      </c>
      <c r="X357" s="128">
        <v>104294</v>
      </c>
      <c r="Y357" s="128">
        <v>5372</v>
      </c>
      <c r="Z357" s="128">
        <v>-5248369</v>
      </c>
      <c r="AA357" s="128">
        <v>74103</v>
      </c>
      <c r="AB357" s="128">
        <v>24665</v>
      </c>
      <c r="AC357" s="128" t="s">
        <v>120</v>
      </c>
      <c r="AD357" s="188">
        <f>SUM(R357,-L357)/W357</f>
        <v>-3.2084777148305005E-4</v>
      </c>
      <c r="AE357" s="188">
        <v>0.44056982564215391</v>
      </c>
      <c r="AF357" s="188">
        <v>6.416955429661001E-5</v>
      </c>
      <c r="AG357" s="188">
        <v>2.6227013548943037E-2</v>
      </c>
      <c r="AH357" s="188">
        <v>0.42221861650440939</v>
      </c>
      <c r="AI357" s="188">
        <v>0.27459571962591228</v>
      </c>
      <c r="AJ357" s="188">
        <v>4.3928643455622168E-2</v>
      </c>
      <c r="AK357" s="188">
        <v>4.6166041219321309E-2</v>
      </c>
      <c r="AL357" s="188">
        <v>4.9225413737727305E-2</v>
      </c>
      <c r="AM357" s="129">
        <f>COUNTIF(AJ357:AL357,"&lt;0")</f>
        <v>0</v>
      </c>
      <c r="AN357" s="188">
        <v>1.2311387345763893E-2</v>
      </c>
      <c r="AO357" s="188">
        <v>-4.8112214216306397E-2</v>
      </c>
      <c r="AP357" s="188">
        <v>0.6793080688630988</v>
      </c>
      <c r="AQ357" s="128">
        <v>2500.5061423069128</v>
      </c>
      <c r="AR357" s="188">
        <v>1.4999999999999999E-2</v>
      </c>
      <c r="AS357" s="188">
        <v>7.5999999999999998E-2</v>
      </c>
      <c r="AT357" s="256">
        <v>8.5</v>
      </c>
    </row>
    <row r="358" spans="1:46" x14ac:dyDescent="0.25">
      <c r="A358" t="s">
        <v>122</v>
      </c>
      <c r="B358">
        <v>35</v>
      </c>
      <c r="C358">
        <v>1583</v>
      </c>
      <c r="D358">
        <v>40754</v>
      </c>
      <c r="E358">
        <v>183</v>
      </c>
      <c r="F358">
        <v>0</v>
      </c>
      <c r="G358">
        <v>1591</v>
      </c>
      <c r="H358">
        <v>0</v>
      </c>
      <c r="I358">
        <v>1242</v>
      </c>
      <c r="J358">
        <v>0</v>
      </c>
      <c r="K358">
        <v>10007</v>
      </c>
      <c r="L358">
        <v>136</v>
      </c>
      <c r="M358">
        <v>4372</v>
      </c>
      <c r="N358">
        <v>16577</v>
      </c>
      <c r="O358">
        <v>71</v>
      </c>
      <c r="P358">
        <v>28718</v>
      </c>
      <c r="Q358">
        <v>6</v>
      </c>
      <c r="R358">
        <v>1000</v>
      </c>
      <c r="S358">
        <v>4041</v>
      </c>
      <c r="T358">
        <v>9489</v>
      </c>
      <c r="U358" s="128">
        <v>-2</v>
      </c>
      <c r="V358" s="128">
        <v>869</v>
      </c>
      <c r="W358" s="128">
        <v>35308</v>
      </c>
      <c r="X358" s="128">
        <v>34439</v>
      </c>
      <c r="Y358" s="128">
        <v>13065</v>
      </c>
      <c r="Z358" s="128">
        <v>127704</v>
      </c>
      <c r="AA358" s="128">
        <v>24778</v>
      </c>
      <c r="AB358" s="128">
        <v>9541</v>
      </c>
      <c r="AC358" s="128" t="s">
        <v>122</v>
      </c>
      <c r="AD358" s="188">
        <f>SUM(R358,-L358)/W358</f>
        <v>2.4470374985838903E-2</v>
      </c>
      <c r="AE358" s="188">
        <v>0.76889090291152151</v>
      </c>
      <c r="AF358" s="188">
        <v>4.5060609493599184E-2</v>
      </c>
      <c r="AG358" s="188">
        <v>3.5176164042143424E-2</v>
      </c>
      <c r="AH358" s="188">
        <v>0.74967486122125304</v>
      </c>
      <c r="AI358" s="188">
        <v>0.2767353343794865</v>
      </c>
      <c r="AJ358" s="188">
        <v>2.4611985952192137E-2</v>
      </c>
      <c r="AK358" s="188">
        <v>-1.0162102419255803E-2</v>
      </c>
      <c r="AL358" s="188">
        <v>8.2048171893952526E-2</v>
      </c>
      <c r="AM358" s="129">
        <f>COUNTIF(AJ358:AL358,"&lt;0")</f>
        <v>1</v>
      </c>
      <c r="AN358" s="188">
        <v>9.2507363770250373E-2</v>
      </c>
      <c r="AO358" s="188">
        <v>3.6168573694346888E-3</v>
      </c>
      <c r="AP358" s="188">
        <v>0.70176730486008831</v>
      </c>
      <c r="AQ358" s="128">
        <v>1878.8287391258777</v>
      </c>
      <c r="AR358" s="188">
        <v>2.7999999999999997E-2</v>
      </c>
      <c r="AS358" s="188">
        <v>0.14000000000000001</v>
      </c>
      <c r="AT358" s="256">
        <v>9</v>
      </c>
    </row>
    <row r="359" spans="1:46" x14ac:dyDescent="0.25">
      <c r="A359" t="s">
        <v>754</v>
      </c>
      <c r="B359">
        <f>SUM(B356:B358)</f>
        <v>327</v>
      </c>
      <c r="C359">
        <f t="shared" ref="C359:AB359" si="91">SUM(C356:C358)</f>
        <v>6345</v>
      </c>
      <c r="D359">
        <f t="shared" si="91"/>
        <v>145241</v>
      </c>
      <c r="E359">
        <f t="shared" si="91"/>
        <v>1406</v>
      </c>
      <c r="F359">
        <f t="shared" si="91"/>
        <v>7</v>
      </c>
      <c r="G359">
        <f t="shared" si="91"/>
        <v>1829</v>
      </c>
      <c r="H359">
        <f t="shared" si="91"/>
        <v>1181</v>
      </c>
      <c r="I359">
        <f t="shared" si="91"/>
        <v>6661</v>
      </c>
      <c r="J359">
        <f t="shared" si="91"/>
        <v>0</v>
      </c>
      <c r="K359">
        <f t="shared" si="91"/>
        <v>64503</v>
      </c>
      <c r="L359">
        <f t="shared" si="91"/>
        <v>94503</v>
      </c>
      <c r="M359">
        <f t="shared" si="91"/>
        <v>9085</v>
      </c>
      <c r="N359">
        <f t="shared" si="91"/>
        <v>76550</v>
      </c>
      <c r="O359">
        <f t="shared" si="91"/>
        <v>6023</v>
      </c>
      <c r="P359">
        <f t="shared" si="91"/>
        <v>92305</v>
      </c>
      <c r="Q359">
        <f t="shared" si="91"/>
        <v>14</v>
      </c>
      <c r="R359">
        <f t="shared" si="91"/>
        <v>1000</v>
      </c>
      <c r="S359">
        <f t="shared" si="91"/>
        <v>15028</v>
      </c>
      <c r="T359">
        <f t="shared" si="91"/>
        <v>140185</v>
      </c>
      <c r="U359">
        <f t="shared" si="91"/>
        <v>-19</v>
      </c>
      <c r="V359">
        <f t="shared" si="91"/>
        <v>8732</v>
      </c>
      <c r="W359">
        <f t="shared" si="91"/>
        <v>197713</v>
      </c>
      <c r="X359">
        <f t="shared" si="91"/>
        <v>188981</v>
      </c>
      <c r="Y359">
        <f t="shared" si="91"/>
        <v>18590</v>
      </c>
      <c r="Z359">
        <f t="shared" si="91"/>
        <v>-6322699</v>
      </c>
      <c r="AA359">
        <f t="shared" si="91"/>
        <v>138412</v>
      </c>
      <c r="AB359">
        <f t="shared" si="91"/>
        <v>45885</v>
      </c>
      <c r="AC359" s="128" t="s">
        <v>754</v>
      </c>
      <c r="AK359" s="188">
        <f>SUM(AK356:AK358)/3</f>
        <v>1.6903382122560297E-2</v>
      </c>
      <c r="AL359" s="188">
        <f>SUM(AL356:AL358)/3</f>
        <v>4.0998469452203881E-2</v>
      </c>
    </row>
    <row r="361" spans="1:46" x14ac:dyDescent="0.25">
      <c r="A361" t="s">
        <v>369</v>
      </c>
      <c r="B361">
        <v>1112</v>
      </c>
      <c r="C361">
        <v>3136</v>
      </c>
      <c r="D361">
        <v>18438</v>
      </c>
      <c r="E361">
        <v>29</v>
      </c>
      <c r="F361">
        <v>1627</v>
      </c>
      <c r="G361">
        <v>653</v>
      </c>
      <c r="H361">
        <v>43</v>
      </c>
      <c r="I361">
        <v>7835</v>
      </c>
      <c r="J361">
        <v>4</v>
      </c>
      <c r="K361">
        <v>7208</v>
      </c>
      <c r="L361">
        <v>0</v>
      </c>
      <c r="M361">
        <v>133</v>
      </c>
      <c r="N361">
        <v>16543</v>
      </c>
      <c r="O361">
        <v>13782</v>
      </c>
      <c r="P361">
        <v>3682</v>
      </c>
      <c r="Q361">
        <v>3</v>
      </c>
      <c r="R361">
        <v>2350</v>
      </c>
      <c r="S361">
        <v>2839</v>
      </c>
      <c r="T361">
        <v>1020</v>
      </c>
      <c r="U361" s="128">
        <v>-8</v>
      </c>
      <c r="V361" s="128">
        <v>-333</v>
      </c>
      <c r="W361" s="128">
        <v>31749</v>
      </c>
      <c r="X361" s="128">
        <v>32082</v>
      </c>
      <c r="Y361" s="128">
        <v>1965</v>
      </c>
      <c r="Z361" s="128">
        <v>1076225</v>
      </c>
      <c r="AA361" s="128">
        <v>18952</v>
      </c>
      <c r="AB361" s="128">
        <v>14344</v>
      </c>
      <c r="AC361" s="128" t="s">
        <v>369</v>
      </c>
      <c r="AD361" s="188">
        <f>SUM(R361,-L361)/W361</f>
        <v>7.4018079309584553E-2</v>
      </c>
      <c r="AE361" s="188">
        <v>7.2443226558316798E-3</v>
      </c>
      <c r="AF361" s="188">
        <v>7.1813285457809697E-2</v>
      </c>
      <c r="AG361" s="188">
        <v>0.24690541434375887</v>
      </c>
      <c r="AH361" s="188">
        <v>-0.15697187312986235</v>
      </c>
      <c r="AI361" s="188">
        <v>0.4113230065391979</v>
      </c>
      <c r="AJ361" s="188">
        <v>-1.0488519323443258E-2</v>
      </c>
      <c r="AK361" s="188">
        <v>6.9758672699849174E-3</v>
      </c>
      <c r="AL361" s="188">
        <v>-0.13496643874286432</v>
      </c>
      <c r="AM361" s="129">
        <f>COUNTIF(AJ361:AL361,"&lt;0")</f>
        <v>2</v>
      </c>
      <c r="AN361" s="188">
        <v>1.5472928281205707E-2</v>
      </c>
      <c r="AO361" s="188">
        <v>3.3897918044662821E-2</v>
      </c>
      <c r="AP361" s="188">
        <v>0.5969321868405304</v>
      </c>
      <c r="AQ361" s="128">
        <v>1476.2428890128276</v>
      </c>
      <c r="AR361" s="188">
        <v>0.05</v>
      </c>
      <c r="AS361" s="188">
        <v>0.25</v>
      </c>
      <c r="AT361" s="256">
        <v>7.5</v>
      </c>
    </row>
    <row r="363" spans="1:46" x14ac:dyDescent="0.25">
      <c r="A363" t="s">
        <v>353</v>
      </c>
      <c r="B363">
        <v>120</v>
      </c>
      <c r="C363">
        <v>1880</v>
      </c>
      <c r="D363">
        <v>63178</v>
      </c>
      <c r="E363">
        <v>138</v>
      </c>
      <c r="F363">
        <v>0</v>
      </c>
      <c r="G363">
        <v>7703</v>
      </c>
      <c r="H363">
        <v>0</v>
      </c>
      <c r="I363">
        <v>16550</v>
      </c>
      <c r="J363">
        <v>0</v>
      </c>
      <c r="K363">
        <v>14467</v>
      </c>
      <c r="L363">
        <v>347</v>
      </c>
      <c r="M363">
        <v>1241</v>
      </c>
      <c r="N363">
        <v>15682</v>
      </c>
      <c r="O363">
        <v>26580</v>
      </c>
      <c r="P363">
        <v>39047</v>
      </c>
      <c r="Q363">
        <v>0</v>
      </c>
      <c r="R363">
        <v>4000</v>
      </c>
      <c r="S363">
        <v>12236</v>
      </c>
      <c r="T363">
        <v>8079</v>
      </c>
      <c r="U363" s="128">
        <v>-2</v>
      </c>
      <c r="V363" s="128">
        <v>-7008</v>
      </c>
      <c r="W363" s="128">
        <v>88235</v>
      </c>
      <c r="X363" s="128">
        <v>95243</v>
      </c>
      <c r="Y363" s="128">
        <v>-5191</v>
      </c>
      <c r="Z363" s="128">
        <v>1546820</v>
      </c>
      <c r="AA363" s="128">
        <v>60181</v>
      </c>
      <c r="AB363" s="128">
        <v>30808</v>
      </c>
      <c r="AC363" s="128" t="s">
        <v>353</v>
      </c>
      <c r="AD363" s="188">
        <f>SUM(R363,-L363)/W363</f>
        <v>4.1400804669348895E-2</v>
      </c>
      <c r="AE363" s="188">
        <v>0.44884682948943161</v>
      </c>
      <c r="AF363" s="188">
        <v>8.7300957669858903E-2</v>
      </c>
      <c r="AG363" s="188">
        <v>0.18756729189097296</v>
      </c>
      <c r="AH363" s="188">
        <v>0.32802584008613367</v>
      </c>
      <c r="AI363" s="188">
        <v>0.1484700446868136</v>
      </c>
      <c r="AJ363" s="188">
        <v>-7.9424264747549156E-2</v>
      </c>
      <c r="AK363" s="188">
        <v>4.2467187180443436E-3</v>
      </c>
      <c r="AL363" s="188">
        <v>-3.0311944741889554E-2</v>
      </c>
      <c r="AM363" s="129">
        <f>COUNTIF(AJ363:AL363,"&lt;0")</f>
        <v>2</v>
      </c>
      <c r="AN363" s="188">
        <v>-1.4707882359607865E-2</v>
      </c>
      <c r="AO363" s="188">
        <v>1.7530685102283672E-2</v>
      </c>
      <c r="AP363" s="188">
        <v>0.6820536068453561</v>
      </c>
      <c r="AQ363" s="128">
        <v>1921.4860750454427</v>
      </c>
      <c r="AR363" s="188">
        <v>4.7E-2</v>
      </c>
      <c r="AS363" s="188">
        <v>0.23600000000000002</v>
      </c>
      <c r="AT363" s="256">
        <v>6.5</v>
      </c>
    </row>
    <row r="364" spans="1:46" x14ac:dyDescent="0.25">
      <c r="A364" t="s">
        <v>353</v>
      </c>
      <c r="B364" s="129">
        <f>SUM(B363,250/14282*B361)</f>
        <v>139.46506091583811</v>
      </c>
      <c r="C364" s="128">
        <f t="shared" ref="C364:AB364" si="92">SUM(C363,250/14282*C361)</f>
        <v>1934.8942725108527</v>
      </c>
      <c r="D364" s="128">
        <f t="shared" si="92"/>
        <v>63500.748914717828</v>
      </c>
      <c r="E364" s="128">
        <f t="shared" si="92"/>
        <v>138.50763198431594</v>
      </c>
      <c r="F364" s="128">
        <f t="shared" si="92"/>
        <v>28.479904775241565</v>
      </c>
      <c r="G364" s="128">
        <f t="shared" si="92"/>
        <v>7714.4304719227002</v>
      </c>
      <c r="H364" s="128">
        <f t="shared" si="92"/>
        <v>0.75269570088222937</v>
      </c>
      <c r="I364" s="128">
        <f t="shared" si="92"/>
        <v>16687.148158521217</v>
      </c>
      <c r="J364" s="128">
        <f t="shared" si="92"/>
        <v>7.0018204733230643E-2</v>
      </c>
      <c r="K364" s="128">
        <f t="shared" si="92"/>
        <v>14593.172804929281</v>
      </c>
      <c r="L364" s="128">
        <f t="shared" si="92"/>
        <v>347</v>
      </c>
      <c r="M364" s="128">
        <f t="shared" si="92"/>
        <v>1243.3281053073799</v>
      </c>
      <c r="N364" s="128">
        <f t="shared" si="92"/>
        <v>15971.577790225459</v>
      </c>
      <c r="O364" s="128">
        <f t="shared" si="92"/>
        <v>26821.247724408346</v>
      </c>
      <c r="P364" s="128">
        <f t="shared" si="92"/>
        <v>39111.45175745694</v>
      </c>
      <c r="Q364" s="128">
        <f t="shared" si="92"/>
        <v>5.2513653549922983E-2</v>
      </c>
      <c r="R364" s="128">
        <f t="shared" si="92"/>
        <v>4041.1356952807728</v>
      </c>
      <c r="S364" s="128">
        <f t="shared" si="92"/>
        <v>12285.69542080941</v>
      </c>
      <c r="T364" s="128">
        <f t="shared" si="92"/>
        <v>8096.8546422069739</v>
      </c>
      <c r="U364" s="128">
        <f t="shared" si="92"/>
        <v>-2.1400364094664615</v>
      </c>
      <c r="V364" s="128">
        <f t="shared" si="92"/>
        <v>-7013.8290155440418</v>
      </c>
      <c r="W364" s="128">
        <f t="shared" si="92"/>
        <v>88790.751995518833</v>
      </c>
      <c r="X364" s="128">
        <f t="shared" si="92"/>
        <v>95804.581011062881</v>
      </c>
      <c r="Y364" s="128">
        <f t="shared" si="92"/>
        <v>-5156.6035569248006</v>
      </c>
      <c r="Z364" s="128">
        <f t="shared" si="92"/>
        <v>1565658.8355972553</v>
      </c>
      <c r="AA364" s="128">
        <f t="shared" si="92"/>
        <v>60512.746254026046</v>
      </c>
      <c r="AB364" s="128">
        <f t="shared" si="92"/>
        <v>31059.085282173364</v>
      </c>
      <c r="AC364" s="128" t="s">
        <v>353</v>
      </c>
      <c r="AD364" s="188">
        <f t="shared" ref="AD364" si="93">SUM(R364,-L364)/W364</f>
        <v>4.1604960114170579E-2</v>
      </c>
      <c r="AE364" s="188">
        <f>SUM(P364,Q364,R364,S364,T364,-F364,-G364,-H364,-K364,-L364,-M364)/W364</f>
        <v>0.44608278628804876</v>
      </c>
      <c r="AF364" s="188">
        <f>SUM(F364,G364)/W364</f>
        <v>8.7204018466796152E-2</v>
      </c>
      <c r="AG364" s="188">
        <f>SUM(I364,J364)/W364</f>
        <v>0.18793869633594426</v>
      </c>
      <c r="AH364" s="188">
        <f>SUM(AE364,0.12*AF364,-0.8*AG364)</f>
        <v>0.3061963114353089</v>
      </c>
      <c r="AI364" s="188">
        <f>N364/SUM(N364,O364,P364,Q364,R364,S364,T364)</f>
        <v>0.15021043803464923</v>
      </c>
      <c r="AJ364" s="188">
        <f>V364/W364</f>
        <v>-7.8992787626103469E-2</v>
      </c>
      <c r="AK364" s="188">
        <v>5.0000000000000001E-3</v>
      </c>
      <c r="AL364" s="188">
        <v>-0.04</v>
      </c>
      <c r="AM364" s="129">
        <v>2</v>
      </c>
      <c r="AN364" s="188">
        <f>Y364/W364</f>
        <v>-5.8075908143959049E-2</v>
      </c>
      <c r="AO364" s="188">
        <f>Z364/(W364*1000)</f>
        <v>1.7633129581741489E-2</v>
      </c>
      <c r="AP364" s="188">
        <f>AA364/W364</f>
        <v>0.6815208216400741</v>
      </c>
      <c r="AQ364" s="128">
        <v>1921</v>
      </c>
      <c r="AR364" s="188">
        <v>4.7E-2</v>
      </c>
      <c r="AS364" s="188">
        <v>0.23600000000000002</v>
      </c>
      <c r="AT364" s="256">
        <v>6.5</v>
      </c>
    </row>
    <row r="366" spans="1:46" x14ac:dyDescent="0.25">
      <c r="A366" t="s">
        <v>381</v>
      </c>
      <c r="B366">
        <v>0</v>
      </c>
      <c r="C366">
        <v>5089</v>
      </c>
      <c r="D366">
        <v>58279</v>
      </c>
      <c r="E366">
        <v>407</v>
      </c>
      <c r="F366">
        <v>0</v>
      </c>
      <c r="G366">
        <v>126</v>
      </c>
      <c r="H366">
        <v>0</v>
      </c>
      <c r="I366">
        <v>6152</v>
      </c>
      <c r="J366">
        <v>390</v>
      </c>
      <c r="K366">
        <v>8411</v>
      </c>
      <c r="L366">
        <v>167</v>
      </c>
      <c r="M366">
        <v>3607</v>
      </c>
      <c r="N366">
        <v>12517</v>
      </c>
      <c r="O366">
        <v>3311</v>
      </c>
      <c r="P366">
        <v>53159</v>
      </c>
      <c r="Q366">
        <v>0</v>
      </c>
      <c r="R366">
        <v>6300</v>
      </c>
      <c r="S366">
        <v>181</v>
      </c>
      <c r="T366">
        <v>7201</v>
      </c>
      <c r="U366" s="128">
        <v>85</v>
      </c>
      <c r="V366" s="128">
        <v>-4117</v>
      </c>
      <c r="W366" s="128">
        <v>66634</v>
      </c>
      <c r="X366" s="128">
        <v>70751</v>
      </c>
      <c r="Y366" s="128">
        <v>10448</v>
      </c>
      <c r="Z366" s="128">
        <v>3106401</v>
      </c>
      <c r="AA366" s="128">
        <v>41323</v>
      </c>
      <c r="AB366" s="128">
        <v>26223</v>
      </c>
      <c r="AC366" s="128" t="s">
        <v>381</v>
      </c>
      <c r="AD366" s="188">
        <f>SUM(R366,-L366)/W366</f>
        <v>9.2040099648827922E-2</v>
      </c>
      <c r="AE366" s="188">
        <v>0.8183509919860732</v>
      </c>
      <c r="AF366" s="188">
        <v>1.8909265540114656E-3</v>
      </c>
      <c r="AG366" s="188">
        <v>9.8178107272563556E-2</v>
      </c>
      <c r="AH366" s="188">
        <v>0.74985322808176003</v>
      </c>
      <c r="AI366" s="188">
        <v>0.1514110488816848</v>
      </c>
      <c r="AJ366" s="188">
        <v>-6.1785274784644476E-2</v>
      </c>
      <c r="AK366" s="188">
        <v>5.7482824562646077E-2</v>
      </c>
      <c r="AL366" s="188">
        <v>-7.1242289372999146E-2</v>
      </c>
      <c r="AM366" s="129">
        <f>COUNTIF(AJ366:AL366,"&lt;0")</f>
        <v>2</v>
      </c>
      <c r="AN366" s="188">
        <v>3.919920761172975E-2</v>
      </c>
      <c r="AO366" s="188">
        <v>4.661885824053786E-2</v>
      </c>
      <c r="AP366" s="188">
        <v>0.62014887294774435</v>
      </c>
      <c r="AQ366" s="128">
        <v>1751.5481066239563</v>
      </c>
      <c r="AR366" s="188">
        <v>4.8000000000000001E-2</v>
      </c>
      <c r="AS366" s="188">
        <v>0.23899999999999999</v>
      </c>
      <c r="AT366" s="256">
        <v>6</v>
      </c>
    </row>
    <row r="367" spans="1:46" x14ac:dyDescent="0.25">
      <c r="A367" t="s">
        <v>381</v>
      </c>
      <c r="B367" s="129">
        <f>SUM(B366,5842/14282*B361)</f>
        <v>454.85954348130514</v>
      </c>
      <c r="C367" s="129">
        <f t="shared" ref="C367:AB367" si="94">SUM(C366,5842/14282*C361)</f>
        <v>6371.7693600336088</v>
      </c>
      <c r="D367" s="129">
        <f t="shared" si="94"/>
        <v>65820.99663912617</v>
      </c>
      <c r="E367" s="129">
        <f t="shared" si="94"/>
        <v>418.86234420949449</v>
      </c>
      <c r="F367" s="129">
        <f t="shared" si="94"/>
        <v>665.51841478784479</v>
      </c>
      <c r="G367" s="129">
        <f t="shared" si="94"/>
        <v>393.10726788965133</v>
      </c>
      <c r="H367" s="129">
        <f t="shared" si="94"/>
        <v>17.588993138215937</v>
      </c>
      <c r="I367" s="129">
        <f t="shared" si="94"/>
        <v>9356.8781683237648</v>
      </c>
      <c r="J367" s="129">
        <f t="shared" si="94"/>
        <v>391.63618540820613</v>
      </c>
      <c r="K367" s="129">
        <f t="shared" si="94"/>
        <v>11359.406105587452</v>
      </c>
      <c r="L367" s="129">
        <f t="shared" si="94"/>
        <v>167</v>
      </c>
      <c r="M367" s="129">
        <f t="shared" si="94"/>
        <v>3661.4031648228538</v>
      </c>
      <c r="N367" s="129">
        <f t="shared" si="94"/>
        <v>19283.853801988516</v>
      </c>
      <c r="O367" s="129">
        <f t="shared" si="94"/>
        <v>8948.4768239742334</v>
      </c>
      <c r="P367" s="129">
        <f t="shared" si="94"/>
        <v>54665.108668253743</v>
      </c>
      <c r="Q367" s="129">
        <f t="shared" si="94"/>
        <v>1.2271390561546003</v>
      </c>
      <c r="R367" s="129">
        <f t="shared" si="94"/>
        <v>7261.2589273211033</v>
      </c>
      <c r="S367" s="129">
        <f t="shared" si="94"/>
        <v>1342.2825934743032</v>
      </c>
      <c r="T367" s="129">
        <f t="shared" si="94"/>
        <v>7618.2272790925645</v>
      </c>
      <c r="U367" s="129">
        <f t="shared" si="94"/>
        <v>81.727629183587737</v>
      </c>
      <c r="V367" s="129">
        <f t="shared" si="94"/>
        <v>-4253.2124352331602</v>
      </c>
      <c r="W367" s="129">
        <f t="shared" si="94"/>
        <v>79620.812631284134</v>
      </c>
      <c r="X367" s="129">
        <f t="shared" si="94"/>
        <v>83874.025066517293</v>
      </c>
      <c r="Y367" s="129">
        <f t="shared" si="94"/>
        <v>11251.776081781263</v>
      </c>
      <c r="Z367" s="129">
        <f t="shared" si="94"/>
        <v>3546626.9102366613</v>
      </c>
      <c r="AA367" s="129">
        <f t="shared" si="94"/>
        <v>49075.246464080657</v>
      </c>
      <c r="AB367" s="129">
        <f t="shared" si="94"/>
        <v>32090.360873827194</v>
      </c>
      <c r="AC367" s="128" t="s">
        <v>381</v>
      </c>
      <c r="AD367" s="188">
        <f t="shared" ref="AD367" si="95">SUM(R367,-L367)/W367</f>
        <v>8.9100559173816693E-2</v>
      </c>
      <c r="AE367" s="188">
        <f>SUM(P367,Q367,R367,S367,T367,-F367,-G367,-H367,-K367,-L367,-M367)/W367</f>
        <v>0.68605279016593834</v>
      </c>
      <c r="AF367" s="188">
        <f>SUM(F367,G367)/W367</f>
        <v>1.3295841221564565E-2</v>
      </c>
      <c r="AG367" s="188">
        <f>SUM(I367,J367)/W367</f>
        <v>0.12243676033396377</v>
      </c>
      <c r="AH367" s="188">
        <f>SUM(AE367,0.12*AF367,-0.8*AG367)</f>
        <v>0.5896988828453551</v>
      </c>
      <c r="AI367" s="188">
        <f>N367/SUM(N367,O367,P367,Q367,R367,S367,T367)</f>
        <v>0.1945497288891759</v>
      </c>
      <c r="AJ367" s="188">
        <f>V367/W367</f>
        <v>-5.3418349985064249E-2</v>
      </c>
      <c r="AK367" s="188">
        <v>5.7000000000000002E-2</v>
      </c>
      <c r="AL367" s="188">
        <v>-7.0999999999999994E-2</v>
      </c>
      <c r="AM367" s="129">
        <f>COUNTIF(AJ367:AL367,"&lt;0")</f>
        <v>2</v>
      </c>
      <c r="AN367" s="188">
        <f>Y367/W367</f>
        <v>0.14131702139096583</v>
      </c>
      <c r="AO367" s="188">
        <f>Z367/(W367*1000)</f>
        <v>4.4543967752008876E-2</v>
      </c>
      <c r="AP367" s="188">
        <f>AA367/W367</f>
        <v>0.61636203955042657</v>
      </c>
      <c r="AQ367" s="128">
        <v>1752</v>
      </c>
      <c r="AR367" s="188">
        <v>4.8000000000000001E-2</v>
      </c>
      <c r="AS367" s="188">
        <v>0.23899999999999999</v>
      </c>
      <c r="AT367" s="256">
        <v>6</v>
      </c>
    </row>
    <row r="369" spans="1:46" x14ac:dyDescent="0.25">
      <c r="A369" t="s">
        <v>395</v>
      </c>
      <c r="B369">
        <v>0</v>
      </c>
      <c r="C369">
        <v>3916</v>
      </c>
      <c r="D369">
        <v>95224</v>
      </c>
      <c r="E369">
        <v>16</v>
      </c>
      <c r="F369">
        <v>0</v>
      </c>
      <c r="G369">
        <v>1732</v>
      </c>
      <c r="H369">
        <v>74</v>
      </c>
      <c r="I369">
        <v>-3933</v>
      </c>
      <c r="J369">
        <v>0</v>
      </c>
      <c r="K369">
        <v>6286</v>
      </c>
      <c r="L369">
        <v>24</v>
      </c>
      <c r="M369">
        <v>3407</v>
      </c>
      <c r="N369">
        <v>49371</v>
      </c>
      <c r="O369">
        <v>6288</v>
      </c>
      <c r="P369">
        <v>38954</v>
      </c>
      <c r="Q369">
        <v>0</v>
      </c>
      <c r="R369">
        <v>4727</v>
      </c>
      <c r="S369">
        <v>3045</v>
      </c>
      <c r="T369">
        <v>4359</v>
      </c>
      <c r="U369" s="128">
        <v>7</v>
      </c>
      <c r="V369" s="128">
        <v>4378</v>
      </c>
      <c r="W369" s="128">
        <v>77719</v>
      </c>
      <c r="X369" s="128">
        <v>73341</v>
      </c>
      <c r="Y369" s="128">
        <v>16429</v>
      </c>
      <c r="Z369" s="128">
        <v>2597300</v>
      </c>
      <c r="AA369" s="128">
        <v>41664</v>
      </c>
      <c r="AB369" s="128">
        <v>26527</v>
      </c>
      <c r="AC369" s="128" t="s">
        <v>395</v>
      </c>
      <c r="AD369" s="188">
        <f t="shared" ref="AD369:AD370" si="96">SUM(R369,-L369)/W369</f>
        <v>6.0512873299965263E-2</v>
      </c>
      <c r="AE369" s="188">
        <v>0.50903897373872542</v>
      </c>
      <c r="AF369" s="188">
        <v>2.228541283341268E-2</v>
      </c>
      <c r="AG369" s="188">
        <v>-5.0605386070330292E-2</v>
      </c>
      <c r="AH369" s="188">
        <v>0.54713699352796608</v>
      </c>
      <c r="AI369" s="188">
        <v>0.46251779959529343</v>
      </c>
      <c r="AJ369" s="188">
        <v>5.6331141677067383E-2</v>
      </c>
      <c r="AK369" s="188">
        <v>5.8688890983264443E-2</v>
      </c>
      <c r="AL369" s="188">
        <v>6.2318752098659912E-2</v>
      </c>
      <c r="AM369" s="129">
        <f t="shared" ref="AM369" si="97">COUNTIF(AJ369:AL369,"&lt;0")</f>
        <v>0</v>
      </c>
      <c r="AN369" s="188">
        <v>5.284743756353015E-2</v>
      </c>
      <c r="AO369" s="188">
        <v>3.3419112443546624E-2</v>
      </c>
      <c r="AP369" s="188">
        <v>0.53608512718897572</v>
      </c>
      <c r="AQ369" s="128">
        <v>1506.978173182041</v>
      </c>
      <c r="AR369" s="188">
        <v>1.6E-2</v>
      </c>
      <c r="AS369" s="188">
        <v>7.8E-2</v>
      </c>
      <c r="AT369" s="256">
        <v>8.5</v>
      </c>
    </row>
    <row r="370" spans="1:46" x14ac:dyDescent="0.25">
      <c r="A370" t="s">
        <v>395</v>
      </c>
      <c r="B370" s="129">
        <f>SUM(B369,4835/14282*B361)</f>
        <v>376.45427811230917</v>
      </c>
      <c r="C370" s="129">
        <f t="shared" ref="C370:AB370" si="98">SUM(C369,4835/14282*C361)</f>
        <v>4977.6552303598937</v>
      </c>
      <c r="D370" s="129">
        <f t="shared" si="98"/>
        <v>101465.96401064277</v>
      </c>
      <c r="E370" s="129">
        <f t="shared" si="98"/>
        <v>25.817602576669934</v>
      </c>
      <c r="F370" s="129">
        <f t="shared" si="98"/>
        <v>550.80135835317185</v>
      </c>
      <c r="G370" s="129">
        <f t="shared" si="98"/>
        <v>1953.0653269850161</v>
      </c>
      <c r="H370" s="129">
        <f t="shared" si="98"/>
        <v>88.557134855062316</v>
      </c>
      <c r="I370" s="129">
        <f t="shared" si="98"/>
        <v>-1280.554614199692</v>
      </c>
      <c r="J370" s="129">
        <f t="shared" si="98"/>
        <v>1.3541520795406805</v>
      </c>
      <c r="K370" s="129">
        <f t="shared" si="98"/>
        <v>8726.182047332306</v>
      </c>
      <c r="L370" s="129">
        <f t="shared" si="98"/>
        <v>24</v>
      </c>
      <c r="M370" s="129">
        <f t="shared" si="98"/>
        <v>3452.0255566447277</v>
      </c>
      <c r="N370" s="129">
        <f t="shared" si="98"/>
        <v>54971.434462960373</v>
      </c>
      <c r="O370" s="129">
        <f t="shared" si="98"/>
        <v>10953.730990057415</v>
      </c>
      <c r="P370" s="129">
        <f t="shared" si="98"/>
        <v>40200.496989217194</v>
      </c>
      <c r="Q370" s="129">
        <f t="shared" si="98"/>
        <v>1.0156140596555103</v>
      </c>
      <c r="R370" s="129">
        <f t="shared" si="98"/>
        <v>5522.5643467301497</v>
      </c>
      <c r="S370" s="129">
        <f t="shared" si="98"/>
        <v>4006.1094384539979</v>
      </c>
      <c r="T370" s="129">
        <f t="shared" si="98"/>
        <v>4704.3087802828732</v>
      </c>
      <c r="U370" s="129">
        <f t="shared" si="98"/>
        <v>4.2916958409186385</v>
      </c>
      <c r="V370" s="129">
        <f t="shared" si="98"/>
        <v>4265.2668393782387</v>
      </c>
      <c r="W370" s="129">
        <f t="shared" si="98"/>
        <v>88467.243593334264</v>
      </c>
      <c r="X370" s="129">
        <f t="shared" si="98"/>
        <v>84201.976753956027</v>
      </c>
      <c r="Y370" s="129">
        <f t="shared" si="98"/>
        <v>17094.227209074361</v>
      </c>
      <c r="Z370" s="129">
        <f t="shared" si="98"/>
        <v>2961643.0804509171</v>
      </c>
      <c r="AA370" s="129">
        <f t="shared" si="98"/>
        <v>48079.972552863743</v>
      </c>
      <c r="AB370" s="129">
        <f t="shared" si="98"/>
        <v>31382.98935723288</v>
      </c>
      <c r="AC370" s="128" t="s">
        <v>395</v>
      </c>
      <c r="AD370" s="188">
        <f t="shared" si="96"/>
        <v>6.2153675455357466E-2</v>
      </c>
      <c r="AE370" s="188">
        <f>SUM(P370,Q370,R370,S370,T370,-F370,-G370,-H370,-K370,-L370,-M370)/W370</f>
        <v>0.44807391000888291</v>
      </c>
      <c r="AF370" s="188">
        <f>SUM(F370,G370)/W370</f>
        <v>2.8302754597486369E-2</v>
      </c>
      <c r="AG370" s="188">
        <f>SUM(I370,J370)/W370</f>
        <v>-1.4459594423449802E-2</v>
      </c>
      <c r="AH370" s="188">
        <f>SUM(AE370,0.12*AF370,-0.8*AG370)</f>
        <v>0.46303791609934108</v>
      </c>
      <c r="AI370" s="188">
        <f>N370/SUM(N370,O370,P370,Q370,R370,S370,T370)</f>
        <v>0.45672639968395895</v>
      </c>
      <c r="AJ370" s="188">
        <f>V370/W370</f>
        <v>4.8212950535508871E-2</v>
      </c>
      <c r="AK370" s="188">
        <v>5.8999999999999997E-2</v>
      </c>
      <c r="AL370" s="188">
        <v>6.2E-2</v>
      </c>
      <c r="AM370" s="129">
        <v>0</v>
      </c>
      <c r="AN370" s="188">
        <f>Y370/W370</f>
        <v>0.19322662846435015</v>
      </c>
      <c r="AO370" s="188">
        <f>Z370/(W370*1000)</f>
        <v>3.3477284474522362E-2</v>
      </c>
      <c r="AP370" s="188">
        <f>AA370/W370</f>
        <v>0.54347768281192865</v>
      </c>
      <c r="AQ370" s="128">
        <v>1507</v>
      </c>
      <c r="AR370" s="188">
        <v>1.6E-2</v>
      </c>
      <c r="AS370" s="188">
        <v>7.8E-2</v>
      </c>
      <c r="AT370" s="256">
        <v>8.5</v>
      </c>
    </row>
    <row r="372" spans="1:46" x14ac:dyDescent="0.25">
      <c r="A372" t="s">
        <v>391</v>
      </c>
      <c r="B372">
        <v>1829</v>
      </c>
      <c r="C372">
        <v>91047</v>
      </c>
      <c r="D372">
        <v>821845</v>
      </c>
      <c r="E372">
        <v>8320</v>
      </c>
      <c r="F372">
        <v>8978</v>
      </c>
      <c r="G372">
        <v>13068</v>
      </c>
      <c r="H372">
        <v>28717</v>
      </c>
      <c r="I372">
        <v>50577</v>
      </c>
      <c r="J372">
        <v>82</v>
      </c>
      <c r="K372">
        <v>103900</v>
      </c>
      <c r="L372">
        <v>4256</v>
      </c>
      <c r="M372">
        <v>38644</v>
      </c>
      <c r="N372">
        <v>851884</v>
      </c>
      <c r="O372">
        <v>29218</v>
      </c>
      <c r="P372">
        <v>132164</v>
      </c>
      <c r="Q372">
        <v>3353</v>
      </c>
      <c r="R372">
        <v>42000</v>
      </c>
      <c r="S372">
        <v>55852</v>
      </c>
      <c r="T372">
        <v>56792</v>
      </c>
      <c r="U372" s="128">
        <v>-2</v>
      </c>
      <c r="V372" s="128">
        <v>-8741</v>
      </c>
      <c r="W372" s="128">
        <v>828105</v>
      </c>
      <c r="X372" s="128">
        <v>836846</v>
      </c>
      <c r="Y372" s="128">
        <v>84946</v>
      </c>
      <c r="Z372" s="128">
        <v>18409925</v>
      </c>
      <c r="AA372" s="128">
        <v>587114</v>
      </c>
      <c r="AB372" s="128">
        <v>219798</v>
      </c>
      <c r="AC372" s="128" t="s">
        <v>391</v>
      </c>
      <c r="AD372" s="188">
        <f>SUM(R372,-L372)/W372</f>
        <v>4.5578761147439036E-2</v>
      </c>
      <c r="AE372" s="188">
        <v>0.11181915336823228</v>
      </c>
      <c r="AF372" s="188">
        <v>2.6622227857578448E-2</v>
      </c>
      <c r="AG372" s="188">
        <v>6.1174609500003016E-2</v>
      </c>
      <c r="AH372" s="188">
        <v>7.2191594061139591E-2</v>
      </c>
      <c r="AI372" s="188">
        <v>0.72732084937371022</v>
      </c>
      <c r="AJ372" s="188">
        <v>-1.0555424734786047E-2</v>
      </c>
      <c r="AK372" s="188">
        <v>-5.3319479383134635E-3</v>
      </c>
      <c r="AL372" s="188">
        <v>-2.7001740359325316E-2</v>
      </c>
      <c r="AM372" s="129">
        <f>COUNTIF(AJ372:AL372,"&lt;0")</f>
        <v>3</v>
      </c>
      <c r="AN372" s="188">
        <v>2.564469481527101E-2</v>
      </c>
      <c r="AO372" s="188">
        <v>2.2231389739223891E-2</v>
      </c>
      <c r="AP372" s="188">
        <v>0.70898497171252439</v>
      </c>
      <c r="AQ372" s="128">
        <v>2164.9661689369332</v>
      </c>
      <c r="AR372" s="188">
        <v>0.04</v>
      </c>
      <c r="AS372" s="188">
        <v>0.20199999999999999</v>
      </c>
      <c r="AT372" s="256">
        <v>8</v>
      </c>
    </row>
    <row r="373" spans="1:46" x14ac:dyDescent="0.25">
      <c r="A373" t="s">
        <v>391</v>
      </c>
      <c r="B373" s="129">
        <f>SUM(B372,1435/14282*B361)</f>
        <v>1940.7294496569109</v>
      </c>
      <c r="C373" s="129">
        <f t="shared" ref="C373:AB373" si="99">SUM(C372,1435/14282*C361)</f>
        <v>91362.09312421229</v>
      </c>
      <c r="D373" s="129">
        <f t="shared" si="99"/>
        <v>823697.57877048035</v>
      </c>
      <c r="E373" s="129">
        <f t="shared" si="99"/>
        <v>8322.9138075899737</v>
      </c>
      <c r="F373" s="129">
        <f t="shared" si="99"/>
        <v>9141.4746534098867</v>
      </c>
      <c r="G373" s="129">
        <f t="shared" si="99"/>
        <v>13133.610908836297</v>
      </c>
      <c r="H373" s="129">
        <f t="shared" si="99"/>
        <v>28721.320473323063</v>
      </c>
      <c r="I373" s="129">
        <f t="shared" si="99"/>
        <v>51364.230429911775</v>
      </c>
      <c r="J373" s="129">
        <f t="shared" si="99"/>
        <v>82.40190449516875</v>
      </c>
      <c r="K373" s="129">
        <f t="shared" si="99"/>
        <v>104624.23190029408</v>
      </c>
      <c r="L373" s="129">
        <f t="shared" si="99"/>
        <v>4256</v>
      </c>
      <c r="M373" s="129">
        <f t="shared" si="99"/>
        <v>38657.363324464364</v>
      </c>
      <c r="N373" s="129">
        <f t="shared" si="99"/>
        <v>853546.17651589413</v>
      </c>
      <c r="O373" s="129">
        <f t="shared" si="99"/>
        <v>30602.761938103908</v>
      </c>
      <c r="P373" s="129">
        <f t="shared" si="99"/>
        <v>132533.95308780283</v>
      </c>
      <c r="Q373" s="129">
        <f t="shared" si="99"/>
        <v>3353.3014283713765</v>
      </c>
      <c r="R373" s="129">
        <f t="shared" si="99"/>
        <v>42236.118890911639</v>
      </c>
      <c r="S373" s="129">
        <f t="shared" si="99"/>
        <v>56137.251715446015</v>
      </c>
      <c r="T373" s="129">
        <f t="shared" si="99"/>
        <v>56894.485646268033</v>
      </c>
      <c r="U373" s="129">
        <f t="shared" si="99"/>
        <v>-2.8038089903374876</v>
      </c>
      <c r="V373" s="129">
        <f t="shared" si="99"/>
        <v>-8774.458549222798</v>
      </c>
      <c r="W373" s="129">
        <f t="shared" si="99"/>
        <v>831295.01645427814</v>
      </c>
      <c r="X373" s="129">
        <f t="shared" si="99"/>
        <v>840069.47500350093</v>
      </c>
      <c r="Y373" s="129">
        <f t="shared" si="99"/>
        <v>85143.435583251645</v>
      </c>
      <c r="Z373" s="129">
        <f t="shared" si="99"/>
        <v>18518059.916328244</v>
      </c>
      <c r="AA373" s="129">
        <f t="shared" si="99"/>
        <v>589018.2234981095</v>
      </c>
      <c r="AB373" s="129">
        <f t="shared" si="99"/>
        <v>221239.22951967511</v>
      </c>
      <c r="AC373" s="128" t="s">
        <v>391</v>
      </c>
      <c r="AD373" s="188">
        <f t="shared" ref="AD373" si="100">SUM(R373,-L373)/W373</f>
        <v>4.5687894356576567E-2</v>
      </c>
      <c r="AE373" s="188">
        <f>SUM(P373,Q373,R373,S373,T373,-F373,-G373,-H373,-K373,-L373,-M373)/W373</f>
        <v>0.11141785728913538</v>
      </c>
      <c r="AF373" s="188">
        <f>SUM(F373,G373)/W373</f>
        <v>2.6795644291548966E-2</v>
      </c>
      <c r="AG373" s="188">
        <f>SUM(I373,J373)/W373</f>
        <v>6.1887333998274424E-2</v>
      </c>
      <c r="AH373" s="188">
        <f>SUM(AE373,0.12*AF373,-0.8*AG373)</f>
        <v>6.5123467405501706E-2</v>
      </c>
      <c r="AI373" s="188">
        <f>N373/SUM(N373,O373,P373,Q373,R373,S373,T373)</f>
        <v>0.72623435363838396</v>
      </c>
      <c r="AJ373" s="188">
        <f>V373/W373</f>
        <v>-1.0555167991561512E-2</v>
      </c>
      <c r="AK373" s="188">
        <v>-5.0000000000000001E-3</v>
      </c>
      <c r="AL373" s="188">
        <v>-2.7E-2</v>
      </c>
      <c r="AM373" s="129">
        <v>3</v>
      </c>
      <c r="AN373" s="188">
        <v>2.564469481527101E-2</v>
      </c>
      <c r="AO373" s="188">
        <v>2.2231389739223891E-2</v>
      </c>
      <c r="AP373" s="188">
        <v>0.70898497171252439</v>
      </c>
      <c r="AQ373" s="128">
        <v>2165</v>
      </c>
      <c r="AR373" s="188">
        <v>0.04</v>
      </c>
      <c r="AS373" s="188">
        <v>0.20199999999999999</v>
      </c>
      <c r="AT373" s="256">
        <v>8</v>
      </c>
    </row>
    <row r="375" spans="1:46" x14ac:dyDescent="0.25">
      <c r="A375" t="s">
        <v>256</v>
      </c>
      <c r="B375">
        <v>2254</v>
      </c>
      <c r="C375">
        <v>26874</v>
      </c>
      <c r="D375">
        <v>112543</v>
      </c>
      <c r="E375">
        <v>218</v>
      </c>
      <c r="F375">
        <v>0</v>
      </c>
      <c r="G375">
        <v>1250</v>
      </c>
      <c r="H375">
        <v>696</v>
      </c>
      <c r="I375">
        <v>50470</v>
      </c>
      <c r="J375">
        <v>20</v>
      </c>
      <c r="K375">
        <v>18411</v>
      </c>
      <c r="L375">
        <v>807</v>
      </c>
      <c r="M375">
        <v>3966</v>
      </c>
      <c r="N375">
        <v>97028</v>
      </c>
      <c r="O375">
        <v>28370</v>
      </c>
      <c r="P375">
        <v>47100</v>
      </c>
      <c r="Q375">
        <v>339</v>
      </c>
      <c r="R375">
        <v>30000</v>
      </c>
      <c r="S375">
        <v>5449</v>
      </c>
      <c r="T375">
        <v>9225</v>
      </c>
      <c r="U375" s="128">
        <v>515</v>
      </c>
      <c r="V375" s="128">
        <v>-8568</v>
      </c>
      <c r="W375" s="128">
        <v>157333</v>
      </c>
      <c r="X375" s="128">
        <v>165901</v>
      </c>
      <c r="Y375" s="128">
        <v>2683</v>
      </c>
      <c r="Z375" s="128">
        <v>2384262</v>
      </c>
      <c r="AA375" s="128">
        <v>102545</v>
      </c>
      <c r="AB375" s="128">
        <v>57563</v>
      </c>
      <c r="AC375" s="128" t="s">
        <v>256</v>
      </c>
      <c r="AD375" s="188">
        <f>SUM(R375,-L375)/W375</f>
        <v>0.18554912192610579</v>
      </c>
      <c r="AE375" s="188">
        <v>0.4257403087718406</v>
      </c>
      <c r="AF375" s="188">
        <v>7.9449320867205232E-3</v>
      </c>
      <c r="AG375" s="188">
        <v>0.32091169684681536</v>
      </c>
      <c r="AH375" s="188">
        <v>0.20205551282947631</v>
      </c>
      <c r="AI375" s="188">
        <v>0.44608318659745944</v>
      </c>
      <c r="AJ375" s="188">
        <v>-5.4457742495217148E-2</v>
      </c>
      <c r="AK375" s="188">
        <v>-1.3164993308904412E-2</v>
      </c>
      <c r="AL375" s="188">
        <v>5.7526336991418354E-2</v>
      </c>
      <c r="AM375" s="129">
        <f>COUNTIF(AJ375:AL375,"&lt;0")</f>
        <v>2</v>
      </c>
      <c r="AN375" s="188">
        <v>4.2632505577342326E-3</v>
      </c>
      <c r="AO375" s="188">
        <v>1.5154239733558759E-2</v>
      </c>
      <c r="AP375" s="188">
        <v>0.65177044866620482</v>
      </c>
      <c r="AQ375" s="128">
        <v>1728.5886941264355</v>
      </c>
      <c r="AR375" s="188">
        <v>4.2000000000000003E-2</v>
      </c>
      <c r="AS375" s="188">
        <v>0.20800000000000002</v>
      </c>
      <c r="AT375" s="256">
        <v>7</v>
      </c>
    </row>
    <row r="376" spans="1:46" x14ac:dyDescent="0.25">
      <c r="A376" t="s">
        <v>264</v>
      </c>
      <c r="B376">
        <v>320</v>
      </c>
      <c r="C376">
        <v>7509</v>
      </c>
      <c r="D376">
        <v>73674</v>
      </c>
      <c r="E376">
        <v>21</v>
      </c>
      <c r="F376">
        <v>106</v>
      </c>
      <c r="G376">
        <v>3982</v>
      </c>
      <c r="H376">
        <v>0</v>
      </c>
      <c r="I376">
        <v>22773</v>
      </c>
      <c r="J376">
        <v>0</v>
      </c>
      <c r="K376">
        <v>12543</v>
      </c>
      <c r="L376">
        <v>720</v>
      </c>
      <c r="M376">
        <v>617</v>
      </c>
      <c r="N376">
        <v>22081</v>
      </c>
      <c r="O376">
        <v>7303</v>
      </c>
      <c r="P376">
        <v>73926</v>
      </c>
      <c r="Q376">
        <v>0</v>
      </c>
      <c r="R376">
        <v>14031</v>
      </c>
      <c r="S376">
        <v>2589</v>
      </c>
      <c r="T376">
        <v>2333</v>
      </c>
      <c r="U376" s="128">
        <v>-7</v>
      </c>
      <c r="V376" s="128">
        <v>305</v>
      </c>
      <c r="W376" s="128">
        <v>76823</v>
      </c>
      <c r="X376" s="128">
        <v>76518</v>
      </c>
      <c r="Y376" s="128">
        <v>12932</v>
      </c>
      <c r="Z376" s="128">
        <v>2644497.5999999996</v>
      </c>
      <c r="AA376" s="128">
        <v>39104</v>
      </c>
      <c r="AB376" s="128">
        <v>28146</v>
      </c>
      <c r="AC376" s="128" t="s">
        <v>264</v>
      </c>
      <c r="AD376" s="188">
        <f>SUM(R376,-L376)/W376</f>
        <v>0.17326842221730471</v>
      </c>
      <c r="AE376" s="188">
        <v>0.97511162021790354</v>
      </c>
      <c r="AF376" s="188">
        <v>5.3213230412767008E-2</v>
      </c>
      <c r="AG376" s="188">
        <v>0.29643466149460446</v>
      </c>
      <c r="AH376" s="188">
        <v>0.77399294482121239</v>
      </c>
      <c r="AI376" s="188">
        <v>0.1806024717207986</v>
      </c>
      <c r="AJ376" s="188">
        <v>3.9701651849055625E-3</v>
      </c>
      <c r="AK376" s="188">
        <v>8.2303144316044075E-4</v>
      </c>
      <c r="AL376" s="188">
        <v>-5.22851807634616E-2</v>
      </c>
      <c r="AM376" s="129">
        <f>COUNTIF(AJ376:AL376,"&lt;0")</f>
        <v>1</v>
      </c>
      <c r="AN376" s="188">
        <v>4.2083750959998958E-2</v>
      </c>
      <c r="AO376" s="188">
        <v>3.4423253452742011E-2</v>
      </c>
      <c r="AP376" s="188">
        <v>0.50901422750999048</v>
      </c>
      <c r="AQ376" s="128">
        <v>1497.739678817594</v>
      </c>
      <c r="AR376" s="188">
        <v>3.5000000000000003E-2</v>
      </c>
      <c r="AS376" s="188">
        <v>0.17399999999999999</v>
      </c>
      <c r="AT376" s="256">
        <v>6</v>
      </c>
    </row>
    <row r="377" spans="1:46" x14ac:dyDescent="0.25">
      <c r="A377" t="s">
        <v>867</v>
      </c>
      <c r="B377">
        <f>SUM(B375:B376)</f>
        <v>2574</v>
      </c>
      <c r="C377">
        <f t="shared" ref="C377:AB377" si="101">SUM(C375:C376)</f>
        <v>34383</v>
      </c>
      <c r="D377">
        <f t="shared" si="101"/>
        <v>186217</v>
      </c>
      <c r="E377">
        <f t="shared" si="101"/>
        <v>239</v>
      </c>
      <c r="F377">
        <f t="shared" si="101"/>
        <v>106</v>
      </c>
      <c r="G377">
        <f t="shared" si="101"/>
        <v>5232</v>
      </c>
      <c r="H377">
        <f t="shared" si="101"/>
        <v>696</v>
      </c>
      <c r="I377">
        <f t="shared" si="101"/>
        <v>73243</v>
      </c>
      <c r="J377">
        <f t="shared" si="101"/>
        <v>20</v>
      </c>
      <c r="K377">
        <f t="shared" si="101"/>
        <v>30954</v>
      </c>
      <c r="L377">
        <f t="shared" si="101"/>
        <v>1527</v>
      </c>
      <c r="M377">
        <f t="shared" si="101"/>
        <v>4583</v>
      </c>
      <c r="N377">
        <f t="shared" si="101"/>
        <v>119109</v>
      </c>
      <c r="O377">
        <f t="shared" si="101"/>
        <v>35673</v>
      </c>
      <c r="P377">
        <f t="shared" si="101"/>
        <v>121026</v>
      </c>
      <c r="Q377">
        <f t="shared" si="101"/>
        <v>339</v>
      </c>
      <c r="R377">
        <f t="shared" si="101"/>
        <v>44031</v>
      </c>
      <c r="S377">
        <f t="shared" si="101"/>
        <v>8038</v>
      </c>
      <c r="T377">
        <f t="shared" si="101"/>
        <v>11558</v>
      </c>
      <c r="U377">
        <f t="shared" si="101"/>
        <v>508</v>
      </c>
      <c r="V377">
        <f t="shared" si="101"/>
        <v>-8263</v>
      </c>
      <c r="W377">
        <f t="shared" si="101"/>
        <v>234156</v>
      </c>
      <c r="X377">
        <f t="shared" si="101"/>
        <v>242419</v>
      </c>
      <c r="Y377">
        <f t="shared" si="101"/>
        <v>15615</v>
      </c>
      <c r="Z377">
        <f t="shared" si="101"/>
        <v>5028759.5999999996</v>
      </c>
      <c r="AA377">
        <f t="shared" si="101"/>
        <v>141649</v>
      </c>
      <c r="AB377">
        <f t="shared" si="101"/>
        <v>85709</v>
      </c>
      <c r="AC377" s="128" t="s">
        <v>867</v>
      </c>
      <c r="AD377" s="188">
        <f>SUM(R377,-L377)/W377</f>
        <v>0.18152001229949263</v>
      </c>
      <c r="AE377" s="188">
        <f>SUM(P377,Q377,R377,S377,T377,-F377,-G377,-H377,-K377,-L377,-M377)/W377</f>
        <v>0.60598062829908261</v>
      </c>
      <c r="AF377" s="188">
        <f>SUM(F377,G377)/W377</f>
        <v>2.279676796665471E-2</v>
      </c>
      <c r="AG377" s="188">
        <f>SUM(I377,J377)/W377</f>
        <v>0.31288115615230871</v>
      </c>
      <c r="AH377" s="188">
        <f>SUM(AE377,0.12*AF377,-0.8*AG377)</f>
        <v>0.35841131553323424</v>
      </c>
      <c r="AI377" s="188">
        <f>N377/SUM(N377,O377,P377,Q377,R377,S377,T377)</f>
        <v>0.35055360327747265</v>
      </c>
      <c r="AJ377" s="188">
        <f>V377/W377</f>
        <v>-3.5288440185175692E-2</v>
      </c>
      <c r="AK377" s="188">
        <v>-8.0000000000000002E-3</v>
      </c>
      <c r="AL377" s="188">
        <v>5.0000000000000001E-3</v>
      </c>
      <c r="AM377" s="129">
        <v>2</v>
      </c>
      <c r="AN377" s="188">
        <v>2.1000000000000001E-2</v>
      </c>
      <c r="AO377" s="188">
        <f>SUM(AO375:AO376)/2</f>
        <v>2.4788746593150383E-2</v>
      </c>
      <c r="AP377" s="188">
        <f>SUM(AP375:AP376)/2</f>
        <v>0.58039233808809765</v>
      </c>
      <c r="AQ377" s="128">
        <f>SUM(AQ375:AQ376)/2</f>
        <v>1613.1641864720148</v>
      </c>
      <c r="AR377" s="188">
        <f>SUM(AR375:AR376)/2</f>
        <v>3.8500000000000006E-2</v>
      </c>
      <c r="AS377" s="188">
        <f>SUM(AS375:AS376)/2</f>
        <v>0.191</v>
      </c>
      <c r="AT377" s="256">
        <v>8</v>
      </c>
    </row>
    <row r="379" spans="1:46" x14ac:dyDescent="0.25">
      <c r="A379" t="s">
        <v>376</v>
      </c>
      <c r="B379">
        <v>12</v>
      </c>
      <c r="C379">
        <v>2674</v>
      </c>
      <c r="D379">
        <v>25258</v>
      </c>
      <c r="E379">
        <v>1</v>
      </c>
      <c r="F379">
        <v>0</v>
      </c>
      <c r="G379">
        <v>1460</v>
      </c>
      <c r="H379">
        <v>73</v>
      </c>
      <c r="I379">
        <v>10234</v>
      </c>
      <c r="J379">
        <v>0</v>
      </c>
      <c r="K379">
        <v>1455</v>
      </c>
      <c r="L379">
        <v>109</v>
      </c>
      <c r="M379">
        <v>3772</v>
      </c>
      <c r="N379">
        <v>20190</v>
      </c>
      <c r="O379">
        <v>14361</v>
      </c>
      <c r="P379">
        <v>4000</v>
      </c>
      <c r="Q379">
        <v>0</v>
      </c>
      <c r="R379">
        <v>1500</v>
      </c>
      <c r="S379">
        <v>4150</v>
      </c>
      <c r="T379">
        <v>846</v>
      </c>
      <c r="U379" s="128">
        <v>6</v>
      </c>
      <c r="V379" s="128">
        <v>-1909</v>
      </c>
      <c r="W379" s="128">
        <v>35666</v>
      </c>
      <c r="X379" s="128">
        <v>37575</v>
      </c>
      <c r="Y379" s="128">
        <v>3674</v>
      </c>
      <c r="Z379" s="128">
        <v>1303371.2000000002</v>
      </c>
      <c r="AA379" s="128">
        <v>24156</v>
      </c>
      <c r="AB379" s="128">
        <v>15707</v>
      </c>
      <c r="AC379" s="128" t="s">
        <v>376</v>
      </c>
      <c r="AD379" s="188">
        <f>SUM(R379,-L379)/W379</f>
        <v>3.9000728985588519E-2</v>
      </c>
      <c r="AE379" s="188">
        <v>0.10169348959793641</v>
      </c>
      <c r="AF379" s="188">
        <v>4.0935344585880107E-2</v>
      </c>
      <c r="AG379" s="188">
        <v>0.28693994280266921</v>
      </c>
      <c r="AH379" s="188">
        <v>-9.4252229013626426E-2</v>
      </c>
      <c r="AI379" s="188">
        <v>0.44819854818300886</v>
      </c>
      <c r="AJ379" s="188">
        <v>-5.3524364941400775E-2</v>
      </c>
      <c r="AK379" s="188">
        <v>-7.7639306689586017E-3</v>
      </c>
      <c r="AL379" s="188">
        <v>-6.0494336235961871E-2</v>
      </c>
      <c r="AM379" s="129">
        <f>COUNTIF(AJ379:AL379,"&lt;0")</f>
        <v>3</v>
      </c>
      <c r="AN379" s="188">
        <v>2.5752817809678686E-2</v>
      </c>
      <c r="AO379" s="188">
        <v>3.6543800818706902E-2</v>
      </c>
      <c r="AP379" s="188">
        <v>0.67728368754556156</v>
      </c>
      <c r="AQ379" s="128">
        <v>1585.0085948939964</v>
      </c>
      <c r="AR379" s="188">
        <v>5.5999999999999994E-2</v>
      </c>
      <c r="AS379" s="188">
        <v>0.27899999999999997</v>
      </c>
      <c r="AT379" s="256">
        <v>7.5</v>
      </c>
    </row>
    <row r="380" spans="1:46" x14ac:dyDescent="0.25">
      <c r="A380" t="s">
        <v>392</v>
      </c>
      <c r="B380">
        <v>730</v>
      </c>
      <c r="C380">
        <v>41163</v>
      </c>
      <c r="D380">
        <v>99171</v>
      </c>
      <c r="E380">
        <v>4489</v>
      </c>
      <c r="F380">
        <v>267</v>
      </c>
      <c r="G380">
        <v>7764</v>
      </c>
      <c r="H380">
        <v>532</v>
      </c>
      <c r="I380">
        <v>37022</v>
      </c>
      <c r="J380">
        <v>0</v>
      </c>
      <c r="K380">
        <v>5989</v>
      </c>
      <c r="L380">
        <v>774</v>
      </c>
      <c r="M380">
        <v>3562</v>
      </c>
      <c r="N380">
        <v>79155</v>
      </c>
      <c r="O380">
        <v>41636</v>
      </c>
      <c r="P380">
        <v>74559</v>
      </c>
      <c r="Q380">
        <v>0</v>
      </c>
      <c r="R380">
        <v>0</v>
      </c>
      <c r="S380">
        <v>4597</v>
      </c>
      <c r="T380">
        <v>1516</v>
      </c>
      <c r="U380" s="128">
        <v>-3</v>
      </c>
      <c r="V380" s="128">
        <v>5481</v>
      </c>
      <c r="W380" s="128">
        <v>115563</v>
      </c>
      <c r="X380" s="128">
        <v>110082</v>
      </c>
      <c r="Y380" s="128">
        <v>36684</v>
      </c>
      <c r="Z380" s="128">
        <v>4062759</v>
      </c>
      <c r="AA380" s="128">
        <v>76162</v>
      </c>
      <c r="AB380" s="128">
        <v>42132</v>
      </c>
      <c r="AC380" s="128" t="s">
        <v>392</v>
      </c>
      <c r="AD380" s="188">
        <f>SUM(R380,-L380)/W380</f>
        <v>-6.6976454401495291E-3</v>
      </c>
      <c r="AE380" s="188">
        <v>0.53463478795116082</v>
      </c>
      <c r="AF380" s="188">
        <v>6.9494561408063135E-2</v>
      </c>
      <c r="AG380" s="188">
        <v>0.32036205359847009</v>
      </c>
      <c r="AH380" s="188">
        <v>0.31872069780119938</v>
      </c>
      <c r="AI380" s="188">
        <v>0.39290092969925</v>
      </c>
      <c r="AJ380" s="188">
        <v>4.7428675268035618E-2</v>
      </c>
      <c r="AK380" s="188">
        <v>7.8822466352784518E-2</v>
      </c>
      <c r="AL380" s="188">
        <v>8.5844522090775255E-2</v>
      </c>
      <c r="AM380" s="129">
        <f>COUNTIF(AJ380:AL380,"&lt;0")</f>
        <v>0</v>
      </c>
      <c r="AN380" s="188">
        <v>7.9359310505957792E-2</v>
      </c>
      <c r="AO380" s="188">
        <v>3.5156226473871392E-2</v>
      </c>
      <c r="AP380" s="188">
        <v>0.65905177262618653</v>
      </c>
      <c r="AQ380" s="128">
        <v>1698.4323791892148</v>
      </c>
      <c r="AR380" s="188">
        <v>3.3000000000000002E-2</v>
      </c>
      <c r="AS380" s="188">
        <v>0.16699999999999998</v>
      </c>
      <c r="AT380" s="256">
        <v>10</v>
      </c>
    </row>
    <row r="381" spans="1:46" x14ac:dyDescent="0.25">
      <c r="A381" t="s">
        <v>869</v>
      </c>
      <c r="B381">
        <f>SUM(B379:B380)</f>
        <v>742</v>
      </c>
      <c r="C381">
        <f t="shared" ref="C381:AB381" si="102">SUM(C379:C380)</f>
        <v>43837</v>
      </c>
      <c r="D381">
        <f t="shared" si="102"/>
        <v>124429</v>
      </c>
      <c r="E381">
        <f t="shared" si="102"/>
        <v>4490</v>
      </c>
      <c r="F381">
        <f t="shared" si="102"/>
        <v>267</v>
      </c>
      <c r="G381">
        <f t="shared" si="102"/>
        <v>9224</v>
      </c>
      <c r="H381">
        <f t="shared" si="102"/>
        <v>605</v>
      </c>
      <c r="I381">
        <f t="shared" si="102"/>
        <v>47256</v>
      </c>
      <c r="J381">
        <f t="shared" si="102"/>
        <v>0</v>
      </c>
      <c r="K381">
        <f t="shared" si="102"/>
        <v>7444</v>
      </c>
      <c r="L381">
        <f t="shared" si="102"/>
        <v>883</v>
      </c>
      <c r="M381">
        <f t="shared" si="102"/>
        <v>7334</v>
      </c>
      <c r="N381">
        <f t="shared" si="102"/>
        <v>99345</v>
      </c>
      <c r="O381">
        <f t="shared" si="102"/>
        <v>55997</v>
      </c>
      <c r="P381">
        <f t="shared" si="102"/>
        <v>78559</v>
      </c>
      <c r="Q381">
        <f t="shared" si="102"/>
        <v>0</v>
      </c>
      <c r="R381">
        <f t="shared" si="102"/>
        <v>1500</v>
      </c>
      <c r="S381">
        <f t="shared" si="102"/>
        <v>8747</v>
      </c>
      <c r="T381">
        <f t="shared" si="102"/>
        <v>2362</v>
      </c>
      <c r="U381">
        <f t="shared" si="102"/>
        <v>3</v>
      </c>
      <c r="V381" s="128">
        <f t="shared" si="102"/>
        <v>3572</v>
      </c>
      <c r="W381" s="128">
        <f t="shared" si="102"/>
        <v>151229</v>
      </c>
      <c r="X381" s="128">
        <f t="shared" si="102"/>
        <v>147657</v>
      </c>
      <c r="Y381" s="128">
        <f t="shared" si="102"/>
        <v>40358</v>
      </c>
      <c r="Z381" s="128">
        <f t="shared" si="102"/>
        <v>5366130.2</v>
      </c>
      <c r="AA381" s="128">
        <f t="shared" si="102"/>
        <v>100318</v>
      </c>
      <c r="AB381" s="128">
        <f t="shared" si="102"/>
        <v>57839</v>
      </c>
      <c r="AC381" s="128" t="s">
        <v>869</v>
      </c>
      <c r="AD381" s="188">
        <f>SUM(R381,-L381)/W381</f>
        <v>4.0799053091668926E-3</v>
      </c>
      <c r="AE381" s="188">
        <f>SUM(P381,Q381,R381,S381,T381,-F381,-G381,-H381,-K381,-L381,-M381)/W381</f>
        <v>0.43252947516680001</v>
      </c>
      <c r="AF381" s="188">
        <f>SUM(F381,G381)/W381</f>
        <v>6.2759126887038857E-2</v>
      </c>
      <c r="AG381" s="188">
        <f>SUM(I381,J381)/W381</f>
        <v>0.31247974925444194</v>
      </c>
      <c r="AH381" s="188">
        <f>SUM(AE381,0.12*AF381,-0.8*AG381)</f>
        <v>0.19007677098969114</v>
      </c>
      <c r="AI381" s="188">
        <f>N381/SUM(N381,O381,P381,Q381,R381,S381,T381)</f>
        <v>0.40300596324692711</v>
      </c>
      <c r="AJ381" s="188">
        <f>V381/W381</f>
        <v>2.3619808370087748E-2</v>
      </c>
      <c r="AK381" s="188">
        <v>5.5E-2</v>
      </c>
      <c r="AL381" s="188">
        <v>4.5999999999999999E-2</v>
      </c>
      <c r="AM381" s="129">
        <v>0</v>
      </c>
      <c r="AN381" s="188">
        <f>Y381/(W381*10)</f>
        <v>2.6686680464725682E-2</v>
      </c>
      <c r="AO381" s="188">
        <f>Z381/(W381*1000)</f>
        <v>3.5483473407878122E-2</v>
      </c>
      <c r="AP381" s="188">
        <f>AA381/W381</f>
        <v>0.66335160584279473</v>
      </c>
      <c r="AQ381" s="128">
        <v>1645</v>
      </c>
      <c r="AR381" s="188">
        <v>4.4999999999999998E-2</v>
      </c>
      <c r="AS381" s="188">
        <f>5*AR381</f>
        <v>0.22499999999999998</v>
      </c>
      <c r="AT381" s="256">
        <v>9</v>
      </c>
    </row>
    <row r="383" spans="1:46" x14ac:dyDescent="0.25">
      <c r="A383" t="s">
        <v>352</v>
      </c>
      <c r="B383">
        <v>3685</v>
      </c>
      <c r="C383">
        <v>5647</v>
      </c>
      <c r="D383">
        <v>80200</v>
      </c>
      <c r="E383">
        <v>135</v>
      </c>
      <c r="F383">
        <v>0</v>
      </c>
      <c r="G383">
        <v>3193</v>
      </c>
      <c r="H383">
        <v>81</v>
      </c>
      <c r="I383">
        <v>29406</v>
      </c>
      <c r="J383">
        <v>49</v>
      </c>
      <c r="K383">
        <v>6971</v>
      </c>
      <c r="L383">
        <v>9547</v>
      </c>
      <c r="M383">
        <v>0</v>
      </c>
      <c r="N383">
        <v>40496</v>
      </c>
      <c r="O383">
        <v>7085</v>
      </c>
      <c r="P383">
        <v>68008</v>
      </c>
      <c r="Q383">
        <v>0</v>
      </c>
      <c r="R383">
        <v>237</v>
      </c>
      <c r="S383">
        <v>19280</v>
      </c>
      <c r="T383">
        <v>3808</v>
      </c>
      <c r="U383" s="128">
        <v>-4</v>
      </c>
      <c r="V383" s="128">
        <v>400</v>
      </c>
      <c r="W383" s="128">
        <v>73498</v>
      </c>
      <c r="X383" s="128">
        <v>73098</v>
      </c>
      <c r="Y383" s="128">
        <v>5689</v>
      </c>
      <c r="Z383" s="128">
        <v>2049214</v>
      </c>
      <c r="AA383" s="128">
        <v>48318</v>
      </c>
      <c r="AB383" s="128">
        <v>29348</v>
      </c>
      <c r="AC383" s="128" t="s">
        <v>352</v>
      </c>
      <c r="AD383" s="188">
        <f>SUM(R383,-L383)/W383</f>
        <v>-0.12667011347247545</v>
      </c>
      <c r="AE383" s="188">
        <v>0.97337342512721436</v>
      </c>
      <c r="AF383" s="188">
        <v>4.3443359002966066E-2</v>
      </c>
      <c r="AG383" s="188">
        <v>0.40075920433209067</v>
      </c>
      <c r="AH383" s="188">
        <v>0.69805518517510678</v>
      </c>
      <c r="AI383" s="188">
        <v>0.29151849345638309</v>
      </c>
      <c r="AJ383" s="188">
        <v>5.4423249612234343E-3</v>
      </c>
      <c r="AK383" s="188">
        <v>2.0210501064499686E-2</v>
      </c>
      <c r="AL383" s="188">
        <v>1.1694531777980195E-2</v>
      </c>
      <c r="AM383" s="129">
        <f>COUNTIF(AJ383:AL383,"&lt;0")</f>
        <v>0</v>
      </c>
      <c r="AN383" s="188">
        <v>1.9350866690250074E-2</v>
      </c>
      <c r="AO383" s="188">
        <v>2.7881221257721297E-2</v>
      </c>
      <c r="AP383" s="188">
        <v>0.65740564369098475</v>
      </c>
      <c r="AQ383" s="128">
        <v>1452.5767684339648</v>
      </c>
      <c r="AR383" s="188">
        <v>2.2000000000000002E-2</v>
      </c>
      <c r="AS383" s="188">
        <v>0.109</v>
      </c>
      <c r="AT383" s="256">
        <v>8.5</v>
      </c>
    </row>
    <row r="384" spans="1:46" x14ac:dyDescent="0.25">
      <c r="A384" t="s">
        <v>356</v>
      </c>
      <c r="B384">
        <v>236</v>
      </c>
      <c r="C384">
        <v>5028</v>
      </c>
      <c r="D384">
        <v>72658</v>
      </c>
      <c r="E384">
        <v>4747</v>
      </c>
      <c r="F384">
        <v>523</v>
      </c>
      <c r="G384">
        <v>1413</v>
      </c>
      <c r="H384">
        <v>235</v>
      </c>
      <c r="I384">
        <v>15106</v>
      </c>
      <c r="J384">
        <v>8</v>
      </c>
      <c r="K384">
        <v>12820</v>
      </c>
      <c r="L384">
        <v>2467</v>
      </c>
      <c r="M384">
        <v>2175</v>
      </c>
      <c r="N384">
        <v>24353</v>
      </c>
      <c r="O384">
        <v>10541</v>
      </c>
      <c r="P384">
        <v>35684</v>
      </c>
      <c r="Q384">
        <v>29</v>
      </c>
      <c r="R384">
        <v>30500</v>
      </c>
      <c r="S384">
        <v>9114</v>
      </c>
      <c r="T384">
        <v>7196</v>
      </c>
      <c r="U384" s="128">
        <v>-8</v>
      </c>
      <c r="V384" s="128">
        <v>-1495</v>
      </c>
      <c r="W384" s="128">
        <v>96893</v>
      </c>
      <c r="X384" s="128">
        <v>98388</v>
      </c>
      <c r="Y384" s="128">
        <v>2488</v>
      </c>
      <c r="Z384" s="128">
        <v>-361195</v>
      </c>
      <c r="AA384" s="128">
        <v>46554</v>
      </c>
      <c r="AB384" s="128">
        <v>25130</v>
      </c>
      <c r="AC384" s="128" t="s">
        <v>356</v>
      </c>
      <c r="AD384" s="188">
        <f>SUM(R384,-L384)/W384</f>
        <v>0.28931914586193019</v>
      </c>
      <c r="AE384" s="188">
        <v>0.64906649603170508</v>
      </c>
      <c r="AF384" s="188">
        <v>1.9980803566821134E-2</v>
      </c>
      <c r="AG384" s="188">
        <v>0.15598650057279681</v>
      </c>
      <c r="AH384" s="188">
        <v>0.54227364205876594</v>
      </c>
      <c r="AI384" s="188">
        <v>0.20740608259451357</v>
      </c>
      <c r="AJ384" s="188">
        <v>-1.5429391184089666E-2</v>
      </c>
      <c r="AK384" s="188">
        <v>-2.507261886561688E-3</v>
      </c>
      <c r="AL384" s="188">
        <v>-3.9390952656085373E-2</v>
      </c>
      <c r="AM384" s="129">
        <f>COUNTIF(AJ384:AL384,"&lt;0")</f>
        <v>3</v>
      </c>
      <c r="AN384" s="188">
        <v>6.4194523856212519E-3</v>
      </c>
      <c r="AO384" s="188">
        <v>-3.7277718720650616E-3</v>
      </c>
      <c r="AP384" s="188">
        <v>0.48046814527365239</v>
      </c>
      <c r="AQ384" s="128">
        <v>2656.0144050935132</v>
      </c>
      <c r="AR384" s="188">
        <v>0.03</v>
      </c>
      <c r="AS384" s="188">
        <v>0.151</v>
      </c>
      <c r="AT384" s="256">
        <v>4.5</v>
      </c>
    </row>
    <row r="385" spans="1:46" x14ac:dyDescent="0.25">
      <c r="A385" t="s">
        <v>368</v>
      </c>
      <c r="B385">
        <v>1312</v>
      </c>
      <c r="C385">
        <v>2830</v>
      </c>
      <c r="D385">
        <v>36541</v>
      </c>
      <c r="E385">
        <v>1</v>
      </c>
      <c r="F385">
        <v>1313</v>
      </c>
      <c r="G385">
        <v>501</v>
      </c>
      <c r="H385">
        <v>321</v>
      </c>
      <c r="I385">
        <v>1023</v>
      </c>
      <c r="J385">
        <v>0</v>
      </c>
      <c r="K385">
        <v>6803</v>
      </c>
      <c r="L385">
        <v>150</v>
      </c>
      <c r="M385">
        <v>441</v>
      </c>
      <c r="N385">
        <v>16693</v>
      </c>
      <c r="O385">
        <v>8337</v>
      </c>
      <c r="P385">
        <v>8227</v>
      </c>
      <c r="Q385">
        <v>42</v>
      </c>
      <c r="R385">
        <v>14500</v>
      </c>
      <c r="S385">
        <v>2254</v>
      </c>
      <c r="T385">
        <v>1196</v>
      </c>
      <c r="U385" s="128">
        <v>386</v>
      </c>
      <c r="V385" s="128">
        <v>-1110</v>
      </c>
      <c r="W385" s="128">
        <v>28951</v>
      </c>
      <c r="X385" s="128">
        <v>30061</v>
      </c>
      <c r="Y385" s="128">
        <v>9333</v>
      </c>
      <c r="Z385" s="128">
        <v>193673</v>
      </c>
      <c r="AA385" s="128">
        <v>21046</v>
      </c>
      <c r="AB385" s="128">
        <v>12415</v>
      </c>
      <c r="AC385" s="128" t="s">
        <v>368</v>
      </c>
      <c r="AD385" s="188">
        <f>SUM(R385,-L385)/W385</f>
        <v>0.49566508928879832</v>
      </c>
      <c r="AE385" s="188">
        <v>0.57649131290801703</v>
      </c>
      <c r="AF385" s="188">
        <v>6.265759386549688E-2</v>
      </c>
      <c r="AG385" s="188">
        <v>3.5335566992504577E-2</v>
      </c>
      <c r="AH385" s="188">
        <v>0.55927532727712348</v>
      </c>
      <c r="AI385" s="188">
        <v>0.32572342874982929</v>
      </c>
      <c r="AJ385" s="188">
        <v>-3.834064453732168E-2</v>
      </c>
      <c r="AK385" s="188">
        <v>-2.6435536294691225E-2</v>
      </c>
      <c r="AL385" s="188">
        <v>-2.7721809212811782E-2</v>
      </c>
      <c r="AM385" s="129">
        <f>COUNTIF(AJ385:AL385,"&lt;0")</f>
        <v>3</v>
      </c>
      <c r="AN385" s="188">
        <v>8.0593071051086318E-2</v>
      </c>
      <c r="AO385" s="188">
        <v>6.6896825670961276E-3</v>
      </c>
      <c r="AP385" s="188">
        <v>0.726952436876101</v>
      </c>
      <c r="AQ385" s="128">
        <v>1704.7173580346355</v>
      </c>
      <c r="AR385" s="188">
        <v>4.8000000000000001E-2</v>
      </c>
      <c r="AS385" s="188">
        <v>0.24</v>
      </c>
      <c r="AT385" s="256">
        <v>5</v>
      </c>
    </row>
    <row r="386" spans="1:46" x14ac:dyDescent="0.25">
      <c r="A386" t="s">
        <v>378</v>
      </c>
      <c r="B386">
        <v>162</v>
      </c>
      <c r="C386">
        <v>422</v>
      </c>
      <c r="D386">
        <v>25196</v>
      </c>
      <c r="E386">
        <v>14</v>
      </c>
      <c r="F386">
        <v>0</v>
      </c>
      <c r="G386">
        <v>575</v>
      </c>
      <c r="H386">
        <v>290</v>
      </c>
      <c r="I386">
        <v>1067</v>
      </c>
      <c r="J386">
        <v>655</v>
      </c>
      <c r="K386">
        <v>6830</v>
      </c>
      <c r="L386">
        <v>150</v>
      </c>
      <c r="M386">
        <v>217</v>
      </c>
      <c r="N386">
        <v>13696</v>
      </c>
      <c r="O386">
        <v>4606</v>
      </c>
      <c r="P386">
        <v>8140</v>
      </c>
      <c r="Q386">
        <v>1</v>
      </c>
      <c r="R386">
        <v>6500</v>
      </c>
      <c r="S386">
        <v>2038</v>
      </c>
      <c r="T386">
        <v>596</v>
      </c>
      <c r="U386" s="128">
        <v>-3</v>
      </c>
      <c r="V386" s="128">
        <v>1459</v>
      </c>
      <c r="W386" s="128">
        <v>28519</v>
      </c>
      <c r="X386" s="128">
        <v>27060</v>
      </c>
      <c r="Y386" s="128">
        <v>-3143</v>
      </c>
      <c r="Z386" s="128">
        <v>112115</v>
      </c>
      <c r="AA386" s="128">
        <v>18328</v>
      </c>
      <c r="AB386" s="128">
        <v>10946</v>
      </c>
      <c r="AC386" s="128" t="s">
        <v>378</v>
      </c>
      <c r="AD386" s="188">
        <f>SUM(R386,-L386)/W386</f>
        <v>0.22265857849153195</v>
      </c>
      <c r="AE386" s="188">
        <v>0.32304779269960376</v>
      </c>
      <c r="AF386" s="188">
        <v>2.0161997264981239E-2</v>
      </c>
      <c r="AG386" s="188">
        <v>6.0380798765735121E-2</v>
      </c>
      <c r="AH386" s="188">
        <v>0.28320067323538695</v>
      </c>
      <c r="AI386" s="188">
        <v>0.38496781628580262</v>
      </c>
      <c r="AJ386" s="188">
        <v>5.1158876538448049E-2</v>
      </c>
      <c r="AK386" s="188">
        <v>-1.3762430243779633E-2</v>
      </c>
      <c r="AL386" s="188">
        <v>-3.7232103066888143E-2</v>
      </c>
      <c r="AM386" s="129">
        <f>COUNTIF(AJ386:AL386,"&lt;0")</f>
        <v>2</v>
      </c>
      <c r="AN386" s="188">
        <v>-2.7551807566885234E-2</v>
      </c>
      <c r="AO386" s="188">
        <v>3.9312388232406468E-3</v>
      </c>
      <c r="AP386" s="188">
        <v>0.64265927977839332</v>
      </c>
      <c r="AQ386" s="128">
        <v>1631.6807052804677</v>
      </c>
      <c r="AR386" s="188">
        <v>3.7999999999999999E-2</v>
      </c>
      <c r="AS386" s="188">
        <v>0.192</v>
      </c>
      <c r="AT386" s="256">
        <v>7</v>
      </c>
    </row>
    <row r="387" spans="1:46" x14ac:dyDescent="0.25">
      <c r="A387" t="s">
        <v>439</v>
      </c>
      <c r="B387">
        <v>28</v>
      </c>
      <c r="C387">
        <v>1019</v>
      </c>
      <c r="D387">
        <v>34634</v>
      </c>
      <c r="E387">
        <v>32</v>
      </c>
      <c r="F387">
        <v>0</v>
      </c>
      <c r="G387">
        <v>120</v>
      </c>
      <c r="H387">
        <v>0</v>
      </c>
      <c r="I387">
        <v>-254</v>
      </c>
      <c r="J387">
        <v>0</v>
      </c>
      <c r="K387">
        <v>5193</v>
      </c>
      <c r="L387">
        <v>35</v>
      </c>
      <c r="M387">
        <v>1058</v>
      </c>
      <c r="N387">
        <v>25749</v>
      </c>
      <c r="O387">
        <v>4896</v>
      </c>
      <c r="P387">
        <v>4467</v>
      </c>
      <c r="Q387">
        <v>0</v>
      </c>
      <c r="R387">
        <v>2100</v>
      </c>
      <c r="S387">
        <v>2214</v>
      </c>
      <c r="T387">
        <v>2439</v>
      </c>
      <c r="U387" s="128">
        <v>9</v>
      </c>
      <c r="V387" s="128">
        <v>-557</v>
      </c>
      <c r="W387" s="128">
        <v>31610</v>
      </c>
      <c r="X387" s="128">
        <v>32167</v>
      </c>
      <c r="Y387" s="128">
        <v>4119</v>
      </c>
      <c r="Z387" s="128">
        <v>536888.89999999991</v>
      </c>
      <c r="AA387" s="128">
        <v>18396</v>
      </c>
      <c r="AB387" s="128">
        <v>11684</v>
      </c>
      <c r="AC387" s="128" t="s">
        <v>439</v>
      </c>
      <c r="AD387" s="188">
        <f>SUM(R387,-L387)/W387</f>
        <v>6.5327428029104712E-2</v>
      </c>
      <c r="AE387" s="188">
        <v>0.15229357798165138</v>
      </c>
      <c r="AF387" s="188">
        <v>3.7962670041126224E-3</v>
      </c>
      <c r="AG387" s="188">
        <v>-8.035431825371718E-3</v>
      </c>
      <c r="AH387" s="188">
        <v>0.1583739322999051</v>
      </c>
      <c r="AI387" s="188">
        <v>0.6150483697599427</v>
      </c>
      <c r="AJ387" s="188">
        <v>-1.7621006010756089E-2</v>
      </c>
      <c r="AK387" s="188">
        <v>-3.007787383010645E-2</v>
      </c>
      <c r="AL387" s="188">
        <v>-0.12533692722371967</v>
      </c>
      <c r="AM387" s="129">
        <f>COUNTIF(AJ387:AL387,"&lt;0")</f>
        <v>3</v>
      </c>
      <c r="AN387" s="188">
        <v>3.2576716229041444E-2</v>
      </c>
      <c r="AO387" s="188">
        <v>1.6984780132869342E-2</v>
      </c>
      <c r="AP387" s="188">
        <v>0.58196773173046501</v>
      </c>
      <c r="AQ387" s="128">
        <v>1999.2482026703183</v>
      </c>
      <c r="AR387" s="188">
        <v>4.4999999999999998E-2</v>
      </c>
      <c r="AS387" s="188">
        <v>0.22500000000000001</v>
      </c>
      <c r="AT387" s="256">
        <v>7</v>
      </c>
    </row>
    <row r="388" spans="1:46" x14ac:dyDescent="0.25">
      <c r="A388" t="s">
        <v>868</v>
      </c>
      <c r="B388">
        <f>SUM(B383:B387)</f>
        <v>5423</v>
      </c>
      <c r="C388">
        <f t="shared" ref="C388:AB388" si="103">SUM(C383:C387)</f>
        <v>14946</v>
      </c>
      <c r="D388">
        <f t="shared" si="103"/>
        <v>249229</v>
      </c>
      <c r="E388">
        <f t="shared" si="103"/>
        <v>4929</v>
      </c>
      <c r="F388">
        <f t="shared" si="103"/>
        <v>1836</v>
      </c>
      <c r="G388">
        <f t="shared" si="103"/>
        <v>5802</v>
      </c>
      <c r="H388">
        <f t="shared" si="103"/>
        <v>927</v>
      </c>
      <c r="I388">
        <f t="shared" si="103"/>
        <v>46348</v>
      </c>
      <c r="J388">
        <f t="shared" si="103"/>
        <v>712</v>
      </c>
      <c r="K388">
        <f t="shared" si="103"/>
        <v>38617</v>
      </c>
      <c r="L388">
        <f t="shared" si="103"/>
        <v>12349</v>
      </c>
      <c r="M388">
        <f t="shared" si="103"/>
        <v>3891</v>
      </c>
      <c r="N388">
        <f t="shared" si="103"/>
        <v>120987</v>
      </c>
      <c r="O388">
        <f t="shared" si="103"/>
        <v>35465</v>
      </c>
      <c r="P388">
        <f t="shared" si="103"/>
        <v>124526</v>
      </c>
      <c r="Q388">
        <f t="shared" si="103"/>
        <v>72</v>
      </c>
      <c r="R388">
        <f t="shared" si="103"/>
        <v>53837</v>
      </c>
      <c r="S388">
        <f t="shared" si="103"/>
        <v>34900</v>
      </c>
      <c r="T388">
        <f t="shared" si="103"/>
        <v>15235</v>
      </c>
      <c r="U388">
        <f t="shared" si="103"/>
        <v>380</v>
      </c>
      <c r="V388">
        <f t="shared" si="103"/>
        <v>-1303</v>
      </c>
      <c r="W388">
        <f t="shared" si="103"/>
        <v>259471</v>
      </c>
      <c r="X388">
        <f t="shared" si="103"/>
        <v>260774</v>
      </c>
      <c r="Y388">
        <f t="shared" si="103"/>
        <v>18486</v>
      </c>
      <c r="Z388">
        <f t="shared" si="103"/>
        <v>2530695.9</v>
      </c>
      <c r="AA388">
        <f t="shared" si="103"/>
        <v>152642</v>
      </c>
      <c r="AB388">
        <f t="shared" si="103"/>
        <v>89523</v>
      </c>
      <c r="AC388" t="s">
        <v>868</v>
      </c>
      <c r="AD388" s="188">
        <f t="shared" ref="AD388" si="104">SUM(R388,-L388)/W388</f>
        <v>0.15989455469011951</v>
      </c>
      <c r="AE388" s="188">
        <f>SUM(P388,Q388,R388,S388,T388,-F388,-G388,-H388,-K388,-L388,-M388)/W388</f>
        <v>0.63647960658416547</v>
      </c>
      <c r="AF388" s="188">
        <f>SUM(F388,G388)/W388</f>
        <v>2.9436815674969457E-2</v>
      </c>
      <c r="AG388" s="188">
        <f>SUM(I388,J388)/W388</f>
        <v>0.18136901619063403</v>
      </c>
      <c r="AH388" s="188">
        <f>SUM(AE388,0.12*AF388,-0.8*AG388)</f>
        <v>0.49491681151265454</v>
      </c>
      <c r="AI388" s="188">
        <f>N388/SUM(N388,O388,P388,Q388,R388,S388,T388)</f>
        <v>0.31423399182384382</v>
      </c>
      <c r="AJ388" s="188">
        <f>V388/W388</f>
        <v>-5.0217558031533391E-3</v>
      </c>
      <c r="AK388" s="188">
        <v>-4.0000000000000001E-3</v>
      </c>
      <c r="AL388" s="188">
        <v>-3.2000000000000001E-2</v>
      </c>
      <c r="AM388" s="129">
        <v>3</v>
      </c>
      <c r="AN388" s="188">
        <f>Y388/(W388*10)</f>
        <v>7.1244956083724191E-3</v>
      </c>
      <c r="AO388" s="188">
        <f>Z388/(W388*1000)</f>
        <v>9.7532899630401858E-3</v>
      </c>
      <c r="AP388" s="188">
        <f>AA388/W388</f>
        <v>0.58828154206057715</v>
      </c>
      <c r="AQ388" s="128">
        <v>1889</v>
      </c>
      <c r="AR388" s="188">
        <v>3.6999999999999998E-2</v>
      </c>
      <c r="AS388" s="188">
        <f>5*AR388</f>
        <v>0.185</v>
      </c>
      <c r="AT388" s="256">
        <v>7</v>
      </c>
    </row>
  </sheetData>
  <sheetProtection algorithmName="SHA-512" hashValue="W1WY/baBQhW4vvf5HmSOuTUefiuKPA0mHyGSwqxbENplqoQjAN86sXPgNdew32/28vEjRVCZh4Xo8L/Qqy2f0g==" saltValue="JzfF2H/W09evUbdV6MHwOg==" spinCount="100000" sheet="1" objects="1" scenarios="1"/>
  <sortState xmlns:xlrd2="http://schemas.microsoft.com/office/spreadsheetml/2017/richdata2" ref="AX2:AZ351">
    <sortCondition ref="AZ2:AZ35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438"/>
  <sheetViews>
    <sheetView zoomScale="98" zoomScaleNormal="98" workbookViewId="0">
      <pane xSplit="2" ySplit="1" topLeftCell="U2" activePane="bottomRight" state="frozen"/>
      <selection pane="topRight" activeCell="C1" sqref="C1"/>
      <selection pane="bottomLeft" activeCell="A2" sqref="A2"/>
      <selection pane="bottomRight" activeCell="V347" sqref="V347"/>
    </sheetView>
  </sheetViews>
  <sheetFormatPr defaultRowHeight="12.5" x14ac:dyDescent="0.25"/>
  <cols>
    <col min="1" max="1" width="10.54296875" style="182" bestFit="1" customWidth="1"/>
    <col min="2" max="2" width="29.90625" style="182" bestFit="1" customWidth="1"/>
    <col min="3" max="3" width="24.54296875" style="182" bestFit="1" customWidth="1"/>
    <col min="4" max="4" width="33.08984375" style="182" bestFit="1" customWidth="1"/>
    <col min="5" max="5" width="36.90625" style="182" bestFit="1" customWidth="1"/>
    <col min="6" max="6" width="17" style="183" bestFit="1" customWidth="1"/>
    <col min="7" max="7" width="17.6328125" style="184" bestFit="1" customWidth="1"/>
    <col min="8" max="8" width="18.453125" style="184" bestFit="1" customWidth="1"/>
    <col min="9" max="9" width="19.54296875" style="184" bestFit="1" customWidth="1"/>
    <col min="10" max="10" width="12.54296875" style="184" bestFit="1" customWidth="1"/>
    <col min="11" max="11" width="37.08984375" style="184" bestFit="1" customWidth="1"/>
    <col min="12" max="12" width="28.36328125" style="184" bestFit="1" customWidth="1"/>
    <col min="13" max="13" width="22" style="184" bestFit="1" customWidth="1"/>
    <col min="14" max="14" width="24.90625" style="184" bestFit="1" customWidth="1"/>
    <col min="15" max="15" width="15.453125" style="184" bestFit="1" customWidth="1"/>
    <col min="16" max="16" width="42.54296875" style="128" bestFit="1" customWidth="1"/>
    <col min="17" max="17" width="30" bestFit="1" customWidth="1"/>
    <col min="18" max="18" width="33.54296875" bestFit="1" customWidth="1"/>
    <col min="19" max="19" width="33" bestFit="1" customWidth="1"/>
    <col min="20" max="20" width="37.453125" style="129" bestFit="1" customWidth="1"/>
    <col min="21" max="22" width="33.90625" bestFit="1" customWidth="1"/>
    <col min="23" max="23" width="21.54296875" bestFit="1" customWidth="1"/>
    <col min="24" max="24" width="27.81640625" bestFit="1" customWidth="1"/>
    <col min="25" max="25" width="32.90625" bestFit="1" customWidth="1"/>
    <col min="26" max="26" width="29.90625" bestFit="1" customWidth="1"/>
    <col min="27" max="27" width="24.6328125" bestFit="1" customWidth="1"/>
    <col min="28" max="28" width="28.453125" bestFit="1" customWidth="1"/>
    <col min="29" max="29" width="18.08984375" bestFit="1" customWidth="1"/>
    <col min="30" max="30" width="21.90625" bestFit="1" customWidth="1"/>
    <col min="31" max="31" width="19.08984375" bestFit="1" customWidth="1"/>
    <col min="32" max="33" width="28.36328125" bestFit="1" customWidth="1"/>
    <col min="34" max="34" width="26" bestFit="1" customWidth="1"/>
  </cols>
  <sheetData>
    <row r="1" spans="1:33" ht="13.25" x14ac:dyDescent="0.25">
      <c r="A1" t="s">
        <v>554</v>
      </c>
      <c r="B1" t="s">
        <v>530</v>
      </c>
      <c r="C1" t="s">
        <v>624</v>
      </c>
      <c r="D1" t="s">
        <v>625</v>
      </c>
      <c r="E1" t="s">
        <v>626</v>
      </c>
      <c r="F1" t="s">
        <v>627</v>
      </c>
      <c r="G1" t="s">
        <v>628</v>
      </c>
      <c r="H1" t="s">
        <v>629</v>
      </c>
      <c r="I1" t="s">
        <v>630</v>
      </c>
      <c r="J1" t="s">
        <v>631</v>
      </c>
      <c r="K1" t="s">
        <v>632</v>
      </c>
      <c r="L1" t="s">
        <v>633</v>
      </c>
      <c r="M1" t="s">
        <v>634</v>
      </c>
      <c r="N1" t="s">
        <v>635</v>
      </c>
      <c r="O1" t="s">
        <v>636</v>
      </c>
      <c r="P1" t="s">
        <v>637</v>
      </c>
      <c r="Q1" t="s">
        <v>638</v>
      </c>
      <c r="R1" t="s">
        <v>639</v>
      </c>
      <c r="S1" t="s">
        <v>640</v>
      </c>
      <c r="T1" t="s">
        <v>641</v>
      </c>
      <c r="U1" t="s">
        <v>642</v>
      </c>
      <c r="V1" t="s">
        <v>643</v>
      </c>
      <c r="W1" t="s">
        <v>909</v>
      </c>
      <c r="X1" t="s">
        <v>910</v>
      </c>
    </row>
    <row r="2" spans="1:33" x14ac:dyDescent="0.25">
      <c r="A2" t="s">
        <v>516</v>
      </c>
      <c r="B2" t="s">
        <v>106</v>
      </c>
      <c r="C2">
        <f>SUM(D2:E2)</f>
        <v>4517</v>
      </c>
      <c r="D2">
        <v>3399</v>
      </c>
      <c r="E2">
        <v>1118</v>
      </c>
      <c r="F2">
        <v>0</v>
      </c>
      <c r="G2">
        <v>0</v>
      </c>
      <c r="H2">
        <v>1647</v>
      </c>
      <c r="I2">
        <v>145</v>
      </c>
      <c r="J2">
        <v>2071</v>
      </c>
      <c r="K2">
        <v>2502</v>
      </c>
      <c r="L2">
        <v>324</v>
      </c>
      <c r="M2">
        <v>130</v>
      </c>
      <c r="N2">
        <v>567</v>
      </c>
      <c r="O2">
        <v>25</v>
      </c>
      <c r="P2">
        <f>SUM(Q2:R2)</f>
        <v>3445000</v>
      </c>
      <c r="Q2">
        <v>3059000</v>
      </c>
      <c r="R2">
        <v>386000</v>
      </c>
      <c r="S2">
        <v>229000</v>
      </c>
      <c r="T2" s="128">
        <f t="shared" ref="T2:T64" si="0">0.1905*SUM(Q2,R2,R2)*10</f>
        <v>7298055</v>
      </c>
      <c r="U2" s="128">
        <f>SUM(T2,-C2*1000)</f>
        <v>2781055</v>
      </c>
      <c r="V2" s="128">
        <f t="shared" ref="V2:V64" si="1">IF(U2&gt;0,U2,0)</f>
        <v>2781055</v>
      </c>
      <c r="W2" s="128">
        <v>63549</v>
      </c>
      <c r="X2" s="188">
        <f>U2/(W2*1000)</f>
        <v>4.3762372342601774E-2</v>
      </c>
      <c r="Y2" s="238"/>
      <c r="AE2" s="128"/>
      <c r="AF2" s="128"/>
      <c r="AG2" s="128"/>
    </row>
    <row r="3" spans="1:33" x14ac:dyDescent="0.25">
      <c r="A3" t="s">
        <v>518</v>
      </c>
      <c r="B3" t="s">
        <v>238</v>
      </c>
      <c r="C3">
        <f t="shared" ref="C3:C66" si="2">SUM(D3:E3)</f>
        <v>10569</v>
      </c>
      <c r="D3">
        <v>5770</v>
      </c>
      <c r="E3">
        <v>4799</v>
      </c>
      <c r="F3">
        <v>19</v>
      </c>
      <c r="G3">
        <v>0</v>
      </c>
      <c r="H3">
        <v>712</v>
      </c>
      <c r="I3">
        <v>333</v>
      </c>
      <c r="J3">
        <v>2897</v>
      </c>
      <c r="K3">
        <v>3711</v>
      </c>
      <c r="L3">
        <v>337</v>
      </c>
      <c r="M3">
        <v>550</v>
      </c>
      <c r="N3">
        <v>872</v>
      </c>
      <c r="O3">
        <v>141</v>
      </c>
      <c r="P3">
        <f t="shared" ref="P3:P66" si="3">SUM(Q3:R3)</f>
        <v>6377000</v>
      </c>
      <c r="Q3">
        <v>5135000</v>
      </c>
      <c r="R3">
        <v>1242000</v>
      </c>
      <c r="S3">
        <v>304000</v>
      </c>
      <c r="T3" s="128">
        <f t="shared" si="0"/>
        <v>14514195</v>
      </c>
      <c r="U3" s="128">
        <f t="shared" ref="U3:U66" si="4">SUM(T3,-C3*1000)</f>
        <v>3945195</v>
      </c>
      <c r="V3" s="128">
        <f t="shared" si="1"/>
        <v>3945195</v>
      </c>
      <c r="W3" s="128">
        <v>89998</v>
      </c>
      <c r="X3" s="188">
        <f t="shared" ref="X3:X66" si="5">U3/(W3*1000)</f>
        <v>4.3836474143869861E-2</v>
      </c>
      <c r="Y3" s="238"/>
      <c r="AE3" s="128"/>
      <c r="AF3" s="128"/>
      <c r="AG3" s="128"/>
    </row>
    <row r="4" spans="1:33" x14ac:dyDescent="0.25">
      <c r="A4" t="s">
        <v>519</v>
      </c>
      <c r="B4" t="s">
        <v>165</v>
      </c>
      <c r="C4">
        <f t="shared" si="2"/>
        <v>5208</v>
      </c>
      <c r="D4">
        <v>3540</v>
      </c>
      <c r="E4">
        <v>1668</v>
      </c>
      <c r="F4">
        <v>9</v>
      </c>
      <c r="G4">
        <v>0</v>
      </c>
      <c r="H4">
        <v>103</v>
      </c>
      <c r="I4">
        <v>348</v>
      </c>
      <c r="J4">
        <v>1983</v>
      </c>
      <c r="K4">
        <v>1435</v>
      </c>
      <c r="L4">
        <v>234</v>
      </c>
      <c r="M4">
        <v>302</v>
      </c>
      <c r="N4">
        <v>361</v>
      </c>
      <c r="O4">
        <v>107</v>
      </c>
      <c r="P4">
        <f t="shared" si="3"/>
        <v>3283000</v>
      </c>
      <c r="Q4">
        <v>2777000</v>
      </c>
      <c r="R4">
        <v>506000</v>
      </c>
      <c r="S4">
        <v>195000</v>
      </c>
      <c r="T4" s="128">
        <f t="shared" si="0"/>
        <v>7218045</v>
      </c>
      <c r="U4" s="128">
        <f t="shared" si="4"/>
        <v>2010045</v>
      </c>
      <c r="V4" s="128">
        <f t="shared" si="1"/>
        <v>2010045</v>
      </c>
      <c r="W4" s="128">
        <v>64640</v>
      </c>
      <c r="X4" s="188">
        <f t="shared" si="5"/>
        <v>3.1095993193069306E-2</v>
      </c>
      <c r="Y4" s="238"/>
      <c r="AE4" s="128"/>
      <c r="AF4" s="128"/>
      <c r="AG4" s="128"/>
    </row>
    <row r="5" spans="1:33" x14ac:dyDescent="0.25">
      <c r="A5" t="s">
        <v>520</v>
      </c>
      <c r="B5" t="s">
        <v>127</v>
      </c>
      <c r="C5">
        <f t="shared" si="2"/>
        <v>6037</v>
      </c>
      <c r="D5">
        <v>3926</v>
      </c>
      <c r="E5">
        <v>2111</v>
      </c>
      <c r="F5">
        <v>0</v>
      </c>
      <c r="G5">
        <v>0</v>
      </c>
      <c r="H5">
        <v>20</v>
      </c>
      <c r="I5">
        <v>49</v>
      </c>
      <c r="J5">
        <v>2197</v>
      </c>
      <c r="K5">
        <v>3937</v>
      </c>
      <c r="L5">
        <v>265</v>
      </c>
      <c r="M5">
        <v>0</v>
      </c>
      <c r="N5">
        <v>478</v>
      </c>
      <c r="O5">
        <v>59</v>
      </c>
      <c r="P5">
        <f t="shared" si="3"/>
        <v>2844000</v>
      </c>
      <c r="Q5">
        <v>2428000</v>
      </c>
      <c r="R5">
        <v>416000</v>
      </c>
      <c r="S5">
        <v>171000</v>
      </c>
      <c r="T5" s="128">
        <f t="shared" si="0"/>
        <v>6210300</v>
      </c>
      <c r="U5" s="128">
        <f t="shared" si="4"/>
        <v>173300</v>
      </c>
      <c r="V5" s="128">
        <f t="shared" si="1"/>
        <v>173300</v>
      </c>
      <c r="W5" s="128">
        <v>87399</v>
      </c>
      <c r="X5" s="188">
        <f t="shared" si="5"/>
        <v>1.9828602157919428E-3</v>
      </c>
      <c r="Y5" s="238"/>
      <c r="AE5" s="128"/>
      <c r="AF5" s="128"/>
      <c r="AG5" s="128"/>
    </row>
    <row r="6" spans="1:33" x14ac:dyDescent="0.25">
      <c r="A6" t="s">
        <v>521</v>
      </c>
      <c r="B6" t="s">
        <v>283</v>
      </c>
      <c r="C6">
        <f t="shared" si="2"/>
        <v>5034</v>
      </c>
      <c r="D6">
        <v>2415</v>
      </c>
      <c r="E6">
        <v>2619</v>
      </c>
      <c r="F6">
        <v>0</v>
      </c>
      <c r="G6">
        <v>77</v>
      </c>
      <c r="H6">
        <v>32</v>
      </c>
      <c r="I6">
        <v>91</v>
      </c>
      <c r="J6">
        <v>1520</v>
      </c>
      <c r="K6">
        <v>3292</v>
      </c>
      <c r="L6">
        <v>174</v>
      </c>
      <c r="M6">
        <v>522</v>
      </c>
      <c r="N6">
        <v>1132</v>
      </c>
      <c r="O6">
        <v>103</v>
      </c>
      <c r="P6">
        <f t="shared" si="3"/>
        <v>2632000</v>
      </c>
      <c r="Q6">
        <v>2124000</v>
      </c>
      <c r="R6">
        <v>508000</v>
      </c>
      <c r="S6">
        <v>204000</v>
      </c>
      <c r="T6" s="128">
        <f t="shared" si="0"/>
        <v>5981700</v>
      </c>
      <c r="U6" s="128">
        <f t="shared" si="4"/>
        <v>947700</v>
      </c>
      <c r="V6" s="128">
        <f t="shared" si="1"/>
        <v>947700</v>
      </c>
      <c r="W6" s="128">
        <v>55491</v>
      </c>
      <c r="X6" s="188">
        <f t="shared" si="5"/>
        <v>1.7078445153268097E-2</v>
      </c>
      <c r="Y6" s="238"/>
      <c r="AE6" s="128"/>
      <c r="AF6" s="128"/>
      <c r="AG6" s="128"/>
    </row>
    <row r="7" spans="1:33" x14ac:dyDescent="0.25">
      <c r="A7" t="s">
        <v>521</v>
      </c>
      <c r="B7" t="s">
        <v>284</v>
      </c>
      <c r="C7">
        <f t="shared" si="2"/>
        <v>7318</v>
      </c>
      <c r="D7">
        <v>4500</v>
      </c>
      <c r="E7">
        <v>2818</v>
      </c>
      <c r="F7">
        <v>0</v>
      </c>
      <c r="G7">
        <v>0</v>
      </c>
      <c r="H7">
        <v>0</v>
      </c>
      <c r="I7">
        <v>0</v>
      </c>
      <c r="J7">
        <v>2982</v>
      </c>
      <c r="K7">
        <v>3995</v>
      </c>
      <c r="L7">
        <v>313</v>
      </c>
      <c r="M7">
        <v>213</v>
      </c>
      <c r="N7">
        <v>556</v>
      </c>
      <c r="O7">
        <v>31</v>
      </c>
      <c r="P7">
        <f t="shared" si="3"/>
        <v>3993000</v>
      </c>
      <c r="Q7">
        <v>3508000</v>
      </c>
      <c r="R7">
        <v>485000</v>
      </c>
      <c r="S7">
        <v>266000</v>
      </c>
      <c r="T7" s="128">
        <f t="shared" si="0"/>
        <v>8530590</v>
      </c>
      <c r="U7" s="128">
        <f t="shared" si="4"/>
        <v>1212590</v>
      </c>
      <c r="V7" s="128">
        <f t="shared" si="1"/>
        <v>1212590</v>
      </c>
      <c r="W7" s="128">
        <v>57589</v>
      </c>
      <c r="X7" s="188">
        <f t="shared" si="5"/>
        <v>2.1055930820121898E-2</v>
      </c>
      <c r="Y7" s="238"/>
      <c r="AE7" s="128"/>
      <c r="AF7" s="128"/>
      <c r="AG7" s="128"/>
    </row>
    <row r="8" spans="1:33" x14ac:dyDescent="0.25">
      <c r="A8" t="s">
        <v>518</v>
      </c>
      <c r="B8" t="s">
        <v>239</v>
      </c>
      <c r="C8">
        <f t="shared" si="2"/>
        <v>25822</v>
      </c>
      <c r="D8">
        <v>10343</v>
      </c>
      <c r="E8">
        <v>15479</v>
      </c>
      <c r="F8">
        <v>8853</v>
      </c>
      <c r="G8">
        <v>519</v>
      </c>
      <c r="H8">
        <v>572</v>
      </c>
      <c r="I8">
        <v>930</v>
      </c>
      <c r="J8">
        <v>8917</v>
      </c>
      <c r="K8">
        <v>14054</v>
      </c>
      <c r="L8">
        <v>993</v>
      </c>
      <c r="M8">
        <v>133</v>
      </c>
      <c r="N8">
        <v>2378</v>
      </c>
      <c r="O8">
        <v>526</v>
      </c>
      <c r="P8">
        <f t="shared" si="3"/>
        <v>16873000</v>
      </c>
      <c r="Q8">
        <v>13862000</v>
      </c>
      <c r="R8">
        <v>3011000</v>
      </c>
      <c r="S8">
        <v>202000</v>
      </c>
      <c r="T8" s="128">
        <f t="shared" si="0"/>
        <v>37879020</v>
      </c>
      <c r="U8" s="128">
        <f t="shared" si="4"/>
        <v>12057020</v>
      </c>
      <c r="V8" s="128">
        <f t="shared" si="1"/>
        <v>12057020</v>
      </c>
      <c r="W8" s="128">
        <v>393919</v>
      </c>
      <c r="X8" s="188">
        <f t="shared" si="5"/>
        <v>3.0607866084144203E-2</v>
      </c>
      <c r="Y8" s="238"/>
      <c r="AE8" s="128"/>
      <c r="AF8" s="128"/>
      <c r="AG8" s="128"/>
    </row>
    <row r="9" spans="1:33" x14ac:dyDescent="0.25">
      <c r="A9" t="s">
        <v>522</v>
      </c>
      <c r="B9" t="s">
        <v>141</v>
      </c>
      <c r="C9">
        <f t="shared" si="2"/>
        <v>24298</v>
      </c>
      <c r="D9">
        <v>10636</v>
      </c>
      <c r="E9">
        <v>13662</v>
      </c>
      <c r="F9">
        <v>2082</v>
      </c>
      <c r="G9">
        <v>50</v>
      </c>
      <c r="H9">
        <v>399</v>
      </c>
      <c r="I9">
        <v>125</v>
      </c>
      <c r="J9">
        <v>10745</v>
      </c>
      <c r="K9">
        <v>8407</v>
      </c>
      <c r="L9">
        <v>699</v>
      </c>
      <c r="M9">
        <v>418</v>
      </c>
      <c r="N9">
        <v>1756</v>
      </c>
      <c r="O9">
        <v>249</v>
      </c>
      <c r="P9">
        <f t="shared" si="3"/>
        <v>8536000</v>
      </c>
      <c r="Q9">
        <v>6621000</v>
      </c>
      <c r="R9">
        <v>1915000</v>
      </c>
      <c r="S9">
        <v>160000</v>
      </c>
      <c r="T9" s="128">
        <f t="shared" si="0"/>
        <v>19909155</v>
      </c>
      <c r="U9" s="128">
        <f t="shared" si="4"/>
        <v>-4388845</v>
      </c>
      <c r="V9" s="128">
        <f t="shared" si="1"/>
        <v>0</v>
      </c>
      <c r="W9" s="128">
        <v>314474</v>
      </c>
      <c r="X9" s="188">
        <f t="shared" si="5"/>
        <v>-1.395614581809625E-2</v>
      </c>
      <c r="Y9" s="238"/>
      <c r="AE9" s="128"/>
      <c r="AF9" s="128"/>
      <c r="AG9" s="128"/>
    </row>
    <row r="10" spans="1:33" x14ac:dyDescent="0.25">
      <c r="A10" t="s">
        <v>523</v>
      </c>
      <c r="B10" t="s">
        <v>429</v>
      </c>
      <c r="C10">
        <f t="shared" si="2"/>
        <v>49677</v>
      </c>
      <c r="D10">
        <v>28386</v>
      </c>
      <c r="E10">
        <v>21291</v>
      </c>
      <c r="F10">
        <v>16137</v>
      </c>
      <c r="G10">
        <v>240</v>
      </c>
      <c r="H10">
        <v>1199</v>
      </c>
      <c r="I10">
        <v>26</v>
      </c>
      <c r="J10">
        <v>16598</v>
      </c>
      <c r="K10">
        <v>33756</v>
      </c>
      <c r="L10">
        <v>2447</v>
      </c>
      <c r="M10">
        <v>0</v>
      </c>
      <c r="N10">
        <v>10686</v>
      </c>
      <c r="O10">
        <v>835</v>
      </c>
      <c r="P10">
        <f t="shared" si="3"/>
        <v>28120000</v>
      </c>
      <c r="Q10">
        <v>24382000</v>
      </c>
      <c r="R10">
        <v>3738000</v>
      </c>
      <c r="S10">
        <v>198000</v>
      </c>
      <c r="T10" s="128">
        <f t="shared" si="0"/>
        <v>60689490</v>
      </c>
      <c r="U10" s="128">
        <f t="shared" si="4"/>
        <v>11012490</v>
      </c>
      <c r="V10" s="128">
        <f t="shared" si="1"/>
        <v>11012490</v>
      </c>
      <c r="W10" s="128">
        <v>948569</v>
      </c>
      <c r="X10" s="188">
        <f t="shared" si="5"/>
        <v>1.1609582434171895E-2</v>
      </c>
      <c r="Y10" s="238"/>
      <c r="AE10" s="128"/>
      <c r="AF10" s="128"/>
      <c r="AG10" s="128"/>
    </row>
    <row r="11" spans="1:33" x14ac:dyDescent="0.25">
      <c r="A11" t="s">
        <v>521</v>
      </c>
      <c r="B11" t="s">
        <v>285</v>
      </c>
      <c r="C11">
        <f t="shared" si="2"/>
        <v>22021</v>
      </c>
      <c r="D11">
        <v>13504</v>
      </c>
      <c r="E11">
        <v>8517</v>
      </c>
      <c r="F11">
        <v>4041</v>
      </c>
      <c r="G11">
        <v>0</v>
      </c>
      <c r="H11">
        <v>100</v>
      </c>
      <c r="I11">
        <v>558</v>
      </c>
      <c r="J11">
        <v>12865</v>
      </c>
      <c r="K11">
        <v>14380</v>
      </c>
      <c r="L11">
        <v>1843</v>
      </c>
      <c r="M11">
        <v>850</v>
      </c>
      <c r="N11">
        <v>1928</v>
      </c>
      <c r="O11">
        <v>294</v>
      </c>
      <c r="P11">
        <f t="shared" si="3"/>
        <v>16123000</v>
      </c>
      <c r="Q11">
        <v>13873000</v>
      </c>
      <c r="R11">
        <v>2250000</v>
      </c>
      <c r="S11">
        <v>231000</v>
      </c>
      <c r="T11" s="128">
        <f t="shared" si="0"/>
        <v>35000565</v>
      </c>
      <c r="U11" s="128">
        <f t="shared" si="4"/>
        <v>12979565</v>
      </c>
      <c r="V11" s="128">
        <f t="shared" si="1"/>
        <v>12979565</v>
      </c>
      <c r="W11" s="128">
        <v>335894</v>
      </c>
      <c r="X11" s="188">
        <f t="shared" si="5"/>
        <v>3.8641848321196569E-2</v>
      </c>
      <c r="Y11" s="238"/>
      <c r="AE11" s="128"/>
      <c r="AF11" s="128"/>
      <c r="AG11" s="128"/>
    </row>
    <row r="12" spans="1:33" x14ac:dyDescent="0.25">
      <c r="A12" t="s">
        <v>517</v>
      </c>
      <c r="B12" t="s">
        <v>343</v>
      </c>
      <c r="C12">
        <f t="shared" si="2"/>
        <v>2541</v>
      </c>
      <c r="D12">
        <v>1699</v>
      </c>
      <c r="E12">
        <v>842</v>
      </c>
      <c r="F12">
        <v>0</v>
      </c>
      <c r="G12">
        <v>0</v>
      </c>
      <c r="H12">
        <v>234</v>
      </c>
      <c r="I12">
        <v>37</v>
      </c>
      <c r="J12">
        <v>1419</v>
      </c>
      <c r="K12">
        <v>1149</v>
      </c>
      <c r="L12">
        <v>160</v>
      </c>
      <c r="M12">
        <v>19</v>
      </c>
      <c r="N12">
        <v>448</v>
      </c>
      <c r="O12">
        <v>53</v>
      </c>
      <c r="P12">
        <f t="shared" si="3"/>
        <v>1775000</v>
      </c>
      <c r="Q12">
        <v>1459000</v>
      </c>
      <c r="R12">
        <v>316000</v>
      </c>
      <c r="S12">
        <v>307000</v>
      </c>
      <c r="T12" s="128">
        <f t="shared" si="0"/>
        <v>3983355</v>
      </c>
      <c r="U12" s="128">
        <f t="shared" si="4"/>
        <v>1442355</v>
      </c>
      <c r="V12" s="128">
        <f t="shared" si="1"/>
        <v>1442355</v>
      </c>
      <c r="W12" s="128">
        <v>25299</v>
      </c>
      <c r="X12" s="188">
        <f t="shared" si="5"/>
        <v>5.7012332503261001E-2</v>
      </c>
      <c r="Y12" s="238"/>
      <c r="AE12" s="128"/>
      <c r="AF12" s="128"/>
      <c r="AG12" s="128"/>
    </row>
    <row r="13" spans="1:33" x14ac:dyDescent="0.25">
      <c r="A13" t="s">
        <v>517</v>
      </c>
      <c r="B13" t="s">
        <v>598</v>
      </c>
      <c r="C13">
        <f t="shared" si="2"/>
        <v>9796</v>
      </c>
      <c r="D13">
        <v>6657</v>
      </c>
      <c r="E13">
        <v>3139</v>
      </c>
      <c r="F13">
        <v>0</v>
      </c>
      <c r="G13">
        <v>0</v>
      </c>
      <c r="H13">
        <v>147</v>
      </c>
      <c r="I13">
        <v>82</v>
      </c>
      <c r="J13">
        <v>5503</v>
      </c>
      <c r="K13">
        <v>6148</v>
      </c>
      <c r="L13">
        <v>583</v>
      </c>
      <c r="M13">
        <v>879</v>
      </c>
      <c r="N13">
        <v>2685</v>
      </c>
      <c r="O13">
        <v>794</v>
      </c>
      <c r="P13">
        <f t="shared" si="3"/>
        <v>7562000</v>
      </c>
      <c r="Q13">
        <v>6496000</v>
      </c>
      <c r="R13">
        <v>1066000</v>
      </c>
      <c r="S13">
        <v>245000</v>
      </c>
      <c r="T13" s="128">
        <f t="shared" si="0"/>
        <v>16436340</v>
      </c>
      <c r="U13" s="128">
        <f t="shared" si="4"/>
        <v>6640340</v>
      </c>
      <c r="V13" s="128">
        <f t="shared" si="1"/>
        <v>6640340</v>
      </c>
      <c r="W13" s="128">
        <v>135145</v>
      </c>
      <c r="X13" s="188">
        <f t="shared" si="5"/>
        <v>4.9134929150172035E-2</v>
      </c>
      <c r="Y13" s="238"/>
      <c r="AE13" s="128"/>
      <c r="AF13" s="128"/>
      <c r="AG13" s="128"/>
    </row>
    <row r="14" spans="1:33" x14ac:dyDescent="0.25">
      <c r="A14" t="s">
        <v>520</v>
      </c>
      <c r="B14" t="s">
        <v>128</v>
      </c>
      <c r="C14">
        <f t="shared" si="2"/>
        <v>1515</v>
      </c>
      <c r="D14">
        <v>1018</v>
      </c>
      <c r="E14">
        <v>497</v>
      </c>
      <c r="F14">
        <v>0</v>
      </c>
      <c r="G14">
        <v>0</v>
      </c>
      <c r="H14">
        <v>2876</v>
      </c>
      <c r="I14">
        <v>1679</v>
      </c>
      <c r="J14">
        <v>831</v>
      </c>
      <c r="K14">
        <v>1279</v>
      </c>
      <c r="L14">
        <v>61</v>
      </c>
      <c r="M14">
        <v>45</v>
      </c>
      <c r="N14">
        <v>228</v>
      </c>
      <c r="O14">
        <v>87</v>
      </c>
      <c r="P14">
        <f t="shared" si="3"/>
        <v>1324000</v>
      </c>
      <c r="Q14">
        <v>1128000</v>
      </c>
      <c r="R14">
        <v>196000</v>
      </c>
      <c r="S14">
        <v>238000</v>
      </c>
      <c r="T14" s="128">
        <f t="shared" si="0"/>
        <v>2895600</v>
      </c>
      <c r="U14" s="128">
        <f t="shared" si="4"/>
        <v>1380600</v>
      </c>
      <c r="V14" s="128">
        <f t="shared" si="1"/>
        <v>1380600</v>
      </c>
      <c r="W14" s="128">
        <v>23068</v>
      </c>
      <c r="X14" s="188">
        <f t="shared" si="5"/>
        <v>5.9849141668111672E-2</v>
      </c>
      <c r="Y14" s="238"/>
      <c r="AE14" s="128"/>
      <c r="AF14" s="128"/>
      <c r="AG14" s="128"/>
    </row>
    <row r="15" spans="1:33" x14ac:dyDescent="0.25">
      <c r="A15" t="s">
        <v>524</v>
      </c>
      <c r="B15" t="s">
        <v>214</v>
      </c>
      <c r="C15">
        <f t="shared" si="2"/>
        <v>51657</v>
      </c>
      <c r="D15">
        <v>28653</v>
      </c>
      <c r="E15">
        <v>23004</v>
      </c>
      <c r="F15">
        <v>3598</v>
      </c>
      <c r="G15">
        <v>275</v>
      </c>
      <c r="H15">
        <v>600</v>
      </c>
      <c r="I15">
        <v>1206</v>
      </c>
      <c r="J15">
        <v>14215</v>
      </c>
      <c r="K15">
        <v>21165</v>
      </c>
      <c r="L15">
        <v>2465</v>
      </c>
      <c r="M15">
        <v>4260</v>
      </c>
      <c r="N15">
        <v>4099</v>
      </c>
      <c r="O15">
        <v>1136</v>
      </c>
      <c r="P15">
        <f t="shared" si="3"/>
        <v>26687000</v>
      </c>
      <c r="Q15">
        <v>23009000</v>
      </c>
      <c r="R15">
        <v>3678000</v>
      </c>
      <c r="S15">
        <v>254000</v>
      </c>
      <c r="T15" s="128">
        <f t="shared" si="0"/>
        <v>57845325</v>
      </c>
      <c r="U15" s="128">
        <f t="shared" si="4"/>
        <v>6188325</v>
      </c>
      <c r="V15" s="128">
        <f t="shared" si="1"/>
        <v>6188325</v>
      </c>
      <c r="W15" s="128">
        <v>576833</v>
      </c>
      <c r="X15" s="188">
        <f t="shared" si="5"/>
        <v>1.072810501479631E-2</v>
      </c>
      <c r="Y15" s="238"/>
      <c r="AE15" s="128"/>
      <c r="AF15" s="128"/>
      <c r="AG15" s="128"/>
    </row>
    <row r="16" spans="1:33" x14ac:dyDescent="0.25">
      <c r="A16" t="s">
        <v>518</v>
      </c>
      <c r="B16" t="s">
        <v>240</v>
      </c>
      <c r="C16">
        <f t="shared" si="2"/>
        <v>23840</v>
      </c>
      <c r="D16">
        <v>12446</v>
      </c>
      <c r="E16">
        <v>11394</v>
      </c>
      <c r="F16">
        <v>3743</v>
      </c>
      <c r="G16">
        <v>0</v>
      </c>
      <c r="H16">
        <v>1062</v>
      </c>
      <c r="I16">
        <v>0</v>
      </c>
      <c r="J16">
        <v>9267</v>
      </c>
      <c r="K16">
        <v>11030</v>
      </c>
      <c r="L16">
        <v>1481</v>
      </c>
      <c r="M16">
        <v>4454</v>
      </c>
      <c r="N16">
        <v>1898</v>
      </c>
      <c r="O16">
        <v>320</v>
      </c>
      <c r="P16">
        <f t="shared" si="3"/>
        <v>21542000</v>
      </c>
      <c r="Q16">
        <v>18924000</v>
      </c>
      <c r="R16">
        <v>2618000</v>
      </c>
      <c r="S16">
        <v>342000</v>
      </c>
      <c r="T16" s="128">
        <f t="shared" si="0"/>
        <v>46024800</v>
      </c>
      <c r="U16" s="128">
        <f t="shared" si="4"/>
        <v>22184800</v>
      </c>
      <c r="V16" s="128">
        <f t="shared" si="1"/>
        <v>22184800</v>
      </c>
      <c r="W16" s="128">
        <v>265156</v>
      </c>
      <c r="X16" s="188">
        <f t="shared" si="5"/>
        <v>8.3666973404335557E-2</v>
      </c>
      <c r="Y16" s="238"/>
      <c r="AE16" s="128"/>
      <c r="AF16" s="128"/>
      <c r="AG16" s="128"/>
    </row>
    <row r="17" spans="1:33" x14ac:dyDescent="0.25">
      <c r="A17" t="s">
        <v>518</v>
      </c>
      <c r="B17" t="s">
        <v>241</v>
      </c>
      <c r="C17">
        <f t="shared" si="2"/>
        <v>222839</v>
      </c>
      <c r="D17">
        <v>83575</v>
      </c>
      <c r="E17">
        <v>139264</v>
      </c>
      <c r="F17">
        <v>315963</v>
      </c>
      <c r="G17">
        <v>2681</v>
      </c>
      <c r="H17">
        <v>135000</v>
      </c>
      <c r="I17">
        <v>10303</v>
      </c>
      <c r="J17">
        <v>82350</v>
      </c>
      <c r="K17">
        <v>175815</v>
      </c>
      <c r="L17">
        <v>14122</v>
      </c>
      <c r="M17">
        <v>6277</v>
      </c>
      <c r="N17">
        <v>54028</v>
      </c>
      <c r="O17">
        <v>41234</v>
      </c>
      <c r="P17">
        <f t="shared" si="3"/>
        <v>238181000</v>
      </c>
      <c r="Q17">
        <v>189438000</v>
      </c>
      <c r="R17">
        <v>48743000</v>
      </c>
      <c r="S17">
        <v>340000</v>
      </c>
      <c r="T17" s="128">
        <f t="shared" si="0"/>
        <v>546590220</v>
      </c>
      <c r="U17" s="128">
        <f t="shared" si="4"/>
        <v>323751220</v>
      </c>
      <c r="V17" s="128">
        <f t="shared" si="1"/>
        <v>323751220</v>
      </c>
      <c r="W17" s="128">
        <v>5401107</v>
      </c>
      <c r="X17" s="188">
        <f t="shared" si="5"/>
        <v>5.9941641593103043E-2</v>
      </c>
      <c r="Y17" s="238"/>
      <c r="AE17" s="128"/>
      <c r="AF17" s="128"/>
      <c r="AG17" s="128"/>
    </row>
    <row r="18" spans="1:33" x14ac:dyDescent="0.25">
      <c r="A18" t="s">
        <v>519</v>
      </c>
      <c r="B18" t="s">
        <v>166</v>
      </c>
      <c r="C18">
        <f t="shared" si="2"/>
        <v>55477</v>
      </c>
      <c r="D18">
        <v>26536</v>
      </c>
      <c r="E18">
        <v>28941</v>
      </c>
      <c r="F18">
        <v>4343</v>
      </c>
      <c r="G18">
        <v>487</v>
      </c>
      <c r="H18">
        <v>2206</v>
      </c>
      <c r="I18">
        <v>1199</v>
      </c>
      <c r="J18">
        <v>12846</v>
      </c>
      <c r="K18">
        <v>20811</v>
      </c>
      <c r="L18">
        <v>2101</v>
      </c>
      <c r="M18">
        <v>1647</v>
      </c>
      <c r="N18">
        <v>5397</v>
      </c>
      <c r="O18">
        <v>1220</v>
      </c>
      <c r="P18">
        <f t="shared" si="3"/>
        <v>24535000</v>
      </c>
      <c r="Q18">
        <v>20391000</v>
      </c>
      <c r="R18">
        <v>4144000</v>
      </c>
      <c r="S18">
        <v>223000</v>
      </c>
      <c r="T18" s="128">
        <f t="shared" si="0"/>
        <v>54633495</v>
      </c>
      <c r="U18" s="128">
        <f t="shared" si="4"/>
        <v>-843505</v>
      </c>
      <c r="V18" s="128">
        <f t="shared" si="1"/>
        <v>0</v>
      </c>
      <c r="W18" s="128">
        <v>593885</v>
      </c>
      <c r="X18" s="188">
        <f t="shared" si="5"/>
        <v>-1.4203170647515933E-3</v>
      </c>
      <c r="Y18" s="238"/>
      <c r="AE18" s="128"/>
      <c r="AF18" s="128"/>
      <c r="AG18" s="128"/>
    </row>
    <row r="19" spans="1:33" x14ac:dyDescent="0.25">
      <c r="A19" t="s">
        <v>519</v>
      </c>
      <c r="B19" t="s">
        <v>167</v>
      </c>
      <c r="C19">
        <f t="shared" si="2"/>
        <v>54703</v>
      </c>
      <c r="D19">
        <v>25997</v>
      </c>
      <c r="E19">
        <v>28706</v>
      </c>
      <c r="F19">
        <v>15444</v>
      </c>
      <c r="G19">
        <v>0</v>
      </c>
      <c r="H19">
        <v>525</v>
      </c>
      <c r="I19">
        <v>54</v>
      </c>
      <c r="J19">
        <v>17148</v>
      </c>
      <c r="K19">
        <v>20119</v>
      </c>
      <c r="L19">
        <v>2114</v>
      </c>
      <c r="M19">
        <v>0</v>
      </c>
      <c r="N19">
        <v>4037</v>
      </c>
      <c r="O19">
        <v>1311</v>
      </c>
      <c r="P19">
        <f t="shared" si="3"/>
        <v>21772000</v>
      </c>
      <c r="Q19">
        <v>18017000</v>
      </c>
      <c r="R19">
        <v>3755000</v>
      </c>
      <c r="S19">
        <v>187000</v>
      </c>
      <c r="T19" s="128">
        <f t="shared" si="0"/>
        <v>48628935</v>
      </c>
      <c r="U19" s="128">
        <f t="shared" si="4"/>
        <v>-6074065</v>
      </c>
      <c r="V19" s="128">
        <f t="shared" si="1"/>
        <v>0</v>
      </c>
      <c r="W19" s="128">
        <v>763281</v>
      </c>
      <c r="X19" s="188">
        <f t="shared" si="5"/>
        <v>-7.9578359739073817E-3</v>
      </c>
      <c r="Y19" s="238"/>
      <c r="AE19" s="128"/>
      <c r="AF19" s="128"/>
      <c r="AG19" s="128"/>
    </row>
    <row r="20" spans="1:33" x14ac:dyDescent="0.25">
      <c r="A20" t="s">
        <v>516</v>
      </c>
      <c r="B20" t="s">
        <v>107</v>
      </c>
      <c r="C20">
        <f t="shared" si="2"/>
        <v>20838</v>
      </c>
      <c r="D20">
        <v>11752</v>
      </c>
      <c r="E20">
        <v>9086</v>
      </c>
      <c r="F20">
        <v>4868</v>
      </c>
      <c r="G20">
        <v>90</v>
      </c>
      <c r="H20">
        <v>720</v>
      </c>
      <c r="I20">
        <v>0</v>
      </c>
      <c r="J20">
        <v>4720</v>
      </c>
      <c r="K20">
        <v>7194</v>
      </c>
      <c r="L20">
        <v>914</v>
      </c>
      <c r="M20">
        <v>561</v>
      </c>
      <c r="N20">
        <v>1999</v>
      </c>
      <c r="O20">
        <v>134</v>
      </c>
      <c r="P20">
        <f t="shared" si="3"/>
        <v>7967000</v>
      </c>
      <c r="Q20">
        <v>6738000</v>
      </c>
      <c r="R20">
        <v>1229000</v>
      </c>
      <c r="S20">
        <v>172000</v>
      </c>
      <c r="T20" s="128">
        <f t="shared" si="0"/>
        <v>17518380</v>
      </c>
      <c r="U20" s="128">
        <f t="shared" si="4"/>
        <v>-3319620</v>
      </c>
      <c r="V20" s="128">
        <f t="shared" si="1"/>
        <v>0</v>
      </c>
      <c r="W20" s="128">
        <v>312718</v>
      </c>
      <c r="X20" s="188">
        <f t="shared" si="5"/>
        <v>-1.0615378711810642E-2</v>
      </c>
      <c r="Y20" s="238"/>
      <c r="AE20" s="128"/>
      <c r="AF20" s="128"/>
      <c r="AG20" s="128"/>
    </row>
    <row r="21" spans="1:33" x14ac:dyDescent="0.25">
      <c r="A21" t="s">
        <v>517</v>
      </c>
      <c r="B21" t="s">
        <v>344</v>
      </c>
      <c r="C21">
        <f t="shared" si="2"/>
        <v>4534</v>
      </c>
      <c r="D21">
        <v>2680</v>
      </c>
      <c r="E21">
        <v>1854</v>
      </c>
      <c r="F21">
        <v>0</v>
      </c>
      <c r="G21">
        <v>0</v>
      </c>
      <c r="H21">
        <v>506</v>
      </c>
      <c r="I21">
        <v>127</v>
      </c>
      <c r="J21">
        <v>2222</v>
      </c>
      <c r="K21">
        <v>1172</v>
      </c>
      <c r="L21">
        <v>252</v>
      </c>
      <c r="M21">
        <v>0</v>
      </c>
      <c r="N21">
        <v>898</v>
      </c>
      <c r="O21">
        <v>33</v>
      </c>
      <c r="P21">
        <f t="shared" si="3"/>
        <v>2669000</v>
      </c>
      <c r="Q21">
        <v>2229000</v>
      </c>
      <c r="R21">
        <v>440000</v>
      </c>
      <c r="T21" s="128">
        <f t="shared" si="0"/>
        <v>5922645</v>
      </c>
      <c r="U21" s="128">
        <f t="shared" si="4"/>
        <v>1388645</v>
      </c>
      <c r="V21" s="128">
        <f t="shared" si="1"/>
        <v>1388645</v>
      </c>
      <c r="W21" s="128">
        <v>43424</v>
      </c>
      <c r="X21" s="188">
        <f t="shared" si="5"/>
        <v>3.1978744473102429E-2</v>
      </c>
      <c r="Y21" s="238"/>
      <c r="AE21" s="128"/>
      <c r="AF21" s="128"/>
      <c r="AG21" s="128"/>
    </row>
    <row r="22" spans="1:33" x14ac:dyDescent="0.25">
      <c r="A22" t="s">
        <v>517</v>
      </c>
      <c r="B22" t="s">
        <v>345</v>
      </c>
      <c r="C22">
        <f t="shared" si="2"/>
        <v>1636</v>
      </c>
      <c r="D22">
        <v>950</v>
      </c>
      <c r="E22">
        <v>686</v>
      </c>
      <c r="F22">
        <v>1</v>
      </c>
      <c r="G22">
        <v>9</v>
      </c>
      <c r="H22">
        <v>74</v>
      </c>
      <c r="I22">
        <v>344</v>
      </c>
      <c r="J22">
        <v>678</v>
      </c>
      <c r="K22">
        <v>836</v>
      </c>
      <c r="L22">
        <v>69</v>
      </c>
      <c r="M22">
        <v>0</v>
      </c>
      <c r="N22">
        <v>447</v>
      </c>
      <c r="O22">
        <v>45</v>
      </c>
      <c r="P22">
        <f t="shared" si="3"/>
        <v>1228000</v>
      </c>
      <c r="Q22">
        <v>950000</v>
      </c>
      <c r="R22">
        <v>278000</v>
      </c>
      <c r="S22">
        <v>265000</v>
      </c>
      <c r="T22" s="128">
        <f t="shared" si="0"/>
        <v>2868930</v>
      </c>
      <c r="U22" s="128">
        <f t="shared" si="4"/>
        <v>1232930</v>
      </c>
      <c r="V22" s="128">
        <f t="shared" si="1"/>
        <v>1232930</v>
      </c>
      <c r="W22" s="128">
        <v>18968</v>
      </c>
      <c r="X22" s="188">
        <f t="shared" si="5"/>
        <v>6.5000527203711508E-2</v>
      </c>
      <c r="Y22" s="238"/>
      <c r="AE22" s="128"/>
      <c r="AF22" s="128"/>
      <c r="AG22" s="128"/>
    </row>
    <row r="23" spans="1:33" x14ac:dyDescent="0.25">
      <c r="A23" t="s">
        <v>524</v>
      </c>
      <c r="B23" t="s">
        <v>215</v>
      </c>
      <c r="C23">
        <f t="shared" si="2"/>
        <v>6164</v>
      </c>
      <c r="D23">
        <v>4410</v>
      </c>
      <c r="E23">
        <v>1754</v>
      </c>
      <c r="F23">
        <v>20</v>
      </c>
      <c r="G23">
        <v>41</v>
      </c>
      <c r="H23">
        <v>91</v>
      </c>
      <c r="I23">
        <v>171</v>
      </c>
      <c r="J23">
        <v>2866</v>
      </c>
      <c r="K23">
        <v>3904</v>
      </c>
      <c r="L23">
        <v>315</v>
      </c>
      <c r="M23">
        <v>452</v>
      </c>
      <c r="N23">
        <v>401</v>
      </c>
      <c r="O23">
        <v>56</v>
      </c>
      <c r="P23">
        <f t="shared" si="3"/>
        <v>4884000</v>
      </c>
      <c r="Q23">
        <v>4435000</v>
      </c>
      <c r="R23">
        <v>449000</v>
      </c>
      <c r="S23">
        <v>306000</v>
      </c>
      <c r="T23" s="128">
        <f t="shared" si="0"/>
        <v>10159365</v>
      </c>
      <c r="U23" s="128">
        <f t="shared" si="4"/>
        <v>3995365</v>
      </c>
      <c r="V23" s="128">
        <f t="shared" si="1"/>
        <v>3995365</v>
      </c>
      <c r="W23" s="128">
        <v>61091</v>
      </c>
      <c r="X23" s="188">
        <f t="shared" si="5"/>
        <v>6.5400222618716336E-2</v>
      </c>
      <c r="Y23" s="238"/>
      <c r="AE23" s="128"/>
      <c r="AF23" s="128"/>
      <c r="AG23" s="128"/>
    </row>
    <row r="24" spans="1:33" x14ac:dyDescent="0.25">
      <c r="A24" t="s">
        <v>521</v>
      </c>
      <c r="B24" t="s">
        <v>286</v>
      </c>
      <c r="C24">
        <f t="shared" si="2"/>
        <v>10685</v>
      </c>
      <c r="D24">
        <v>7124</v>
      </c>
      <c r="E24">
        <v>3561</v>
      </c>
      <c r="F24">
        <v>43</v>
      </c>
      <c r="G24">
        <v>0</v>
      </c>
      <c r="H24">
        <v>25</v>
      </c>
      <c r="I24">
        <v>289</v>
      </c>
      <c r="J24">
        <v>3250</v>
      </c>
      <c r="K24">
        <v>6314</v>
      </c>
      <c r="L24">
        <v>546</v>
      </c>
      <c r="M24">
        <v>530</v>
      </c>
      <c r="N24">
        <v>1771</v>
      </c>
      <c r="O24">
        <v>140</v>
      </c>
      <c r="P24">
        <f t="shared" si="3"/>
        <v>7678000</v>
      </c>
      <c r="Q24">
        <v>6556000</v>
      </c>
      <c r="R24">
        <v>1122000</v>
      </c>
      <c r="S24">
        <v>263000</v>
      </c>
      <c r="T24" s="128">
        <f t="shared" si="0"/>
        <v>16764000</v>
      </c>
      <c r="U24" s="128">
        <f t="shared" si="4"/>
        <v>6079000</v>
      </c>
      <c r="V24" s="128">
        <f t="shared" si="1"/>
        <v>6079000</v>
      </c>
      <c r="W24" s="128">
        <v>117439</v>
      </c>
      <c r="X24" s="188">
        <f t="shared" si="5"/>
        <v>5.176304294144194E-2</v>
      </c>
      <c r="Y24" s="238"/>
      <c r="AE24" s="128"/>
      <c r="AF24" s="128"/>
      <c r="AG24" s="128"/>
    </row>
    <row r="25" spans="1:33" x14ac:dyDescent="0.25">
      <c r="A25" t="s">
        <v>519</v>
      </c>
      <c r="B25" t="s">
        <v>168</v>
      </c>
      <c r="C25">
        <f t="shared" si="2"/>
        <v>13486</v>
      </c>
      <c r="D25">
        <v>7052</v>
      </c>
      <c r="E25">
        <v>6434</v>
      </c>
      <c r="F25">
        <v>843</v>
      </c>
      <c r="G25">
        <v>2755</v>
      </c>
      <c r="H25">
        <v>585</v>
      </c>
      <c r="I25">
        <v>1378</v>
      </c>
      <c r="J25">
        <v>5159</v>
      </c>
      <c r="K25">
        <v>6429</v>
      </c>
      <c r="L25">
        <v>1029</v>
      </c>
      <c r="M25">
        <v>982</v>
      </c>
      <c r="N25">
        <v>3363</v>
      </c>
      <c r="O25">
        <v>111</v>
      </c>
      <c r="P25">
        <f t="shared" si="3"/>
        <v>9810000</v>
      </c>
      <c r="Q25">
        <v>7693000</v>
      </c>
      <c r="R25">
        <v>2117000</v>
      </c>
      <c r="S25">
        <v>277000</v>
      </c>
      <c r="T25" s="128">
        <f t="shared" si="0"/>
        <v>22720935</v>
      </c>
      <c r="U25" s="128">
        <f t="shared" si="4"/>
        <v>9234935</v>
      </c>
      <c r="V25" s="128">
        <f t="shared" si="1"/>
        <v>9234935</v>
      </c>
      <c r="W25" s="128">
        <v>141706</v>
      </c>
      <c r="X25" s="188">
        <f t="shared" si="5"/>
        <v>6.5169682299973178E-2</v>
      </c>
      <c r="Y25" s="238"/>
      <c r="AE25" s="128"/>
      <c r="AF25" s="128"/>
      <c r="AG25" s="128"/>
    </row>
    <row r="26" spans="1:33" x14ac:dyDescent="0.25">
      <c r="A26" t="s">
        <v>526</v>
      </c>
      <c r="B26" t="s">
        <v>400</v>
      </c>
      <c r="C26">
        <f t="shared" si="2"/>
        <v>4975</v>
      </c>
      <c r="D26">
        <v>2630</v>
      </c>
      <c r="E26">
        <v>2345</v>
      </c>
      <c r="F26">
        <v>0</v>
      </c>
      <c r="G26">
        <v>0</v>
      </c>
      <c r="H26">
        <v>27</v>
      </c>
      <c r="I26">
        <v>219</v>
      </c>
      <c r="J26">
        <v>1931</v>
      </c>
      <c r="K26">
        <v>2206</v>
      </c>
      <c r="L26">
        <v>189</v>
      </c>
      <c r="M26">
        <v>52</v>
      </c>
      <c r="N26">
        <v>389</v>
      </c>
      <c r="O26">
        <v>26</v>
      </c>
      <c r="P26">
        <f t="shared" si="3"/>
        <v>2257000</v>
      </c>
      <c r="Q26">
        <v>1781000</v>
      </c>
      <c r="R26">
        <v>476000</v>
      </c>
      <c r="S26">
        <v>192000</v>
      </c>
      <c r="T26" s="128">
        <f t="shared" si="0"/>
        <v>5206365</v>
      </c>
      <c r="U26" s="128">
        <f t="shared" si="4"/>
        <v>231365</v>
      </c>
      <c r="V26" s="128">
        <f t="shared" si="1"/>
        <v>231365</v>
      </c>
      <c r="W26" s="128">
        <v>42747</v>
      </c>
      <c r="X26" s="188">
        <f t="shared" si="5"/>
        <v>5.4124266030364703E-3</v>
      </c>
      <c r="Y26" s="238"/>
      <c r="AE26" s="128"/>
      <c r="AF26" s="128"/>
      <c r="AG26" s="128"/>
    </row>
    <row r="27" spans="1:33" x14ac:dyDescent="0.25">
      <c r="A27" t="s">
        <v>526</v>
      </c>
      <c r="B27" t="s">
        <v>599</v>
      </c>
      <c r="C27">
        <f t="shared" si="2"/>
        <v>7583</v>
      </c>
      <c r="D27">
        <v>5778</v>
      </c>
      <c r="E27">
        <v>1805</v>
      </c>
      <c r="F27">
        <v>0</v>
      </c>
      <c r="G27">
        <v>0</v>
      </c>
      <c r="H27">
        <v>143</v>
      </c>
      <c r="I27">
        <v>0</v>
      </c>
      <c r="J27">
        <v>4889</v>
      </c>
      <c r="K27">
        <v>4566</v>
      </c>
      <c r="L27">
        <v>474</v>
      </c>
      <c r="M27">
        <v>114</v>
      </c>
      <c r="N27">
        <v>583</v>
      </c>
      <c r="O27">
        <v>66</v>
      </c>
      <c r="P27">
        <f t="shared" si="3"/>
        <v>4425000</v>
      </c>
      <c r="Q27">
        <v>4027000</v>
      </c>
      <c r="R27">
        <v>398000</v>
      </c>
      <c r="S27" s="129">
        <v>195333.33333333334</v>
      </c>
      <c r="T27" s="128">
        <f t="shared" si="0"/>
        <v>9187815</v>
      </c>
      <c r="U27" s="128">
        <f t="shared" si="4"/>
        <v>1604815</v>
      </c>
      <c r="V27" s="128">
        <f t="shared" si="1"/>
        <v>1604815</v>
      </c>
      <c r="W27" s="128">
        <v>90914</v>
      </c>
      <c r="X27" s="188">
        <f t="shared" si="5"/>
        <v>1.7652011791363265E-2</v>
      </c>
      <c r="Y27" s="238"/>
      <c r="AE27" s="128"/>
      <c r="AF27" s="128"/>
      <c r="AG27" s="128"/>
    </row>
    <row r="28" spans="1:33" x14ac:dyDescent="0.25">
      <c r="A28" t="s">
        <v>518</v>
      </c>
      <c r="B28" t="s">
        <v>401</v>
      </c>
      <c r="C28">
        <f t="shared" si="2"/>
        <v>3734</v>
      </c>
      <c r="D28">
        <v>2652</v>
      </c>
      <c r="E28">
        <v>1082</v>
      </c>
      <c r="F28">
        <v>0</v>
      </c>
      <c r="G28">
        <v>0</v>
      </c>
      <c r="H28">
        <v>889</v>
      </c>
      <c r="I28">
        <v>72</v>
      </c>
      <c r="J28">
        <v>874</v>
      </c>
      <c r="K28">
        <v>1257</v>
      </c>
      <c r="L28">
        <v>137</v>
      </c>
      <c r="M28">
        <v>51</v>
      </c>
      <c r="N28">
        <v>563</v>
      </c>
      <c r="O28">
        <v>64</v>
      </c>
      <c r="P28">
        <f t="shared" si="3"/>
        <v>1623000</v>
      </c>
      <c r="Q28">
        <v>1454000</v>
      </c>
      <c r="R28">
        <v>169000</v>
      </c>
      <c r="S28">
        <v>323000</v>
      </c>
      <c r="T28" s="128">
        <f t="shared" si="0"/>
        <v>3413760</v>
      </c>
      <c r="U28" s="128">
        <f t="shared" si="4"/>
        <v>-320240</v>
      </c>
      <c r="V28" s="128">
        <f t="shared" si="1"/>
        <v>0</v>
      </c>
      <c r="W28" s="128">
        <v>36257</v>
      </c>
      <c r="X28" s="188">
        <f t="shared" si="5"/>
        <v>-8.8325013100918441E-3</v>
      </c>
      <c r="Y28" s="238"/>
      <c r="AE28" s="128"/>
      <c r="AF28" s="128"/>
      <c r="AG28" s="128"/>
    </row>
    <row r="29" spans="1:33" x14ac:dyDescent="0.25">
      <c r="A29" t="s">
        <v>526</v>
      </c>
      <c r="B29" t="s">
        <v>527</v>
      </c>
      <c r="C29">
        <f t="shared" si="2"/>
        <v>6250</v>
      </c>
      <c r="D29">
        <v>4173</v>
      </c>
      <c r="E29">
        <v>2077</v>
      </c>
      <c r="F29">
        <v>79</v>
      </c>
      <c r="G29">
        <v>0</v>
      </c>
      <c r="H29">
        <v>607</v>
      </c>
      <c r="I29">
        <v>77</v>
      </c>
      <c r="J29">
        <v>3952</v>
      </c>
      <c r="K29">
        <v>4568</v>
      </c>
      <c r="L29">
        <v>427</v>
      </c>
      <c r="M29">
        <v>75</v>
      </c>
      <c r="N29">
        <v>758</v>
      </c>
      <c r="O29">
        <v>188</v>
      </c>
      <c r="P29">
        <f t="shared" si="3"/>
        <v>4855000</v>
      </c>
      <c r="Q29">
        <v>4307000</v>
      </c>
      <c r="R29">
        <v>548000</v>
      </c>
      <c r="S29">
        <v>194000</v>
      </c>
      <c r="T29" s="128">
        <f t="shared" si="0"/>
        <v>10292715</v>
      </c>
      <c r="U29" s="128">
        <f t="shared" si="4"/>
        <v>4042715</v>
      </c>
      <c r="V29" s="128">
        <f t="shared" si="1"/>
        <v>4042715</v>
      </c>
      <c r="W29" s="128">
        <v>97653</v>
      </c>
      <c r="X29" s="188">
        <f t="shared" si="5"/>
        <v>4.1398779351376813E-2</v>
      </c>
      <c r="Y29" s="238"/>
      <c r="AE29" s="128"/>
      <c r="AF29" s="128"/>
      <c r="AG29" s="128"/>
    </row>
    <row r="30" spans="1:33" x14ac:dyDescent="0.25">
      <c r="A30" t="s">
        <v>519</v>
      </c>
      <c r="B30" t="s">
        <v>346</v>
      </c>
      <c r="C30">
        <f t="shared" si="2"/>
        <v>3893</v>
      </c>
      <c r="D30">
        <v>2509</v>
      </c>
      <c r="E30">
        <v>1384</v>
      </c>
      <c r="F30">
        <v>0</v>
      </c>
      <c r="G30">
        <v>0</v>
      </c>
      <c r="H30">
        <v>954</v>
      </c>
      <c r="I30">
        <v>37</v>
      </c>
      <c r="J30">
        <v>1900</v>
      </c>
      <c r="K30">
        <v>1493</v>
      </c>
      <c r="L30">
        <v>506</v>
      </c>
      <c r="M30">
        <v>14</v>
      </c>
      <c r="N30">
        <v>588</v>
      </c>
      <c r="O30">
        <v>49</v>
      </c>
      <c r="P30">
        <f t="shared" si="3"/>
        <v>3172000</v>
      </c>
      <c r="Q30">
        <v>2675000</v>
      </c>
      <c r="R30">
        <v>497000</v>
      </c>
      <c r="S30">
        <v>227000</v>
      </c>
      <c r="T30" s="128">
        <f t="shared" si="0"/>
        <v>6989445</v>
      </c>
      <c r="U30" s="128">
        <f t="shared" si="4"/>
        <v>3096445</v>
      </c>
      <c r="V30" s="128">
        <f t="shared" si="1"/>
        <v>3096445</v>
      </c>
      <c r="W30" s="128">
        <v>50440</v>
      </c>
      <c r="X30" s="188">
        <f t="shared" si="5"/>
        <v>6.1388679619349726E-2</v>
      </c>
      <c r="Y30" s="238"/>
      <c r="AE30" s="128"/>
      <c r="AF30" s="128"/>
      <c r="AG30" s="128"/>
    </row>
    <row r="31" spans="1:33" x14ac:dyDescent="0.25">
      <c r="A31" t="s">
        <v>517</v>
      </c>
      <c r="B31" t="s">
        <v>436</v>
      </c>
      <c r="C31">
        <f t="shared" si="2"/>
        <v>2343</v>
      </c>
      <c r="D31">
        <v>1569</v>
      </c>
      <c r="E31">
        <v>774</v>
      </c>
      <c r="F31">
        <v>0</v>
      </c>
      <c r="G31">
        <v>0</v>
      </c>
      <c r="H31">
        <v>503</v>
      </c>
      <c r="I31">
        <v>56</v>
      </c>
      <c r="J31">
        <v>1465</v>
      </c>
      <c r="K31">
        <v>1345</v>
      </c>
      <c r="L31">
        <v>205</v>
      </c>
      <c r="M31">
        <v>10</v>
      </c>
      <c r="N31">
        <v>224</v>
      </c>
      <c r="O31">
        <v>36</v>
      </c>
      <c r="P31">
        <f t="shared" si="3"/>
        <v>1660000</v>
      </c>
      <c r="Q31">
        <v>1460000</v>
      </c>
      <c r="R31">
        <v>200000</v>
      </c>
      <c r="S31">
        <v>288000</v>
      </c>
      <c r="T31" s="128">
        <f t="shared" si="0"/>
        <v>3543300</v>
      </c>
      <c r="U31" s="128">
        <f t="shared" si="4"/>
        <v>1200300</v>
      </c>
      <c r="V31" s="128">
        <f t="shared" si="1"/>
        <v>1200300</v>
      </c>
      <c r="W31" s="128">
        <v>39156</v>
      </c>
      <c r="X31" s="188">
        <f t="shared" si="5"/>
        <v>3.0654305853509041E-2</v>
      </c>
      <c r="Y31" s="238"/>
      <c r="AE31" s="128"/>
      <c r="AF31" s="128"/>
      <c r="AG31" s="128"/>
    </row>
    <row r="32" spans="1:33" x14ac:dyDescent="0.25">
      <c r="A32" t="s">
        <v>526</v>
      </c>
      <c r="B32" t="s">
        <v>437</v>
      </c>
      <c r="C32">
        <f t="shared" si="2"/>
        <v>10901</v>
      </c>
      <c r="D32">
        <v>7750</v>
      </c>
      <c r="E32">
        <v>3151</v>
      </c>
      <c r="F32">
        <v>5093</v>
      </c>
      <c r="G32">
        <v>149</v>
      </c>
      <c r="H32">
        <v>2970</v>
      </c>
      <c r="I32">
        <v>1595</v>
      </c>
      <c r="J32">
        <v>3411</v>
      </c>
      <c r="K32">
        <v>5119</v>
      </c>
      <c r="L32">
        <v>365</v>
      </c>
      <c r="M32">
        <v>492</v>
      </c>
      <c r="N32">
        <v>2300</v>
      </c>
      <c r="O32">
        <v>68</v>
      </c>
      <c r="P32">
        <f t="shared" si="3"/>
        <v>7995000</v>
      </c>
      <c r="Q32">
        <v>7267000</v>
      </c>
      <c r="R32">
        <v>728000</v>
      </c>
      <c r="S32">
        <v>208000</v>
      </c>
      <c r="T32" s="128">
        <f t="shared" si="0"/>
        <v>16617315</v>
      </c>
      <c r="U32" s="128">
        <f t="shared" si="4"/>
        <v>5716315</v>
      </c>
      <c r="V32" s="128">
        <f t="shared" si="1"/>
        <v>5716315</v>
      </c>
      <c r="W32" s="128">
        <v>79743</v>
      </c>
      <c r="X32" s="188">
        <f t="shared" si="5"/>
        <v>7.1684223066601452E-2</v>
      </c>
      <c r="Y32" s="238"/>
      <c r="AE32" s="128"/>
      <c r="AF32" s="128"/>
      <c r="AG32" s="128"/>
    </row>
    <row r="33" spans="1:33" x14ac:dyDescent="0.25">
      <c r="A33" t="s">
        <v>518</v>
      </c>
      <c r="B33" t="s">
        <v>347</v>
      </c>
      <c r="C33">
        <f t="shared" si="2"/>
        <v>17161</v>
      </c>
      <c r="D33">
        <v>7741</v>
      </c>
      <c r="E33">
        <v>9420</v>
      </c>
      <c r="F33">
        <v>4819</v>
      </c>
      <c r="G33">
        <v>186</v>
      </c>
      <c r="H33">
        <v>612</v>
      </c>
      <c r="I33">
        <v>0</v>
      </c>
      <c r="J33">
        <v>13292</v>
      </c>
      <c r="K33">
        <v>9142</v>
      </c>
      <c r="L33">
        <v>1143</v>
      </c>
      <c r="M33">
        <v>32</v>
      </c>
      <c r="N33">
        <v>955</v>
      </c>
      <c r="O33">
        <v>509</v>
      </c>
      <c r="P33">
        <f t="shared" si="3"/>
        <v>9333000</v>
      </c>
      <c r="Q33">
        <v>7606000</v>
      </c>
      <c r="R33">
        <v>1727000</v>
      </c>
      <c r="S33">
        <v>374000</v>
      </c>
      <c r="T33" s="128">
        <f t="shared" si="0"/>
        <v>21069300</v>
      </c>
      <c r="U33" s="128">
        <f t="shared" si="4"/>
        <v>3908300</v>
      </c>
      <c r="V33" s="128">
        <f t="shared" si="1"/>
        <v>3908300</v>
      </c>
      <c r="W33" s="128">
        <v>306294</v>
      </c>
      <c r="X33" s="188">
        <f t="shared" si="5"/>
        <v>1.2759962650264125E-2</v>
      </c>
      <c r="Y33" s="238"/>
      <c r="AE33" s="128"/>
      <c r="AF33" s="128"/>
      <c r="AG33" s="128"/>
    </row>
    <row r="34" spans="1:33" x14ac:dyDescent="0.25">
      <c r="A34" t="s">
        <v>517</v>
      </c>
      <c r="B34" t="s">
        <v>169</v>
      </c>
      <c r="C34">
        <f t="shared" si="2"/>
        <v>9919</v>
      </c>
      <c r="D34">
        <v>5757</v>
      </c>
      <c r="E34">
        <v>4162</v>
      </c>
      <c r="F34">
        <v>11</v>
      </c>
      <c r="G34">
        <v>0</v>
      </c>
      <c r="H34">
        <v>355</v>
      </c>
      <c r="I34">
        <v>170</v>
      </c>
      <c r="J34">
        <v>6392</v>
      </c>
      <c r="K34">
        <v>3089</v>
      </c>
      <c r="L34">
        <v>516</v>
      </c>
      <c r="M34">
        <v>270</v>
      </c>
      <c r="N34">
        <v>1263</v>
      </c>
      <c r="O34">
        <v>82</v>
      </c>
      <c r="P34">
        <f t="shared" si="3"/>
        <v>6081000</v>
      </c>
      <c r="Q34">
        <v>5034000</v>
      </c>
      <c r="R34">
        <v>1047000</v>
      </c>
      <c r="S34">
        <v>206000</v>
      </c>
      <c r="T34" s="128">
        <f t="shared" si="0"/>
        <v>13578840</v>
      </c>
      <c r="U34" s="128">
        <f t="shared" si="4"/>
        <v>3659840</v>
      </c>
      <c r="V34" s="128">
        <f t="shared" si="1"/>
        <v>3659840</v>
      </c>
      <c r="W34" s="128">
        <v>113974</v>
      </c>
      <c r="X34" s="188">
        <f t="shared" si="5"/>
        <v>3.2111183252320707E-2</v>
      </c>
      <c r="Y34" s="238"/>
      <c r="AE34" s="128"/>
      <c r="AF34" s="128"/>
      <c r="AG34" s="128"/>
    </row>
    <row r="35" spans="1:33" x14ac:dyDescent="0.25">
      <c r="A35" t="s">
        <v>519</v>
      </c>
      <c r="B35" t="s">
        <v>348</v>
      </c>
      <c r="C35">
        <f t="shared" si="2"/>
        <v>7862</v>
      </c>
      <c r="D35">
        <v>4913</v>
      </c>
      <c r="E35">
        <v>2949</v>
      </c>
      <c r="F35">
        <v>0</v>
      </c>
      <c r="G35">
        <v>0</v>
      </c>
      <c r="H35">
        <v>94</v>
      </c>
      <c r="I35">
        <v>29</v>
      </c>
      <c r="J35">
        <v>2524</v>
      </c>
      <c r="K35">
        <v>2991</v>
      </c>
      <c r="L35">
        <v>468</v>
      </c>
      <c r="M35">
        <v>106</v>
      </c>
      <c r="N35">
        <v>1447</v>
      </c>
      <c r="O35">
        <v>191</v>
      </c>
      <c r="P35">
        <f t="shared" si="3"/>
        <v>4669000</v>
      </c>
      <c r="Q35">
        <v>4080000</v>
      </c>
      <c r="R35">
        <v>589000</v>
      </c>
      <c r="S35">
        <v>215000</v>
      </c>
      <c r="T35" s="128">
        <f t="shared" si="0"/>
        <v>10016490</v>
      </c>
      <c r="U35" s="128">
        <f t="shared" si="4"/>
        <v>2154490</v>
      </c>
      <c r="V35" s="128">
        <f t="shared" si="1"/>
        <v>2154490</v>
      </c>
      <c r="W35" s="128">
        <v>87602</v>
      </c>
      <c r="X35" s="188">
        <f t="shared" si="5"/>
        <v>2.4594073194675922E-2</v>
      </c>
      <c r="Y35" s="238"/>
      <c r="AE35" s="128"/>
      <c r="AF35" s="128"/>
      <c r="AG35" s="128"/>
    </row>
    <row r="36" spans="1:33" x14ac:dyDescent="0.25">
      <c r="A36" t="s">
        <v>517</v>
      </c>
      <c r="B36" t="s">
        <v>349</v>
      </c>
      <c r="C36">
        <f t="shared" si="2"/>
        <v>6376</v>
      </c>
      <c r="D36">
        <v>3836</v>
      </c>
      <c r="E36">
        <v>2540</v>
      </c>
      <c r="F36">
        <v>0</v>
      </c>
      <c r="G36">
        <v>99</v>
      </c>
      <c r="H36">
        <v>109</v>
      </c>
      <c r="I36">
        <v>67</v>
      </c>
      <c r="J36">
        <v>2540</v>
      </c>
      <c r="K36">
        <v>4227</v>
      </c>
      <c r="L36">
        <v>423</v>
      </c>
      <c r="M36">
        <v>4</v>
      </c>
      <c r="N36">
        <v>1156</v>
      </c>
      <c r="O36">
        <v>523</v>
      </c>
      <c r="P36">
        <f t="shared" si="3"/>
        <v>4792000</v>
      </c>
      <c r="Q36">
        <v>4085000</v>
      </c>
      <c r="R36">
        <v>707000</v>
      </c>
      <c r="T36" s="128">
        <f t="shared" si="0"/>
        <v>10475595</v>
      </c>
      <c r="U36" s="128">
        <f t="shared" si="4"/>
        <v>4099595</v>
      </c>
      <c r="V36" s="128">
        <f t="shared" si="1"/>
        <v>4099595</v>
      </c>
      <c r="W36" s="128">
        <v>85660</v>
      </c>
      <c r="X36" s="188">
        <f t="shared" si="5"/>
        <v>4.785891898202195E-2</v>
      </c>
      <c r="Y36" s="238"/>
      <c r="AE36" s="128"/>
      <c r="AF36" s="128"/>
      <c r="AG36" s="128"/>
    </row>
    <row r="37" spans="1:33" x14ac:dyDescent="0.25">
      <c r="A37" t="s">
        <v>517</v>
      </c>
      <c r="B37" t="s">
        <v>170</v>
      </c>
      <c r="C37">
        <f t="shared" si="2"/>
        <v>7735</v>
      </c>
      <c r="D37">
        <v>4659</v>
      </c>
      <c r="E37">
        <v>3076</v>
      </c>
      <c r="F37">
        <v>0</v>
      </c>
      <c r="G37">
        <v>0</v>
      </c>
      <c r="H37">
        <v>212</v>
      </c>
      <c r="I37">
        <v>310</v>
      </c>
      <c r="J37">
        <v>2611</v>
      </c>
      <c r="K37">
        <v>2417</v>
      </c>
      <c r="L37">
        <v>573</v>
      </c>
      <c r="M37">
        <v>51</v>
      </c>
      <c r="N37">
        <v>507</v>
      </c>
      <c r="O37">
        <v>48</v>
      </c>
      <c r="P37">
        <f t="shared" si="3"/>
        <v>3612000</v>
      </c>
      <c r="Q37">
        <v>3257000</v>
      </c>
      <c r="R37">
        <v>355000</v>
      </c>
      <c r="S37">
        <v>272000</v>
      </c>
      <c r="T37" s="128">
        <f t="shared" si="0"/>
        <v>7557135</v>
      </c>
      <c r="U37" s="128">
        <f t="shared" si="4"/>
        <v>-177865</v>
      </c>
      <c r="V37" s="128">
        <f t="shared" si="1"/>
        <v>0</v>
      </c>
      <c r="W37" s="128">
        <v>69629</v>
      </c>
      <c r="X37" s="188">
        <f t="shared" si="5"/>
        <v>-2.5544672478421348E-3</v>
      </c>
      <c r="Y37" s="238"/>
      <c r="AE37" s="128"/>
      <c r="AF37" s="128"/>
      <c r="AG37" s="128"/>
    </row>
    <row r="38" spans="1:33" x14ac:dyDescent="0.25">
      <c r="A38" t="s">
        <v>519</v>
      </c>
      <c r="B38" t="s">
        <v>243</v>
      </c>
      <c r="C38">
        <f t="shared" si="2"/>
        <v>9596</v>
      </c>
      <c r="D38">
        <v>4874</v>
      </c>
      <c r="E38">
        <v>4722</v>
      </c>
      <c r="F38">
        <v>1413</v>
      </c>
      <c r="G38">
        <v>169</v>
      </c>
      <c r="H38">
        <v>157</v>
      </c>
      <c r="I38">
        <v>366</v>
      </c>
      <c r="J38">
        <v>4142</v>
      </c>
      <c r="K38">
        <v>5507</v>
      </c>
      <c r="L38">
        <v>542</v>
      </c>
      <c r="M38">
        <v>545</v>
      </c>
      <c r="N38">
        <v>529</v>
      </c>
      <c r="O38">
        <v>785</v>
      </c>
      <c r="P38">
        <f t="shared" si="3"/>
        <v>6028000</v>
      </c>
      <c r="Q38">
        <v>5084000</v>
      </c>
      <c r="R38">
        <v>944000</v>
      </c>
      <c r="S38">
        <v>235000</v>
      </c>
      <c r="T38" s="128">
        <f t="shared" si="0"/>
        <v>13281660</v>
      </c>
      <c r="U38" s="128">
        <f t="shared" si="4"/>
        <v>3685660</v>
      </c>
      <c r="V38" s="128">
        <f t="shared" si="1"/>
        <v>3685660</v>
      </c>
      <c r="W38" s="128">
        <v>134895</v>
      </c>
      <c r="X38" s="188">
        <f t="shared" si="5"/>
        <v>2.7322435968716408E-2</v>
      </c>
      <c r="Y38" s="238"/>
      <c r="AE38" s="128"/>
      <c r="AF38" s="128"/>
      <c r="AG38" s="128"/>
    </row>
    <row r="39" spans="1:33" x14ac:dyDescent="0.25">
      <c r="A39" t="s">
        <v>518</v>
      </c>
      <c r="B39" t="s">
        <v>350</v>
      </c>
      <c r="C39">
        <f t="shared" si="2"/>
        <v>4608</v>
      </c>
      <c r="D39">
        <v>2524</v>
      </c>
      <c r="E39">
        <v>2084</v>
      </c>
      <c r="F39">
        <v>4</v>
      </c>
      <c r="G39">
        <v>0</v>
      </c>
      <c r="H39">
        <v>1214</v>
      </c>
      <c r="I39">
        <v>75</v>
      </c>
      <c r="J39">
        <v>2033</v>
      </c>
      <c r="K39">
        <v>1379</v>
      </c>
      <c r="L39">
        <v>229</v>
      </c>
      <c r="M39">
        <v>0</v>
      </c>
      <c r="N39">
        <v>994</v>
      </c>
      <c r="O39">
        <v>109</v>
      </c>
      <c r="P39">
        <f t="shared" si="3"/>
        <v>3576000</v>
      </c>
      <c r="Q39">
        <v>2894000</v>
      </c>
      <c r="R39">
        <v>682000</v>
      </c>
      <c r="S39">
        <v>194000</v>
      </c>
      <c r="T39" s="128">
        <f t="shared" si="0"/>
        <v>8111490</v>
      </c>
      <c r="U39" s="128">
        <f t="shared" si="4"/>
        <v>3503490</v>
      </c>
      <c r="V39" s="128">
        <f t="shared" si="1"/>
        <v>3503490</v>
      </c>
      <c r="W39" s="128">
        <v>54633</v>
      </c>
      <c r="X39" s="188">
        <f t="shared" si="5"/>
        <v>6.4127725001372801E-2</v>
      </c>
      <c r="Y39" s="238"/>
      <c r="AE39" s="128"/>
      <c r="AF39" s="128"/>
      <c r="AG39" s="128"/>
    </row>
    <row r="40" spans="1:33" x14ac:dyDescent="0.25">
      <c r="A40" t="s">
        <v>517</v>
      </c>
      <c r="B40" t="s">
        <v>244</v>
      </c>
      <c r="C40">
        <f t="shared" si="2"/>
        <v>4579</v>
      </c>
      <c r="D40">
        <v>3825</v>
      </c>
      <c r="E40">
        <v>754</v>
      </c>
      <c r="F40">
        <v>0</v>
      </c>
      <c r="G40">
        <v>0</v>
      </c>
      <c r="H40">
        <v>37</v>
      </c>
      <c r="I40">
        <v>2</v>
      </c>
      <c r="J40">
        <v>1211</v>
      </c>
      <c r="K40">
        <v>1491</v>
      </c>
      <c r="L40">
        <v>178</v>
      </c>
      <c r="M40">
        <v>181</v>
      </c>
      <c r="N40">
        <v>937</v>
      </c>
      <c r="O40">
        <v>58</v>
      </c>
      <c r="P40">
        <f t="shared" si="3"/>
        <v>3803000</v>
      </c>
      <c r="Q40">
        <v>3674000</v>
      </c>
      <c r="R40">
        <v>129000</v>
      </c>
      <c r="S40">
        <v>278000</v>
      </c>
      <c r="T40" s="128">
        <f t="shared" si="0"/>
        <v>7490460</v>
      </c>
      <c r="U40" s="128">
        <f t="shared" si="4"/>
        <v>2911460</v>
      </c>
      <c r="V40" s="128">
        <f t="shared" si="1"/>
        <v>2911460</v>
      </c>
      <c r="W40" s="128">
        <v>33379</v>
      </c>
      <c r="X40" s="188">
        <f t="shared" si="5"/>
        <v>8.7224302705293744E-2</v>
      </c>
      <c r="Y40" s="238"/>
      <c r="AE40" s="128"/>
      <c r="AF40" s="128"/>
      <c r="AG40" s="128"/>
    </row>
    <row r="41" spans="1:33" x14ac:dyDescent="0.25">
      <c r="A41" t="s">
        <v>518</v>
      </c>
      <c r="B41" t="s">
        <v>245</v>
      </c>
      <c r="C41">
        <f t="shared" si="2"/>
        <v>10757</v>
      </c>
      <c r="D41">
        <v>8926</v>
      </c>
      <c r="E41">
        <v>1831</v>
      </c>
      <c r="F41">
        <v>1888</v>
      </c>
      <c r="G41">
        <v>36</v>
      </c>
      <c r="H41">
        <v>1496</v>
      </c>
      <c r="I41">
        <v>1</v>
      </c>
      <c r="J41">
        <v>3125</v>
      </c>
      <c r="K41">
        <v>3607</v>
      </c>
      <c r="L41">
        <v>349</v>
      </c>
      <c r="M41">
        <v>308</v>
      </c>
      <c r="N41">
        <v>738</v>
      </c>
      <c r="O41">
        <v>49</v>
      </c>
      <c r="P41">
        <f t="shared" si="3"/>
        <v>8229000</v>
      </c>
      <c r="Q41">
        <v>7872000</v>
      </c>
      <c r="R41">
        <v>357000</v>
      </c>
      <c r="S41">
        <v>575000</v>
      </c>
      <c r="T41" s="128">
        <f t="shared" si="0"/>
        <v>16356330</v>
      </c>
      <c r="U41" s="128">
        <f t="shared" si="4"/>
        <v>5599330</v>
      </c>
      <c r="V41" s="128">
        <f t="shared" si="1"/>
        <v>5599330</v>
      </c>
      <c r="W41" s="128">
        <v>56857</v>
      </c>
      <c r="X41" s="188">
        <f t="shared" si="5"/>
        <v>9.8480925831471944E-2</v>
      </c>
      <c r="Y41" s="238"/>
      <c r="AE41" s="128"/>
      <c r="AF41" s="128"/>
      <c r="AG41" s="128"/>
    </row>
    <row r="42" spans="1:33" x14ac:dyDescent="0.25">
      <c r="A42" t="s">
        <v>518</v>
      </c>
      <c r="B42" t="s">
        <v>287</v>
      </c>
      <c r="C42">
        <f t="shared" si="2"/>
        <v>10061</v>
      </c>
      <c r="D42">
        <v>6764</v>
      </c>
      <c r="E42">
        <v>3297</v>
      </c>
      <c r="F42">
        <v>7</v>
      </c>
      <c r="G42">
        <v>10</v>
      </c>
      <c r="H42">
        <v>862</v>
      </c>
      <c r="I42">
        <v>307</v>
      </c>
      <c r="J42">
        <v>4950</v>
      </c>
      <c r="K42">
        <v>4746</v>
      </c>
      <c r="L42">
        <v>381</v>
      </c>
      <c r="M42">
        <v>462</v>
      </c>
      <c r="N42">
        <v>1953</v>
      </c>
      <c r="O42">
        <v>160</v>
      </c>
      <c r="P42">
        <f t="shared" si="3"/>
        <v>6013000</v>
      </c>
      <c r="Q42">
        <v>5281000</v>
      </c>
      <c r="R42">
        <v>732000</v>
      </c>
      <c r="S42">
        <v>637000</v>
      </c>
      <c r="T42" s="128">
        <f t="shared" si="0"/>
        <v>12849225</v>
      </c>
      <c r="U42" s="128">
        <f t="shared" si="4"/>
        <v>2788225</v>
      </c>
      <c r="V42" s="128">
        <f t="shared" si="1"/>
        <v>2788225</v>
      </c>
      <c r="W42" s="128">
        <v>90215</v>
      </c>
      <c r="X42" s="188">
        <f t="shared" si="5"/>
        <v>3.0906445713018899E-2</v>
      </c>
      <c r="Y42" s="238"/>
      <c r="AE42" s="128"/>
      <c r="AF42" s="128"/>
      <c r="AG42" s="128"/>
    </row>
    <row r="43" spans="1:33" x14ac:dyDescent="0.25">
      <c r="A43" t="s">
        <v>521</v>
      </c>
      <c r="B43" t="s">
        <v>351</v>
      </c>
      <c r="C43">
        <f t="shared" si="2"/>
        <v>3011</v>
      </c>
      <c r="D43">
        <v>1955</v>
      </c>
      <c r="E43">
        <v>1056</v>
      </c>
      <c r="F43">
        <v>0</v>
      </c>
      <c r="G43">
        <v>0</v>
      </c>
      <c r="H43">
        <v>30</v>
      </c>
      <c r="I43">
        <v>0</v>
      </c>
      <c r="J43">
        <v>1129</v>
      </c>
      <c r="K43">
        <v>903</v>
      </c>
      <c r="L43">
        <v>116</v>
      </c>
      <c r="M43">
        <v>100</v>
      </c>
      <c r="N43">
        <v>440</v>
      </c>
      <c r="O43">
        <v>41</v>
      </c>
      <c r="P43">
        <f t="shared" si="3"/>
        <v>1540000</v>
      </c>
      <c r="Q43">
        <v>1285000</v>
      </c>
      <c r="R43">
        <v>255000</v>
      </c>
      <c r="S43">
        <v>278000</v>
      </c>
      <c r="T43" s="128">
        <f t="shared" si="0"/>
        <v>3419475</v>
      </c>
      <c r="U43" s="128">
        <f t="shared" si="4"/>
        <v>408475</v>
      </c>
      <c r="V43" s="128">
        <f t="shared" si="1"/>
        <v>408475</v>
      </c>
      <c r="W43" s="128">
        <v>38915</v>
      </c>
      <c r="X43" s="188">
        <f t="shared" si="5"/>
        <v>1.0496595143260953E-2</v>
      </c>
      <c r="Y43" s="238"/>
      <c r="AE43" s="128"/>
      <c r="AF43" s="128"/>
      <c r="AG43" s="128"/>
    </row>
    <row r="44" spans="1:33" x14ac:dyDescent="0.25">
      <c r="A44" t="s">
        <v>517</v>
      </c>
      <c r="B44" t="s">
        <v>108</v>
      </c>
      <c r="C44">
        <f t="shared" si="2"/>
        <v>6526</v>
      </c>
      <c r="D44">
        <v>4938</v>
      </c>
      <c r="E44">
        <v>1588</v>
      </c>
      <c r="F44">
        <v>0</v>
      </c>
      <c r="G44">
        <v>0</v>
      </c>
      <c r="H44">
        <v>1558</v>
      </c>
      <c r="I44">
        <v>198</v>
      </c>
      <c r="J44">
        <v>3134</v>
      </c>
      <c r="K44">
        <v>2423</v>
      </c>
      <c r="L44">
        <v>334</v>
      </c>
      <c r="M44">
        <v>161</v>
      </c>
      <c r="N44">
        <v>449</v>
      </c>
      <c r="O44">
        <v>28</v>
      </c>
      <c r="P44">
        <f t="shared" si="3"/>
        <v>3024000</v>
      </c>
      <c r="Q44">
        <v>2532000</v>
      </c>
      <c r="R44">
        <v>492000</v>
      </c>
      <c r="S44">
        <v>261000</v>
      </c>
      <c r="T44" s="128">
        <f t="shared" si="0"/>
        <v>6697980</v>
      </c>
      <c r="U44" s="128">
        <f t="shared" si="4"/>
        <v>171980</v>
      </c>
      <c r="V44" s="128">
        <f t="shared" si="1"/>
        <v>171980</v>
      </c>
      <c r="W44" s="128">
        <v>74509</v>
      </c>
      <c r="X44" s="188">
        <f t="shared" si="5"/>
        <v>2.3081775355997263E-3</v>
      </c>
      <c r="Y44" s="238"/>
      <c r="AE44" s="128"/>
      <c r="AF44" s="128"/>
      <c r="AG44" s="128"/>
    </row>
    <row r="45" spans="1:33" x14ac:dyDescent="0.25">
      <c r="A45" t="s">
        <v>516</v>
      </c>
      <c r="B45" t="s">
        <v>142</v>
      </c>
      <c r="C45">
        <f t="shared" si="2"/>
        <v>7169</v>
      </c>
      <c r="D45">
        <v>4721</v>
      </c>
      <c r="E45">
        <v>2448</v>
      </c>
      <c r="F45">
        <v>10</v>
      </c>
      <c r="G45">
        <v>0</v>
      </c>
      <c r="H45">
        <v>0</v>
      </c>
      <c r="I45">
        <v>169</v>
      </c>
      <c r="J45">
        <v>1810</v>
      </c>
      <c r="K45">
        <v>2009</v>
      </c>
      <c r="L45">
        <v>189</v>
      </c>
      <c r="M45">
        <v>122</v>
      </c>
      <c r="N45">
        <v>453</v>
      </c>
      <c r="O45">
        <v>124</v>
      </c>
      <c r="P45">
        <f t="shared" si="3"/>
        <v>3158000</v>
      </c>
      <c r="Q45">
        <v>2809000</v>
      </c>
      <c r="R45">
        <v>349000</v>
      </c>
      <c r="S45">
        <v>183000</v>
      </c>
      <c r="T45" s="128">
        <f t="shared" si="0"/>
        <v>6680835</v>
      </c>
      <c r="U45" s="128">
        <f t="shared" si="4"/>
        <v>-488165</v>
      </c>
      <c r="V45" s="128">
        <f t="shared" si="1"/>
        <v>0</v>
      </c>
      <c r="W45" s="128">
        <v>70892</v>
      </c>
      <c r="X45" s="188">
        <f t="shared" si="5"/>
        <v>-6.8860379168312362E-3</v>
      </c>
      <c r="Y45" s="238"/>
      <c r="AE45" s="128"/>
      <c r="AF45" s="128"/>
      <c r="AG45" s="128"/>
    </row>
    <row r="46" spans="1:33" x14ac:dyDescent="0.25">
      <c r="A46" t="s">
        <v>522</v>
      </c>
      <c r="B46" t="s">
        <v>330</v>
      </c>
      <c r="C46">
        <f t="shared" si="2"/>
        <v>8525</v>
      </c>
      <c r="D46">
        <v>2925</v>
      </c>
      <c r="E46">
        <v>5600</v>
      </c>
      <c r="F46">
        <v>0</v>
      </c>
      <c r="G46">
        <v>0</v>
      </c>
      <c r="H46">
        <v>0</v>
      </c>
      <c r="I46">
        <v>167</v>
      </c>
      <c r="J46">
        <v>1915</v>
      </c>
      <c r="K46">
        <v>3168</v>
      </c>
      <c r="L46">
        <v>288</v>
      </c>
      <c r="M46">
        <v>325</v>
      </c>
      <c r="N46">
        <v>232</v>
      </c>
      <c r="O46">
        <v>21</v>
      </c>
      <c r="P46">
        <f t="shared" si="3"/>
        <v>3494000</v>
      </c>
      <c r="Q46">
        <v>2329000</v>
      </c>
      <c r="R46">
        <v>1165000</v>
      </c>
      <c r="S46">
        <v>225000</v>
      </c>
      <c r="T46" s="128">
        <f t="shared" si="0"/>
        <v>8875395</v>
      </c>
      <c r="U46" s="128">
        <f t="shared" si="4"/>
        <v>350395</v>
      </c>
      <c r="V46" s="128">
        <f t="shared" si="1"/>
        <v>350395</v>
      </c>
      <c r="W46" s="128">
        <v>58391</v>
      </c>
      <c r="X46" s="188">
        <f t="shared" si="5"/>
        <v>6.000839170420099E-3</v>
      </c>
      <c r="Y46" s="238"/>
      <c r="AE46" s="128"/>
      <c r="AF46" s="128"/>
      <c r="AG46" s="128"/>
    </row>
    <row r="47" spans="1:33" x14ac:dyDescent="0.25">
      <c r="A47" t="s">
        <v>528</v>
      </c>
      <c r="B47" t="s">
        <v>353</v>
      </c>
      <c r="C47">
        <f t="shared" si="2"/>
        <v>8558</v>
      </c>
      <c r="D47">
        <v>5246</v>
      </c>
      <c r="E47">
        <v>3312</v>
      </c>
      <c r="F47">
        <v>351</v>
      </c>
      <c r="G47">
        <v>20</v>
      </c>
      <c r="H47">
        <v>29</v>
      </c>
      <c r="I47">
        <v>47</v>
      </c>
      <c r="J47">
        <v>3313</v>
      </c>
      <c r="K47">
        <v>3902</v>
      </c>
      <c r="L47">
        <v>482</v>
      </c>
      <c r="M47">
        <v>187</v>
      </c>
      <c r="N47">
        <v>893</v>
      </c>
      <c r="O47">
        <v>136</v>
      </c>
      <c r="P47">
        <f t="shared" si="3"/>
        <v>4825000</v>
      </c>
      <c r="Q47">
        <v>4147000</v>
      </c>
      <c r="R47">
        <v>678000</v>
      </c>
      <c r="S47">
        <v>211000</v>
      </c>
      <c r="T47" s="128">
        <f t="shared" si="0"/>
        <v>10483215</v>
      </c>
      <c r="U47" s="128">
        <f t="shared" si="4"/>
        <v>1925215</v>
      </c>
      <c r="V47" s="128">
        <f t="shared" si="1"/>
        <v>1925215</v>
      </c>
      <c r="W47" s="128">
        <v>94890</v>
      </c>
      <c r="X47" s="188">
        <f t="shared" si="5"/>
        <v>2.0288913478764884E-2</v>
      </c>
      <c r="Y47" s="238"/>
      <c r="AE47" s="128"/>
      <c r="AF47" s="128"/>
      <c r="AG47" s="128"/>
    </row>
    <row r="48" spans="1:33" x14ac:dyDescent="0.25">
      <c r="A48" t="s">
        <v>517</v>
      </c>
      <c r="B48" t="s">
        <v>354</v>
      </c>
      <c r="C48">
        <f t="shared" si="2"/>
        <v>37696</v>
      </c>
      <c r="D48">
        <v>18946</v>
      </c>
      <c r="E48">
        <v>18750</v>
      </c>
      <c r="F48">
        <v>19653</v>
      </c>
      <c r="G48">
        <v>1106</v>
      </c>
      <c r="H48">
        <v>950</v>
      </c>
      <c r="I48">
        <v>572</v>
      </c>
      <c r="J48">
        <v>21544</v>
      </c>
      <c r="K48">
        <v>25670</v>
      </c>
      <c r="L48">
        <v>2502</v>
      </c>
      <c r="M48">
        <v>0</v>
      </c>
      <c r="N48">
        <v>6205</v>
      </c>
      <c r="O48">
        <v>1186</v>
      </c>
      <c r="P48">
        <f t="shared" si="3"/>
        <v>31402000</v>
      </c>
      <c r="Q48">
        <v>26680000</v>
      </c>
      <c r="R48">
        <v>4722000</v>
      </c>
      <c r="S48">
        <v>239000</v>
      </c>
      <c r="T48" s="128">
        <f t="shared" si="0"/>
        <v>68816220</v>
      </c>
      <c r="U48" s="128">
        <f t="shared" si="4"/>
        <v>31120220</v>
      </c>
      <c r="V48" s="128">
        <f t="shared" si="1"/>
        <v>31120220</v>
      </c>
      <c r="W48" s="128">
        <v>708912</v>
      </c>
      <c r="X48" s="188">
        <f t="shared" si="5"/>
        <v>4.3898565689394452E-2</v>
      </c>
      <c r="Y48" s="238"/>
      <c r="AE48" s="128"/>
      <c r="AF48" s="128"/>
      <c r="AG48" s="128"/>
    </row>
    <row r="49" spans="1:33" x14ac:dyDescent="0.25">
      <c r="A49" t="s">
        <v>517</v>
      </c>
      <c r="B49" t="s">
        <v>288</v>
      </c>
      <c r="C49">
        <f t="shared" si="2"/>
        <v>3222</v>
      </c>
      <c r="D49" s="129">
        <v>2409</v>
      </c>
      <c r="E49" s="129">
        <v>813</v>
      </c>
      <c r="F49" s="129">
        <v>11</v>
      </c>
      <c r="G49" s="129">
        <v>34</v>
      </c>
      <c r="H49" s="129">
        <v>364</v>
      </c>
      <c r="I49" s="129">
        <v>205</v>
      </c>
      <c r="J49" s="129">
        <v>2000</v>
      </c>
      <c r="K49" s="129">
        <v>2256</v>
      </c>
      <c r="L49" s="129">
        <v>247</v>
      </c>
      <c r="M49" s="129">
        <v>85</v>
      </c>
      <c r="N49" s="129">
        <v>513</v>
      </c>
      <c r="O49" s="129">
        <v>103</v>
      </c>
      <c r="P49">
        <f t="shared" si="3"/>
        <v>2597000</v>
      </c>
      <c r="Q49" s="129">
        <v>2253000</v>
      </c>
      <c r="R49" s="129">
        <v>344000</v>
      </c>
      <c r="S49" s="129">
        <v>244000</v>
      </c>
      <c r="T49" s="128">
        <f>0.1905*SUM(Q49,R49,R49)*10</f>
        <v>5602605</v>
      </c>
      <c r="U49" s="128">
        <f t="shared" si="4"/>
        <v>2380605</v>
      </c>
      <c r="V49" s="128">
        <f>IF(U49&gt;0,U49,0)</f>
        <v>2380605</v>
      </c>
      <c r="W49" s="128">
        <v>43346</v>
      </c>
      <c r="X49" s="188">
        <f t="shared" si="5"/>
        <v>5.4920984635260461E-2</v>
      </c>
      <c r="Y49" s="238"/>
      <c r="AA49" s="129"/>
      <c r="AB49" s="129"/>
      <c r="AC49" s="129"/>
      <c r="AD49" s="129"/>
      <c r="AE49" s="128"/>
      <c r="AF49" s="128"/>
      <c r="AG49" s="128"/>
    </row>
    <row r="50" spans="1:33" x14ac:dyDescent="0.25">
      <c r="A50" t="s">
        <v>517</v>
      </c>
      <c r="B50" t="s">
        <v>171</v>
      </c>
      <c r="C50">
        <f t="shared" si="2"/>
        <v>8198</v>
      </c>
      <c r="D50">
        <v>5668</v>
      </c>
      <c r="E50">
        <v>2530</v>
      </c>
      <c r="F50">
        <v>0</v>
      </c>
      <c r="G50">
        <v>0</v>
      </c>
      <c r="H50">
        <v>260</v>
      </c>
      <c r="I50">
        <v>190</v>
      </c>
      <c r="J50">
        <v>4360</v>
      </c>
      <c r="K50">
        <v>3734</v>
      </c>
      <c r="L50">
        <v>345</v>
      </c>
      <c r="M50">
        <v>139</v>
      </c>
      <c r="N50">
        <v>1299</v>
      </c>
      <c r="O50">
        <v>13</v>
      </c>
      <c r="P50">
        <f t="shared" si="3"/>
        <v>5453000</v>
      </c>
      <c r="Q50">
        <v>4666000</v>
      </c>
      <c r="R50">
        <v>787000</v>
      </c>
      <c r="S50">
        <v>250000</v>
      </c>
      <c r="T50" s="128">
        <f t="shared" si="0"/>
        <v>11887200</v>
      </c>
      <c r="U50" s="128">
        <f t="shared" si="4"/>
        <v>3689200</v>
      </c>
      <c r="V50" s="128">
        <f t="shared" si="1"/>
        <v>3689200</v>
      </c>
      <c r="W50" s="128">
        <v>83275</v>
      </c>
      <c r="X50" s="188">
        <f t="shared" si="5"/>
        <v>4.4301410987691386E-2</v>
      </c>
      <c r="Y50" s="238"/>
      <c r="AE50" s="128"/>
      <c r="AF50" s="128"/>
      <c r="AG50" s="128"/>
    </row>
    <row r="51" spans="1:33" x14ac:dyDescent="0.25">
      <c r="A51" t="s">
        <v>521</v>
      </c>
      <c r="B51" t="s">
        <v>172</v>
      </c>
      <c r="C51">
        <f t="shared" si="2"/>
        <v>6051</v>
      </c>
      <c r="D51">
        <v>4097</v>
      </c>
      <c r="E51">
        <v>1954</v>
      </c>
      <c r="F51">
        <v>0</v>
      </c>
      <c r="G51">
        <v>0</v>
      </c>
      <c r="H51">
        <v>981</v>
      </c>
      <c r="I51">
        <v>44</v>
      </c>
      <c r="J51">
        <v>2580</v>
      </c>
      <c r="K51">
        <v>1536</v>
      </c>
      <c r="L51">
        <v>222</v>
      </c>
      <c r="M51">
        <v>111</v>
      </c>
      <c r="N51">
        <v>293</v>
      </c>
      <c r="O51">
        <v>112</v>
      </c>
      <c r="P51">
        <f t="shared" si="3"/>
        <v>2998000</v>
      </c>
      <c r="Q51">
        <v>2633000</v>
      </c>
      <c r="R51">
        <v>365000</v>
      </c>
      <c r="S51">
        <v>222000</v>
      </c>
      <c r="T51" s="128">
        <f t="shared" si="0"/>
        <v>6406515</v>
      </c>
      <c r="U51" s="128">
        <f t="shared" si="4"/>
        <v>355515</v>
      </c>
      <c r="V51" s="128">
        <f t="shared" si="1"/>
        <v>355515</v>
      </c>
      <c r="W51" s="128">
        <v>54433</v>
      </c>
      <c r="X51" s="188">
        <f t="shared" si="5"/>
        <v>6.5312402402954092E-3</v>
      </c>
      <c r="Y51" s="238"/>
      <c r="AE51" s="128"/>
      <c r="AF51" s="128"/>
      <c r="AG51" s="128"/>
    </row>
    <row r="52" spans="1:33" x14ac:dyDescent="0.25">
      <c r="A52" s="90" t="s">
        <v>519</v>
      </c>
      <c r="B52" t="s">
        <v>402</v>
      </c>
      <c r="C52">
        <f t="shared" si="2"/>
        <v>6245</v>
      </c>
      <c r="D52">
        <v>4519</v>
      </c>
      <c r="E52">
        <v>1726</v>
      </c>
      <c r="F52">
        <v>0</v>
      </c>
      <c r="G52">
        <v>22</v>
      </c>
      <c r="H52">
        <v>172</v>
      </c>
      <c r="I52">
        <v>337</v>
      </c>
      <c r="J52">
        <v>3563</v>
      </c>
      <c r="K52">
        <v>3652</v>
      </c>
      <c r="L52">
        <v>246</v>
      </c>
      <c r="M52">
        <v>60</v>
      </c>
      <c r="N52">
        <v>439</v>
      </c>
      <c r="O52">
        <v>90</v>
      </c>
      <c r="P52">
        <f t="shared" si="3"/>
        <v>2858000</v>
      </c>
      <c r="Q52">
        <v>2487000</v>
      </c>
      <c r="R52">
        <v>371000</v>
      </c>
      <c r="S52">
        <v>254000</v>
      </c>
      <c r="T52" s="128">
        <f t="shared" si="0"/>
        <v>6151245</v>
      </c>
      <c r="U52" s="128">
        <f t="shared" si="4"/>
        <v>-93755</v>
      </c>
      <c r="V52" s="128">
        <f t="shared" si="1"/>
        <v>0</v>
      </c>
      <c r="W52" s="128">
        <v>111560</v>
      </c>
      <c r="X52" s="188">
        <f t="shared" si="5"/>
        <v>-8.403997848691287E-4</v>
      </c>
      <c r="Y52" s="238"/>
      <c r="AE52" s="128"/>
      <c r="AF52" s="128"/>
      <c r="AG52" s="128"/>
    </row>
    <row r="53" spans="1:33" x14ac:dyDescent="0.25">
      <c r="A53" t="s">
        <v>519</v>
      </c>
      <c r="B53" t="s">
        <v>216</v>
      </c>
      <c r="C53">
        <f t="shared" si="2"/>
        <v>5540</v>
      </c>
      <c r="D53">
        <v>3577</v>
      </c>
      <c r="E53">
        <v>1963</v>
      </c>
      <c r="F53">
        <v>6</v>
      </c>
      <c r="G53">
        <v>0</v>
      </c>
      <c r="H53">
        <v>149</v>
      </c>
      <c r="I53">
        <v>0</v>
      </c>
      <c r="J53">
        <v>1620</v>
      </c>
      <c r="K53">
        <v>1883</v>
      </c>
      <c r="L53">
        <v>196</v>
      </c>
      <c r="M53">
        <v>0</v>
      </c>
      <c r="N53">
        <v>607</v>
      </c>
      <c r="O53">
        <v>105</v>
      </c>
      <c r="P53">
        <f t="shared" si="3"/>
        <v>2900000</v>
      </c>
      <c r="Q53">
        <v>2572000</v>
      </c>
      <c r="R53">
        <v>328000</v>
      </c>
      <c r="S53">
        <v>243000</v>
      </c>
      <c r="T53" s="128">
        <f t="shared" si="0"/>
        <v>6149340</v>
      </c>
      <c r="U53" s="128">
        <f t="shared" si="4"/>
        <v>609340</v>
      </c>
      <c r="V53" s="128">
        <f t="shared" si="1"/>
        <v>609340</v>
      </c>
      <c r="W53" s="128">
        <v>32949</v>
      </c>
      <c r="X53" s="188">
        <f t="shared" si="5"/>
        <v>1.8493429239127137E-2</v>
      </c>
      <c r="Y53" s="238"/>
      <c r="AE53" s="128"/>
      <c r="AF53" s="128"/>
      <c r="AG53" s="128"/>
    </row>
    <row r="54" spans="1:33" x14ac:dyDescent="0.25">
      <c r="A54" t="s">
        <v>526</v>
      </c>
      <c r="B54" t="s">
        <v>217</v>
      </c>
      <c r="C54">
        <f t="shared" si="2"/>
        <v>4428</v>
      </c>
      <c r="D54">
        <v>2576</v>
      </c>
      <c r="E54">
        <v>1852</v>
      </c>
      <c r="F54">
        <v>43</v>
      </c>
      <c r="G54">
        <v>70</v>
      </c>
      <c r="H54">
        <v>0</v>
      </c>
      <c r="I54">
        <v>27</v>
      </c>
      <c r="J54">
        <v>1544</v>
      </c>
      <c r="K54">
        <v>2266</v>
      </c>
      <c r="L54">
        <v>252</v>
      </c>
      <c r="M54">
        <v>387</v>
      </c>
      <c r="N54">
        <v>571</v>
      </c>
      <c r="O54">
        <v>287</v>
      </c>
      <c r="P54">
        <f t="shared" si="3"/>
        <v>3475000</v>
      </c>
      <c r="Q54">
        <v>2881000</v>
      </c>
      <c r="R54">
        <v>594000</v>
      </c>
      <c r="S54">
        <v>140000</v>
      </c>
      <c r="T54" s="128">
        <f t="shared" si="0"/>
        <v>7751445</v>
      </c>
      <c r="U54" s="128">
        <f t="shared" si="4"/>
        <v>3323445</v>
      </c>
      <c r="V54" s="128">
        <f t="shared" si="1"/>
        <v>3323445</v>
      </c>
      <c r="W54" s="128">
        <v>51886</v>
      </c>
      <c r="X54" s="188">
        <f t="shared" si="5"/>
        <v>6.4052827352272287E-2</v>
      </c>
      <c r="Y54" s="238"/>
      <c r="AE54" s="128"/>
      <c r="AF54" s="128"/>
      <c r="AG54" s="128"/>
    </row>
    <row r="55" spans="1:33" x14ac:dyDescent="0.25">
      <c r="A55" t="s">
        <v>524</v>
      </c>
      <c r="B55" t="s">
        <v>173</v>
      </c>
      <c r="C55">
        <f t="shared" si="2"/>
        <v>7443</v>
      </c>
      <c r="D55">
        <v>5295</v>
      </c>
      <c r="E55">
        <v>2148</v>
      </c>
      <c r="F55">
        <v>1</v>
      </c>
      <c r="G55">
        <v>0</v>
      </c>
      <c r="H55">
        <v>292</v>
      </c>
      <c r="I55">
        <v>164</v>
      </c>
      <c r="J55">
        <v>2904</v>
      </c>
      <c r="K55">
        <v>0</v>
      </c>
      <c r="L55">
        <v>288</v>
      </c>
      <c r="M55">
        <v>166</v>
      </c>
      <c r="N55">
        <v>1105</v>
      </c>
      <c r="O55">
        <v>77</v>
      </c>
      <c r="P55">
        <f t="shared" si="3"/>
        <v>4138000</v>
      </c>
      <c r="Q55">
        <v>3656000</v>
      </c>
      <c r="R55">
        <v>482000</v>
      </c>
      <c r="S55">
        <v>319000</v>
      </c>
      <c r="T55" s="128">
        <f t="shared" si="0"/>
        <v>8801100</v>
      </c>
      <c r="U55" s="128">
        <f t="shared" si="4"/>
        <v>1358100</v>
      </c>
      <c r="V55" s="128">
        <f t="shared" si="1"/>
        <v>1358100</v>
      </c>
      <c r="W55" s="128">
        <v>62518</v>
      </c>
      <c r="X55" s="188">
        <f t="shared" si="5"/>
        <v>2.1723343677021018E-2</v>
      </c>
      <c r="Y55" s="238"/>
      <c r="AE55" s="128"/>
      <c r="AF55" s="128"/>
      <c r="AG55" s="128"/>
    </row>
    <row r="56" spans="1:33" x14ac:dyDescent="0.25">
      <c r="A56" t="s">
        <v>524</v>
      </c>
      <c r="B56" t="s">
        <v>289</v>
      </c>
      <c r="C56">
        <f t="shared" si="2"/>
        <v>12036</v>
      </c>
      <c r="D56">
        <v>7202</v>
      </c>
      <c r="E56">
        <v>4834</v>
      </c>
      <c r="F56">
        <v>0</v>
      </c>
      <c r="G56">
        <v>0</v>
      </c>
      <c r="H56">
        <v>72</v>
      </c>
      <c r="I56">
        <v>288</v>
      </c>
      <c r="J56">
        <v>4396</v>
      </c>
      <c r="K56">
        <v>7906</v>
      </c>
      <c r="L56">
        <v>686</v>
      </c>
      <c r="M56">
        <v>0</v>
      </c>
      <c r="N56">
        <v>1223</v>
      </c>
      <c r="O56">
        <v>111</v>
      </c>
      <c r="P56">
        <f t="shared" si="3"/>
        <v>8756000</v>
      </c>
      <c r="Q56">
        <v>7682000</v>
      </c>
      <c r="R56">
        <v>1074000</v>
      </c>
      <c r="S56">
        <v>276000</v>
      </c>
      <c r="T56" s="128">
        <f t="shared" si="0"/>
        <v>18726150</v>
      </c>
      <c r="U56" s="128">
        <f t="shared" si="4"/>
        <v>6690150</v>
      </c>
      <c r="V56" s="128">
        <f t="shared" si="1"/>
        <v>6690150</v>
      </c>
      <c r="W56" s="128">
        <v>219564</v>
      </c>
      <c r="X56" s="188">
        <f t="shared" si="5"/>
        <v>3.0470159042465979E-2</v>
      </c>
      <c r="Y56" s="238"/>
      <c r="AE56" s="128"/>
      <c r="AF56" s="128"/>
      <c r="AG56" s="128"/>
    </row>
    <row r="57" spans="1:33" x14ac:dyDescent="0.25">
      <c r="A57" t="s">
        <v>519</v>
      </c>
      <c r="B57" t="s">
        <v>246</v>
      </c>
      <c r="C57">
        <f t="shared" si="2"/>
        <v>6826</v>
      </c>
      <c r="D57">
        <v>4983</v>
      </c>
      <c r="E57">
        <v>1843</v>
      </c>
      <c r="F57">
        <v>0</v>
      </c>
      <c r="G57">
        <v>27</v>
      </c>
      <c r="H57">
        <v>1140</v>
      </c>
      <c r="I57">
        <v>87</v>
      </c>
      <c r="J57">
        <v>3529</v>
      </c>
      <c r="K57">
        <v>4354</v>
      </c>
      <c r="L57">
        <v>462</v>
      </c>
      <c r="M57">
        <v>230</v>
      </c>
      <c r="N57">
        <v>1200</v>
      </c>
      <c r="O57">
        <v>78</v>
      </c>
      <c r="P57">
        <f t="shared" si="3"/>
        <v>6440000</v>
      </c>
      <c r="Q57">
        <v>5991000</v>
      </c>
      <c r="R57">
        <v>449000</v>
      </c>
      <c r="S57">
        <v>284000</v>
      </c>
      <c r="T57" s="128">
        <f t="shared" si="0"/>
        <v>13123545</v>
      </c>
      <c r="U57" s="128">
        <f t="shared" si="4"/>
        <v>6297545</v>
      </c>
      <c r="V57" s="128">
        <f t="shared" si="1"/>
        <v>6297545</v>
      </c>
      <c r="W57" s="128">
        <v>73875</v>
      </c>
      <c r="X57" s="188">
        <f t="shared" si="5"/>
        <v>8.5245956006768195E-2</v>
      </c>
      <c r="Y57" s="238"/>
      <c r="AE57" s="128"/>
      <c r="AF57" s="128"/>
      <c r="AG57" s="128"/>
    </row>
    <row r="58" spans="1:33" x14ac:dyDescent="0.25">
      <c r="A58" t="s">
        <v>521</v>
      </c>
      <c r="B58" t="s">
        <v>109</v>
      </c>
      <c r="C58">
        <f t="shared" si="2"/>
        <v>9135</v>
      </c>
      <c r="D58">
        <v>6155</v>
      </c>
      <c r="E58">
        <v>2980</v>
      </c>
      <c r="F58">
        <v>0</v>
      </c>
      <c r="G58">
        <v>0</v>
      </c>
      <c r="H58">
        <v>1890</v>
      </c>
      <c r="I58">
        <v>337</v>
      </c>
      <c r="J58">
        <v>3584</v>
      </c>
      <c r="K58">
        <v>4280</v>
      </c>
      <c r="L58">
        <v>343</v>
      </c>
      <c r="M58">
        <v>443</v>
      </c>
      <c r="N58">
        <v>1118</v>
      </c>
      <c r="O58">
        <v>66</v>
      </c>
      <c r="P58">
        <f t="shared" si="3"/>
        <v>4302000</v>
      </c>
      <c r="Q58">
        <v>3416000</v>
      </c>
      <c r="R58">
        <v>886000</v>
      </c>
      <c r="S58">
        <v>189000</v>
      </c>
      <c r="T58" s="128">
        <f t="shared" si="0"/>
        <v>9883140</v>
      </c>
      <c r="U58" s="128">
        <f t="shared" si="4"/>
        <v>748140</v>
      </c>
      <c r="V58" s="128">
        <f t="shared" si="1"/>
        <v>748140</v>
      </c>
      <c r="W58" s="128">
        <v>113860</v>
      </c>
      <c r="X58" s="188">
        <f t="shared" si="5"/>
        <v>6.5707008607061301E-3</v>
      </c>
      <c r="Y58" s="238"/>
      <c r="AE58" s="128"/>
      <c r="AF58" s="128"/>
      <c r="AG58" s="128"/>
    </row>
    <row r="59" spans="1:33" x14ac:dyDescent="0.25">
      <c r="A59" t="s">
        <v>518</v>
      </c>
      <c r="B59" t="s">
        <v>355</v>
      </c>
      <c r="C59">
        <f t="shared" si="2"/>
        <v>5488</v>
      </c>
      <c r="D59">
        <v>3181</v>
      </c>
      <c r="E59">
        <v>2307</v>
      </c>
      <c r="F59">
        <v>0</v>
      </c>
      <c r="G59">
        <v>12</v>
      </c>
      <c r="H59">
        <v>230</v>
      </c>
      <c r="I59">
        <v>33</v>
      </c>
      <c r="J59">
        <v>2112</v>
      </c>
      <c r="K59">
        <v>2371</v>
      </c>
      <c r="L59">
        <v>216</v>
      </c>
      <c r="M59">
        <v>53</v>
      </c>
      <c r="N59">
        <v>608</v>
      </c>
      <c r="O59">
        <v>103</v>
      </c>
      <c r="P59">
        <f t="shared" si="3"/>
        <v>3125000</v>
      </c>
      <c r="Q59">
        <v>2590000</v>
      </c>
      <c r="R59">
        <v>535000</v>
      </c>
      <c r="S59">
        <v>279000</v>
      </c>
      <c r="T59" s="128">
        <f t="shared" si="0"/>
        <v>6972300</v>
      </c>
      <c r="U59" s="128">
        <f t="shared" si="4"/>
        <v>1484300</v>
      </c>
      <c r="V59" s="128">
        <f t="shared" si="1"/>
        <v>1484300</v>
      </c>
      <c r="W59" s="128">
        <v>55734</v>
      </c>
      <c r="X59" s="188">
        <f t="shared" si="5"/>
        <v>2.6631858470592459E-2</v>
      </c>
      <c r="Y59" s="238"/>
      <c r="AE59" s="128"/>
      <c r="AF59" s="128"/>
      <c r="AG59" s="128"/>
    </row>
    <row r="60" spans="1:33" x14ac:dyDescent="0.25">
      <c r="A60" t="s">
        <v>516</v>
      </c>
      <c r="B60" t="s">
        <v>174</v>
      </c>
      <c r="C60">
        <f t="shared" si="2"/>
        <v>7640</v>
      </c>
      <c r="D60">
        <v>4476</v>
      </c>
      <c r="E60">
        <v>3164</v>
      </c>
      <c r="F60">
        <v>509</v>
      </c>
      <c r="G60">
        <v>33</v>
      </c>
      <c r="H60">
        <v>26</v>
      </c>
      <c r="I60">
        <v>97</v>
      </c>
      <c r="J60">
        <v>3449</v>
      </c>
      <c r="K60">
        <v>0</v>
      </c>
      <c r="L60">
        <v>245</v>
      </c>
      <c r="M60">
        <v>0</v>
      </c>
      <c r="N60">
        <v>796</v>
      </c>
      <c r="O60">
        <v>122</v>
      </c>
      <c r="P60">
        <f t="shared" si="3"/>
        <v>3818000</v>
      </c>
      <c r="Q60">
        <v>3299000</v>
      </c>
      <c r="R60">
        <v>519000</v>
      </c>
      <c r="S60">
        <v>192000</v>
      </c>
      <c r="T60" s="128">
        <f t="shared" si="0"/>
        <v>8261985</v>
      </c>
      <c r="U60" s="128">
        <f t="shared" si="4"/>
        <v>621985</v>
      </c>
      <c r="V60" s="128">
        <f t="shared" si="1"/>
        <v>621985</v>
      </c>
      <c r="W60" s="128">
        <v>80567</v>
      </c>
      <c r="X60" s="188">
        <f t="shared" si="5"/>
        <v>7.7200963173507759E-3</v>
      </c>
      <c r="Y60" s="238"/>
      <c r="AE60" s="128"/>
      <c r="AF60" s="128"/>
      <c r="AG60" s="128"/>
    </row>
    <row r="61" spans="1:33" x14ac:dyDescent="0.25">
      <c r="A61" t="s">
        <v>517</v>
      </c>
      <c r="B61" t="s">
        <v>143</v>
      </c>
      <c r="C61">
        <f t="shared" si="2"/>
        <v>6966</v>
      </c>
      <c r="D61">
        <v>4462</v>
      </c>
      <c r="E61">
        <v>2504</v>
      </c>
      <c r="F61">
        <v>0</v>
      </c>
      <c r="G61">
        <v>28</v>
      </c>
      <c r="H61">
        <v>200</v>
      </c>
      <c r="I61">
        <v>142</v>
      </c>
      <c r="J61">
        <v>1465</v>
      </c>
      <c r="K61">
        <v>2898</v>
      </c>
      <c r="L61">
        <v>324</v>
      </c>
      <c r="M61">
        <v>296</v>
      </c>
      <c r="N61">
        <v>1368</v>
      </c>
      <c r="O61">
        <v>124</v>
      </c>
      <c r="P61">
        <f t="shared" si="3"/>
        <v>4472000</v>
      </c>
      <c r="Q61">
        <v>3828000</v>
      </c>
      <c r="R61">
        <v>644000</v>
      </c>
      <c r="S61">
        <v>244000</v>
      </c>
      <c r="T61" s="128">
        <f t="shared" si="0"/>
        <v>9745980</v>
      </c>
      <c r="U61" s="128">
        <f t="shared" si="4"/>
        <v>2779980</v>
      </c>
      <c r="V61" s="128">
        <f t="shared" si="1"/>
        <v>2779980</v>
      </c>
      <c r="W61" s="128">
        <v>68226</v>
      </c>
      <c r="X61" s="188">
        <f t="shared" si="5"/>
        <v>4.0746636179755519E-2</v>
      </c>
      <c r="Y61" s="238"/>
      <c r="AE61" s="128"/>
      <c r="AF61" s="128"/>
      <c r="AG61" s="128"/>
    </row>
    <row r="62" spans="1:33" x14ac:dyDescent="0.25">
      <c r="A62" t="s">
        <v>517</v>
      </c>
      <c r="B62" t="s">
        <v>129</v>
      </c>
      <c r="C62">
        <f t="shared" si="2"/>
        <v>4277</v>
      </c>
      <c r="D62">
        <v>3205</v>
      </c>
      <c r="E62">
        <v>1072</v>
      </c>
      <c r="F62">
        <v>2</v>
      </c>
      <c r="G62">
        <v>0</v>
      </c>
      <c r="H62">
        <v>20</v>
      </c>
      <c r="I62">
        <v>0</v>
      </c>
      <c r="J62">
        <v>1586</v>
      </c>
      <c r="K62">
        <v>2061</v>
      </c>
      <c r="L62">
        <v>209</v>
      </c>
      <c r="M62">
        <v>0</v>
      </c>
      <c r="N62">
        <v>423</v>
      </c>
      <c r="O62">
        <v>35</v>
      </c>
      <c r="P62">
        <f t="shared" si="3"/>
        <v>1929000</v>
      </c>
      <c r="Q62">
        <v>1671000</v>
      </c>
      <c r="R62">
        <v>258000</v>
      </c>
      <c r="S62">
        <v>211000</v>
      </c>
      <c r="T62" s="128">
        <f t="shared" si="0"/>
        <v>4166235</v>
      </c>
      <c r="U62" s="128">
        <f t="shared" si="4"/>
        <v>-110765</v>
      </c>
      <c r="V62" s="128">
        <f t="shared" si="1"/>
        <v>0</v>
      </c>
      <c r="W62" s="128">
        <v>56749</v>
      </c>
      <c r="X62" s="188">
        <f t="shared" si="5"/>
        <v>-1.9518405610671555E-3</v>
      </c>
      <c r="Y62" s="238"/>
      <c r="AE62" s="128"/>
      <c r="AF62" s="128"/>
      <c r="AG62" s="128"/>
    </row>
    <row r="63" spans="1:33" x14ac:dyDescent="0.25">
      <c r="A63" t="s">
        <v>519</v>
      </c>
      <c r="B63" t="s">
        <v>218</v>
      </c>
      <c r="C63">
        <f t="shared" si="2"/>
        <v>12639</v>
      </c>
      <c r="D63">
        <v>8787</v>
      </c>
      <c r="E63">
        <v>3852</v>
      </c>
      <c r="F63">
        <v>0</v>
      </c>
      <c r="G63">
        <v>65</v>
      </c>
      <c r="H63">
        <v>215</v>
      </c>
      <c r="I63">
        <v>405</v>
      </c>
      <c r="J63">
        <v>4455</v>
      </c>
      <c r="K63">
        <v>5337</v>
      </c>
      <c r="L63">
        <v>466</v>
      </c>
      <c r="M63">
        <v>483</v>
      </c>
      <c r="N63">
        <v>1261</v>
      </c>
      <c r="O63">
        <v>164</v>
      </c>
      <c r="P63">
        <f t="shared" si="3"/>
        <v>9320000</v>
      </c>
      <c r="Q63">
        <v>8543000</v>
      </c>
      <c r="R63">
        <v>777000</v>
      </c>
      <c r="S63">
        <v>223000</v>
      </c>
      <c r="T63" s="128">
        <f t="shared" si="0"/>
        <v>19234785</v>
      </c>
      <c r="U63" s="128">
        <f t="shared" si="4"/>
        <v>6595785</v>
      </c>
      <c r="V63" s="128">
        <f t="shared" si="1"/>
        <v>6595785</v>
      </c>
      <c r="W63" s="128">
        <v>110862</v>
      </c>
      <c r="X63" s="188">
        <f t="shared" si="5"/>
        <v>5.9495453807436274E-2</v>
      </c>
      <c r="Y63" s="238"/>
      <c r="AE63" s="128"/>
      <c r="AF63" s="128"/>
      <c r="AG63" s="128"/>
    </row>
    <row r="64" spans="1:33" x14ac:dyDescent="0.25">
      <c r="A64" t="s">
        <v>522</v>
      </c>
      <c r="B64" t="s">
        <v>529</v>
      </c>
      <c r="C64">
        <f t="shared" si="2"/>
        <v>11679</v>
      </c>
      <c r="D64">
        <v>7413</v>
      </c>
      <c r="E64">
        <v>4266</v>
      </c>
      <c r="F64">
        <v>0</v>
      </c>
      <c r="G64">
        <v>88</v>
      </c>
      <c r="H64">
        <v>960</v>
      </c>
      <c r="I64">
        <v>1598</v>
      </c>
      <c r="J64">
        <v>5064</v>
      </c>
      <c r="K64">
        <v>5781</v>
      </c>
      <c r="L64">
        <v>567</v>
      </c>
      <c r="M64">
        <v>371</v>
      </c>
      <c r="N64">
        <v>1164</v>
      </c>
      <c r="O64">
        <v>1029</v>
      </c>
      <c r="P64">
        <f t="shared" si="3"/>
        <v>7203000</v>
      </c>
      <c r="Q64">
        <v>6191000</v>
      </c>
      <c r="R64">
        <v>1012000</v>
      </c>
      <c r="S64">
        <v>272000</v>
      </c>
      <c r="T64" s="128">
        <f t="shared" si="0"/>
        <v>15649575</v>
      </c>
      <c r="U64" s="128">
        <f t="shared" si="4"/>
        <v>3970575</v>
      </c>
      <c r="V64" s="128">
        <f t="shared" si="1"/>
        <v>3970575</v>
      </c>
      <c r="W64" s="128">
        <v>138773</v>
      </c>
      <c r="X64" s="188">
        <f t="shared" si="5"/>
        <v>2.861201386436843E-2</v>
      </c>
      <c r="Y64" s="238"/>
      <c r="AE64" s="128"/>
      <c r="AF64" s="128"/>
      <c r="AG64" s="128"/>
    </row>
    <row r="65" spans="1:33" x14ac:dyDescent="0.25">
      <c r="A65" t="s">
        <v>520</v>
      </c>
      <c r="B65" t="s">
        <v>219</v>
      </c>
      <c r="C65">
        <f t="shared" si="2"/>
        <v>9500</v>
      </c>
      <c r="D65">
        <v>6050</v>
      </c>
      <c r="E65">
        <v>3450</v>
      </c>
      <c r="F65">
        <v>6</v>
      </c>
      <c r="G65">
        <v>0</v>
      </c>
      <c r="H65">
        <v>448</v>
      </c>
      <c r="I65">
        <v>700</v>
      </c>
      <c r="J65">
        <v>4922</v>
      </c>
      <c r="K65">
        <v>6105</v>
      </c>
      <c r="L65">
        <v>384</v>
      </c>
      <c r="M65">
        <v>60</v>
      </c>
      <c r="N65">
        <v>1966</v>
      </c>
      <c r="O65">
        <v>219</v>
      </c>
      <c r="P65">
        <f t="shared" si="3"/>
        <v>8594000</v>
      </c>
      <c r="Q65">
        <v>7612000</v>
      </c>
      <c r="R65">
        <v>982000</v>
      </c>
      <c r="S65">
        <v>174000</v>
      </c>
      <c r="T65" s="128">
        <f t="shared" ref="T65:T127" si="6">0.1905*SUM(Q65,R65,R65)*10</f>
        <v>18242280</v>
      </c>
      <c r="U65" s="128">
        <f t="shared" si="4"/>
        <v>8742280</v>
      </c>
      <c r="V65" s="128">
        <f t="shared" ref="V65:V127" si="7">IF(U65&gt;0,U65,0)</f>
        <v>8742280</v>
      </c>
      <c r="W65" s="128">
        <v>96839</v>
      </c>
      <c r="X65" s="188">
        <f t="shared" si="5"/>
        <v>9.0276438211877447E-2</v>
      </c>
      <c r="Y65" s="238"/>
      <c r="AE65" s="128"/>
      <c r="AF65" s="128"/>
      <c r="AG65" s="128"/>
    </row>
    <row r="66" spans="1:33" x14ac:dyDescent="0.25">
      <c r="A66" t="s">
        <v>524</v>
      </c>
      <c r="B66" t="s">
        <v>117</v>
      </c>
      <c r="C66">
        <f t="shared" si="2"/>
        <v>4795</v>
      </c>
      <c r="D66">
        <v>3349</v>
      </c>
      <c r="E66">
        <v>1446</v>
      </c>
      <c r="F66">
        <v>0</v>
      </c>
      <c r="G66">
        <v>0</v>
      </c>
      <c r="H66">
        <v>388</v>
      </c>
      <c r="I66">
        <v>126</v>
      </c>
      <c r="J66">
        <v>2648</v>
      </c>
      <c r="K66">
        <v>1917</v>
      </c>
      <c r="L66">
        <v>300</v>
      </c>
      <c r="M66">
        <v>212</v>
      </c>
      <c r="N66">
        <v>758</v>
      </c>
      <c r="O66">
        <v>38</v>
      </c>
      <c r="P66">
        <f t="shared" si="3"/>
        <v>3396000</v>
      </c>
      <c r="Q66">
        <v>2947000</v>
      </c>
      <c r="R66">
        <v>449000</v>
      </c>
      <c r="S66">
        <v>359000</v>
      </c>
      <c r="T66" s="128">
        <f t="shared" si="6"/>
        <v>7324725</v>
      </c>
      <c r="U66" s="128">
        <f t="shared" si="4"/>
        <v>2529725</v>
      </c>
      <c r="V66" s="128">
        <f t="shared" si="7"/>
        <v>2529725</v>
      </c>
      <c r="W66" s="128">
        <v>55479</v>
      </c>
      <c r="X66" s="188">
        <f t="shared" si="5"/>
        <v>4.5597883883992142E-2</v>
      </c>
      <c r="Y66" s="238"/>
      <c r="AE66" s="128"/>
      <c r="AF66" s="128"/>
      <c r="AG66" s="128"/>
    </row>
    <row r="67" spans="1:33" x14ac:dyDescent="0.25">
      <c r="A67" t="s">
        <v>520</v>
      </c>
      <c r="B67" t="s">
        <v>290</v>
      </c>
      <c r="C67">
        <f t="shared" ref="C67:C130" si="8">SUM(D67:E67)</f>
        <v>28132</v>
      </c>
      <c r="D67">
        <v>14609</v>
      </c>
      <c r="E67">
        <v>13523</v>
      </c>
      <c r="F67">
        <v>7272</v>
      </c>
      <c r="G67">
        <v>763</v>
      </c>
      <c r="H67">
        <v>975</v>
      </c>
      <c r="I67">
        <v>240</v>
      </c>
      <c r="J67">
        <v>13566</v>
      </c>
      <c r="K67">
        <v>16827</v>
      </c>
      <c r="L67">
        <v>1251</v>
      </c>
      <c r="M67">
        <v>0</v>
      </c>
      <c r="N67">
        <v>3626</v>
      </c>
      <c r="O67">
        <v>252</v>
      </c>
      <c r="P67">
        <f t="shared" ref="P67:P130" si="9">SUM(Q67:R67)</f>
        <v>16260000</v>
      </c>
      <c r="Q67">
        <v>13553000</v>
      </c>
      <c r="R67">
        <v>2707000</v>
      </c>
      <c r="S67">
        <v>205000</v>
      </c>
      <c r="T67" s="128">
        <f t="shared" si="6"/>
        <v>36132135</v>
      </c>
      <c r="U67" s="128">
        <f t="shared" ref="U67:U130" si="10">SUM(T67,-C67*1000)</f>
        <v>8000135</v>
      </c>
      <c r="V67" s="128">
        <f t="shared" si="7"/>
        <v>8000135</v>
      </c>
      <c r="W67" s="128">
        <v>409558</v>
      </c>
      <c r="X67" s="188">
        <f t="shared" ref="X67:X130" si="11">U67/(W67*1000)</f>
        <v>1.953358254508519E-2</v>
      </c>
      <c r="Y67" s="238"/>
      <c r="AE67" s="128"/>
      <c r="AF67" s="128"/>
      <c r="AG67" s="128"/>
    </row>
    <row r="68" spans="1:33" x14ac:dyDescent="0.25">
      <c r="A68" t="s">
        <v>524</v>
      </c>
      <c r="B68" t="s">
        <v>247</v>
      </c>
      <c r="C68">
        <f t="shared" si="8"/>
        <v>14645</v>
      </c>
      <c r="D68">
        <v>6604</v>
      </c>
      <c r="E68">
        <v>8041</v>
      </c>
      <c r="F68">
        <v>63</v>
      </c>
      <c r="G68">
        <v>44</v>
      </c>
      <c r="H68">
        <v>751</v>
      </c>
      <c r="I68">
        <v>759</v>
      </c>
      <c r="J68">
        <v>3936</v>
      </c>
      <c r="K68">
        <v>11135</v>
      </c>
      <c r="L68">
        <v>889</v>
      </c>
      <c r="M68">
        <v>368</v>
      </c>
      <c r="N68">
        <v>1188</v>
      </c>
      <c r="O68">
        <v>105</v>
      </c>
      <c r="P68">
        <f t="shared" si="9"/>
        <v>6293000</v>
      </c>
      <c r="Q68">
        <v>5100000</v>
      </c>
      <c r="R68">
        <v>1193000</v>
      </c>
      <c r="S68">
        <v>322000</v>
      </c>
      <c r="T68" s="128">
        <f t="shared" si="6"/>
        <v>14260830</v>
      </c>
      <c r="U68" s="128">
        <f t="shared" si="10"/>
        <v>-384170</v>
      </c>
      <c r="V68" s="128">
        <f t="shared" si="7"/>
        <v>0</v>
      </c>
      <c r="W68" s="128">
        <v>214174</v>
      </c>
      <c r="X68" s="188">
        <f t="shared" si="11"/>
        <v>-1.7937284637724467E-3</v>
      </c>
      <c r="Y68" s="238"/>
      <c r="AE68" s="128"/>
      <c r="AF68" s="128"/>
      <c r="AG68" s="128"/>
    </row>
    <row r="69" spans="1:33" x14ac:dyDescent="0.25">
      <c r="A69" t="s">
        <v>516</v>
      </c>
      <c r="B69" t="s">
        <v>357</v>
      </c>
      <c r="C69">
        <f t="shared" si="8"/>
        <v>8601</v>
      </c>
      <c r="D69">
        <v>5603</v>
      </c>
      <c r="E69">
        <v>2998</v>
      </c>
      <c r="F69">
        <v>317</v>
      </c>
      <c r="G69">
        <v>0</v>
      </c>
      <c r="H69">
        <v>360</v>
      </c>
      <c r="I69">
        <v>278</v>
      </c>
      <c r="J69">
        <v>4130</v>
      </c>
      <c r="K69">
        <v>2505</v>
      </c>
      <c r="L69">
        <v>303</v>
      </c>
      <c r="M69">
        <v>76</v>
      </c>
      <c r="N69">
        <v>1400</v>
      </c>
      <c r="O69">
        <v>175</v>
      </c>
      <c r="P69">
        <f t="shared" si="9"/>
        <v>4895000</v>
      </c>
      <c r="Q69">
        <v>4075000</v>
      </c>
      <c r="R69">
        <v>820000</v>
      </c>
      <c r="S69">
        <v>256000</v>
      </c>
      <c r="T69" s="128">
        <f t="shared" si="6"/>
        <v>10887075</v>
      </c>
      <c r="U69" s="128">
        <f t="shared" si="10"/>
        <v>2286075</v>
      </c>
      <c r="V69" s="128">
        <f t="shared" si="7"/>
        <v>2286075</v>
      </c>
      <c r="W69" s="128">
        <v>100509</v>
      </c>
      <c r="X69" s="188">
        <f t="shared" si="11"/>
        <v>2.2744978061666119E-2</v>
      </c>
      <c r="Y69" s="238"/>
      <c r="AE69" s="128"/>
      <c r="AF69" s="128"/>
      <c r="AG69" s="128"/>
    </row>
    <row r="70" spans="1:33" x14ac:dyDescent="0.25">
      <c r="A70" t="s">
        <v>521</v>
      </c>
      <c r="B70" t="s">
        <v>144</v>
      </c>
      <c r="C70">
        <f t="shared" si="8"/>
        <v>28917</v>
      </c>
      <c r="D70">
        <v>15888</v>
      </c>
      <c r="E70">
        <v>13029</v>
      </c>
      <c r="F70">
        <v>4942</v>
      </c>
      <c r="G70">
        <v>182</v>
      </c>
      <c r="H70">
        <v>243</v>
      </c>
      <c r="I70">
        <v>355</v>
      </c>
      <c r="J70">
        <v>8546</v>
      </c>
      <c r="K70">
        <v>14432</v>
      </c>
      <c r="L70">
        <v>1162</v>
      </c>
      <c r="M70">
        <v>161</v>
      </c>
      <c r="N70">
        <v>3420</v>
      </c>
      <c r="O70">
        <v>1107</v>
      </c>
      <c r="P70">
        <f t="shared" si="9"/>
        <v>13250000</v>
      </c>
      <c r="Q70">
        <v>11201000</v>
      </c>
      <c r="R70">
        <v>2049000</v>
      </c>
      <c r="S70">
        <v>191000</v>
      </c>
      <c r="T70" s="128">
        <f t="shared" si="6"/>
        <v>29144595</v>
      </c>
      <c r="U70" s="128">
        <f t="shared" si="10"/>
        <v>227595</v>
      </c>
      <c r="V70" s="128">
        <f t="shared" si="7"/>
        <v>227595</v>
      </c>
      <c r="W70" s="128">
        <v>378726</v>
      </c>
      <c r="X70" s="188">
        <f t="shared" si="11"/>
        <v>6.0094897102390648E-4</v>
      </c>
      <c r="Y70" s="238"/>
      <c r="AE70" s="128"/>
      <c r="AF70" s="128"/>
      <c r="AG70" s="128"/>
    </row>
    <row r="71" spans="1:33" x14ac:dyDescent="0.25">
      <c r="A71" t="s">
        <v>518</v>
      </c>
      <c r="B71" t="s">
        <v>248</v>
      </c>
      <c r="C71">
        <f t="shared" si="8"/>
        <v>7465</v>
      </c>
      <c r="D71">
        <v>4475</v>
      </c>
      <c r="E71">
        <v>2990</v>
      </c>
      <c r="F71">
        <v>1205</v>
      </c>
      <c r="G71">
        <v>25</v>
      </c>
      <c r="H71">
        <v>515</v>
      </c>
      <c r="I71">
        <v>65</v>
      </c>
      <c r="J71">
        <v>3420</v>
      </c>
      <c r="K71">
        <v>4420</v>
      </c>
      <c r="L71">
        <v>356</v>
      </c>
      <c r="M71">
        <v>2</v>
      </c>
      <c r="N71">
        <v>1004</v>
      </c>
      <c r="O71">
        <v>90</v>
      </c>
      <c r="P71">
        <f t="shared" si="9"/>
        <v>5935000</v>
      </c>
      <c r="Q71">
        <v>5254000</v>
      </c>
      <c r="R71">
        <v>681000</v>
      </c>
      <c r="S71">
        <v>146000</v>
      </c>
      <c r="T71" s="128">
        <f t="shared" si="6"/>
        <v>12603480</v>
      </c>
      <c r="U71" s="128">
        <f t="shared" si="10"/>
        <v>5138480</v>
      </c>
      <c r="V71" s="128">
        <f t="shared" si="7"/>
        <v>5138480</v>
      </c>
      <c r="W71" s="128">
        <v>96754</v>
      </c>
      <c r="X71" s="188">
        <f t="shared" si="11"/>
        <v>5.3108708683878701E-2</v>
      </c>
      <c r="Y71" s="238"/>
      <c r="AE71" s="128"/>
      <c r="AF71" s="128"/>
      <c r="AG71" s="128"/>
    </row>
    <row r="72" spans="1:33" s="207" customFormat="1" x14ac:dyDescent="0.25">
      <c r="A72" s="207" t="s">
        <v>517</v>
      </c>
      <c r="B72" s="207" t="s">
        <v>867</v>
      </c>
      <c r="C72">
        <f t="shared" si="8"/>
        <v>18163</v>
      </c>
      <c r="D72" s="207">
        <v>9938</v>
      </c>
      <c r="E72" s="207">
        <v>8225</v>
      </c>
      <c r="F72" s="207">
        <v>254</v>
      </c>
      <c r="G72" s="207">
        <v>0</v>
      </c>
      <c r="H72" s="207">
        <v>89</v>
      </c>
      <c r="I72" s="207">
        <v>0</v>
      </c>
      <c r="J72" s="207">
        <v>10399</v>
      </c>
      <c r="K72" s="207">
        <v>9629</v>
      </c>
      <c r="L72" s="207">
        <v>916</v>
      </c>
      <c r="M72" s="207">
        <v>410</v>
      </c>
      <c r="N72" s="207">
        <v>2018</v>
      </c>
      <c r="O72" s="207">
        <v>221</v>
      </c>
      <c r="P72">
        <f t="shared" si="9"/>
        <v>11995000</v>
      </c>
      <c r="Q72" s="207">
        <v>10401000</v>
      </c>
      <c r="R72" s="207">
        <v>1594000</v>
      </c>
      <c r="S72" s="207">
        <v>252000</v>
      </c>
      <c r="T72" s="242">
        <f t="shared" si="6"/>
        <v>25887045</v>
      </c>
      <c r="U72" s="128">
        <f t="shared" si="10"/>
        <v>7724045</v>
      </c>
      <c r="V72" s="242">
        <f t="shared" si="7"/>
        <v>7724045</v>
      </c>
      <c r="W72" s="242">
        <v>236097</v>
      </c>
      <c r="X72" s="341">
        <f t="shared" si="11"/>
        <v>3.2715557588618237E-2</v>
      </c>
      <c r="Y72" s="300"/>
      <c r="AE72" s="242"/>
      <c r="AF72" s="242"/>
      <c r="AG72" s="242"/>
    </row>
    <row r="73" spans="1:33" x14ac:dyDescent="0.25">
      <c r="A73" t="s">
        <v>522</v>
      </c>
      <c r="B73" t="s">
        <v>145</v>
      </c>
      <c r="C73">
        <f t="shared" si="8"/>
        <v>6883</v>
      </c>
      <c r="D73">
        <v>4108</v>
      </c>
      <c r="E73">
        <v>2775</v>
      </c>
      <c r="F73">
        <v>0</v>
      </c>
      <c r="G73">
        <v>17</v>
      </c>
      <c r="H73">
        <v>425</v>
      </c>
      <c r="I73">
        <v>224</v>
      </c>
      <c r="J73">
        <v>3144</v>
      </c>
      <c r="K73">
        <v>1718</v>
      </c>
      <c r="L73">
        <v>319</v>
      </c>
      <c r="M73">
        <v>0</v>
      </c>
      <c r="N73">
        <v>682</v>
      </c>
      <c r="O73">
        <v>68</v>
      </c>
      <c r="P73">
        <f t="shared" si="9"/>
        <v>3857000</v>
      </c>
      <c r="Q73">
        <v>3125000</v>
      </c>
      <c r="R73">
        <v>732000</v>
      </c>
      <c r="S73">
        <v>194000</v>
      </c>
      <c r="T73" s="128">
        <f t="shared" si="6"/>
        <v>8742045</v>
      </c>
      <c r="U73" s="128">
        <f t="shared" si="10"/>
        <v>1859045</v>
      </c>
      <c r="V73" s="128">
        <f t="shared" si="7"/>
        <v>1859045</v>
      </c>
      <c r="W73" s="128">
        <v>60954</v>
      </c>
      <c r="X73" s="188">
        <f t="shared" si="11"/>
        <v>3.0499146897660531E-2</v>
      </c>
      <c r="Y73" s="238"/>
      <c r="AE73" s="128"/>
      <c r="AF73" s="128"/>
      <c r="AG73" s="128"/>
    </row>
    <row r="74" spans="1:33" s="86" customFormat="1" x14ac:dyDescent="0.25">
      <c r="A74" s="86" t="s">
        <v>518</v>
      </c>
      <c r="B74" s="86" t="s">
        <v>175</v>
      </c>
      <c r="C74">
        <f t="shared" si="8"/>
        <v>2171</v>
      </c>
      <c r="D74" s="86">
        <v>1712</v>
      </c>
      <c r="E74" s="86">
        <v>459</v>
      </c>
      <c r="F74" s="86">
        <v>541</v>
      </c>
      <c r="G74" s="86">
        <v>25</v>
      </c>
      <c r="H74" s="86">
        <v>408</v>
      </c>
      <c r="I74" s="86">
        <v>105</v>
      </c>
      <c r="J74" s="86">
        <v>1229</v>
      </c>
      <c r="K74" s="86">
        <v>1533</v>
      </c>
      <c r="L74" s="86">
        <v>137</v>
      </c>
      <c r="M74" s="86">
        <v>67</v>
      </c>
      <c r="N74" s="86">
        <v>335</v>
      </c>
      <c r="O74" s="86">
        <v>27</v>
      </c>
      <c r="P74">
        <f t="shared" si="9"/>
        <v>1350000</v>
      </c>
      <c r="Q74" s="86">
        <v>1208000</v>
      </c>
      <c r="R74" s="86">
        <v>142000</v>
      </c>
      <c r="S74" s="86">
        <v>235000</v>
      </c>
      <c r="T74" s="243">
        <f t="shared" si="6"/>
        <v>2842260</v>
      </c>
      <c r="U74" s="128">
        <f t="shared" si="10"/>
        <v>671260</v>
      </c>
      <c r="V74" s="243">
        <f t="shared" si="7"/>
        <v>671260</v>
      </c>
      <c r="W74" s="243">
        <v>33948</v>
      </c>
      <c r="X74" s="273">
        <f t="shared" si="11"/>
        <v>1.977318251443384E-2</v>
      </c>
      <c r="Y74" s="301"/>
      <c r="AE74" s="243"/>
      <c r="AF74" s="243"/>
      <c r="AG74" s="243"/>
    </row>
    <row r="75" spans="1:33" x14ac:dyDescent="0.25">
      <c r="A75" t="s">
        <v>522</v>
      </c>
      <c r="B75" t="s">
        <v>176</v>
      </c>
      <c r="C75">
        <f t="shared" si="8"/>
        <v>13563</v>
      </c>
      <c r="D75">
        <v>7580</v>
      </c>
      <c r="E75">
        <v>5983</v>
      </c>
      <c r="F75">
        <v>3536</v>
      </c>
      <c r="G75">
        <v>111</v>
      </c>
      <c r="H75">
        <v>75</v>
      </c>
      <c r="I75">
        <v>728</v>
      </c>
      <c r="J75">
        <v>6084</v>
      </c>
      <c r="K75">
        <v>8498</v>
      </c>
      <c r="L75">
        <v>956</v>
      </c>
      <c r="M75">
        <v>51</v>
      </c>
      <c r="N75">
        <v>1837</v>
      </c>
      <c r="O75">
        <v>241</v>
      </c>
      <c r="P75">
        <f t="shared" si="9"/>
        <v>7462000</v>
      </c>
      <c r="Q75">
        <v>6241000</v>
      </c>
      <c r="R75">
        <v>1221000</v>
      </c>
      <c r="S75">
        <v>254000</v>
      </c>
      <c r="T75" s="128">
        <f t="shared" si="6"/>
        <v>16541115</v>
      </c>
      <c r="U75" s="128">
        <f t="shared" si="10"/>
        <v>2978115</v>
      </c>
      <c r="V75" s="128">
        <f t="shared" si="7"/>
        <v>2978115</v>
      </c>
      <c r="W75" s="128">
        <v>248187</v>
      </c>
      <c r="X75" s="188">
        <f t="shared" si="11"/>
        <v>1.1999480230632548E-2</v>
      </c>
      <c r="Y75" s="238"/>
      <c r="AE75" s="128"/>
      <c r="AF75" s="128"/>
      <c r="AG75" s="128"/>
    </row>
    <row r="76" spans="1:33" x14ac:dyDescent="0.25">
      <c r="A76" t="s">
        <v>519</v>
      </c>
      <c r="B76" t="s">
        <v>358</v>
      </c>
      <c r="C76">
        <f t="shared" si="8"/>
        <v>6297</v>
      </c>
      <c r="D76">
        <v>4324</v>
      </c>
      <c r="E76">
        <v>1973</v>
      </c>
      <c r="F76">
        <v>1</v>
      </c>
      <c r="G76">
        <v>0</v>
      </c>
      <c r="H76">
        <v>140</v>
      </c>
      <c r="I76">
        <v>0</v>
      </c>
      <c r="J76">
        <v>1999</v>
      </c>
      <c r="K76">
        <v>3814</v>
      </c>
      <c r="L76">
        <v>258</v>
      </c>
      <c r="M76">
        <v>134</v>
      </c>
      <c r="N76">
        <v>589</v>
      </c>
      <c r="O76">
        <v>69</v>
      </c>
      <c r="P76">
        <f t="shared" si="9"/>
        <v>3667000</v>
      </c>
      <c r="Q76">
        <v>3173000</v>
      </c>
      <c r="R76">
        <v>494000</v>
      </c>
      <c r="S76">
        <v>190000</v>
      </c>
      <c r="T76" s="128">
        <f t="shared" si="6"/>
        <v>7926705</v>
      </c>
      <c r="U76" s="128">
        <f t="shared" si="10"/>
        <v>1629705</v>
      </c>
      <c r="V76" s="128">
        <f t="shared" si="7"/>
        <v>1629705</v>
      </c>
      <c r="W76" s="128">
        <v>64853</v>
      </c>
      <c r="X76" s="188">
        <f t="shared" si="11"/>
        <v>2.5129215302299047E-2</v>
      </c>
      <c r="Y76" s="238"/>
      <c r="AE76" s="128"/>
      <c r="AF76" s="128"/>
      <c r="AG76" s="128"/>
    </row>
    <row r="77" spans="1:33" x14ac:dyDescent="0.25">
      <c r="A77" t="s">
        <v>519</v>
      </c>
      <c r="B77" t="s">
        <v>291</v>
      </c>
      <c r="C77">
        <f t="shared" si="8"/>
        <v>26498</v>
      </c>
      <c r="D77">
        <v>13381</v>
      </c>
      <c r="E77">
        <v>13117</v>
      </c>
      <c r="F77">
        <v>10510</v>
      </c>
      <c r="G77">
        <v>185</v>
      </c>
      <c r="H77">
        <v>450</v>
      </c>
      <c r="I77">
        <v>457</v>
      </c>
      <c r="J77">
        <v>13540</v>
      </c>
      <c r="K77">
        <v>16421</v>
      </c>
      <c r="L77">
        <v>1458</v>
      </c>
      <c r="M77">
        <v>2133</v>
      </c>
      <c r="N77">
        <v>3871</v>
      </c>
      <c r="O77">
        <v>1129</v>
      </c>
      <c r="P77">
        <f t="shared" si="9"/>
        <v>15556000</v>
      </c>
      <c r="Q77">
        <v>12581000</v>
      </c>
      <c r="R77">
        <v>2975000</v>
      </c>
      <c r="S77">
        <v>194000</v>
      </c>
      <c r="T77" s="128">
        <f t="shared" si="6"/>
        <v>35301555</v>
      </c>
      <c r="U77" s="128">
        <f t="shared" si="10"/>
        <v>8803555</v>
      </c>
      <c r="V77" s="128">
        <f t="shared" si="7"/>
        <v>8803555</v>
      </c>
      <c r="W77" s="128">
        <v>526349</v>
      </c>
      <c r="X77" s="188">
        <f t="shared" si="11"/>
        <v>1.6725699108386262E-2</v>
      </c>
      <c r="Y77" s="238"/>
      <c r="AE77" s="128"/>
      <c r="AF77" s="128"/>
      <c r="AG77" s="128"/>
    </row>
    <row r="78" spans="1:33" x14ac:dyDescent="0.25">
      <c r="A78" t="s">
        <v>517</v>
      </c>
      <c r="B78" t="s">
        <v>249</v>
      </c>
      <c r="C78">
        <f t="shared" si="8"/>
        <v>2996</v>
      </c>
      <c r="D78">
        <v>2334</v>
      </c>
      <c r="E78">
        <v>662</v>
      </c>
      <c r="F78">
        <v>0</v>
      </c>
      <c r="G78">
        <v>0</v>
      </c>
      <c r="H78">
        <v>165</v>
      </c>
      <c r="I78">
        <v>15</v>
      </c>
      <c r="J78">
        <v>1496</v>
      </c>
      <c r="K78">
        <v>3077</v>
      </c>
      <c r="L78">
        <v>197</v>
      </c>
      <c r="M78">
        <v>35</v>
      </c>
      <c r="N78">
        <v>377</v>
      </c>
      <c r="O78">
        <v>49</v>
      </c>
      <c r="P78">
        <f t="shared" si="9"/>
        <v>2769000</v>
      </c>
      <c r="Q78">
        <v>2491000</v>
      </c>
      <c r="R78">
        <v>278000</v>
      </c>
      <c r="S78">
        <v>232000</v>
      </c>
      <c r="T78" s="128">
        <f t="shared" si="6"/>
        <v>5804535</v>
      </c>
      <c r="U78" s="128">
        <f t="shared" si="10"/>
        <v>2808535</v>
      </c>
      <c r="V78" s="128">
        <f t="shared" si="7"/>
        <v>2808535</v>
      </c>
      <c r="W78" s="128">
        <v>43493</v>
      </c>
      <c r="X78" s="188">
        <f t="shared" si="11"/>
        <v>6.4574414273561268E-2</v>
      </c>
      <c r="Y78" s="238"/>
      <c r="AE78" s="128"/>
      <c r="AF78" s="128"/>
      <c r="AG78" s="128"/>
    </row>
    <row r="79" spans="1:33" x14ac:dyDescent="0.25">
      <c r="A79" t="s">
        <v>521</v>
      </c>
      <c r="B79" t="s">
        <v>359</v>
      </c>
      <c r="C79">
        <f t="shared" si="8"/>
        <v>5091</v>
      </c>
      <c r="D79">
        <v>3730</v>
      </c>
      <c r="E79">
        <v>1361</v>
      </c>
      <c r="F79">
        <v>8</v>
      </c>
      <c r="G79">
        <v>33</v>
      </c>
      <c r="H79">
        <v>119</v>
      </c>
      <c r="I79">
        <v>0</v>
      </c>
      <c r="J79">
        <v>1639</v>
      </c>
      <c r="K79">
        <v>2604</v>
      </c>
      <c r="L79">
        <v>291</v>
      </c>
      <c r="M79">
        <v>114</v>
      </c>
      <c r="N79">
        <v>1313</v>
      </c>
      <c r="O79">
        <v>97</v>
      </c>
      <c r="P79">
        <f t="shared" si="9"/>
        <v>3866000</v>
      </c>
      <c r="Q79">
        <v>3348000</v>
      </c>
      <c r="R79">
        <v>518000</v>
      </c>
      <c r="S79">
        <v>173000</v>
      </c>
      <c r="T79" s="128">
        <f t="shared" si="6"/>
        <v>8351520</v>
      </c>
      <c r="U79" s="128">
        <f t="shared" si="10"/>
        <v>3260520</v>
      </c>
      <c r="V79" s="128">
        <f t="shared" si="7"/>
        <v>3260520</v>
      </c>
      <c r="W79" s="128">
        <v>64263</v>
      </c>
      <c r="X79" s="188">
        <f t="shared" si="11"/>
        <v>5.0737127118248446E-2</v>
      </c>
      <c r="Y79" s="238"/>
      <c r="AE79" s="128"/>
      <c r="AF79" s="128"/>
      <c r="AG79" s="128"/>
    </row>
    <row r="80" spans="1:33" x14ac:dyDescent="0.25">
      <c r="A80" t="s">
        <v>518</v>
      </c>
      <c r="B80" t="s">
        <v>430</v>
      </c>
      <c r="C80">
        <f t="shared" si="8"/>
        <v>10411</v>
      </c>
      <c r="D80">
        <v>6208</v>
      </c>
      <c r="E80">
        <v>4203</v>
      </c>
      <c r="F80">
        <v>8</v>
      </c>
      <c r="G80">
        <v>0</v>
      </c>
      <c r="H80">
        <v>1220</v>
      </c>
      <c r="I80">
        <v>337</v>
      </c>
      <c r="J80">
        <v>2565</v>
      </c>
      <c r="K80">
        <v>5169</v>
      </c>
      <c r="L80">
        <v>275</v>
      </c>
      <c r="M80">
        <v>405</v>
      </c>
      <c r="N80">
        <v>764</v>
      </c>
      <c r="O80">
        <v>145</v>
      </c>
      <c r="P80">
        <f t="shared" si="9"/>
        <v>5431000</v>
      </c>
      <c r="Q80">
        <v>4345000</v>
      </c>
      <c r="R80">
        <v>1086000</v>
      </c>
      <c r="S80">
        <v>244000</v>
      </c>
      <c r="T80" s="128">
        <f t="shared" si="6"/>
        <v>12414885</v>
      </c>
      <c r="U80" s="128">
        <f t="shared" si="10"/>
        <v>2003885</v>
      </c>
      <c r="V80" s="128">
        <f t="shared" si="7"/>
        <v>2003885</v>
      </c>
      <c r="W80" s="128">
        <v>108539</v>
      </c>
      <c r="X80" s="188">
        <f t="shared" si="11"/>
        <v>1.8462349938731699E-2</v>
      </c>
      <c r="Y80" s="238"/>
      <c r="AE80" s="128"/>
      <c r="AF80" s="128"/>
      <c r="AG80" s="128"/>
    </row>
    <row r="81" spans="1:33" x14ac:dyDescent="0.25">
      <c r="A81" t="s">
        <v>517</v>
      </c>
      <c r="B81" t="s">
        <v>177</v>
      </c>
      <c r="C81">
        <f t="shared" si="8"/>
        <v>3515</v>
      </c>
      <c r="D81">
        <v>2397</v>
      </c>
      <c r="E81">
        <v>1118</v>
      </c>
      <c r="F81">
        <v>0</v>
      </c>
      <c r="G81">
        <v>0</v>
      </c>
      <c r="H81">
        <v>0</v>
      </c>
      <c r="I81">
        <v>213</v>
      </c>
      <c r="J81">
        <v>1937</v>
      </c>
      <c r="K81">
        <v>1527</v>
      </c>
      <c r="L81">
        <v>233</v>
      </c>
      <c r="M81">
        <v>26</v>
      </c>
      <c r="N81">
        <v>628</v>
      </c>
      <c r="O81">
        <v>78</v>
      </c>
      <c r="P81">
        <f t="shared" si="9"/>
        <v>2527000</v>
      </c>
      <c r="Q81">
        <v>2167000</v>
      </c>
      <c r="R81">
        <v>360000</v>
      </c>
      <c r="S81">
        <v>242000</v>
      </c>
      <c r="T81" s="128">
        <f t="shared" si="6"/>
        <v>5499735</v>
      </c>
      <c r="U81" s="128">
        <f t="shared" si="10"/>
        <v>1984735</v>
      </c>
      <c r="V81" s="128">
        <f t="shared" si="7"/>
        <v>1984735</v>
      </c>
      <c r="W81" s="128">
        <v>47301</v>
      </c>
      <c r="X81" s="188">
        <f t="shared" si="11"/>
        <v>4.1959683727616749E-2</v>
      </c>
      <c r="Y81" s="238"/>
      <c r="AE81" s="128"/>
      <c r="AF81" s="128"/>
      <c r="AG81" s="128"/>
    </row>
    <row r="82" spans="1:33" x14ac:dyDescent="0.25">
      <c r="A82" t="s">
        <v>523</v>
      </c>
      <c r="B82" t="s">
        <v>178</v>
      </c>
      <c r="C82">
        <f t="shared" si="8"/>
        <v>6532</v>
      </c>
      <c r="D82">
        <v>3849</v>
      </c>
      <c r="E82">
        <v>2683</v>
      </c>
      <c r="F82">
        <v>1</v>
      </c>
      <c r="G82">
        <v>0</v>
      </c>
      <c r="H82">
        <v>177</v>
      </c>
      <c r="I82">
        <v>226</v>
      </c>
      <c r="J82">
        <v>2714</v>
      </c>
      <c r="K82">
        <v>2750</v>
      </c>
      <c r="L82">
        <v>218</v>
      </c>
      <c r="M82">
        <v>60</v>
      </c>
      <c r="N82">
        <v>796</v>
      </c>
      <c r="O82">
        <v>113</v>
      </c>
      <c r="P82">
        <f t="shared" si="9"/>
        <v>3545000</v>
      </c>
      <c r="Q82">
        <v>2774000</v>
      </c>
      <c r="R82">
        <v>771000</v>
      </c>
      <c r="S82">
        <v>206000</v>
      </c>
      <c r="T82" s="128">
        <f t="shared" si="6"/>
        <v>8221980</v>
      </c>
      <c r="U82" s="128">
        <f t="shared" si="10"/>
        <v>1689980</v>
      </c>
      <c r="V82" s="128">
        <f t="shared" si="7"/>
        <v>1689980</v>
      </c>
      <c r="W82" s="128">
        <v>64484</v>
      </c>
      <c r="X82" s="188">
        <f t="shared" si="11"/>
        <v>2.6207741455244713E-2</v>
      </c>
      <c r="Y82" s="238"/>
      <c r="AE82" s="128"/>
      <c r="AF82" s="128"/>
      <c r="AG82" s="128"/>
    </row>
    <row r="83" spans="1:33" x14ac:dyDescent="0.25">
      <c r="A83" t="s">
        <v>519</v>
      </c>
      <c r="B83" t="s">
        <v>403</v>
      </c>
      <c r="C83">
        <f t="shared" si="8"/>
        <v>6972</v>
      </c>
      <c r="D83">
        <v>4463</v>
      </c>
      <c r="E83">
        <v>2509</v>
      </c>
      <c r="F83">
        <v>0</v>
      </c>
      <c r="G83">
        <v>4</v>
      </c>
      <c r="H83">
        <v>385</v>
      </c>
      <c r="I83">
        <v>175</v>
      </c>
      <c r="J83">
        <v>4274</v>
      </c>
      <c r="K83">
        <v>2859</v>
      </c>
      <c r="L83">
        <v>354</v>
      </c>
      <c r="M83">
        <v>51</v>
      </c>
      <c r="N83">
        <v>755</v>
      </c>
      <c r="O83">
        <v>90</v>
      </c>
      <c r="P83">
        <f t="shared" si="9"/>
        <v>4211000</v>
      </c>
      <c r="Q83">
        <v>3633000</v>
      </c>
      <c r="R83">
        <v>578000</v>
      </c>
      <c r="S83">
        <v>226000</v>
      </c>
      <c r="T83" s="128">
        <f t="shared" si="6"/>
        <v>9123045</v>
      </c>
      <c r="U83" s="128">
        <f t="shared" si="10"/>
        <v>2151045</v>
      </c>
      <c r="V83" s="128">
        <f t="shared" si="7"/>
        <v>2151045</v>
      </c>
      <c r="W83" s="128">
        <v>83832</v>
      </c>
      <c r="X83" s="188">
        <f t="shared" si="11"/>
        <v>2.5658996564557685E-2</v>
      </c>
      <c r="Y83" s="238"/>
      <c r="AE83" s="128"/>
      <c r="AF83" s="128"/>
      <c r="AG83" s="128"/>
    </row>
    <row r="84" spans="1:33" x14ac:dyDescent="0.25">
      <c r="A84" t="s">
        <v>519</v>
      </c>
      <c r="B84" t="s">
        <v>250</v>
      </c>
      <c r="C84">
        <f t="shared" si="8"/>
        <v>6369</v>
      </c>
      <c r="D84">
        <v>4326</v>
      </c>
      <c r="E84">
        <v>2043</v>
      </c>
      <c r="F84">
        <v>153</v>
      </c>
      <c r="G84">
        <v>33</v>
      </c>
      <c r="H84">
        <v>1209</v>
      </c>
      <c r="I84">
        <v>147</v>
      </c>
      <c r="J84">
        <v>3692</v>
      </c>
      <c r="K84">
        <v>5038</v>
      </c>
      <c r="L84">
        <v>305</v>
      </c>
      <c r="M84">
        <v>100</v>
      </c>
      <c r="N84">
        <v>2086</v>
      </c>
      <c r="O84">
        <v>270</v>
      </c>
      <c r="P84">
        <f t="shared" si="9"/>
        <v>5709000</v>
      </c>
      <c r="Q84">
        <v>5046000</v>
      </c>
      <c r="R84">
        <v>663000</v>
      </c>
      <c r="S84">
        <v>209000</v>
      </c>
      <c r="T84" s="128">
        <f t="shared" si="6"/>
        <v>12138660</v>
      </c>
      <c r="U84" s="128">
        <f t="shared" si="10"/>
        <v>5769660</v>
      </c>
      <c r="V84" s="128">
        <f t="shared" si="7"/>
        <v>5769660</v>
      </c>
      <c r="W84" s="128">
        <v>81952</v>
      </c>
      <c r="X84" s="188">
        <f t="shared" si="11"/>
        <v>7.0402918781725887E-2</v>
      </c>
      <c r="Y84" s="238"/>
      <c r="AE84" s="128"/>
      <c r="AF84" s="128"/>
      <c r="AG84" s="128"/>
    </row>
    <row r="85" spans="1:33" x14ac:dyDescent="0.25">
      <c r="A85" t="s">
        <v>526</v>
      </c>
      <c r="B85" t="s">
        <v>179</v>
      </c>
      <c r="C85">
        <f t="shared" si="8"/>
        <v>26276</v>
      </c>
      <c r="D85">
        <v>14705</v>
      </c>
      <c r="E85">
        <v>11571</v>
      </c>
      <c r="F85">
        <v>1634</v>
      </c>
      <c r="G85">
        <v>0</v>
      </c>
      <c r="H85">
        <v>1174</v>
      </c>
      <c r="I85">
        <v>1488</v>
      </c>
      <c r="J85">
        <v>11067</v>
      </c>
      <c r="K85">
        <v>11016</v>
      </c>
      <c r="L85">
        <v>1641</v>
      </c>
      <c r="M85">
        <v>1263</v>
      </c>
      <c r="N85">
        <v>4348</v>
      </c>
      <c r="O85">
        <v>330</v>
      </c>
      <c r="P85">
        <f t="shared" si="9"/>
        <v>18128000</v>
      </c>
      <c r="Q85">
        <v>14776000</v>
      </c>
      <c r="R85">
        <v>3352000</v>
      </c>
      <c r="S85">
        <v>203000</v>
      </c>
      <c r="T85" s="128">
        <f t="shared" si="6"/>
        <v>40919400</v>
      </c>
      <c r="U85" s="128">
        <f t="shared" si="10"/>
        <v>14643400</v>
      </c>
      <c r="V85" s="128">
        <f t="shared" si="7"/>
        <v>14643400</v>
      </c>
      <c r="W85" s="128">
        <v>394066</v>
      </c>
      <c r="X85" s="188">
        <f t="shared" si="11"/>
        <v>3.7159765115488269E-2</v>
      </c>
      <c r="Y85" s="238"/>
      <c r="AE85" s="128"/>
      <c r="AF85" s="128"/>
      <c r="AG85" s="128"/>
    </row>
    <row r="86" spans="1:33" x14ac:dyDescent="0.25">
      <c r="A86" t="s">
        <v>518</v>
      </c>
      <c r="B86" t="s">
        <v>220</v>
      </c>
      <c r="C86">
        <f t="shared" si="8"/>
        <v>2558</v>
      </c>
      <c r="D86">
        <v>1853</v>
      </c>
      <c r="E86">
        <v>705</v>
      </c>
      <c r="F86">
        <v>4</v>
      </c>
      <c r="G86">
        <v>0</v>
      </c>
      <c r="H86">
        <v>115</v>
      </c>
      <c r="I86">
        <v>72</v>
      </c>
      <c r="J86">
        <v>854</v>
      </c>
      <c r="K86">
        <v>1461</v>
      </c>
      <c r="L86">
        <v>125</v>
      </c>
      <c r="M86">
        <v>15</v>
      </c>
      <c r="N86">
        <v>861</v>
      </c>
      <c r="O86">
        <v>84</v>
      </c>
      <c r="P86">
        <f t="shared" si="9"/>
        <v>1855000</v>
      </c>
      <c r="Q86">
        <v>1637000</v>
      </c>
      <c r="R86">
        <v>218000</v>
      </c>
      <c r="S86">
        <v>252000</v>
      </c>
      <c r="T86" s="128">
        <f t="shared" si="6"/>
        <v>3949065</v>
      </c>
      <c r="U86" s="128">
        <f t="shared" si="10"/>
        <v>1391065</v>
      </c>
      <c r="V86" s="128">
        <f t="shared" si="7"/>
        <v>1391065</v>
      </c>
      <c r="W86" s="128">
        <v>29607</v>
      </c>
      <c r="X86" s="188">
        <f t="shared" si="11"/>
        <v>4.6984328030533318E-2</v>
      </c>
      <c r="Y86" s="238"/>
      <c r="AE86" s="128"/>
      <c r="AF86" s="128"/>
      <c r="AG86" s="128"/>
    </row>
    <row r="87" spans="1:33" x14ac:dyDescent="0.25">
      <c r="A87" t="s">
        <v>519</v>
      </c>
      <c r="B87" t="s">
        <v>754</v>
      </c>
      <c r="C87">
        <f t="shared" si="8"/>
        <v>17391</v>
      </c>
      <c r="D87">
        <v>7132</v>
      </c>
      <c r="E87">
        <v>10259</v>
      </c>
      <c r="F87">
        <v>2</v>
      </c>
      <c r="G87">
        <v>0</v>
      </c>
      <c r="H87">
        <v>214</v>
      </c>
      <c r="I87">
        <v>140</v>
      </c>
      <c r="J87">
        <v>5420</v>
      </c>
      <c r="K87">
        <v>5383</v>
      </c>
      <c r="L87">
        <v>518</v>
      </c>
      <c r="M87">
        <v>286</v>
      </c>
      <c r="N87">
        <v>2614</v>
      </c>
      <c r="O87">
        <v>200</v>
      </c>
      <c r="P87">
        <f t="shared" si="9"/>
        <v>4818000</v>
      </c>
      <c r="Q87">
        <v>3606000</v>
      </c>
      <c r="R87">
        <v>1212000</v>
      </c>
      <c r="S87">
        <v>244000</v>
      </c>
      <c r="T87" s="128">
        <f t="shared" si="6"/>
        <v>11487150</v>
      </c>
      <c r="U87" s="128">
        <f t="shared" si="10"/>
        <v>-5903850</v>
      </c>
      <c r="V87" s="128">
        <f t="shared" si="7"/>
        <v>0</v>
      </c>
      <c r="W87" s="128">
        <v>319987</v>
      </c>
      <c r="X87" s="188">
        <f t="shared" si="11"/>
        <v>-1.8450280792657203E-2</v>
      </c>
      <c r="Y87" s="238"/>
      <c r="AE87" s="128"/>
      <c r="AF87" s="128"/>
      <c r="AG87" s="128"/>
    </row>
    <row r="88" spans="1:33" x14ac:dyDescent="0.25">
      <c r="A88" t="s">
        <v>524</v>
      </c>
      <c r="B88" t="s">
        <v>360</v>
      </c>
      <c r="C88">
        <f t="shared" si="8"/>
        <v>4082</v>
      </c>
      <c r="D88">
        <v>2616</v>
      </c>
      <c r="E88">
        <v>1466</v>
      </c>
      <c r="F88">
        <v>6</v>
      </c>
      <c r="G88">
        <v>26</v>
      </c>
      <c r="H88">
        <v>450</v>
      </c>
      <c r="I88">
        <v>115</v>
      </c>
      <c r="J88">
        <v>2205</v>
      </c>
      <c r="K88">
        <v>1224</v>
      </c>
      <c r="L88">
        <v>168</v>
      </c>
      <c r="M88">
        <v>0</v>
      </c>
      <c r="N88">
        <v>708</v>
      </c>
      <c r="O88">
        <v>162</v>
      </c>
      <c r="P88">
        <f t="shared" si="9"/>
        <v>3414000</v>
      </c>
      <c r="Q88">
        <v>2913000</v>
      </c>
      <c r="R88">
        <v>501000</v>
      </c>
      <c r="S88">
        <v>322000</v>
      </c>
      <c r="T88" s="128">
        <f t="shared" si="6"/>
        <v>7458075</v>
      </c>
      <c r="U88" s="128">
        <f t="shared" si="10"/>
        <v>3376075</v>
      </c>
      <c r="V88" s="128">
        <f t="shared" si="7"/>
        <v>3376075</v>
      </c>
      <c r="W88" s="128">
        <v>50221</v>
      </c>
      <c r="X88" s="188">
        <f t="shared" si="11"/>
        <v>6.7224368292148701E-2</v>
      </c>
      <c r="Y88" s="238"/>
      <c r="AE88" s="128"/>
      <c r="AF88" s="128"/>
      <c r="AG88" s="128"/>
    </row>
    <row r="89" spans="1:33" x14ac:dyDescent="0.25">
      <c r="A89" s="182" t="s">
        <v>525</v>
      </c>
      <c r="B89" s="182" t="s">
        <v>404</v>
      </c>
      <c r="C89">
        <f t="shared" si="8"/>
        <v>5503</v>
      </c>
      <c r="D89">
        <v>4448</v>
      </c>
      <c r="E89">
        <v>1055</v>
      </c>
      <c r="F89">
        <v>0</v>
      </c>
      <c r="G89">
        <v>5</v>
      </c>
      <c r="H89">
        <v>639</v>
      </c>
      <c r="I89">
        <v>225</v>
      </c>
      <c r="J89">
        <v>3412</v>
      </c>
      <c r="K89">
        <v>3108</v>
      </c>
      <c r="L89">
        <v>276</v>
      </c>
      <c r="M89">
        <v>115</v>
      </c>
      <c r="N89">
        <v>558</v>
      </c>
      <c r="O89">
        <v>36</v>
      </c>
      <c r="P89">
        <f t="shared" si="9"/>
        <v>3786000</v>
      </c>
      <c r="Q89">
        <v>3403000</v>
      </c>
      <c r="R89">
        <v>383000</v>
      </c>
      <c r="S89" s="129">
        <f>SUM(S86:S88)/3</f>
        <v>272666.66666666669</v>
      </c>
      <c r="T89" s="128">
        <f>0.1905*SUM(Q89,R89,R89)*10</f>
        <v>7941945</v>
      </c>
      <c r="U89" s="128">
        <f t="shared" si="10"/>
        <v>2438945</v>
      </c>
      <c r="V89" s="128">
        <f>IF(U89&gt;0,U89,0)</f>
        <v>2438945</v>
      </c>
      <c r="W89" s="128">
        <v>60668</v>
      </c>
      <c r="X89" s="188">
        <f t="shared" si="11"/>
        <v>4.0201506560295378E-2</v>
      </c>
      <c r="Y89" s="238"/>
      <c r="AE89" s="128"/>
      <c r="AF89" s="128"/>
      <c r="AG89" s="128"/>
    </row>
    <row r="90" spans="1:33" x14ac:dyDescent="0.25">
      <c r="A90" t="s">
        <v>517</v>
      </c>
      <c r="B90" t="s">
        <v>361</v>
      </c>
      <c r="C90">
        <f t="shared" si="8"/>
        <v>82774</v>
      </c>
      <c r="D90">
        <v>39189</v>
      </c>
      <c r="E90">
        <v>43585</v>
      </c>
      <c r="F90">
        <v>16370</v>
      </c>
      <c r="G90">
        <v>1095</v>
      </c>
      <c r="H90">
        <v>2557</v>
      </c>
      <c r="I90">
        <v>1989</v>
      </c>
      <c r="J90">
        <v>21854</v>
      </c>
      <c r="K90">
        <v>28557</v>
      </c>
      <c r="L90">
        <v>2837</v>
      </c>
      <c r="M90">
        <v>648</v>
      </c>
      <c r="N90">
        <v>7105</v>
      </c>
      <c r="O90">
        <v>1426</v>
      </c>
      <c r="P90">
        <f t="shared" si="9"/>
        <v>41779000</v>
      </c>
      <c r="Q90">
        <v>33351000</v>
      </c>
      <c r="R90">
        <v>8428000</v>
      </c>
      <c r="S90">
        <v>295000</v>
      </c>
      <c r="T90" s="128">
        <f t="shared" si="6"/>
        <v>95644335</v>
      </c>
      <c r="U90" s="128">
        <f t="shared" si="10"/>
        <v>12870335</v>
      </c>
      <c r="V90" s="128">
        <f t="shared" si="7"/>
        <v>12870335</v>
      </c>
      <c r="W90" s="128">
        <v>965740</v>
      </c>
      <c r="X90" s="188">
        <f t="shared" si="11"/>
        <v>1.3326915111727794E-2</v>
      </c>
      <c r="Y90" s="238"/>
      <c r="AE90" s="128"/>
      <c r="AF90" s="128"/>
      <c r="AG90" s="128"/>
    </row>
    <row r="91" spans="1:33" x14ac:dyDescent="0.25">
      <c r="A91" t="s">
        <v>526</v>
      </c>
      <c r="B91" t="s">
        <v>180</v>
      </c>
      <c r="C91">
        <f t="shared" si="8"/>
        <v>4368</v>
      </c>
      <c r="D91">
        <v>2863</v>
      </c>
      <c r="E91">
        <v>1505</v>
      </c>
      <c r="F91">
        <v>36</v>
      </c>
      <c r="G91">
        <v>39</v>
      </c>
      <c r="H91">
        <v>274</v>
      </c>
      <c r="I91">
        <v>98</v>
      </c>
      <c r="J91">
        <v>2298</v>
      </c>
      <c r="K91">
        <v>2272</v>
      </c>
      <c r="L91">
        <v>323</v>
      </c>
      <c r="M91">
        <v>543</v>
      </c>
      <c r="N91">
        <v>563</v>
      </c>
      <c r="O91">
        <v>332</v>
      </c>
      <c r="P91">
        <f t="shared" si="9"/>
        <v>3214000</v>
      </c>
      <c r="Q91">
        <v>2728000</v>
      </c>
      <c r="R91">
        <v>486000</v>
      </c>
      <c r="S91">
        <v>245000</v>
      </c>
      <c r="T91" s="128">
        <f t="shared" si="6"/>
        <v>7048500</v>
      </c>
      <c r="U91" s="128">
        <f t="shared" si="10"/>
        <v>2680500</v>
      </c>
      <c r="V91" s="128">
        <f t="shared" si="7"/>
        <v>2680500</v>
      </c>
      <c r="W91" s="128">
        <v>54754</v>
      </c>
      <c r="X91" s="188">
        <f t="shared" si="11"/>
        <v>4.8955327464660116E-2</v>
      </c>
      <c r="Y91" s="238"/>
      <c r="AE91" s="128"/>
      <c r="AF91" s="128"/>
      <c r="AG91" s="128"/>
    </row>
    <row r="92" spans="1:33" x14ac:dyDescent="0.25">
      <c r="A92" t="s">
        <v>517</v>
      </c>
      <c r="B92" t="s">
        <v>110</v>
      </c>
      <c r="C92">
        <f t="shared" si="8"/>
        <v>28063</v>
      </c>
      <c r="D92">
        <v>16670</v>
      </c>
      <c r="E92">
        <v>11393</v>
      </c>
      <c r="F92">
        <v>4543</v>
      </c>
      <c r="G92">
        <v>27</v>
      </c>
      <c r="H92">
        <v>602</v>
      </c>
      <c r="I92">
        <v>298</v>
      </c>
      <c r="J92">
        <v>10437</v>
      </c>
      <c r="K92">
        <v>13967</v>
      </c>
      <c r="L92">
        <v>833</v>
      </c>
      <c r="M92">
        <v>762</v>
      </c>
      <c r="N92">
        <v>3276</v>
      </c>
      <c r="O92">
        <v>285</v>
      </c>
      <c r="P92">
        <f t="shared" si="9"/>
        <v>10987000</v>
      </c>
      <c r="Q92">
        <v>9101000</v>
      </c>
      <c r="R92">
        <v>1886000</v>
      </c>
      <c r="S92">
        <v>226000</v>
      </c>
      <c r="T92" s="128">
        <f t="shared" si="6"/>
        <v>24523065</v>
      </c>
      <c r="U92" s="128">
        <f t="shared" si="10"/>
        <v>-3539935</v>
      </c>
      <c r="V92" s="128">
        <f t="shared" si="7"/>
        <v>0</v>
      </c>
      <c r="W92" s="128">
        <v>420335</v>
      </c>
      <c r="X92" s="188">
        <f t="shared" si="11"/>
        <v>-8.4216993588447312E-3</v>
      </c>
      <c r="Y92" s="238"/>
      <c r="AE92" s="128"/>
      <c r="AF92" s="128"/>
      <c r="AG92" s="128"/>
    </row>
    <row r="93" spans="1:33" x14ac:dyDescent="0.25">
      <c r="A93" t="s">
        <v>519</v>
      </c>
      <c r="B93" t="s">
        <v>251</v>
      </c>
      <c r="C93">
        <f t="shared" si="8"/>
        <v>4721</v>
      </c>
      <c r="D93">
        <v>2252</v>
      </c>
      <c r="E93">
        <v>2469</v>
      </c>
      <c r="F93">
        <v>155</v>
      </c>
      <c r="G93">
        <v>56</v>
      </c>
      <c r="H93">
        <v>472</v>
      </c>
      <c r="I93">
        <v>101</v>
      </c>
      <c r="J93">
        <v>1802</v>
      </c>
      <c r="K93">
        <v>3328</v>
      </c>
      <c r="L93">
        <v>217</v>
      </c>
      <c r="M93">
        <v>207</v>
      </c>
      <c r="N93">
        <v>462</v>
      </c>
      <c r="O93">
        <v>841</v>
      </c>
      <c r="P93">
        <f t="shared" si="9"/>
        <v>2492000</v>
      </c>
      <c r="Q93">
        <v>2111000</v>
      </c>
      <c r="R93">
        <v>381000</v>
      </c>
      <c r="S93">
        <v>234000</v>
      </c>
      <c r="T93" s="128">
        <f t="shared" si="6"/>
        <v>5473065</v>
      </c>
      <c r="U93" s="128">
        <f t="shared" si="10"/>
        <v>752065</v>
      </c>
      <c r="V93" s="128">
        <f t="shared" si="7"/>
        <v>752065</v>
      </c>
      <c r="W93" s="128">
        <v>56659</v>
      </c>
      <c r="X93" s="188">
        <f t="shared" si="11"/>
        <v>1.3273531124799237E-2</v>
      </c>
      <c r="Y93" s="238"/>
      <c r="AE93" s="128"/>
      <c r="AF93" s="128"/>
      <c r="AG93" s="128"/>
    </row>
    <row r="94" spans="1:33" x14ac:dyDescent="0.25">
      <c r="A94" t="s">
        <v>516</v>
      </c>
      <c r="B94" t="s">
        <v>146</v>
      </c>
      <c r="C94">
        <f t="shared" si="8"/>
        <v>52248</v>
      </c>
      <c r="D94">
        <v>22909</v>
      </c>
      <c r="E94">
        <v>29339</v>
      </c>
      <c r="F94">
        <v>13860</v>
      </c>
      <c r="G94">
        <v>315</v>
      </c>
      <c r="H94">
        <v>600</v>
      </c>
      <c r="I94">
        <v>1067</v>
      </c>
      <c r="J94">
        <v>20830</v>
      </c>
      <c r="K94">
        <v>19277</v>
      </c>
      <c r="L94">
        <v>1871</v>
      </c>
      <c r="M94">
        <v>561</v>
      </c>
      <c r="N94">
        <v>4571</v>
      </c>
      <c r="O94">
        <v>408</v>
      </c>
      <c r="P94">
        <f t="shared" si="9"/>
        <v>19279000</v>
      </c>
      <c r="Q94">
        <v>15751000</v>
      </c>
      <c r="R94">
        <v>3528000</v>
      </c>
      <c r="S94">
        <v>150000</v>
      </c>
      <c r="T94" s="128">
        <f t="shared" si="6"/>
        <v>43447335</v>
      </c>
      <c r="U94" s="128">
        <f t="shared" si="10"/>
        <v>-8800665</v>
      </c>
      <c r="V94" s="128">
        <f t="shared" si="7"/>
        <v>0</v>
      </c>
      <c r="W94" s="128">
        <v>728839</v>
      </c>
      <c r="X94" s="188">
        <f t="shared" si="11"/>
        <v>-1.207490954792485E-2</v>
      </c>
      <c r="Y94" s="238"/>
      <c r="AE94" s="128"/>
      <c r="AF94" s="128"/>
      <c r="AG94" s="128"/>
    </row>
    <row r="95" spans="1:33" x14ac:dyDescent="0.25">
      <c r="A95" t="s">
        <v>518</v>
      </c>
      <c r="B95" t="s">
        <v>181</v>
      </c>
      <c r="C95">
        <f t="shared" si="8"/>
        <v>6253</v>
      </c>
      <c r="D95">
        <v>4597</v>
      </c>
      <c r="E95">
        <v>1656</v>
      </c>
      <c r="F95">
        <v>0</v>
      </c>
      <c r="G95">
        <v>99</v>
      </c>
      <c r="H95">
        <v>794</v>
      </c>
      <c r="I95">
        <v>348</v>
      </c>
      <c r="J95">
        <v>2931</v>
      </c>
      <c r="K95">
        <v>4212</v>
      </c>
      <c r="L95">
        <v>399</v>
      </c>
      <c r="M95">
        <v>799</v>
      </c>
      <c r="N95">
        <v>735</v>
      </c>
      <c r="O95">
        <v>108</v>
      </c>
      <c r="P95">
        <f t="shared" si="9"/>
        <v>5398000</v>
      </c>
      <c r="Q95">
        <v>4722000</v>
      </c>
      <c r="R95">
        <v>676000</v>
      </c>
      <c r="S95">
        <v>189000</v>
      </c>
      <c r="T95" s="128">
        <f t="shared" si="6"/>
        <v>11570970</v>
      </c>
      <c r="U95" s="128">
        <f t="shared" si="10"/>
        <v>5317970</v>
      </c>
      <c r="V95" s="128">
        <f t="shared" si="7"/>
        <v>5317970</v>
      </c>
      <c r="W95" s="128">
        <v>82445</v>
      </c>
      <c r="X95" s="188">
        <f t="shared" si="11"/>
        <v>6.4503244587300626E-2</v>
      </c>
      <c r="Y95" s="238"/>
      <c r="AE95" s="128"/>
      <c r="AF95" s="128"/>
      <c r="AG95" s="128"/>
    </row>
    <row r="96" spans="1:33" x14ac:dyDescent="0.25">
      <c r="A96" t="s">
        <v>522</v>
      </c>
      <c r="B96" t="s">
        <v>182</v>
      </c>
      <c r="C96">
        <f t="shared" si="8"/>
        <v>9905</v>
      </c>
      <c r="D96">
        <v>6224</v>
      </c>
      <c r="E96">
        <v>3681</v>
      </c>
      <c r="F96">
        <v>0</v>
      </c>
      <c r="G96">
        <v>0</v>
      </c>
      <c r="H96">
        <v>580</v>
      </c>
      <c r="I96">
        <v>1446</v>
      </c>
      <c r="J96">
        <v>2925</v>
      </c>
      <c r="K96">
        <v>2379</v>
      </c>
      <c r="L96">
        <v>474</v>
      </c>
      <c r="M96">
        <v>398</v>
      </c>
      <c r="N96">
        <v>736</v>
      </c>
      <c r="O96">
        <v>54</v>
      </c>
      <c r="P96">
        <f t="shared" si="9"/>
        <v>4468000</v>
      </c>
      <c r="Q96">
        <v>3754000</v>
      </c>
      <c r="R96">
        <v>714000</v>
      </c>
      <c r="S96">
        <v>167000</v>
      </c>
      <c r="T96" s="128">
        <f t="shared" si="6"/>
        <v>9871710</v>
      </c>
      <c r="U96" s="128">
        <f t="shared" si="10"/>
        <v>-33290</v>
      </c>
      <c r="V96" s="128">
        <f t="shared" si="7"/>
        <v>0</v>
      </c>
      <c r="W96" s="128">
        <v>79770</v>
      </c>
      <c r="X96" s="188">
        <f t="shared" si="11"/>
        <v>-4.1732480882537295E-4</v>
      </c>
      <c r="Y96" s="238"/>
      <c r="AE96" s="128"/>
      <c r="AF96" s="128"/>
      <c r="AG96" s="128"/>
    </row>
    <row r="97" spans="1:33" x14ac:dyDescent="0.25">
      <c r="A97" t="s">
        <v>519</v>
      </c>
      <c r="B97" t="s">
        <v>362</v>
      </c>
      <c r="C97">
        <f t="shared" si="8"/>
        <v>8923</v>
      </c>
      <c r="D97">
        <v>5259</v>
      </c>
      <c r="E97">
        <v>3664</v>
      </c>
      <c r="F97">
        <v>3064</v>
      </c>
      <c r="G97">
        <v>47</v>
      </c>
      <c r="H97">
        <v>0</v>
      </c>
      <c r="I97">
        <v>240</v>
      </c>
      <c r="J97">
        <v>4236</v>
      </c>
      <c r="K97">
        <v>5629</v>
      </c>
      <c r="L97">
        <v>504</v>
      </c>
      <c r="M97">
        <v>90</v>
      </c>
      <c r="N97">
        <v>714</v>
      </c>
      <c r="O97">
        <v>672</v>
      </c>
      <c r="P97">
        <f t="shared" si="9"/>
        <v>6560000</v>
      </c>
      <c r="Q97">
        <v>5438000</v>
      </c>
      <c r="R97">
        <v>1122000</v>
      </c>
      <c r="S97">
        <v>275000</v>
      </c>
      <c r="T97" s="128">
        <f t="shared" si="6"/>
        <v>14634210</v>
      </c>
      <c r="U97" s="128">
        <f t="shared" si="10"/>
        <v>5711210</v>
      </c>
      <c r="V97" s="128">
        <f t="shared" si="7"/>
        <v>5711210</v>
      </c>
      <c r="W97" s="128">
        <v>135361</v>
      </c>
      <c r="X97" s="188">
        <f t="shared" si="11"/>
        <v>4.2192433566536888E-2</v>
      </c>
      <c r="Y97" s="238"/>
      <c r="AE97" s="128"/>
      <c r="AF97" s="128"/>
      <c r="AG97" s="128"/>
    </row>
    <row r="98" spans="1:33" x14ac:dyDescent="0.25">
      <c r="A98" t="s">
        <v>519</v>
      </c>
      <c r="B98" t="s">
        <v>363</v>
      </c>
      <c r="C98">
        <f t="shared" si="8"/>
        <v>6908</v>
      </c>
      <c r="D98">
        <v>3008</v>
      </c>
      <c r="E98">
        <v>3900</v>
      </c>
      <c r="F98">
        <v>9</v>
      </c>
      <c r="G98">
        <v>13</v>
      </c>
      <c r="H98">
        <v>38</v>
      </c>
      <c r="I98">
        <v>91</v>
      </c>
      <c r="J98">
        <v>2192</v>
      </c>
      <c r="K98">
        <v>2285</v>
      </c>
      <c r="L98">
        <v>177</v>
      </c>
      <c r="M98">
        <v>48</v>
      </c>
      <c r="N98">
        <v>476</v>
      </c>
      <c r="O98">
        <v>89</v>
      </c>
      <c r="P98">
        <f t="shared" si="9"/>
        <v>3310000</v>
      </c>
      <c r="Q98">
        <v>2571000</v>
      </c>
      <c r="R98">
        <v>739000</v>
      </c>
      <c r="S98">
        <v>282000</v>
      </c>
      <c r="T98" s="128">
        <f t="shared" si="6"/>
        <v>7713345</v>
      </c>
      <c r="U98" s="128">
        <f t="shared" si="10"/>
        <v>805345</v>
      </c>
      <c r="V98" s="128">
        <f t="shared" si="7"/>
        <v>805345</v>
      </c>
      <c r="W98" s="128">
        <v>59039</v>
      </c>
      <c r="X98" s="188">
        <f t="shared" si="11"/>
        <v>1.364089838920036E-2</v>
      </c>
      <c r="Y98" s="238"/>
      <c r="AE98" s="128"/>
      <c r="AF98" s="128"/>
      <c r="AG98" s="128"/>
    </row>
    <row r="99" spans="1:33" x14ac:dyDescent="0.25">
      <c r="A99" t="s">
        <v>517</v>
      </c>
      <c r="B99" t="s">
        <v>364</v>
      </c>
      <c r="C99">
        <f t="shared" si="8"/>
        <v>6128</v>
      </c>
      <c r="D99">
        <v>4221</v>
      </c>
      <c r="E99">
        <v>1907</v>
      </c>
      <c r="F99">
        <v>423</v>
      </c>
      <c r="G99">
        <v>0</v>
      </c>
      <c r="H99">
        <v>545</v>
      </c>
      <c r="I99">
        <v>317</v>
      </c>
      <c r="J99">
        <v>4204</v>
      </c>
      <c r="K99">
        <v>4408</v>
      </c>
      <c r="L99">
        <v>517</v>
      </c>
      <c r="M99">
        <v>0</v>
      </c>
      <c r="N99">
        <v>836</v>
      </c>
      <c r="O99">
        <v>70</v>
      </c>
      <c r="P99">
        <f t="shared" si="9"/>
        <v>5911000</v>
      </c>
      <c r="Q99">
        <v>5299000</v>
      </c>
      <c r="R99">
        <v>612000</v>
      </c>
      <c r="S99">
        <v>239000</v>
      </c>
      <c r="T99" s="128">
        <f t="shared" si="6"/>
        <v>12426315</v>
      </c>
      <c r="U99" s="128">
        <f t="shared" si="10"/>
        <v>6298315</v>
      </c>
      <c r="V99" s="128">
        <f t="shared" si="7"/>
        <v>6298315</v>
      </c>
      <c r="W99" s="128">
        <v>112676</v>
      </c>
      <c r="X99" s="188">
        <f t="shared" si="11"/>
        <v>5.5897573573786788E-2</v>
      </c>
      <c r="Y99" s="238"/>
      <c r="AE99" s="128"/>
      <c r="AF99" s="128"/>
      <c r="AG99" s="128"/>
    </row>
    <row r="100" spans="1:33" x14ac:dyDescent="0.25">
      <c r="A100" t="s">
        <v>517</v>
      </c>
      <c r="B100" t="s">
        <v>365</v>
      </c>
      <c r="C100">
        <f t="shared" si="8"/>
        <v>9081</v>
      </c>
      <c r="D100">
        <v>5944</v>
      </c>
      <c r="E100">
        <v>3137</v>
      </c>
      <c r="F100">
        <v>4</v>
      </c>
      <c r="G100">
        <v>0</v>
      </c>
      <c r="H100">
        <v>153</v>
      </c>
      <c r="I100">
        <v>239</v>
      </c>
      <c r="J100">
        <v>2626</v>
      </c>
      <c r="K100">
        <v>3211</v>
      </c>
      <c r="L100">
        <v>313</v>
      </c>
      <c r="M100">
        <v>42</v>
      </c>
      <c r="N100">
        <v>1317</v>
      </c>
      <c r="O100">
        <v>93</v>
      </c>
      <c r="P100">
        <f t="shared" si="9"/>
        <v>4430000</v>
      </c>
      <c r="Q100">
        <v>3776000</v>
      </c>
      <c r="R100">
        <v>654000</v>
      </c>
      <c r="S100">
        <v>214000</v>
      </c>
      <c r="T100" s="128">
        <f t="shared" si="6"/>
        <v>9685020</v>
      </c>
      <c r="U100" s="128">
        <f t="shared" si="10"/>
        <v>604020</v>
      </c>
      <c r="V100" s="128">
        <f t="shared" si="7"/>
        <v>604020</v>
      </c>
      <c r="W100" s="128">
        <v>83596</v>
      </c>
      <c r="X100" s="188">
        <f t="shared" si="11"/>
        <v>7.2254653332695347E-3</v>
      </c>
      <c r="Y100" s="238"/>
      <c r="AE100" s="128"/>
      <c r="AF100" s="128"/>
      <c r="AG100" s="128"/>
    </row>
    <row r="101" spans="1:33" x14ac:dyDescent="0.25">
      <c r="A101" t="s">
        <v>517</v>
      </c>
      <c r="B101" t="s">
        <v>405</v>
      </c>
      <c r="C101">
        <f t="shared" si="8"/>
        <v>3456</v>
      </c>
      <c r="D101">
        <v>2292</v>
      </c>
      <c r="E101">
        <v>1164</v>
      </c>
      <c r="F101">
        <v>5</v>
      </c>
      <c r="G101">
        <v>0</v>
      </c>
      <c r="H101">
        <v>1843</v>
      </c>
      <c r="I101">
        <v>103</v>
      </c>
      <c r="J101">
        <v>1950</v>
      </c>
      <c r="K101">
        <v>1594</v>
      </c>
      <c r="L101">
        <v>168</v>
      </c>
      <c r="M101">
        <v>46</v>
      </c>
      <c r="N101">
        <v>369</v>
      </c>
      <c r="O101">
        <v>65</v>
      </c>
      <c r="P101">
        <f t="shared" si="9"/>
        <v>2406000</v>
      </c>
      <c r="Q101">
        <v>2069000</v>
      </c>
      <c r="R101">
        <v>337000</v>
      </c>
      <c r="S101">
        <v>241000</v>
      </c>
      <c r="T101" s="128">
        <f t="shared" si="6"/>
        <v>5225415</v>
      </c>
      <c r="U101" s="128">
        <f t="shared" si="10"/>
        <v>1769415</v>
      </c>
      <c r="V101" s="128">
        <f t="shared" si="7"/>
        <v>1769415</v>
      </c>
      <c r="W101" s="128">
        <v>48938</v>
      </c>
      <c r="X101" s="188">
        <f t="shared" si="11"/>
        <v>3.6156258939883119E-2</v>
      </c>
      <c r="Y101" s="238"/>
      <c r="AE101" s="128"/>
      <c r="AF101" s="128"/>
      <c r="AG101" s="128"/>
    </row>
    <row r="102" spans="1:33" x14ac:dyDescent="0.25">
      <c r="A102" t="s">
        <v>517</v>
      </c>
      <c r="B102" t="s">
        <v>366</v>
      </c>
      <c r="C102">
        <f t="shared" si="8"/>
        <v>7811</v>
      </c>
      <c r="D102">
        <v>3595</v>
      </c>
      <c r="E102">
        <v>4216</v>
      </c>
      <c r="F102">
        <v>0</v>
      </c>
      <c r="G102">
        <v>0</v>
      </c>
      <c r="H102">
        <v>390</v>
      </c>
      <c r="I102">
        <v>119</v>
      </c>
      <c r="J102">
        <v>1332</v>
      </c>
      <c r="K102">
        <v>2256</v>
      </c>
      <c r="L102">
        <v>207</v>
      </c>
      <c r="M102">
        <v>0</v>
      </c>
      <c r="N102">
        <v>601</v>
      </c>
      <c r="O102">
        <v>91</v>
      </c>
      <c r="P102">
        <f t="shared" si="9"/>
        <v>4020000</v>
      </c>
      <c r="Q102">
        <v>3124000</v>
      </c>
      <c r="R102">
        <v>896000</v>
      </c>
      <c r="S102">
        <v>250000</v>
      </c>
      <c r="T102" s="128">
        <f t="shared" si="6"/>
        <v>9364980</v>
      </c>
      <c r="U102" s="128">
        <f t="shared" si="10"/>
        <v>1553980</v>
      </c>
      <c r="V102" s="128">
        <f t="shared" si="7"/>
        <v>1553980</v>
      </c>
      <c r="W102" s="128">
        <v>76771</v>
      </c>
      <c r="X102" s="188">
        <f t="shared" si="11"/>
        <v>2.0241757955477981E-2</v>
      </c>
      <c r="Y102" s="238"/>
      <c r="AE102" s="128"/>
      <c r="AF102" s="128"/>
      <c r="AG102" s="128"/>
    </row>
    <row r="103" spans="1:33" x14ac:dyDescent="0.25">
      <c r="A103" t="s">
        <v>526</v>
      </c>
      <c r="B103" t="s">
        <v>292</v>
      </c>
      <c r="C103">
        <f t="shared" si="8"/>
        <v>9951</v>
      </c>
      <c r="D103">
        <v>7531</v>
      </c>
      <c r="E103">
        <v>2420</v>
      </c>
      <c r="F103">
        <v>12</v>
      </c>
      <c r="G103">
        <v>16</v>
      </c>
      <c r="H103">
        <v>2507</v>
      </c>
      <c r="I103">
        <v>1478</v>
      </c>
      <c r="J103">
        <v>5972</v>
      </c>
      <c r="K103">
        <v>6130</v>
      </c>
      <c r="L103">
        <v>459</v>
      </c>
      <c r="M103">
        <v>997</v>
      </c>
      <c r="N103">
        <v>1778</v>
      </c>
      <c r="O103">
        <v>335</v>
      </c>
      <c r="P103">
        <f t="shared" si="9"/>
        <v>7661000</v>
      </c>
      <c r="Q103">
        <v>6517000</v>
      </c>
      <c r="R103">
        <v>1144000</v>
      </c>
      <c r="S103">
        <v>221000</v>
      </c>
      <c r="T103" s="128">
        <f t="shared" si="6"/>
        <v>16773525</v>
      </c>
      <c r="U103" s="128">
        <f t="shared" si="10"/>
        <v>6822525</v>
      </c>
      <c r="V103" s="128">
        <f t="shared" si="7"/>
        <v>6822525</v>
      </c>
      <c r="W103" s="128">
        <v>135294</v>
      </c>
      <c r="X103" s="188">
        <f t="shared" si="11"/>
        <v>5.0427402545567428E-2</v>
      </c>
      <c r="Y103" s="238"/>
      <c r="AE103" s="128"/>
      <c r="AF103" s="128"/>
      <c r="AG103" s="128"/>
    </row>
    <row r="104" spans="1:33" x14ac:dyDescent="0.25">
      <c r="A104" t="s">
        <v>517</v>
      </c>
      <c r="B104" t="s">
        <v>331</v>
      </c>
      <c r="C104">
        <f t="shared" si="8"/>
        <v>11267</v>
      </c>
      <c r="D104">
        <v>6452</v>
      </c>
      <c r="E104">
        <v>4815</v>
      </c>
      <c r="F104">
        <v>4026</v>
      </c>
      <c r="G104">
        <v>16</v>
      </c>
      <c r="H104">
        <v>317</v>
      </c>
      <c r="I104">
        <v>503</v>
      </c>
      <c r="J104">
        <v>4245</v>
      </c>
      <c r="K104">
        <v>4436</v>
      </c>
      <c r="L104">
        <v>772</v>
      </c>
      <c r="M104">
        <v>453</v>
      </c>
      <c r="N104">
        <v>1536</v>
      </c>
      <c r="O104">
        <v>354</v>
      </c>
      <c r="P104">
        <f t="shared" si="9"/>
        <v>5562000</v>
      </c>
      <c r="Q104">
        <v>4403000</v>
      </c>
      <c r="R104">
        <v>1159000</v>
      </c>
      <c r="S104">
        <v>237000</v>
      </c>
      <c r="T104" s="128">
        <f t="shared" si="6"/>
        <v>12803505</v>
      </c>
      <c r="U104" s="128">
        <f t="shared" si="10"/>
        <v>1536505</v>
      </c>
      <c r="V104" s="128">
        <f t="shared" si="7"/>
        <v>1536505</v>
      </c>
      <c r="W104" s="128">
        <v>140487</v>
      </c>
      <c r="X104" s="188">
        <f t="shared" si="11"/>
        <v>1.0936990611230933E-2</v>
      </c>
      <c r="Y104" s="238"/>
      <c r="AE104" s="128"/>
      <c r="AF104" s="128"/>
      <c r="AG104" s="128"/>
    </row>
    <row r="105" spans="1:33" x14ac:dyDescent="0.25">
      <c r="A105" t="s">
        <v>521</v>
      </c>
      <c r="B105" t="s">
        <v>367</v>
      </c>
      <c r="C105">
        <f t="shared" si="8"/>
        <v>6527</v>
      </c>
      <c r="D105">
        <v>4527</v>
      </c>
      <c r="E105">
        <v>2000</v>
      </c>
      <c r="F105">
        <v>64</v>
      </c>
      <c r="G105">
        <v>16</v>
      </c>
      <c r="H105">
        <v>75</v>
      </c>
      <c r="I105">
        <v>285</v>
      </c>
      <c r="J105">
        <v>1950</v>
      </c>
      <c r="K105">
        <v>2330</v>
      </c>
      <c r="L105">
        <v>256</v>
      </c>
      <c r="M105">
        <v>0</v>
      </c>
      <c r="N105">
        <v>995</v>
      </c>
      <c r="O105">
        <v>190</v>
      </c>
      <c r="P105">
        <f t="shared" si="9"/>
        <v>3669000</v>
      </c>
      <c r="Q105">
        <v>3310000</v>
      </c>
      <c r="R105">
        <v>359000</v>
      </c>
      <c r="S105">
        <v>217000</v>
      </c>
      <c r="T105" s="128">
        <f t="shared" si="6"/>
        <v>7673340</v>
      </c>
      <c r="U105" s="128">
        <f t="shared" si="10"/>
        <v>1146340</v>
      </c>
      <c r="V105" s="128">
        <f t="shared" si="7"/>
        <v>1146340</v>
      </c>
      <c r="W105" s="128">
        <v>61167</v>
      </c>
      <c r="X105" s="188">
        <f t="shared" si="11"/>
        <v>1.8741151274379975E-2</v>
      </c>
      <c r="Y105" s="238"/>
      <c r="AE105" s="128"/>
      <c r="AF105" s="128"/>
      <c r="AG105" s="128"/>
    </row>
    <row r="106" spans="1:33" x14ac:dyDescent="0.25">
      <c r="A106" t="s">
        <v>528</v>
      </c>
      <c r="B106" t="s">
        <v>490</v>
      </c>
      <c r="C106">
        <f t="shared" si="8"/>
        <v>11245</v>
      </c>
      <c r="D106">
        <v>8838</v>
      </c>
      <c r="E106">
        <v>2407</v>
      </c>
      <c r="F106">
        <v>2745</v>
      </c>
      <c r="G106">
        <v>40</v>
      </c>
      <c r="H106">
        <v>311</v>
      </c>
      <c r="I106">
        <v>208</v>
      </c>
      <c r="J106">
        <v>5868</v>
      </c>
      <c r="K106">
        <v>7916</v>
      </c>
      <c r="L106">
        <v>663</v>
      </c>
      <c r="M106">
        <v>680</v>
      </c>
      <c r="N106">
        <v>2335</v>
      </c>
      <c r="O106">
        <v>186</v>
      </c>
      <c r="P106">
        <f t="shared" si="9"/>
        <v>13547000</v>
      </c>
      <c r="Q106">
        <v>12498000</v>
      </c>
      <c r="R106">
        <v>1049000</v>
      </c>
      <c r="S106">
        <v>209000</v>
      </c>
      <c r="T106" s="128">
        <f t="shared" si="6"/>
        <v>27805380</v>
      </c>
      <c r="U106" s="128">
        <f t="shared" si="10"/>
        <v>16560380</v>
      </c>
      <c r="V106" s="128">
        <f t="shared" si="7"/>
        <v>16560380</v>
      </c>
      <c r="W106" s="128">
        <v>141685</v>
      </c>
      <c r="X106" s="188">
        <f t="shared" si="11"/>
        <v>0.11688167413628825</v>
      </c>
      <c r="Y106" s="238"/>
      <c r="AE106" s="128"/>
      <c r="AF106" s="128"/>
      <c r="AG106" s="128"/>
    </row>
    <row r="107" spans="1:33" x14ac:dyDescent="0.25">
      <c r="A107" t="s">
        <v>517</v>
      </c>
      <c r="B107" t="s">
        <v>293</v>
      </c>
      <c r="C107">
        <f t="shared" si="8"/>
        <v>10140</v>
      </c>
      <c r="D107">
        <v>4832</v>
      </c>
      <c r="E107">
        <v>5308</v>
      </c>
      <c r="F107">
        <v>2421</v>
      </c>
      <c r="G107">
        <v>155</v>
      </c>
      <c r="H107">
        <v>0</v>
      </c>
      <c r="I107">
        <v>324</v>
      </c>
      <c r="J107">
        <v>3854</v>
      </c>
      <c r="K107">
        <v>5339</v>
      </c>
      <c r="L107">
        <v>490</v>
      </c>
      <c r="M107">
        <v>223</v>
      </c>
      <c r="N107">
        <v>1076</v>
      </c>
      <c r="O107">
        <v>1471</v>
      </c>
      <c r="P107">
        <f t="shared" si="9"/>
        <v>5131000</v>
      </c>
      <c r="Q107">
        <v>4159000</v>
      </c>
      <c r="R107">
        <v>972000</v>
      </c>
      <c r="S107">
        <v>261000</v>
      </c>
      <c r="T107" s="128">
        <f t="shared" si="6"/>
        <v>11626215</v>
      </c>
      <c r="U107" s="128">
        <f t="shared" si="10"/>
        <v>1486215</v>
      </c>
      <c r="V107" s="128">
        <f t="shared" si="7"/>
        <v>1486215</v>
      </c>
      <c r="W107" s="128">
        <v>143735</v>
      </c>
      <c r="X107" s="188">
        <f t="shared" si="11"/>
        <v>1.0339965909486206E-2</v>
      </c>
      <c r="Y107" s="238"/>
      <c r="AE107" s="128"/>
      <c r="AF107" s="128"/>
      <c r="AG107" s="128"/>
    </row>
    <row r="108" spans="1:33" x14ac:dyDescent="0.25">
      <c r="A108" t="s">
        <v>518</v>
      </c>
      <c r="B108" t="s">
        <v>294</v>
      </c>
      <c r="C108">
        <f t="shared" si="8"/>
        <v>17239</v>
      </c>
      <c r="D108">
        <v>8742</v>
      </c>
      <c r="E108">
        <v>8497</v>
      </c>
      <c r="F108">
        <v>4046</v>
      </c>
      <c r="G108">
        <v>220</v>
      </c>
      <c r="H108">
        <v>145</v>
      </c>
      <c r="I108">
        <v>269</v>
      </c>
      <c r="J108">
        <v>18920</v>
      </c>
      <c r="K108">
        <v>10531</v>
      </c>
      <c r="L108">
        <v>1007</v>
      </c>
      <c r="M108">
        <v>0</v>
      </c>
      <c r="N108">
        <v>2284</v>
      </c>
      <c r="O108">
        <v>276</v>
      </c>
      <c r="P108">
        <f t="shared" si="9"/>
        <v>9674000</v>
      </c>
      <c r="Q108">
        <v>8202000</v>
      </c>
      <c r="R108">
        <v>1472000</v>
      </c>
      <c r="S108">
        <v>368000</v>
      </c>
      <c r="T108" s="128">
        <f t="shared" si="6"/>
        <v>21233130</v>
      </c>
      <c r="U108" s="128">
        <f t="shared" si="10"/>
        <v>3994130</v>
      </c>
      <c r="V108" s="128">
        <f t="shared" si="7"/>
        <v>3994130</v>
      </c>
      <c r="W108" s="128">
        <v>284017</v>
      </c>
      <c r="X108" s="188">
        <f t="shared" si="11"/>
        <v>1.4062996229098963E-2</v>
      </c>
      <c r="Y108" s="238"/>
      <c r="AE108" s="128"/>
      <c r="AF108" s="128"/>
      <c r="AG108" s="128"/>
    </row>
    <row r="109" spans="1:33" x14ac:dyDescent="0.25">
      <c r="A109" t="s">
        <v>521</v>
      </c>
      <c r="B109" t="s">
        <v>121</v>
      </c>
      <c r="C109">
        <f t="shared" si="8"/>
        <v>97941</v>
      </c>
      <c r="D109">
        <v>49647</v>
      </c>
      <c r="E109">
        <v>48294</v>
      </c>
      <c r="F109">
        <v>23008</v>
      </c>
      <c r="G109">
        <v>1199</v>
      </c>
      <c r="H109">
        <v>2276</v>
      </c>
      <c r="I109">
        <v>132</v>
      </c>
      <c r="J109">
        <v>18509</v>
      </c>
      <c r="K109">
        <v>34166</v>
      </c>
      <c r="L109">
        <v>2281</v>
      </c>
      <c r="M109">
        <v>1624</v>
      </c>
      <c r="N109">
        <v>16146</v>
      </c>
      <c r="O109">
        <v>2328</v>
      </c>
      <c r="P109">
        <f t="shared" si="9"/>
        <v>32618000</v>
      </c>
      <c r="Q109">
        <v>27121000</v>
      </c>
      <c r="R109">
        <v>5497000</v>
      </c>
      <c r="S109">
        <v>200000</v>
      </c>
      <c r="T109" s="128">
        <f t="shared" si="6"/>
        <v>72609075</v>
      </c>
      <c r="U109" s="128">
        <f t="shared" si="10"/>
        <v>-25331925</v>
      </c>
      <c r="V109" s="128">
        <f t="shared" si="7"/>
        <v>0</v>
      </c>
      <c r="W109" s="128">
        <v>1082150</v>
      </c>
      <c r="X109" s="188">
        <f t="shared" si="11"/>
        <v>-2.3408885089867392E-2</v>
      </c>
      <c r="Y109" s="238"/>
      <c r="AE109" s="128"/>
      <c r="AF109" s="128"/>
      <c r="AG109" s="128"/>
    </row>
    <row r="110" spans="1:33" x14ac:dyDescent="0.25">
      <c r="A110" t="s">
        <v>521</v>
      </c>
      <c r="B110" t="s">
        <v>406</v>
      </c>
      <c r="C110">
        <f t="shared" si="8"/>
        <v>4149</v>
      </c>
      <c r="D110">
        <v>2840</v>
      </c>
      <c r="E110">
        <v>1309</v>
      </c>
      <c r="F110">
        <v>9</v>
      </c>
      <c r="G110">
        <v>0</v>
      </c>
      <c r="H110">
        <v>1457</v>
      </c>
      <c r="I110">
        <v>116</v>
      </c>
      <c r="J110">
        <v>2131</v>
      </c>
      <c r="K110">
        <v>1828</v>
      </c>
      <c r="L110">
        <v>200</v>
      </c>
      <c r="M110">
        <v>20</v>
      </c>
      <c r="N110">
        <v>230</v>
      </c>
      <c r="O110">
        <v>43</v>
      </c>
      <c r="P110">
        <f t="shared" si="9"/>
        <v>2070000</v>
      </c>
      <c r="Q110">
        <v>1859000</v>
      </c>
      <c r="R110">
        <v>211000</v>
      </c>
      <c r="S110">
        <v>188000</v>
      </c>
      <c r="T110" s="128">
        <f t="shared" si="6"/>
        <v>4345305</v>
      </c>
      <c r="U110" s="128">
        <f t="shared" si="10"/>
        <v>196305</v>
      </c>
      <c r="V110" s="128">
        <f t="shared" si="7"/>
        <v>196305</v>
      </c>
      <c r="W110" s="128">
        <v>38478</v>
      </c>
      <c r="X110" s="188">
        <f t="shared" si="11"/>
        <v>5.1017464525183222E-3</v>
      </c>
      <c r="Y110" s="238"/>
      <c r="AE110" s="128"/>
      <c r="AF110" s="128"/>
      <c r="AG110" s="128"/>
    </row>
    <row r="111" spans="1:33" x14ac:dyDescent="0.25">
      <c r="A111" t="s">
        <v>517</v>
      </c>
      <c r="B111" t="s">
        <v>147</v>
      </c>
      <c r="C111">
        <f t="shared" si="8"/>
        <v>7038</v>
      </c>
      <c r="D111">
        <v>4070</v>
      </c>
      <c r="E111">
        <v>2968</v>
      </c>
      <c r="F111">
        <v>0</v>
      </c>
      <c r="G111">
        <v>0</v>
      </c>
      <c r="H111">
        <v>110</v>
      </c>
      <c r="I111">
        <v>371</v>
      </c>
      <c r="J111">
        <v>3687</v>
      </c>
      <c r="K111">
        <v>2442</v>
      </c>
      <c r="L111">
        <v>293</v>
      </c>
      <c r="M111">
        <v>46</v>
      </c>
      <c r="N111">
        <v>905</v>
      </c>
      <c r="O111">
        <v>26</v>
      </c>
      <c r="P111">
        <f t="shared" si="9"/>
        <v>3270000</v>
      </c>
      <c r="Q111">
        <v>2743000</v>
      </c>
      <c r="R111">
        <v>527000</v>
      </c>
      <c r="S111">
        <v>210000</v>
      </c>
      <c r="T111" s="128">
        <f t="shared" si="6"/>
        <v>7233285</v>
      </c>
      <c r="U111" s="128">
        <f t="shared" si="10"/>
        <v>195285</v>
      </c>
      <c r="V111" s="128">
        <f t="shared" si="7"/>
        <v>195285</v>
      </c>
      <c r="W111" s="128">
        <v>63222</v>
      </c>
      <c r="X111" s="188">
        <f t="shared" si="11"/>
        <v>3.0888772895511056E-3</v>
      </c>
      <c r="Y111" s="238"/>
      <c r="AE111" s="128"/>
      <c r="AF111" s="128"/>
      <c r="AG111" s="128"/>
    </row>
    <row r="112" spans="1:33" s="86" customFormat="1" x14ac:dyDescent="0.25">
      <c r="A112" s="86" t="s">
        <v>525</v>
      </c>
      <c r="B112" s="86" t="s">
        <v>252</v>
      </c>
      <c r="C112">
        <f t="shared" si="8"/>
        <v>45703</v>
      </c>
      <c r="D112" s="86">
        <v>25517</v>
      </c>
      <c r="E112" s="86">
        <v>20186</v>
      </c>
      <c r="F112" s="86">
        <v>23972</v>
      </c>
      <c r="G112" s="86">
        <v>1073</v>
      </c>
      <c r="H112" s="86">
        <v>2590</v>
      </c>
      <c r="I112" s="86">
        <v>1694</v>
      </c>
      <c r="J112" s="86">
        <v>12548</v>
      </c>
      <c r="K112" s="86">
        <v>26370</v>
      </c>
      <c r="L112" s="86">
        <v>2477</v>
      </c>
      <c r="M112" s="86">
        <v>996</v>
      </c>
      <c r="N112" s="86">
        <v>6053</v>
      </c>
      <c r="O112" s="86">
        <v>1212</v>
      </c>
      <c r="P112">
        <f t="shared" si="9"/>
        <v>33435000</v>
      </c>
      <c r="Q112" s="86">
        <v>29585000</v>
      </c>
      <c r="R112" s="86">
        <v>3850000</v>
      </c>
      <c r="S112" s="354">
        <v>175000</v>
      </c>
      <c r="T112" s="243">
        <f t="shared" si="6"/>
        <v>71027925</v>
      </c>
      <c r="U112" s="128">
        <f t="shared" si="10"/>
        <v>25324925</v>
      </c>
      <c r="V112" s="243">
        <f t="shared" si="7"/>
        <v>25324925</v>
      </c>
      <c r="W112" s="243">
        <v>582245</v>
      </c>
      <c r="X112" s="273">
        <f t="shared" si="11"/>
        <v>4.349530695841098E-2</v>
      </c>
      <c r="Y112" s="301"/>
      <c r="AE112" s="243"/>
    </row>
    <row r="113" spans="1:33" x14ac:dyDescent="0.25">
      <c r="A113" t="s">
        <v>526</v>
      </c>
      <c r="B113" t="s">
        <v>253</v>
      </c>
      <c r="C113">
        <f t="shared" si="8"/>
        <v>81680</v>
      </c>
      <c r="D113">
        <v>19543</v>
      </c>
      <c r="E113">
        <v>62137</v>
      </c>
      <c r="F113">
        <v>3617</v>
      </c>
      <c r="G113">
        <v>107</v>
      </c>
      <c r="H113">
        <v>12781</v>
      </c>
      <c r="I113">
        <v>1636</v>
      </c>
      <c r="J113">
        <v>10441</v>
      </c>
      <c r="K113">
        <v>19817</v>
      </c>
      <c r="L113">
        <v>2442</v>
      </c>
      <c r="M113">
        <v>774</v>
      </c>
      <c r="N113">
        <v>10245</v>
      </c>
      <c r="O113">
        <v>622</v>
      </c>
      <c r="P113">
        <f t="shared" si="9"/>
        <v>34413000</v>
      </c>
      <c r="Q113">
        <v>24041000</v>
      </c>
      <c r="R113">
        <v>10372000</v>
      </c>
      <c r="S113">
        <v>214000</v>
      </c>
      <c r="T113" s="128">
        <f t="shared" si="6"/>
        <v>85315425</v>
      </c>
      <c r="U113" s="128">
        <f t="shared" si="10"/>
        <v>3635425</v>
      </c>
      <c r="V113" s="128">
        <f t="shared" si="7"/>
        <v>3635425</v>
      </c>
      <c r="W113" s="128">
        <v>498653</v>
      </c>
      <c r="X113" s="188">
        <f t="shared" si="11"/>
        <v>7.2904905816269031E-3</v>
      </c>
      <c r="Y113" s="238"/>
      <c r="AE113" s="128"/>
      <c r="AF113" s="128"/>
      <c r="AG113" s="128"/>
    </row>
    <row r="114" spans="1:33" x14ac:dyDescent="0.25">
      <c r="A114" t="s">
        <v>522</v>
      </c>
      <c r="B114" t="s">
        <v>370</v>
      </c>
      <c r="C114">
        <f t="shared" si="8"/>
        <v>7677</v>
      </c>
      <c r="D114">
        <v>3971</v>
      </c>
      <c r="E114">
        <v>3706</v>
      </c>
      <c r="F114">
        <v>11</v>
      </c>
      <c r="G114">
        <v>0</v>
      </c>
      <c r="H114">
        <v>534</v>
      </c>
      <c r="I114">
        <v>0</v>
      </c>
      <c r="J114">
        <v>3039</v>
      </c>
      <c r="K114">
        <v>4107</v>
      </c>
      <c r="L114">
        <v>314</v>
      </c>
      <c r="M114">
        <v>30</v>
      </c>
      <c r="N114">
        <v>689</v>
      </c>
      <c r="O114">
        <v>69</v>
      </c>
      <c r="P114">
        <f t="shared" si="9"/>
        <v>4607000</v>
      </c>
      <c r="Q114">
        <v>3722000</v>
      </c>
      <c r="R114">
        <v>885000</v>
      </c>
      <c r="S114">
        <v>221000</v>
      </c>
      <c r="T114" s="128">
        <f t="shared" si="6"/>
        <v>10462260</v>
      </c>
      <c r="U114" s="128">
        <f t="shared" si="10"/>
        <v>2785260</v>
      </c>
      <c r="V114" s="128">
        <f t="shared" si="7"/>
        <v>2785260</v>
      </c>
      <c r="W114" s="128">
        <v>90225</v>
      </c>
      <c r="X114" s="188">
        <f t="shared" si="11"/>
        <v>3.0870157938487117E-2</v>
      </c>
      <c r="Y114" s="238"/>
      <c r="AE114" s="128"/>
      <c r="AF114" s="128"/>
      <c r="AG114" s="128"/>
    </row>
    <row r="115" spans="1:33" x14ac:dyDescent="0.25">
      <c r="A115" t="s">
        <v>518</v>
      </c>
      <c r="B115" t="s">
        <v>148</v>
      </c>
      <c r="C115">
        <f t="shared" si="8"/>
        <v>15037</v>
      </c>
      <c r="D115">
        <v>6552</v>
      </c>
      <c r="E115">
        <v>8485</v>
      </c>
      <c r="F115">
        <v>1470</v>
      </c>
      <c r="G115">
        <v>0</v>
      </c>
      <c r="H115">
        <v>1382</v>
      </c>
      <c r="I115">
        <v>780</v>
      </c>
      <c r="J115">
        <v>7442</v>
      </c>
      <c r="K115">
        <v>5740</v>
      </c>
      <c r="L115">
        <v>661</v>
      </c>
      <c r="M115">
        <v>505</v>
      </c>
      <c r="N115">
        <v>1795</v>
      </c>
      <c r="O115">
        <v>156</v>
      </c>
      <c r="P115">
        <f t="shared" si="9"/>
        <v>7289000</v>
      </c>
      <c r="Q115">
        <v>5799000</v>
      </c>
      <c r="R115">
        <v>1490000</v>
      </c>
      <c r="S115">
        <v>286000</v>
      </c>
      <c r="T115" s="128">
        <f t="shared" si="6"/>
        <v>16723995</v>
      </c>
      <c r="U115" s="128">
        <f t="shared" si="10"/>
        <v>1686995</v>
      </c>
      <c r="V115" s="128">
        <f t="shared" si="7"/>
        <v>1686995</v>
      </c>
      <c r="W115" s="128">
        <v>188678</v>
      </c>
      <c r="X115" s="188">
        <f t="shared" si="11"/>
        <v>8.9411325114745754E-3</v>
      </c>
      <c r="Y115" s="238"/>
      <c r="AE115" s="128"/>
      <c r="AF115" s="128"/>
      <c r="AG115" s="128"/>
    </row>
    <row r="116" spans="1:33" x14ac:dyDescent="0.25">
      <c r="A116" t="s">
        <v>518</v>
      </c>
      <c r="B116" t="s">
        <v>183</v>
      </c>
      <c r="C116">
        <f t="shared" si="8"/>
        <v>11466</v>
      </c>
      <c r="D116">
        <v>6779</v>
      </c>
      <c r="E116">
        <v>4687</v>
      </c>
      <c r="F116">
        <v>2259</v>
      </c>
      <c r="G116">
        <v>164</v>
      </c>
      <c r="H116">
        <v>325</v>
      </c>
      <c r="I116">
        <v>490</v>
      </c>
      <c r="J116">
        <v>3515</v>
      </c>
      <c r="K116">
        <v>4907</v>
      </c>
      <c r="L116">
        <v>723</v>
      </c>
      <c r="M116">
        <v>905</v>
      </c>
      <c r="N116">
        <v>1091</v>
      </c>
      <c r="O116">
        <v>388</v>
      </c>
      <c r="P116">
        <f t="shared" si="9"/>
        <v>6980000</v>
      </c>
      <c r="Q116">
        <v>5982000</v>
      </c>
      <c r="R116">
        <v>998000</v>
      </c>
      <c r="S116" s="129">
        <v>272000</v>
      </c>
      <c r="T116" s="128">
        <f t="shared" si="6"/>
        <v>15198090</v>
      </c>
      <c r="U116" s="128">
        <f t="shared" si="10"/>
        <v>3732090</v>
      </c>
      <c r="V116" s="128">
        <f t="shared" si="7"/>
        <v>3732090</v>
      </c>
      <c r="W116" s="128">
        <v>178980</v>
      </c>
      <c r="X116" s="188">
        <f t="shared" si="11"/>
        <v>2.0851994636272211E-2</v>
      </c>
      <c r="Y116" s="238"/>
      <c r="AE116" s="128"/>
    </row>
    <row r="117" spans="1:33" x14ac:dyDescent="0.25">
      <c r="A117" t="s">
        <v>517</v>
      </c>
      <c r="B117" t="s">
        <v>295</v>
      </c>
      <c r="C117">
        <f t="shared" si="8"/>
        <v>3777</v>
      </c>
      <c r="D117">
        <v>2281</v>
      </c>
      <c r="E117">
        <v>1496</v>
      </c>
      <c r="F117">
        <v>0</v>
      </c>
      <c r="G117">
        <v>101</v>
      </c>
      <c r="H117">
        <v>0</v>
      </c>
      <c r="I117">
        <v>145</v>
      </c>
      <c r="J117">
        <v>1821</v>
      </c>
      <c r="K117">
        <v>2086</v>
      </c>
      <c r="L117">
        <v>236</v>
      </c>
      <c r="M117">
        <v>382</v>
      </c>
      <c r="N117">
        <v>784</v>
      </c>
      <c r="O117">
        <v>102</v>
      </c>
      <c r="P117">
        <f t="shared" si="9"/>
        <v>2390000</v>
      </c>
      <c r="Q117">
        <v>1981000</v>
      </c>
      <c r="R117">
        <v>409000</v>
      </c>
      <c r="S117">
        <v>237000</v>
      </c>
      <c r="T117" s="128">
        <f t="shared" si="6"/>
        <v>5332095</v>
      </c>
      <c r="U117" s="128">
        <f t="shared" si="10"/>
        <v>1555095</v>
      </c>
      <c r="V117" s="128">
        <f t="shared" si="7"/>
        <v>1555095</v>
      </c>
      <c r="W117" s="128">
        <v>48036</v>
      </c>
      <c r="X117" s="188">
        <f t="shared" si="11"/>
        <v>3.237353235073695E-2</v>
      </c>
      <c r="Y117" s="238"/>
      <c r="AE117" s="128"/>
      <c r="AF117" s="128"/>
      <c r="AG117" s="128"/>
    </row>
    <row r="118" spans="1:33" x14ac:dyDescent="0.25">
      <c r="A118" t="s">
        <v>522</v>
      </c>
      <c r="B118" t="s">
        <v>130</v>
      </c>
      <c r="C118">
        <f t="shared" si="8"/>
        <v>3913</v>
      </c>
      <c r="D118">
        <v>1728</v>
      </c>
      <c r="E118">
        <v>2185</v>
      </c>
      <c r="F118">
        <v>5318</v>
      </c>
      <c r="G118">
        <v>124</v>
      </c>
      <c r="H118">
        <v>202</v>
      </c>
      <c r="I118">
        <v>54</v>
      </c>
      <c r="J118">
        <v>1509</v>
      </c>
      <c r="K118">
        <v>1870</v>
      </c>
      <c r="L118">
        <v>156</v>
      </c>
      <c r="M118">
        <v>30</v>
      </c>
      <c r="N118">
        <v>249</v>
      </c>
      <c r="O118">
        <v>389</v>
      </c>
      <c r="P118">
        <f t="shared" si="9"/>
        <v>1829000</v>
      </c>
      <c r="Q118">
        <v>1422000</v>
      </c>
      <c r="R118">
        <v>407000</v>
      </c>
      <c r="S118">
        <v>208000</v>
      </c>
      <c r="T118" s="128">
        <f t="shared" si="6"/>
        <v>4259580</v>
      </c>
      <c r="U118" s="128">
        <f t="shared" si="10"/>
        <v>346580</v>
      </c>
      <c r="V118" s="128">
        <f t="shared" si="7"/>
        <v>346580</v>
      </c>
      <c r="W118" s="128">
        <v>60444</v>
      </c>
      <c r="X118" s="188">
        <f t="shared" si="11"/>
        <v>5.7339024551651113E-3</v>
      </c>
      <c r="Y118" s="238"/>
      <c r="AE118" s="128"/>
      <c r="AF118" s="128"/>
      <c r="AG118" s="128"/>
    </row>
    <row r="119" spans="1:33" x14ac:dyDescent="0.25">
      <c r="A119" t="s">
        <v>519</v>
      </c>
      <c r="B119" t="s">
        <v>184</v>
      </c>
      <c r="C119">
        <f t="shared" si="8"/>
        <v>3176</v>
      </c>
      <c r="D119">
        <v>2449</v>
      </c>
      <c r="E119">
        <v>727</v>
      </c>
      <c r="F119">
        <v>0</v>
      </c>
      <c r="G119">
        <v>12</v>
      </c>
      <c r="H119">
        <v>297</v>
      </c>
      <c r="I119">
        <v>61</v>
      </c>
      <c r="J119">
        <v>1205</v>
      </c>
      <c r="K119">
        <v>1265</v>
      </c>
      <c r="L119">
        <v>166</v>
      </c>
      <c r="M119">
        <v>272</v>
      </c>
      <c r="N119">
        <v>1308</v>
      </c>
      <c r="O119">
        <v>17</v>
      </c>
      <c r="P119">
        <f t="shared" si="9"/>
        <v>1816000</v>
      </c>
      <c r="Q119">
        <v>1679000</v>
      </c>
      <c r="R119">
        <v>137000</v>
      </c>
      <c r="S119">
        <v>245000</v>
      </c>
      <c r="T119" s="128">
        <f t="shared" si="6"/>
        <v>3720465</v>
      </c>
      <c r="U119" s="128">
        <f t="shared" si="10"/>
        <v>544465</v>
      </c>
      <c r="V119" s="128">
        <f t="shared" si="7"/>
        <v>544465</v>
      </c>
      <c r="W119" s="128">
        <v>29567</v>
      </c>
      <c r="X119" s="188">
        <f t="shared" si="11"/>
        <v>1.8414617648053574E-2</v>
      </c>
      <c r="Y119" s="238"/>
      <c r="AE119" s="128"/>
      <c r="AF119" s="128"/>
      <c r="AG119" s="128"/>
    </row>
    <row r="120" spans="1:33" x14ac:dyDescent="0.25">
      <c r="A120" t="s">
        <v>521</v>
      </c>
      <c r="B120" t="s">
        <v>254</v>
      </c>
      <c r="C120">
        <f t="shared" si="8"/>
        <v>6166</v>
      </c>
      <c r="D120">
        <v>4779</v>
      </c>
      <c r="E120">
        <v>1387</v>
      </c>
      <c r="F120">
        <v>0</v>
      </c>
      <c r="G120">
        <v>41</v>
      </c>
      <c r="H120">
        <v>106</v>
      </c>
      <c r="I120">
        <v>358</v>
      </c>
      <c r="J120">
        <v>3411</v>
      </c>
      <c r="K120">
        <v>5982</v>
      </c>
      <c r="L120">
        <v>524</v>
      </c>
      <c r="M120">
        <v>229</v>
      </c>
      <c r="N120">
        <v>549</v>
      </c>
      <c r="O120">
        <v>491</v>
      </c>
      <c r="P120">
        <f t="shared" si="9"/>
        <v>5865000</v>
      </c>
      <c r="Q120">
        <v>5383000</v>
      </c>
      <c r="R120">
        <v>482000</v>
      </c>
      <c r="S120">
        <v>228000</v>
      </c>
      <c r="T120" s="128">
        <f t="shared" si="6"/>
        <v>12091035</v>
      </c>
      <c r="U120" s="128">
        <f t="shared" si="10"/>
        <v>5925035</v>
      </c>
      <c r="V120" s="128">
        <f t="shared" si="7"/>
        <v>5925035</v>
      </c>
      <c r="W120" s="128">
        <v>104197</v>
      </c>
      <c r="X120" s="188">
        <f t="shared" si="11"/>
        <v>5.6863777268059544E-2</v>
      </c>
      <c r="Y120" s="238"/>
      <c r="AE120" s="128"/>
      <c r="AF120" s="128"/>
      <c r="AG120" s="128"/>
    </row>
    <row r="121" spans="1:33" x14ac:dyDescent="0.25">
      <c r="A121" t="s">
        <v>520</v>
      </c>
      <c r="B121" t="s">
        <v>255</v>
      </c>
      <c r="C121">
        <f t="shared" si="8"/>
        <v>6794</v>
      </c>
      <c r="D121">
        <v>5358</v>
      </c>
      <c r="E121">
        <v>1436</v>
      </c>
      <c r="F121">
        <v>734</v>
      </c>
      <c r="G121">
        <v>94</v>
      </c>
      <c r="H121">
        <v>0</v>
      </c>
      <c r="I121">
        <v>6</v>
      </c>
      <c r="J121">
        <v>3242</v>
      </c>
      <c r="K121">
        <v>4372</v>
      </c>
      <c r="L121">
        <v>370</v>
      </c>
      <c r="M121">
        <v>592</v>
      </c>
      <c r="N121">
        <v>118</v>
      </c>
      <c r="O121">
        <v>63</v>
      </c>
      <c r="P121">
        <f t="shared" si="9"/>
        <v>7373000</v>
      </c>
      <c r="Q121">
        <v>6997000</v>
      </c>
      <c r="R121">
        <v>376000</v>
      </c>
      <c r="S121">
        <v>156000</v>
      </c>
      <c r="T121" s="128">
        <f t="shared" si="6"/>
        <v>14761845</v>
      </c>
      <c r="U121" s="128">
        <f t="shared" si="10"/>
        <v>7967845</v>
      </c>
      <c r="V121" s="128">
        <f t="shared" si="7"/>
        <v>7967845</v>
      </c>
      <c r="W121" s="128">
        <v>63993</v>
      </c>
      <c r="X121" s="188">
        <f t="shared" si="11"/>
        <v>0.12451119653712124</v>
      </c>
      <c r="Y121" s="238"/>
      <c r="AE121" s="128"/>
      <c r="AF121" s="128"/>
      <c r="AG121" s="128"/>
    </row>
    <row r="122" spans="1:33" x14ac:dyDescent="0.25">
      <c r="A122" t="s">
        <v>522</v>
      </c>
      <c r="B122" t="s">
        <v>185</v>
      </c>
      <c r="C122">
        <f t="shared" si="8"/>
        <v>5001</v>
      </c>
      <c r="D122">
        <v>3596</v>
      </c>
      <c r="E122">
        <v>1405</v>
      </c>
      <c r="F122">
        <v>0</v>
      </c>
      <c r="G122">
        <v>0</v>
      </c>
      <c r="H122">
        <v>270</v>
      </c>
      <c r="I122">
        <v>0</v>
      </c>
      <c r="J122">
        <v>1480</v>
      </c>
      <c r="K122">
        <v>1973</v>
      </c>
      <c r="L122">
        <v>234</v>
      </c>
      <c r="M122">
        <v>236</v>
      </c>
      <c r="N122">
        <v>713</v>
      </c>
      <c r="O122">
        <v>91</v>
      </c>
      <c r="P122">
        <f t="shared" si="9"/>
        <v>2748000</v>
      </c>
      <c r="Q122">
        <v>2470000</v>
      </c>
      <c r="R122">
        <v>278000</v>
      </c>
      <c r="S122">
        <v>262000</v>
      </c>
      <c r="T122" s="128">
        <f t="shared" si="6"/>
        <v>5764530</v>
      </c>
      <c r="U122" s="128">
        <f t="shared" si="10"/>
        <v>763530</v>
      </c>
      <c r="V122" s="128">
        <f t="shared" si="7"/>
        <v>763530</v>
      </c>
      <c r="W122" s="128">
        <v>46654</v>
      </c>
      <c r="X122" s="188">
        <f t="shared" si="11"/>
        <v>1.6365799288378273E-2</v>
      </c>
      <c r="Y122" s="238"/>
      <c r="AE122" s="128"/>
      <c r="AF122" s="128"/>
      <c r="AG122" s="128"/>
    </row>
    <row r="123" spans="1:33" x14ac:dyDescent="0.25">
      <c r="A123" t="s">
        <v>518</v>
      </c>
      <c r="B123" t="s">
        <v>131</v>
      </c>
      <c r="C123">
        <f t="shared" si="8"/>
        <v>14994</v>
      </c>
      <c r="D123">
        <v>7306</v>
      </c>
      <c r="E123">
        <v>7688</v>
      </c>
      <c r="F123">
        <v>3219</v>
      </c>
      <c r="G123">
        <v>41</v>
      </c>
      <c r="H123">
        <v>240</v>
      </c>
      <c r="I123">
        <v>172</v>
      </c>
      <c r="J123">
        <v>6219</v>
      </c>
      <c r="K123">
        <v>6471</v>
      </c>
      <c r="L123">
        <v>573</v>
      </c>
      <c r="M123">
        <v>265</v>
      </c>
      <c r="N123">
        <v>1941</v>
      </c>
      <c r="O123">
        <v>211</v>
      </c>
      <c r="P123">
        <f t="shared" si="9"/>
        <v>6817000</v>
      </c>
      <c r="Q123">
        <v>5601000</v>
      </c>
      <c r="R123">
        <v>1216000</v>
      </c>
      <c r="S123">
        <v>233000</v>
      </c>
      <c r="T123" s="128">
        <f t="shared" si="6"/>
        <v>15302865</v>
      </c>
      <c r="U123" s="128">
        <f t="shared" si="10"/>
        <v>308865</v>
      </c>
      <c r="V123" s="128">
        <f t="shared" si="7"/>
        <v>308865</v>
      </c>
      <c r="W123" s="128">
        <v>178427</v>
      </c>
      <c r="X123" s="188">
        <f t="shared" si="11"/>
        <v>1.7310440684425563E-3</v>
      </c>
      <c r="Y123" s="238"/>
      <c r="AE123" s="128"/>
      <c r="AF123" s="128"/>
      <c r="AG123" s="128"/>
    </row>
    <row r="124" spans="1:33" x14ac:dyDescent="0.25">
      <c r="A124" t="s">
        <v>518</v>
      </c>
      <c r="B124" t="s">
        <v>407</v>
      </c>
      <c r="C124">
        <f t="shared" si="8"/>
        <v>26342</v>
      </c>
      <c r="D124">
        <v>14158</v>
      </c>
      <c r="E124">
        <v>12184</v>
      </c>
      <c r="F124">
        <v>2300</v>
      </c>
      <c r="G124">
        <v>0</v>
      </c>
      <c r="H124">
        <v>317</v>
      </c>
      <c r="I124">
        <v>886</v>
      </c>
      <c r="J124">
        <v>8948</v>
      </c>
      <c r="K124">
        <v>12148</v>
      </c>
      <c r="L124">
        <v>1057</v>
      </c>
      <c r="M124">
        <v>427</v>
      </c>
      <c r="N124">
        <v>1511</v>
      </c>
      <c r="O124">
        <v>190</v>
      </c>
      <c r="P124">
        <f t="shared" si="9"/>
        <v>9355000</v>
      </c>
      <c r="Q124">
        <v>7321000</v>
      </c>
      <c r="R124">
        <v>2034000</v>
      </c>
      <c r="S124">
        <v>453000</v>
      </c>
      <c r="T124" s="128">
        <f t="shared" si="6"/>
        <v>21696045</v>
      </c>
      <c r="U124" s="128">
        <f t="shared" si="10"/>
        <v>-4645955</v>
      </c>
      <c r="V124" s="128">
        <f t="shared" si="7"/>
        <v>0</v>
      </c>
      <c r="W124" s="128">
        <v>424894</v>
      </c>
      <c r="X124" s="188">
        <f t="shared" si="11"/>
        <v>-1.0934385988034662E-2</v>
      </c>
      <c r="Y124" s="238"/>
      <c r="AE124" s="128"/>
      <c r="AF124" s="128"/>
      <c r="AG124" s="128"/>
    </row>
    <row r="125" spans="1:33" x14ac:dyDescent="0.25">
      <c r="A125" t="s">
        <v>519</v>
      </c>
      <c r="B125" t="s">
        <v>371</v>
      </c>
      <c r="C125">
        <f t="shared" si="8"/>
        <v>3986</v>
      </c>
      <c r="D125">
        <v>2776</v>
      </c>
      <c r="E125">
        <v>1210</v>
      </c>
      <c r="F125">
        <v>0</v>
      </c>
      <c r="G125">
        <v>0</v>
      </c>
      <c r="H125">
        <v>178</v>
      </c>
      <c r="I125">
        <v>0</v>
      </c>
      <c r="J125">
        <v>2155</v>
      </c>
      <c r="K125">
        <v>1585</v>
      </c>
      <c r="L125">
        <v>163</v>
      </c>
      <c r="M125">
        <v>2</v>
      </c>
      <c r="N125">
        <v>518</v>
      </c>
      <c r="O125">
        <v>16</v>
      </c>
      <c r="P125">
        <f t="shared" si="9"/>
        <v>2985000</v>
      </c>
      <c r="Q125">
        <v>2585000</v>
      </c>
      <c r="R125">
        <v>400000</v>
      </c>
      <c r="S125">
        <v>260000</v>
      </c>
      <c r="T125" s="128">
        <f t="shared" si="6"/>
        <v>6448425</v>
      </c>
      <c r="U125" s="128">
        <f t="shared" si="10"/>
        <v>2462425</v>
      </c>
      <c r="V125" s="128">
        <f t="shared" si="7"/>
        <v>2462425</v>
      </c>
      <c r="W125" s="128">
        <v>35841</v>
      </c>
      <c r="X125" s="188">
        <f t="shared" si="11"/>
        <v>6.8704137719371672E-2</v>
      </c>
      <c r="Y125" s="238"/>
      <c r="AE125" s="128"/>
      <c r="AF125" s="128"/>
      <c r="AG125" s="128"/>
    </row>
    <row r="126" spans="1:33" x14ac:dyDescent="0.25">
      <c r="A126" t="s">
        <v>520</v>
      </c>
      <c r="B126" t="s">
        <v>257</v>
      </c>
      <c r="C126">
        <f t="shared" si="8"/>
        <v>5038</v>
      </c>
      <c r="D126">
        <v>3994</v>
      </c>
      <c r="E126">
        <v>1044</v>
      </c>
      <c r="F126">
        <v>0</v>
      </c>
      <c r="G126">
        <v>0</v>
      </c>
      <c r="H126">
        <v>80</v>
      </c>
      <c r="I126">
        <v>19</v>
      </c>
      <c r="J126">
        <v>2135</v>
      </c>
      <c r="K126">
        <v>3274</v>
      </c>
      <c r="L126">
        <v>222</v>
      </c>
      <c r="M126">
        <v>151</v>
      </c>
      <c r="N126">
        <v>827</v>
      </c>
      <c r="O126">
        <v>87</v>
      </c>
      <c r="P126">
        <f t="shared" si="9"/>
        <v>4642000</v>
      </c>
      <c r="Q126">
        <v>4285000</v>
      </c>
      <c r="R126">
        <v>357000</v>
      </c>
      <c r="S126">
        <v>200000</v>
      </c>
      <c r="T126" s="128">
        <f t="shared" si="6"/>
        <v>9523095</v>
      </c>
      <c r="U126" s="128">
        <f t="shared" si="10"/>
        <v>4485095</v>
      </c>
      <c r="V126" s="128">
        <f t="shared" si="7"/>
        <v>4485095</v>
      </c>
      <c r="W126" s="128">
        <v>57643</v>
      </c>
      <c r="X126" s="188">
        <f t="shared" si="11"/>
        <v>7.7808146696042885E-2</v>
      </c>
      <c r="Y126" s="238"/>
      <c r="AE126" s="128"/>
      <c r="AF126" s="128"/>
      <c r="AG126" s="128"/>
    </row>
    <row r="127" spans="1:33" x14ac:dyDescent="0.25">
      <c r="A127" t="s">
        <v>518</v>
      </c>
      <c r="B127" t="s">
        <v>149</v>
      </c>
      <c r="C127">
        <f t="shared" si="8"/>
        <v>9976</v>
      </c>
      <c r="D127">
        <v>6282</v>
      </c>
      <c r="E127">
        <v>3694</v>
      </c>
      <c r="F127">
        <v>80</v>
      </c>
      <c r="G127">
        <v>0</v>
      </c>
      <c r="H127">
        <v>533</v>
      </c>
      <c r="I127">
        <v>96</v>
      </c>
      <c r="J127">
        <v>4198</v>
      </c>
      <c r="K127">
        <v>3938</v>
      </c>
      <c r="L127">
        <v>329</v>
      </c>
      <c r="M127">
        <v>429</v>
      </c>
      <c r="N127">
        <v>822</v>
      </c>
      <c r="O127">
        <v>166</v>
      </c>
      <c r="P127">
        <f t="shared" si="9"/>
        <v>4848000</v>
      </c>
      <c r="Q127">
        <v>4179000</v>
      </c>
      <c r="R127">
        <v>669000</v>
      </c>
      <c r="S127">
        <v>211000</v>
      </c>
      <c r="T127" s="128">
        <f t="shared" si="6"/>
        <v>10509885</v>
      </c>
      <c r="U127" s="128">
        <f t="shared" si="10"/>
        <v>533885</v>
      </c>
      <c r="V127" s="128">
        <f t="shared" si="7"/>
        <v>533885</v>
      </c>
      <c r="W127" s="128">
        <v>97997</v>
      </c>
      <c r="X127" s="188">
        <f t="shared" si="11"/>
        <v>5.4479728971295041E-3</v>
      </c>
      <c r="Y127" s="238"/>
      <c r="AE127" s="128"/>
      <c r="AF127" s="128"/>
      <c r="AG127" s="128"/>
    </row>
    <row r="128" spans="1:33" x14ac:dyDescent="0.25">
      <c r="A128" t="s">
        <v>526</v>
      </c>
      <c r="B128" t="s">
        <v>296</v>
      </c>
      <c r="C128">
        <f t="shared" si="8"/>
        <v>5405</v>
      </c>
      <c r="D128">
        <v>3795</v>
      </c>
      <c r="E128">
        <v>1610</v>
      </c>
      <c r="F128">
        <v>0</v>
      </c>
      <c r="G128">
        <v>11</v>
      </c>
      <c r="H128">
        <v>544</v>
      </c>
      <c r="I128">
        <v>240</v>
      </c>
      <c r="J128">
        <v>2923</v>
      </c>
      <c r="K128">
        <v>4157</v>
      </c>
      <c r="L128">
        <v>470</v>
      </c>
      <c r="M128">
        <v>76</v>
      </c>
      <c r="N128">
        <v>215</v>
      </c>
      <c r="O128">
        <v>303</v>
      </c>
      <c r="P128">
        <f t="shared" si="9"/>
        <v>5086000</v>
      </c>
      <c r="Q128">
        <v>4528000</v>
      </c>
      <c r="R128">
        <v>558000</v>
      </c>
      <c r="S128">
        <v>129000</v>
      </c>
      <c r="T128" s="128">
        <f t="shared" ref="T128:T190" si="12">0.1905*SUM(Q128,R128,R128)*10</f>
        <v>10751820</v>
      </c>
      <c r="U128" s="128">
        <f t="shared" si="10"/>
        <v>5346820</v>
      </c>
      <c r="V128" s="128">
        <f t="shared" ref="V128:V190" si="13">IF(U128&gt;0,U128,0)</f>
        <v>5346820</v>
      </c>
      <c r="W128" s="128">
        <v>119869</v>
      </c>
      <c r="X128" s="188">
        <f t="shared" si="11"/>
        <v>4.460552770107367E-2</v>
      </c>
      <c r="Y128" s="238"/>
      <c r="AE128" s="128"/>
      <c r="AF128" s="128"/>
      <c r="AG128" s="128"/>
    </row>
    <row r="129" spans="1:33" x14ac:dyDescent="0.25">
      <c r="A129" t="s">
        <v>517</v>
      </c>
      <c r="B129" t="s">
        <v>372</v>
      </c>
      <c r="C129">
        <f t="shared" si="8"/>
        <v>23513</v>
      </c>
      <c r="D129">
        <v>14813</v>
      </c>
      <c r="E129">
        <v>8700</v>
      </c>
      <c r="F129">
        <v>3722</v>
      </c>
      <c r="G129">
        <v>305</v>
      </c>
      <c r="H129">
        <v>102</v>
      </c>
      <c r="I129">
        <v>749</v>
      </c>
      <c r="J129">
        <v>8796</v>
      </c>
      <c r="K129">
        <v>11189</v>
      </c>
      <c r="L129">
        <v>1238</v>
      </c>
      <c r="M129">
        <v>0</v>
      </c>
      <c r="N129">
        <v>3135</v>
      </c>
      <c r="O129">
        <v>220</v>
      </c>
      <c r="P129">
        <f t="shared" si="9"/>
        <v>12352000</v>
      </c>
      <c r="Q129">
        <v>10210000</v>
      </c>
      <c r="R129">
        <v>2142000</v>
      </c>
      <c r="S129">
        <v>323000</v>
      </c>
      <c r="T129" s="128">
        <f t="shared" si="12"/>
        <v>27611070</v>
      </c>
      <c r="U129" s="128">
        <f t="shared" si="10"/>
        <v>4098070</v>
      </c>
      <c r="V129" s="128">
        <f t="shared" si="13"/>
        <v>4098070</v>
      </c>
      <c r="W129" s="128">
        <v>380028</v>
      </c>
      <c r="X129" s="188">
        <f t="shared" si="11"/>
        <v>1.0783600155777995E-2</v>
      </c>
      <c r="Y129" s="238"/>
      <c r="AE129" s="128"/>
      <c r="AF129" s="128"/>
      <c r="AG129" s="128"/>
    </row>
    <row r="130" spans="1:33" x14ac:dyDescent="0.25">
      <c r="A130" t="s">
        <v>518</v>
      </c>
      <c r="B130" t="s">
        <v>297</v>
      </c>
      <c r="C130">
        <f t="shared" si="8"/>
        <v>5786</v>
      </c>
      <c r="D130">
        <v>4147</v>
      </c>
      <c r="E130">
        <v>1639</v>
      </c>
      <c r="F130">
        <v>0</v>
      </c>
      <c r="G130">
        <v>0</v>
      </c>
      <c r="H130">
        <v>0</v>
      </c>
      <c r="I130">
        <v>195</v>
      </c>
      <c r="J130">
        <v>2408</v>
      </c>
      <c r="K130">
        <v>4251</v>
      </c>
      <c r="L130">
        <v>299</v>
      </c>
      <c r="M130">
        <v>313</v>
      </c>
      <c r="N130">
        <v>736</v>
      </c>
      <c r="O130">
        <v>139</v>
      </c>
      <c r="P130">
        <f t="shared" si="9"/>
        <v>4191000</v>
      </c>
      <c r="Q130">
        <v>3827000</v>
      </c>
      <c r="R130">
        <v>364000</v>
      </c>
      <c r="S130">
        <v>305000</v>
      </c>
      <c r="T130" s="128">
        <f t="shared" si="12"/>
        <v>8677275</v>
      </c>
      <c r="U130" s="128">
        <f t="shared" si="10"/>
        <v>2891275</v>
      </c>
      <c r="V130" s="128">
        <f t="shared" si="13"/>
        <v>2891275</v>
      </c>
      <c r="W130" s="128">
        <v>95497</v>
      </c>
      <c r="X130" s="188">
        <f t="shared" si="11"/>
        <v>3.0276081971161398E-2</v>
      </c>
      <c r="Y130" s="238"/>
      <c r="AE130" s="128"/>
      <c r="AF130" s="128"/>
      <c r="AG130" s="128"/>
    </row>
    <row r="131" spans="1:33" x14ac:dyDescent="0.25">
      <c r="A131" t="s">
        <v>522</v>
      </c>
      <c r="B131" t="s">
        <v>444</v>
      </c>
      <c r="C131">
        <f t="shared" ref="C131:C194" si="14">SUM(D131:E131)</f>
        <v>25880</v>
      </c>
      <c r="D131">
        <v>11940</v>
      </c>
      <c r="E131">
        <v>13940</v>
      </c>
      <c r="F131">
        <v>1812</v>
      </c>
      <c r="G131">
        <v>322</v>
      </c>
      <c r="H131">
        <v>148</v>
      </c>
      <c r="I131">
        <v>799</v>
      </c>
      <c r="J131">
        <v>10407</v>
      </c>
      <c r="K131">
        <v>8415</v>
      </c>
      <c r="L131">
        <v>931</v>
      </c>
      <c r="M131">
        <v>539</v>
      </c>
      <c r="N131">
        <v>1959</v>
      </c>
      <c r="O131">
        <v>1465</v>
      </c>
      <c r="P131">
        <f t="shared" ref="P131:P194" si="15">SUM(Q131:R131)</f>
        <v>10502000</v>
      </c>
      <c r="Q131">
        <v>8515000</v>
      </c>
      <c r="R131">
        <v>1987000</v>
      </c>
      <c r="S131">
        <v>229000</v>
      </c>
      <c r="T131" s="128">
        <f t="shared" si="12"/>
        <v>23791545</v>
      </c>
      <c r="U131" s="128">
        <f t="shared" ref="U131:U194" si="16">SUM(T131,-C131*1000)</f>
        <v>-2088455</v>
      </c>
      <c r="V131" s="128">
        <f t="shared" si="13"/>
        <v>0</v>
      </c>
      <c r="W131" s="128">
        <v>312919</v>
      </c>
      <c r="X131" s="188">
        <f t="shared" ref="X131:X194" si="17">U131/(W131*1000)</f>
        <v>-6.6741073568559279E-3</v>
      </c>
      <c r="Y131" s="238"/>
      <c r="AE131" s="128"/>
      <c r="AF131" s="128"/>
      <c r="AG131" s="128"/>
    </row>
    <row r="132" spans="1:33" x14ac:dyDescent="0.25">
      <c r="A132" s="86" t="s">
        <v>521</v>
      </c>
      <c r="B132" t="s">
        <v>600</v>
      </c>
      <c r="C132">
        <f t="shared" si="14"/>
        <v>26087</v>
      </c>
      <c r="D132">
        <v>7658</v>
      </c>
      <c r="E132">
        <v>18429</v>
      </c>
      <c r="F132">
        <v>0</v>
      </c>
      <c r="G132">
        <v>0</v>
      </c>
      <c r="H132">
        <v>361</v>
      </c>
      <c r="I132">
        <v>225</v>
      </c>
      <c r="J132">
        <v>4840</v>
      </c>
      <c r="K132">
        <v>5929</v>
      </c>
      <c r="L132">
        <v>703</v>
      </c>
      <c r="M132">
        <v>737</v>
      </c>
      <c r="N132">
        <v>1612</v>
      </c>
      <c r="O132">
        <v>29</v>
      </c>
      <c r="P132">
        <f t="shared" si="15"/>
        <v>6113000</v>
      </c>
      <c r="Q132">
        <v>4050000</v>
      </c>
      <c r="R132">
        <v>2063000</v>
      </c>
      <c r="S132">
        <v>203000</v>
      </c>
      <c r="T132" s="128">
        <f t="shared" si="12"/>
        <v>15575280</v>
      </c>
      <c r="U132" s="128">
        <f t="shared" si="16"/>
        <v>-10511720</v>
      </c>
      <c r="V132" s="128">
        <f t="shared" si="13"/>
        <v>0</v>
      </c>
      <c r="W132" s="128">
        <v>173277</v>
      </c>
      <c r="X132" s="188">
        <f t="shared" si="17"/>
        <v>-6.0664254344200329E-2</v>
      </c>
      <c r="Y132" s="238"/>
      <c r="AE132" s="128"/>
      <c r="AF132" s="128"/>
      <c r="AG132" s="128"/>
    </row>
    <row r="133" spans="1:33" x14ac:dyDescent="0.25">
      <c r="A133" t="s">
        <v>517</v>
      </c>
      <c r="B133" t="s">
        <v>186</v>
      </c>
      <c r="C133">
        <f t="shared" si="14"/>
        <v>4796</v>
      </c>
      <c r="D133">
        <v>3512</v>
      </c>
      <c r="E133">
        <v>1284</v>
      </c>
      <c r="F133">
        <v>1</v>
      </c>
      <c r="G133">
        <v>0</v>
      </c>
      <c r="H133">
        <v>0</v>
      </c>
      <c r="I133">
        <v>206</v>
      </c>
      <c r="J133">
        <v>1253</v>
      </c>
      <c r="K133">
        <v>1545</v>
      </c>
      <c r="L133">
        <v>260</v>
      </c>
      <c r="M133">
        <v>82</v>
      </c>
      <c r="N133">
        <v>459</v>
      </c>
      <c r="O133">
        <v>48</v>
      </c>
      <c r="P133">
        <f t="shared" si="15"/>
        <v>2477000</v>
      </c>
      <c r="Q133">
        <v>2256000</v>
      </c>
      <c r="R133">
        <v>221000</v>
      </c>
      <c r="S133">
        <v>205000</v>
      </c>
      <c r="T133" s="128">
        <f t="shared" si="12"/>
        <v>5139690</v>
      </c>
      <c r="U133" s="128">
        <f t="shared" si="16"/>
        <v>343690</v>
      </c>
      <c r="V133" s="128">
        <f t="shared" si="13"/>
        <v>343690</v>
      </c>
      <c r="W133" s="128">
        <v>41253</v>
      </c>
      <c r="X133" s="188">
        <f t="shared" si="17"/>
        <v>8.3312728771240876E-3</v>
      </c>
      <c r="Y133" s="238"/>
      <c r="AE133" s="128"/>
      <c r="AF133" s="128"/>
      <c r="AG133" s="128"/>
    </row>
    <row r="134" spans="1:33" x14ac:dyDescent="0.25">
      <c r="A134" s="86" t="s">
        <v>521</v>
      </c>
      <c r="B134" t="s">
        <v>373</v>
      </c>
      <c r="C134">
        <f t="shared" si="14"/>
        <v>9388</v>
      </c>
      <c r="D134">
        <v>6595</v>
      </c>
      <c r="E134">
        <v>2793</v>
      </c>
      <c r="F134">
        <v>83</v>
      </c>
      <c r="G134">
        <v>0</v>
      </c>
      <c r="H134">
        <v>91</v>
      </c>
      <c r="I134">
        <v>306</v>
      </c>
      <c r="J134">
        <v>4667</v>
      </c>
      <c r="K134">
        <v>3318</v>
      </c>
      <c r="L134">
        <v>422</v>
      </c>
      <c r="M134">
        <v>160</v>
      </c>
      <c r="N134">
        <v>1052</v>
      </c>
      <c r="O134">
        <v>52</v>
      </c>
      <c r="P134">
        <f t="shared" si="15"/>
        <v>6729000</v>
      </c>
      <c r="Q134">
        <v>5926000</v>
      </c>
      <c r="R134">
        <v>803000</v>
      </c>
      <c r="S134">
        <v>234000</v>
      </c>
      <c r="T134" s="128">
        <f t="shared" si="12"/>
        <v>14348460</v>
      </c>
      <c r="U134" s="128">
        <f t="shared" si="16"/>
        <v>4960460</v>
      </c>
      <c r="V134" s="128">
        <f t="shared" si="13"/>
        <v>4960460</v>
      </c>
      <c r="W134" s="128">
        <v>122464</v>
      </c>
      <c r="X134" s="188">
        <f t="shared" si="17"/>
        <v>4.0505454664227857E-2</v>
      </c>
      <c r="Y134" s="238"/>
      <c r="AE134" s="128"/>
      <c r="AF134" s="128"/>
      <c r="AG134" s="128"/>
    </row>
    <row r="135" spans="1:33" x14ac:dyDescent="0.25">
      <c r="A135" t="s">
        <v>522</v>
      </c>
      <c r="B135" t="s">
        <v>298</v>
      </c>
      <c r="C135">
        <f t="shared" si="14"/>
        <v>4881</v>
      </c>
      <c r="D135">
        <v>3597</v>
      </c>
      <c r="E135">
        <v>1284</v>
      </c>
      <c r="F135">
        <v>3</v>
      </c>
      <c r="G135">
        <v>16</v>
      </c>
      <c r="H135">
        <v>0</v>
      </c>
      <c r="I135">
        <v>0</v>
      </c>
      <c r="J135">
        <v>2524</v>
      </c>
      <c r="K135">
        <v>3167</v>
      </c>
      <c r="L135">
        <v>293</v>
      </c>
      <c r="M135">
        <v>81</v>
      </c>
      <c r="N135">
        <v>512</v>
      </c>
      <c r="O135">
        <v>74</v>
      </c>
      <c r="P135">
        <f t="shared" si="15"/>
        <v>3557000</v>
      </c>
      <c r="Q135">
        <v>3195000</v>
      </c>
      <c r="R135">
        <v>362000</v>
      </c>
      <c r="S135">
        <v>175000</v>
      </c>
      <c r="T135" s="128">
        <f t="shared" si="12"/>
        <v>7465695</v>
      </c>
      <c r="U135" s="128">
        <f t="shared" si="16"/>
        <v>2584695</v>
      </c>
      <c r="V135" s="128">
        <f t="shared" si="13"/>
        <v>2584695</v>
      </c>
      <c r="W135" s="128">
        <v>56368</v>
      </c>
      <c r="X135" s="188">
        <f t="shared" si="17"/>
        <v>4.5853941952881068E-2</v>
      </c>
      <c r="Y135" s="238"/>
      <c r="AE135" s="128"/>
      <c r="AF135" s="128"/>
      <c r="AG135" s="128"/>
    </row>
    <row r="136" spans="1:33" x14ac:dyDescent="0.25">
      <c r="A136" t="s">
        <v>525</v>
      </c>
      <c r="B136" t="s">
        <v>374</v>
      </c>
      <c r="C136">
        <f t="shared" si="14"/>
        <v>3932</v>
      </c>
      <c r="D136">
        <v>2660</v>
      </c>
      <c r="E136">
        <v>1272</v>
      </c>
      <c r="F136">
        <v>6</v>
      </c>
      <c r="G136">
        <v>10</v>
      </c>
      <c r="H136">
        <v>1228</v>
      </c>
      <c r="I136">
        <v>195</v>
      </c>
      <c r="J136">
        <v>1478</v>
      </c>
      <c r="K136">
        <v>1193</v>
      </c>
      <c r="L136">
        <v>186</v>
      </c>
      <c r="M136">
        <v>0</v>
      </c>
      <c r="N136">
        <v>1234</v>
      </c>
      <c r="O136">
        <v>344</v>
      </c>
      <c r="P136">
        <f t="shared" si="15"/>
        <v>2723000</v>
      </c>
      <c r="Q136">
        <v>2295000</v>
      </c>
      <c r="R136">
        <v>428000</v>
      </c>
      <c r="S136">
        <v>159500</v>
      </c>
      <c r="T136" s="128">
        <f t="shared" si="12"/>
        <v>6002655</v>
      </c>
      <c r="U136" s="128">
        <f t="shared" si="16"/>
        <v>2070655</v>
      </c>
      <c r="V136" s="128">
        <f t="shared" si="13"/>
        <v>2070655</v>
      </c>
      <c r="W136" s="128">
        <v>39187</v>
      </c>
      <c r="X136" s="188">
        <f t="shared" si="17"/>
        <v>5.2840355219843316E-2</v>
      </c>
      <c r="Y136" s="238"/>
      <c r="AE136" s="128"/>
      <c r="AF136" s="128"/>
      <c r="AG136" s="128"/>
    </row>
    <row r="137" spans="1:33" x14ac:dyDescent="0.25">
      <c r="A137" t="s">
        <v>519</v>
      </c>
      <c r="B137" t="s">
        <v>258</v>
      </c>
      <c r="C137">
        <f t="shared" si="14"/>
        <v>22243</v>
      </c>
      <c r="D137">
        <v>11974</v>
      </c>
      <c r="E137">
        <v>10269</v>
      </c>
      <c r="F137">
        <v>5878</v>
      </c>
      <c r="G137">
        <v>312</v>
      </c>
      <c r="H137">
        <v>0</v>
      </c>
      <c r="I137">
        <v>510</v>
      </c>
      <c r="J137">
        <v>8359</v>
      </c>
      <c r="K137">
        <v>12380</v>
      </c>
      <c r="L137">
        <v>1127</v>
      </c>
      <c r="M137">
        <v>0</v>
      </c>
      <c r="N137">
        <v>3162</v>
      </c>
      <c r="O137">
        <v>547</v>
      </c>
      <c r="P137">
        <f t="shared" si="15"/>
        <v>17813000</v>
      </c>
      <c r="Q137">
        <v>15377000</v>
      </c>
      <c r="R137">
        <v>2436000</v>
      </c>
      <c r="S137">
        <v>269000</v>
      </c>
      <c r="T137" s="128">
        <f t="shared" si="12"/>
        <v>38574345</v>
      </c>
      <c r="U137" s="128">
        <f t="shared" si="16"/>
        <v>16331345</v>
      </c>
      <c r="V137" s="128">
        <f t="shared" si="13"/>
        <v>16331345</v>
      </c>
      <c r="W137" s="128">
        <v>285904</v>
      </c>
      <c r="X137" s="188">
        <f t="shared" si="17"/>
        <v>5.7121778638983718E-2</v>
      </c>
      <c r="Y137" s="238"/>
      <c r="AE137" s="128"/>
      <c r="AF137" s="128"/>
      <c r="AG137" s="128"/>
    </row>
    <row r="138" spans="1:33" x14ac:dyDescent="0.25">
      <c r="A138" t="s">
        <v>517</v>
      </c>
      <c r="B138" t="s">
        <v>601</v>
      </c>
      <c r="C138">
        <f t="shared" si="14"/>
        <v>17569</v>
      </c>
      <c r="D138">
        <v>10121</v>
      </c>
      <c r="E138">
        <v>7448</v>
      </c>
      <c r="F138">
        <v>24</v>
      </c>
      <c r="G138">
        <v>0</v>
      </c>
      <c r="H138">
        <v>122</v>
      </c>
      <c r="I138">
        <v>869</v>
      </c>
      <c r="J138">
        <v>8388</v>
      </c>
      <c r="K138">
        <v>8506</v>
      </c>
      <c r="L138">
        <v>999</v>
      </c>
      <c r="M138">
        <v>1282</v>
      </c>
      <c r="N138">
        <v>3442</v>
      </c>
      <c r="O138">
        <v>291</v>
      </c>
      <c r="P138">
        <f t="shared" si="15"/>
        <v>12618000</v>
      </c>
      <c r="Q138">
        <v>10794000</v>
      </c>
      <c r="R138">
        <v>1824000</v>
      </c>
      <c r="S138">
        <v>265000</v>
      </c>
      <c r="T138" s="128">
        <f t="shared" si="12"/>
        <v>27512010</v>
      </c>
      <c r="U138" s="128">
        <f t="shared" si="16"/>
        <v>9943010</v>
      </c>
      <c r="V138" s="128">
        <f t="shared" si="13"/>
        <v>9943010</v>
      </c>
      <c r="W138" s="128">
        <v>193788</v>
      </c>
      <c r="X138" s="188">
        <f t="shared" si="17"/>
        <v>5.1308698165005058E-2</v>
      </c>
      <c r="Y138" s="238"/>
      <c r="AE138" s="128"/>
      <c r="AF138" s="128"/>
      <c r="AG138" s="128"/>
    </row>
    <row r="139" spans="1:33" x14ac:dyDescent="0.25">
      <c r="A139" t="s">
        <v>521</v>
      </c>
      <c r="B139" t="s">
        <v>150</v>
      </c>
      <c r="C139">
        <f t="shared" si="14"/>
        <v>8883</v>
      </c>
      <c r="D139">
        <v>5358</v>
      </c>
      <c r="E139">
        <v>3525</v>
      </c>
      <c r="F139">
        <v>16</v>
      </c>
      <c r="G139">
        <v>0</v>
      </c>
      <c r="H139">
        <v>408</v>
      </c>
      <c r="I139">
        <v>124</v>
      </c>
      <c r="J139">
        <v>4754</v>
      </c>
      <c r="K139">
        <v>3235</v>
      </c>
      <c r="L139">
        <v>335</v>
      </c>
      <c r="M139">
        <v>234</v>
      </c>
      <c r="N139">
        <v>1039</v>
      </c>
      <c r="O139">
        <v>212</v>
      </c>
      <c r="P139">
        <f t="shared" si="15"/>
        <v>4565000</v>
      </c>
      <c r="Q139">
        <v>3730000</v>
      </c>
      <c r="R139">
        <v>835000</v>
      </c>
      <c r="S139">
        <v>239000</v>
      </c>
      <c r="T139" s="128">
        <f t="shared" si="12"/>
        <v>10287000</v>
      </c>
      <c r="U139" s="128">
        <f t="shared" si="16"/>
        <v>1404000</v>
      </c>
      <c r="V139" s="128">
        <f t="shared" si="13"/>
        <v>1404000</v>
      </c>
      <c r="W139" s="128">
        <v>85566</v>
      </c>
      <c r="X139" s="188">
        <f t="shared" si="17"/>
        <v>1.6408386508659983E-2</v>
      </c>
      <c r="Y139" s="238"/>
      <c r="AE139" s="128"/>
      <c r="AF139" s="128"/>
      <c r="AG139" s="128"/>
    </row>
    <row r="140" spans="1:33" x14ac:dyDescent="0.25">
      <c r="A140" t="s">
        <v>517</v>
      </c>
      <c r="B140" t="s">
        <v>259</v>
      </c>
      <c r="C140">
        <f t="shared" si="14"/>
        <v>11533</v>
      </c>
      <c r="D140">
        <v>5878</v>
      </c>
      <c r="E140">
        <v>5655</v>
      </c>
      <c r="F140">
        <v>0</v>
      </c>
      <c r="G140">
        <v>0</v>
      </c>
      <c r="H140">
        <v>134</v>
      </c>
      <c r="I140">
        <v>204</v>
      </c>
      <c r="J140">
        <v>3950</v>
      </c>
      <c r="K140">
        <v>6261</v>
      </c>
      <c r="L140">
        <v>559</v>
      </c>
      <c r="M140">
        <v>406</v>
      </c>
      <c r="N140">
        <v>1218</v>
      </c>
      <c r="O140">
        <v>271</v>
      </c>
      <c r="P140">
        <f t="shared" si="15"/>
        <v>7007000</v>
      </c>
      <c r="Q140">
        <v>5025000</v>
      </c>
      <c r="R140">
        <v>1982000</v>
      </c>
      <c r="S140">
        <v>296000</v>
      </c>
      <c r="T140" s="128">
        <f t="shared" si="12"/>
        <v>17124045</v>
      </c>
      <c r="U140" s="128">
        <f t="shared" si="16"/>
        <v>5591045</v>
      </c>
      <c r="V140" s="128">
        <f t="shared" si="13"/>
        <v>5591045</v>
      </c>
      <c r="W140" s="128">
        <v>118411</v>
      </c>
      <c r="X140" s="188">
        <f t="shared" si="17"/>
        <v>4.721727711107921E-2</v>
      </c>
      <c r="Y140" s="238"/>
      <c r="AE140" s="128"/>
      <c r="AF140" s="128"/>
      <c r="AG140" s="128"/>
    </row>
    <row r="141" spans="1:33" x14ac:dyDescent="0.25">
      <c r="A141" t="s">
        <v>518</v>
      </c>
      <c r="B141" t="s">
        <v>111</v>
      </c>
      <c r="C141">
        <f t="shared" si="14"/>
        <v>15445</v>
      </c>
      <c r="D141">
        <v>9172</v>
      </c>
      <c r="E141">
        <v>6273</v>
      </c>
      <c r="F141">
        <v>2618</v>
      </c>
      <c r="G141">
        <v>87</v>
      </c>
      <c r="H141">
        <v>102</v>
      </c>
      <c r="I141">
        <v>278</v>
      </c>
      <c r="J141">
        <v>4550</v>
      </c>
      <c r="K141">
        <v>6392</v>
      </c>
      <c r="L141">
        <v>646</v>
      </c>
      <c r="M141">
        <v>910</v>
      </c>
      <c r="N141">
        <v>945</v>
      </c>
      <c r="O141">
        <v>116</v>
      </c>
      <c r="P141">
        <f t="shared" si="15"/>
        <v>6065000</v>
      </c>
      <c r="Q141">
        <v>4960000</v>
      </c>
      <c r="R141">
        <v>1105000</v>
      </c>
      <c r="S141">
        <v>276000</v>
      </c>
      <c r="T141" s="128">
        <f t="shared" si="12"/>
        <v>13658850</v>
      </c>
      <c r="U141" s="128">
        <f t="shared" si="16"/>
        <v>-1786150</v>
      </c>
      <c r="V141" s="128">
        <f t="shared" si="13"/>
        <v>0</v>
      </c>
      <c r="W141" s="128">
        <v>195785</v>
      </c>
      <c r="X141" s="188">
        <f t="shared" si="17"/>
        <v>-9.123017595832162E-3</v>
      </c>
      <c r="Y141" s="238"/>
      <c r="AE141" s="128"/>
      <c r="AF141" s="128"/>
      <c r="AG141" s="128"/>
    </row>
    <row r="142" spans="1:33" x14ac:dyDescent="0.25">
      <c r="A142" t="s">
        <v>521</v>
      </c>
      <c r="B142" t="s">
        <v>260</v>
      </c>
      <c r="C142">
        <f t="shared" si="14"/>
        <v>14622</v>
      </c>
      <c r="D142">
        <v>9671</v>
      </c>
      <c r="E142">
        <v>4951</v>
      </c>
      <c r="F142">
        <v>4400</v>
      </c>
      <c r="G142">
        <v>315</v>
      </c>
      <c r="H142">
        <v>440</v>
      </c>
      <c r="I142">
        <v>1237</v>
      </c>
      <c r="J142">
        <v>5882</v>
      </c>
      <c r="K142">
        <v>10276</v>
      </c>
      <c r="L142">
        <v>928</v>
      </c>
      <c r="M142">
        <v>275</v>
      </c>
      <c r="N142">
        <v>1013</v>
      </c>
      <c r="O142">
        <v>277</v>
      </c>
      <c r="P142">
        <f t="shared" si="15"/>
        <v>10020000</v>
      </c>
      <c r="Q142">
        <v>8568000</v>
      </c>
      <c r="R142">
        <v>1452000</v>
      </c>
      <c r="S142">
        <v>231000</v>
      </c>
      <c r="T142" s="128">
        <f t="shared" si="12"/>
        <v>21854160</v>
      </c>
      <c r="U142" s="128">
        <f t="shared" si="16"/>
        <v>7232160</v>
      </c>
      <c r="V142" s="128">
        <f t="shared" si="13"/>
        <v>7232160</v>
      </c>
      <c r="W142" s="128">
        <v>260171</v>
      </c>
      <c r="X142" s="188">
        <f t="shared" si="17"/>
        <v>2.7797717654926953E-2</v>
      </c>
      <c r="Y142" s="238"/>
      <c r="AE142" s="128"/>
      <c r="AF142" s="128"/>
      <c r="AG142" s="128"/>
    </row>
    <row r="143" spans="1:33" x14ac:dyDescent="0.25">
      <c r="A143" t="s">
        <v>522</v>
      </c>
      <c r="B143" t="s">
        <v>408</v>
      </c>
      <c r="C143">
        <f t="shared" si="14"/>
        <v>12565</v>
      </c>
      <c r="D143">
        <v>7641</v>
      </c>
      <c r="E143">
        <v>4924</v>
      </c>
      <c r="F143">
        <v>1</v>
      </c>
      <c r="G143">
        <v>25</v>
      </c>
      <c r="H143">
        <v>3276</v>
      </c>
      <c r="I143">
        <v>89</v>
      </c>
      <c r="J143">
        <v>4165</v>
      </c>
      <c r="K143">
        <v>3558</v>
      </c>
      <c r="L143">
        <v>402</v>
      </c>
      <c r="M143">
        <v>15</v>
      </c>
      <c r="N143">
        <v>2193</v>
      </c>
      <c r="O143">
        <v>96</v>
      </c>
      <c r="P143">
        <f t="shared" si="15"/>
        <v>6040000</v>
      </c>
      <c r="Q143">
        <v>4985000</v>
      </c>
      <c r="R143">
        <v>1055000</v>
      </c>
      <c r="S143">
        <v>232000</v>
      </c>
      <c r="T143" s="128">
        <f t="shared" si="12"/>
        <v>13515975</v>
      </c>
      <c r="U143" s="128">
        <f t="shared" si="16"/>
        <v>950975</v>
      </c>
      <c r="V143" s="128">
        <f t="shared" si="13"/>
        <v>950975</v>
      </c>
      <c r="W143" s="128">
        <v>116794</v>
      </c>
      <c r="X143" s="188">
        <f t="shared" si="17"/>
        <v>8.1423275168244942E-3</v>
      </c>
      <c r="Y143" s="238"/>
      <c r="AE143" s="128"/>
      <c r="AF143" s="128"/>
      <c r="AG143" s="128"/>
    </row>
    <row r="144" spans="1:33" x14ac:dyDescent="0.25">
      <c r="A144" t="s">
        <v>518</v>
      </c>
      <c r="B144" t="s">
        <v>221</v>
      </c>
      <c r="C144">
        <f t="shared" si="14"/>
        <v>13189</v>
      </c>
      <c r="D144">
        <v>8144</v>
      </c>
      <c r="E144">
        <v>5045</v>
      </c>
      <c r="F144">
        <v>16</v>
      </c>
      <c r="G144">
        <v>0</v>
      </c>
      <c r="H144">
        <v>220</v>
      </c>
      <c r="I144">
        <v>169</v>
      </c>
      <c r="J144">
        <v>3278</v>
      </c>
      <c r="K144">
        <v>5748</v>
      </c>
      <c r="L144">
        <v>623</v>
      </c>
      <c r="M144">
        <v>169</v>
      </c>
      <c r="N144">
        <v>839</v>
      </c>
      <c r="O144">
        <v>394</v>
      </c>
      <c r="P144">
        <f t="shared" si="15"/>
        <v>8697000</v>
      </c>
      <c r="Q144">
        <v>7701000</v>
      </c>
      <c r="R144">
        <v>996000</v>
      </c>
      <c r="S144">
        <v>205000</v>
      </c>
      <c r="T144" s="128">
        <f t="shared" si="12"/>
        <v>18465165</v>
      </c>
      <c r="U144" s="128">
        <f t="shared" si="16"/>
        <v>5276165</v>
      </c>
      <c r="V144" s="128">
        <f t="shared" si="13"/>
        <v>5276165</v>
      </c>
      <c r="W144" s="128">
        <v>139586</v>
      </c>
      <c r="X144" s="188">
        <f t="shared" si="17"/>
        <v>3.7798668920951961E-2</v>
      </c>
      <c r="Y144" s="238"/>
      <c r="AE144" s="128"/>
      <c r="AF144" s="128"/>
      <c r="AG144" s="128"/>
    </row>
    <row r="145" spans="1:33" x14ac:dyDescent="0.25">
      <c r="A145" t="s">
        <v>516</v>
      </c>
      <c r="B145" t="s">
        <v>261</v>
      </c>
      <c r="C145">
        <f t="shared" si="14"/>
        <v>5445</v>
      </c>
      <c r="D145">
        <v>3880</v>
      </c>
      <c r="E145">
        <v>1565</v>
      </c>
      <c r="F145">
        <v>6</v>
      </c>
      <c r="G145">
        <v>173</v>
      </c>
      <c r="H145">
        <v>60</v>
      </c>
      <c r="I145">
        <v>121</v>
      </c>
      <c r="J145">
        <v>4479</v>
      </c>
      <c r="K145">
        <v>6369</v>
      </c>
      <c r="L145">
        <v>577</v>
      </c>
      <c r="M145">
        <v>352</v>
      </c>
      <c r="N145">
        <v>376</v>
      </c>
      <c r="O145">
        <v>114</v>
      </c>
      <c r="P145">
        <f t="shared" si="15"/>
        <v>7355000</v>
      </c>
      <c r="Q145">
        <v>6809000</v>
      </c>
      <c r="R145">
        <v>546000</v>
      </c>
      <c r="S145">
        <v>168000</v>
      </c>
      <c r="T145" s="128">
        <f t="shared" si="12"/>
        <v>15051405</v>
      </c>
      <c r="U145" s="128">
        <f t="shared" si="16"/>
        <v>9606405</v>
      </c>
      <c r="V145" s="128">
        <f t="shared" si="13"/>
        <v>9606405</v>
      </c>
      <c r="W145" s="128">
        <v>100407</v>
      </c>
      <c r="X145" s="188">
        <f t="shared" si="17"/>
        <v>9.5674654157578656E-2</v>
      </c>
      <c r="Y145" s="238"/>
      <c r="AE145" s="128"/>
      <c r="AF145" s="128"/>
      <c r="AG145" s="128"/>
    </row>
    <row r="146" spans="1:33" x14ac:dyDescent="0.25">
      <c r="A146" t="s">
        <v>518</v>
      </c>
      <c r="B146" t="s">
        <v>332</v>
      </c>
      <c r="C146">
        <f t="shared" si="14"/>
        <v>5199</v>
      </c>
      <c r="D146">
        <v>3455</v>
      </c>
      <c r="E146">
        <v>1744</v>
      </c>
      <c r="F146">
        <v>655</v>
      </c>
      <c r="G146">
        <v>20</v>
      </c>
      <c r="H146">
        <v>110</v>
      </c>
      <c r="I146">
        <v>545</v>
      </c>
      <c r="J146">
        <v>3544</v>
      </c>
      <c r="K146">
        <v>3619</v>
      </c>
      <c r="L146">
        <v>258</v>
      </c>
      <c r="M146">
        <v>115</v>
      </c>
      <c r="N146">
        <v>853</v>
      </c>
      <c r="O146">
        <v>72</v>
      </c>
      <c r="P146">
        <f t="shared" si="15"/>
        <v>3396000</v>
      </c>
      <c r="Q146">
        <v>2914000</v>
      </c>
      <c r="R146">
        <v>482000</v>
      </c>
      <c r="S146">
        <v>194000</v>
      </c>
      <c r="T146" s="128">
        <f t="shared" si="12"/>
        <v>7387590</v>
      </c>
      <c r="U146" s="128">
        <f t="shared" si="16"/>
        <v>2188590</v>
      </c>
      <c r="V146" s="128">
        <f t="shared" si="13"/>
        <v>2188590</v>
      </c>
      <c r="W146" s="128">
        <v>74540</v>
      </c>
      <c r="X146" s="188">
        <f t="shared" si="17"/>
        <v>2.9361282532868259E-2</v>
      </c>
      <c r="Y146" s="238"/>
      <c r="AE146" s="128"/>
      <c r="AF146" s="128"/>
      <c r="AG146" s="128"/>
    </row>
    <row r="147" spans="1:33" x14ac:dyDescent="0.25">
      <c r="A147" t="s">
        <v>526</v>
      </c>
      <c r="B147" t="s">
        <v>222</v>
      </c>
      <c r="C147">
        <f t="shared" si="14"/>
        <v>5189</v>
      </c>
      <c r="D147">
        <v>3880</v>
      </c>
      <c r="E147">
        <v>1309</v>
      </c>
      <c r="F147">
        <v>1457</v>
      </c>
      <c r="G147">
        <v>0</v>
      </c>
      <c r="H147">
        <v>25</v>
      </c>
      <c r="I147">
        <v>232</v>
      </c>
      <c r="J147">
        <v>3888</v>
      </c>
      <c r="K147">
        <v>4850</v>
      </c>
      <c r="L147">
        <v>378</v>
      </c>
      <c r="M147">
        <v>275</v>
      </c>
      <c r="N147">
        <v>712</v>
      </c>
      <c r="O147">
        <v>116</v>
      </c>
      <c r="P147">
        <f t="shared" si="15"/>
        <v>4919000</v>
      </c>
      <c r="Q147">
        <v>4467000</v>
      </c>
      <c r="R147">
        <v>452000</v>
      </c>
      <c r="S147">
        <v>242000</v>
      </c>
      <c r="T147" s="128">
        <f t="shared" si="12"/>
        <v>10231755</v>
      </c>
      <c r="U147" s="128">
        <f t="shared" si="16"/>
        <v>5042755</v>
      </c>
      <c r="V147" s="128">
        <f t="shared" si="13"/>
        <v>5042755</v>
      </c>
      <c r="W147" s="128">
        <v>83590</v>
      </c>
      <c r="X147" s="188">
        <f t="shared" si="17"/>
        <v>6.0327252063643977E-2</v>
      </c>
      <c r="Y147" s="238"/>
      <c r="AE147" s="128"/>
      <c r="AF147" s="128"/>
      <c r="AG147" s="128"/>
    </row>
    <row r="148" spans="1:33" x14ac:dyDescent="0.25">
      <c r="A148" t="s">
        <v>524</v>
      </c>
      <c r="B148" t="s">
        <v>299</v>
      </c>
      <c r="C148">
        <f t="shared" si="14"/>
        <v>5754</v>
      </c>
      <c r="D148">
        <v>4415</v>
      </c>
      <c r="E148">
        <v>1339</v>
      </c>
      <c r="F148">
        <v>0</v>
      </c>
      <c r="G148">
        <v>0</v>
      </c>
      <c r="H148">
        <v>0</v>
      </c>
      <c r="I148">
        <v>346</v>
      </c>
      <c r="J148">
        <v>3842</v>
      </c>
      <c r="K148">
        <v>4066</v>
      </c>
      <c r="L148">
        <v>302</v>
      </c>
      <c r="M148">
        <v>63</v>
      </c>
      <c r="N148">
        <v>1318</v>
      </c>
      <c r="O148">
        <v>226</v>
      </c>
      <c r="P148">
        <f t="shared" si="15"/>
        <v>4708000</v>
      </c>
      <c r="Q148">
        <v>4200000</v>
      </c>
      <c r="R148">
        <v>508000</v>
      </c>
      <c r="S148">
        <v>301000</v>
      </c>
      <c r="T148" s="128">
        <f t="shared" si="12"/>
        <v>9936480</v>
      </c>
      <c r="U148" s="128">
        <f t="shared" si="16"/>
        <v>4182480</v>
      </c>
      <c r="V148" s="128">
        <f t="shared" si="13"/>
        <v>4182480</v>
      </c>
      <c r="W148" s="128">
        <v>61104</v>
      </c>
      <c r="X148" s="188">
        <f t="shared" si="17"/>
        <v>6.8448546739984295E-2</v>
      </c>
      <c r="Y148" s="238"/>
      <c r="AE148" s="128"/>
      <c r="AF148" s="128"/>
      <c r="AG148" s="128"/>
    </row>
    <row r="149" spans="1:33" x14ac:dyDescent="0.25">
      <c r="A149" t="s">
        <v>518</v>
      </c>
      <c r="B149" t="s">
        <v>151</v>
      </c>
      <c r="C149">
        <f t="shared" si="14"/>
        <v>12695</v>
      </c>
      <c r="D149">
        <v>7350</v>
      </c>
      <c r="E149">
        <v>5345</v>
      </c>
      <c r="F149">
        <v>1950</v>
      </c>
      <c r="G149">
        <v>148</v>
      </c>
      <c r="H149">
        <v>77</v>
      </c>
      <c r="I149">
        <v>463</v>
      </c>
      <c r="J149">
        <v>3263</v>
      </c>
      <c r="K149">
        <v>5023</v>
      </c>
      <c r="L149">
        <v>686</v>
      </c>
      <c r="M149">
        <v>684</v>
      </c>
      <c r="N149">
        <v>1248</v>
      </c>
      <c r="O149">
        <v>607</v>
      </c>
      <c r="P149">
        <f t="shared" si="15"/>
        <v>6709000</v>
      </c>
      <c r="Q149">
        <v>5548000</v>
      </c>
      <c r="R149">
        <v>1161000</v>
      </c>
      <c r="S149">
        <v>284000</v>
      </c>
      <c r="T149" s="128">
        <f t="shared" si="12"/>
        <v>14992350</v>
      </c>
      <c r="U149" s="128">
        <f t="shared" si="16"/>
        <v>2297350</v>
      </c>
      <c r="V149" s="128">
        <f t="shared" si="13"/>
        <v>2297350</v>
      </c>
      <c r="W149" s="128">
        <v>158870</v>
      </c>
      <c r="X149" s="188">
        <f t="shared" si="17"/>
        <v>1.4460565242021779E-2</v>
      </c>
      <c r="Y149" s="238"/>
      <c r="AE149" s="128"/>
      <c r="AF149" s="128"/>
      <c r="AG149" s="128"/>
    </row>
    <row r="150" spans="1:33" x14ac:dyDescent="0.25">
      <c r="A150" t="s">
        <v>528</v>
      </c>
      <c r="B150" t="s">
        <v>333</v>
      </c>
      <c r="C150">
        <f t="shared" si="14"/>
        <v>2588</v>
      </c>
      <c r="D150">
        <v>1512</v>
      </c>
      <c r="E150">
        <v>1076</v>
      </c>
      <c r="F150">
        <v>0</v>
      </c>
      <c r="G150">
        <v>0</v>
      </c>
      <c r="H150">
        <v>175</v>
      </c>
      <c r="I150">
        <v>143</v>
      </c>
      <c r="J150">
        <v>1572</v>
      </c>
      <c r="K150">
        <v>1489</v>
      </c>
      <c r="L150">
        <v>150</v>
      </c>
      <c r="M150">
        <v>229</v>
      </c>
      <c r="N150">
        <v>503</v>
      </c>
      <c r="O150">
        <v>29</v>
      </c>
      <c r="P150">
        <f t="shared" si="15"/>
        <v>1709000</v>
      </c>
      <c r="Q150">
        <v>1455000</v>
      </c>
      <c r="R150">
        <v>254000</v>
      </c>
      <c r="S150">
        <v>193000</v>
      </c>
      <c r="T150" s="128">
        <f t="shared" si="12"/>
        <v>3739515</v>
      </c>
      <c r="U150" s="128">
        <f t="shared" si="16"/>
        <v>1151515</v>
      </c>
      <c r="V150" s="128">
        <f t="shared" si="13"/>
        <v>1151515</v>
      </c>
      <c r="W150" s="128">
        <v>34162</v>
      </c>
      <c r="X150" s="188">
        <f t="shared" si="17"/>
        <v>3.3707481997541131E-2</v>
      </c>
      <c r="Y150" s="238"/>
      <c r="AE150" s="128"/>
      <c r="AF150" s="128"/>
      <c r="AG150" s="128"/>
    </row>
    <row r="151" spans="1:33" x14ac:dyDescent="0.25">
      <c r="A151" t="s">
        <v>524</v>
      </c>
      <c r="B151" t="s">
        <v>300</v>
      </c>
      <c r="C151">
        <f t="shared" si="14"/>
        <v>15432</v>
      </c>
      <c r="D151">
        <v>9782</v>
      </c>
      <c r="E151">
        <v>5650</v>
      </c>
      <c r="F151">
        <v>4207</v>
      </c>
      <c r="G151">
        <v>91</v>
      </c>
      <c r="H151">
        <v>563</v>
      </c>
      <c r="I151">
        <v>475</v>
      </c>
      <c r="J151">
        <v>4415</v>
      </c>
      <c r="K151">
        <v>8512</v>
      </c>
      <c r="L151">
        <v>1180</v>
      </c>
      <c r="M151">
        <v>309</v>
      </c>
      <c r="N151">
        <v>1967</v>
      </c>
      <c r="O151">
        <v>268</v>
      </c>
      <c r="P151">
        <f t="shared" si="15"/>
        <v>10347000</v>
      </c>
      <c r="Q151">
        <v>9152000</v>
      </c>
      <c r="R151">
        <v>1195000</v>
      </c>
      <c r="S151">
        <v>249000</v>
      </c>
      <c r="T151" s="128">
        <f t="shared" si="12"/>
        <v>21987510</v>
      </c>
      <c r="U151" s="128">
        <f t="shared" si="16"/>
        <v>6555510</v>
      </c>
      <c r="V151" s="128">
        <f t="shared" si="13"/>
        <v>6555510</v>
      </c>
      <c r="W151" s="128">
        <v>173339</v>
      </c>
      <c r="X151" s="188">
        <f t="shared" si="17"/>
        <v>3.781901360917047E-2</v>
      </c>
      <c r="Y151" s="238"/>
      <c r="AE151" s="128"/>
      <c r="AF151" s="128"/>
      <c r="AG151" s="128"/>
    </row>
    <row r="152" spans="1:33" x14ac:dyDescent="0.25">
      <c r="A152" t="s">
        <v>521</v>
      </c>
      <c r="B152" t="s">
        <v>409</v>
      </c>
      <c r="C152">
        <f t="shared" si="14"/>
        <v>13528</v>
      </c>
      <c r="D152">
        <v>7733</v>
      </c>
      <c r="E152">
        <v>5795</v>
      </c>
      <c r="F152">
        <v>674</v>
      </c>
      <c r="G152">
        <v>83</v>
      </c>
      <c r="H152">
        <v>171</v>
      </c>
      <c r="I152">
        <v>497</v>
      </c>
      <c r="J152">
        <v>5377</v>
      </c>
      <c r="K152">
        <v>6140</v>
      </c>
      <c r="L152">
        <v>443</v>
      </c>
      <c r="M152">
        <v>45</v>
      </c>
      <c r="N152">
        <v>337</v>
      </c>
      <c r="O152">
        <v>301</v>
      </c>
      <c r="P152">
        <f t="shared" si="15"/>
        <v>4597000</v>
      </c>
      <c r="Q152">
        <v>3880000</v>
      </c>
      <c r="R152">
        <v>717000</v>
      </c>
      <c r="S152">
        <v>263000</v>
      </c>
      <c r="T152" s="128">
        <f t="shared" si="12"/>
        <v>10123170</v>
      </c>
      <c r="U152" s="128">
        <f t="shared" si="16"/>
        <v>-3404830</v>
      </c>
      <c r="V152" s="128">
        <f t="shared" si="13"/>
        <v>0</v>
      </c>
      <c r="W152" s="128">
        <v>181147</v>
      </c>
      <c r="X152" s="188">
        <f t="shared" si="17"/>
        <v>-1.8795950250349164E-2</v>
      </c>
      <c r="Y152" s="238"/>
      <c r="AE152" s="128"/>
      <c r="AF152" s="128"/>
      <c r="AG152" s="128"/>
    </row>
    <row r="153" spans="1:33" x14ac:dyDescent="0.25">
      <c r="A153" t="s">
        <v>522</v>
      </c>
      <c r="B153" t="s">
        <v>262</v>
      </c>
      <c r="C153">
        <f t="shared" si="14"/>
        <v>3592</v>
      </c>
      <c r="D153">
        <v>2461</v>
      </c>
      <c r="E153">
        <v>1131</v>
      </c>
      <c r="F153">
        <v>0</v>
      </c>
      <c r="G153">
        <v>0</v>
      </c>
      <c r="H153">
        <v>118</v>
      </c>
      <c r="I153">
        <v>160</v>
      </c>
      <c r="J153">
        <v>1100</v>
      </c>
      <c r="K153">
        <v>3404</v>
      </c>
      <c r="L153">
        <v>175</v>
      </c>
      <c r="M153">
        <v>35</v>
      </c>
      <c r="N153">
        <v>521</v>
      </c>
      <c r="O153">
        <v>25</v>
      </c>
      <c r="P153">
        <f t="shared" si="15"/>
        <v>3232000</v>
      </c>
      <c r="Q153">
        <v>2778000</v>
      </c>
      <c r="R153">
        <v>454000</v>
      </c>
      <c r="S153">
        <v>202000</v>
      </c>
      <c r="T153" s="128">
        <f t="shared" si="12"/>
        <v>7021830</v>
      </c>
      <c r="U153" s="128">
        <f t="shared" si="16"/>
        <v>3429830</v>
      </c>
      <c r="V153" s="128">
        <f t="shared" si="13"/>
        <v>3429830</v>
      </c>
      <c r="W153" s="128">
        <v>66249</v>
      </c>
      <c r="X153" s="188">
        <f t="shared" si="17"/>
        <v>5.1771800329061569E-2</v>
      </c>
      <c r="Y153" s="238"/>
      <c r="AE153" s="128"/>
      <c r="AF153" s="128"/>
      <c r="AG153" s="128"/>
    </row>
    <row r="154" spans="1:33" x14ac:dyDescent="0.25">
      <c r="A154" t="s">
        <v>528</v>
      </c>
      <c r="B154" t="s">
        <v>301</v>
      </c>
      <c r="C154">
        <f t="shared" si="14"/>
        <v>6007</v>
      </c>
      <c r="D154">
        <v>3796</v>
      </c>
      <c r="E154">
        <v>2211</v>
      </c>
      <c r="F154">
        <v>13</v>
      </c>
      <c r="G154">
        <v>0</v>
      </c>
      <c r="H154">
        <v>0</v>
      </c>
      <c r="I154">
        <v>0</v>
      </c>
      <c r="J154">
        <v>3647</v>
      </c>
      <c r="K154">
        <v>4808</v>
      </c>
      <c r="L154">
        <v>286</v>
      </c>
      <c r="M154">
        <v>539</v>
      </c>
      <c r="N154">
        <v>740</v>
      </c>
      <c r="O154">
        <v>135</v>
      </c>
      <c r="P154">
        <f t="shared" si="15"/>
        <v>4098000</v>
      </c>
      <c r="Q154">
        <v>3625000</v>
      </c>
      <c r="R154">
        <v>473000</v>
      </c>
      <c r="S154">
        <v>231000</v>
      </c>
      <c r="T154" s="128">
        <f t="shared" si="12"/>
        <v>8707755</v>
      </c>
      <c r="U154" s="128">
        <f t="shared" si="16"/>
        <v>2700755</v>
      </c>
      <c r="V154" s="128">
        <f t="shared" si="13"/>
        <v>2700755</v>
      </c>
      <c r="W154" s="128">
        <v>76477</v>
      </c>
      <c r="X154" s="188">
        <f t="shared" si="17"/>
        <v>3.5314604390862613E-2</v>
      </c>
      <c r="Y154" s="238"/>
      <c r="AE154" s="128"/>
      <c r="AF154" s="128"/>
      <c r="AG154" s="128"/>
    </row>
    <row r="155" spans="1:33" x14ac:dyDescent="0.25">
      <c r="A155" t="s">
        <v>521</v>
      </c>
      <c r="B155" t="s">
        <v>478</v>
      </c>
      <c r="C155">
        <f t="shared" si="14"/>
        <v>12068</v>
      </c>
      <c r="D155">
        <v>7631</v>
      </c>
      <c r="E155">
        <v>4437</v>
      </c>
      <c r="F155">
        <v>0</v>
      </c>
      <c r="G155">
        <v>0</v>
      </c>
      <c r="H155">
        <v>264</v>
      </c>
      <c r="I155">
        <v>57</v>
      </c>
      <c r="J155">
        <v>6089</v>
      </c>
      <c r="K155">
        <v>6500</v>
      </c>
      <c r="L155">
        <v>625</v>
      </c>
      <c r="M155">
        <v>1013</v>
      </c>
      <c r="N155">
        <v>2015</v>
      </c>
      <c r="O155">
        <v>367</v>
      </c>
      <c r="P155">
        <f t="shared" si="15"/>
        <v>8070000</v>
      </c>
      <c r="Q155">
        <v>7020000</v>
      </c>
      <c r="R155">
        <v>1050000</v>
      </c>
      <c r="S155">
        <v>265000</v>
      </c>
      <c r="T155" s="128">
        <f t="shared" si="12"/>
        <v>17373600</v>
      </c>
      <c r="U155" s="128">
        <f t="shared" si="16"/>
        <v>5305600</v>
      </c>
      <c r="V155" s="128">
        <f t="shared" si="13"/>
        <v>5305600</v>
      </c>
      <c r="W155" s="128">
        <v>143315</v>
      </c>
      <c r="X155" s="188">
        <f t="shared" si="17"/>
        <v>3.7020549140006277E-2</v>
      </c>
      <c r="Y155" s="238"/>
      <c r="AE155" s="128"/>
      <c r="AF155" s="128"/>
      <c r="AG155" s="128"/>
    </row>
    <row r="156" spans="1:33" x14ac:dyDescent="0.25">
      <c r="A156" t="s">
        <v>526</v>
      </c>
      <c r="B156" t="s">
        <v>375</v>
      </c>
      <c r="C156">
        <f t="shared" si="14"/>
        <v>5733</v>
      </c>
      <c r="D156">
        <v>3646</v>
      </c>
      <c r="E156">
        <v>2087</v>
      </c>
      <c r="F156">
        <v>0</v>
      </c>
      <c r="G156">
        <v>0</v>
      </c>
      <c r="H156">
        <v>0</v>
      </c>
      <c r="I156">
        <v>27</v>
      </c>
      <c r="J156">
        <v>2231</v>
      </c>
      <c r="K156">
        <v>2087</v>
      </c>
      <c r="L156">
        <v>217</v>
      </c>
      <c r="M156">
        <v>0</v>
      </c>
      <c r="N156">
        <v>936</v>
      </c>
      <c r="O156">
        <v>51</v>
      </c>
      <c r="P156">
        <f t="shared" si="15"/>
        <v>3396000</v>
      </c>
      <c r="Q156">
        <v>2902000</v>
      </c>
      <c r="R156">
        <v>494000</v>
      </c>
      <c r="S156">
        <v>135000</v>
      </c>
      <c r="T156" s="128">
        <f t="shared" si="12"/>
        <v>7410450</v>
      </c>
      <c r="U156" s="128">
        <f t="shared" si="16"/>
        <v>1677450</v>
      </c>
      <c r="V156" s="128">
        <f t="shared" si="13"/>
        <v>1677450</v>
      </c>
      <c r="W156" s="128">
        <v>60827</v>
      </c>
      <c r="X156" s="188">
        <f t="shared" si="17"/>
        <v>2.7577391618853468E-2</v>
      </c>
      <c r="Y156" s="238"/>
      <c r="AE156" s="128"/>
      <c r="AF156" s="128"/>
      <c r="AG156" s="128"/>
    </row>
    <row r="157" spans="1:33" s="207" customFormat="1" x14ac:dyDescent="0.25">
      <c r="A157" s="207" t="s">
        <v>518</v>
      </c>
      <c r="B157" s="207" t="s">
        <v>868</v>
      </c>
      <c r="C157">
        <f t="shared" si="14"/>
        <v>23045</v>
      </c>
      <c r="D157" s="207">
        <v>16757</v>
      </c>
      <c r="E157" s="207">
        <v>6288</v>
      </c>
      <c r="F157" s="207">
        <v>30</v>
      </c>
      <c r="G157" s="207">
        <v>0</v>
      </c>
      <c r="H157" s="207">
        <v>776</v>
      </c>
      <c r="I157" s="207">
        <v>359</v>
      </c>
      <c r="J157" s="207">
        <v>8633</v>
      </c>
      <c r="K157" s="207">
        <v>6498</v>
      </c>
      <c r="L157" s="207">
        <v>1126</v>
      </c>
      <c r="M157" s="207">
        <v>315</v>
      </c>
      <c r="N157" s="207">
        <v>3230</v>
      </c>
      <c r="O157" s="207">
        <v>1089</v>
      </c>
      <c r="P157">
        <f t="shared" si="15"/>
        <v>12435000</v>
      </c>
      <c r="Q157" s="207">
        <v>10221000</v>
      </c>
      <c r="R157" s="207">
        <v>2214000</v>
      </c>
      <c r="S157" s="207">
        <v>242000</v>
      </c>
      <c r="T157" s="242">
        <f t="shared" si="12"/>
        <v>27906345</v>
      </c>
      <c r="U157" s="128">
        <f t="shared" si="16"/>
        <v>4861345</v>
      </c>
      <c r="V157" s="242">
        <f t="shared" si="13"/>
        <v>4861345</v>
      </c>
      <c r="W157" s="242">
        <v>242548</v>
      </c>
      <c r="X157" s="341">
        <f t="shared" si="17"/>
        <v>2.0042816267295545E-2</v>
      </c>
      <c r="Y157" s="300"/>
      <c r="AE157" s="242"/>
      <c r="AF157" s="242"/>
      <c r="AG157" s="242"/>
    </row>
    <row r="158" spans="1:33" x14ac:dyDescent="0.25">
      <c r="A158" t="s">
        <v>521</v>
      </c>
      <c r="B158" t="s">
        <v>410</v>
      </c>
      <c r="C158">
        <f t="shared" si="14"/>
        <v>7769</v>
      </c>
      <c r="D158">
        <v>5760</v>
      </c>
      <c r="E158">
        <v>2009</v>
      </c>
      <c r="F158">
        <v>17</v>
      </c>
      <c r="G158">
        <v>29</v>
      </c>
      <c r="H158">
        <v>108</v>
      </c>
      <c r="I158">
        <v>406</v>
      </c>
      <c r="J158">
        <v>4956</v>
      </c>
      <c r="K158">
        <v>4625</v>
      </c>
      <c r="L158">
        <v>340</v>
      </c>
      <c r="M158">
        <v>20</v>
      </c>
      <c r="N158">
        <v>283</v>
      </c>
      <c r="O158">
        <v>44</v>
      </c>
      <c r="P158">
        <f t="shared" si="15"/>
        <v>3941000</v>
      </c>
      <c r="Q158">
        <v>3559000</v>
      </c>
      <c r="R158">
        <v>382000</v>
      </c>
      <c r="S158">
        <v>228000</v>
      </c>
      <c r="T158" s="128">
        <f t="shared" si="12"/>
        <v>8235315</v>
      </c>
      <c r="U158" s="128">
        <f t="shared" si="16"/>
        <v>466315</v>
      </c>
      <c r="V158" s="128">
        <f t="shared" si="13"/>
        <v>466315</v>
      </c>
      <c r="W158" s="128">
        <v>121312</v>
      </c>
      <c r="X158" s="188">
        <f t="shared" si="17"/>
        <v>3.8439313505671327E-3</v>
      </c>
      <c r="Y158" s="238"/>
      <c r="AE158" s="128"/>
      <c r="AF158" s="128"/>
      <c r="AG158" s="128"/>
    </row>
    <row r="159" spans="1:33" x14ac:dyDescent="0.25">
      <c r="A159" t="s">
        <v>521</v>
      </c>
      <c r="B159" t="s">
        <v>263</v>
      </c>
      <c r="C159">
        <f t="shared" si="14"/>
        <v>3089</v>
      </c>
      <c r="D159">
        <v>1880</v>
      </c>
      <c r="E159">
        <v>1209</v>
      </c>
      <c r="F159">
        <v>0</v>
      </c>
      <c r="G159">
        <v>9</v>
      </c>
      <c r="H159">
        <v>71</v>
      </c>
      <c r="I159">
        <v>3</v>
      </c>
      <c r="J159">
        <v>1172</v>
      </c>
      <c r="K159">
        <v>1863</v>
      </c>
      <c r="L159">
        <v>151</v>
      </c>
      <c r="M159">
        <v>151</v>
      </c>
      <c r="N159">
        <v>385</v>
      </c>
      <c r="O159">
        <v>117</v>
      </c>
      <c r="P159">
        <f t="shared" si="15"/>
        <v>2332000</v>
      </c>
      <c r="Q159">
        <v>2198000</v>
      </c>
      <c r="R159">
        <v>134000</v>
      </c>
      <c r="S159">
        <v>242000</v>
      </c>
      <c r="T159" s="128">
        <f t="shared" si="12"/>
        <v>4697730</v>
      </c>
      <c r="U159" s="128">
        <f t="shared" si="16"/>
        <v>1608730</v>
      </c>
      <c r="V159" s="128">
        <f t="shared" si="13"/>
        <v>1608730</v>
      </c>
      <c r="W159" s="128">
        <v>25924</v>
      </c>
      <c r="X159" s="188">
        <f t="shared" si="17"/>
        <v>6.205562413207838E-2</v>
      </c>
      <c r="Y159" s="238"/>
      <c r="AE159" s="128"/>
      <c r="AF159" s="128"/>
      <c r="AG159" s="128"/>
    </row>
    <row r="160" spans="1:33" s="86" customFormat="1" x14ac:dyDescent="0.25">
      <c r="A160" s="86" t="s">
        <v>517</v>
      </c>
      <c r="B160" s="86" t="s">
        <v>302</v>
      </c>
      <c r="C160">
        <f t="shared" si="14"/>
        <v>17037</v>
      </c>
      <c r="D160" s="86">
        <v>8954</v>
      </c>
      <c r="E160" s="86">
        <v>8083</v>
      </c>
      <c r="F160" s="86">
        <v>0</v>
      </c>
      <c r="G160" s="86">
        <v>45</v>
      </c>
      <c r="H160" s="86">
        <v>0</v>
      </c>
      <c r="I160" s="86">
        <v>404</v>
      </c>
      <c r="J160" s="86">
        <v>6825</v>
      </c>
      <c r="K160" s="86">
        <v>7175</v>
      </c>
      <c r="L160" s="86">
        <v>722</v>
      </c>
      <c r="M160" s="86">
        <v>50</v>
      </c>
      <c r="N160" s="86">
        <v>2465</v>
      </c>
      <c r="O160" s="86">
        <v>214</v>
      </c>
      <c r="P160">
        <f t="shared" si="15"/>
        <v>11134000</v>
      </c>
      <c r="Q160" s="86">
        <v>9242000</v>
      </c>
      <c r="R160" s="86">
        <v>1892000</v>
      </c>
      <c r="S160" s="86">
        <v>250000</v>
      </c>
      <c r="T160" s="243">
        <f t="shared" si="12"/>
        <v>24814530</v>
      </c>
      <c r="U160" s="128">
        <f t="shared" si="16"/>
        <v>7777530</v>
      </c>
      <c r="V160" s="243">
        <f t="shared" si="13"/>
        <v>7777530</v>
      </c>
      <c r="W160" s="243">
        <v>178485</v>
      </c>
      <c r="X160" s="273">
        <f t="shared" si="17"/>
        <v>4.3575258425077736E-2</v>
      </c>
      <c r="Y160" s="301"/>
      <c r="AE160" s="243"/>
      <c r="AF160" s="243"/>
      <c r="AG160" s="243"/>
    </row>
    <row r="161" spans="1:33" x14ac:dyDescent="0.25">
      <c r="A161" t="s">
        <v>517</v>
      </c>
      <c r="B161" t="s">
        <v>265</v>
      </c>
      <c r="C161">
        <f t="shared" si="14"/>
        <v>4853</v>
      </c>
      <c r="D161">
        <v>3986</v>
      </c>
      <c r="E161">
        <v>867</v>
      </c>
      <c r="F161">
        <v>9</v>
      </c>
      <c r="G161">
        <v>0</v>
      </c>
      <c r="H161">
        <v>0</v>
      </c>
      <c r="I161">
        <v>74</v>
      </c>
      <c r="J161">
        <v>1085</v>
      </c>
      <c r="K161">
        <v>1557</v>
      </c>
      <c r="L161">
        <v>145</v>
      </c>
      <c r="M161">
        <v>153</v>
      </c>
      <c r="N161">
        <v>742</v>
      </c>
      <c r="O161">
        <v>117</v>
      </c>
      <c r="P161">
        <f t="shared" si="15"/>
        <v>4170000</v>
      </c>
      <c r="Q161">
        <v>3896000</v>
      </c>
      <c r="R161">
        <v>274000</v>
      </c>
      <c r="S161">
        <v>288000</v>
      </c>
      <c r="T161" s="128">
        <f t="shared" si="12"/>
        <v>8465820</v>
      </c>
      <c r="U161" s="128">
        <f t="shared" si="16"/>
        <v>3612820</v>
      </c>
      <c r="V161" s="128">
        <f t="shared" si="13"/>
        <v>3612820</v>
      </c>
      <c r="W161" s="128">
        <v>26018</v>
      </c>
      <c r="X161" s="188">
        <f t="shared" si="17"/>
        <v>0.13885848258897687</v>
      </c>
      <c r="Y161" s="238"/>
      <c r="AE161" s="128"/>
      <c r="AF161" s="128"/>
      <c r="AG161" s="128"/>
    </row>
    <row r="162" spans="1:33" x14ac:dyDescent="0.25">
      <c r="A162" t="s">
        <v>526</v>
      </c>
      <c r="B162" t="s">
        <v>132</v>
      </c>
      <c r="C162">
        <f t="shared" si="14"/>
        <v>35063</v>
      </c>
      <c r="D162">
        <v>15636</v>
      </c>
      <c r="E162">
        <v>19427</v>
      </c>
      <c r="F162">
        <v>3515</v>
      </c>
      <c r="G162">
        <v>282</v>
      </c>
      <c r="H162">
        <v>707</v>
      </c>
      <c r="I162">
        <v>567</v>
      </c>
      <c r="J162">
        <v>12354</v>
      </c>
      <c r="K162">
        <v>18373</v>
      </c>
      <c r="L162">
        <v>1608</v>
      </c>
      <c r="M162">
        <v>312</v>
      </c>
      <c r="N162">
        <v>4191</v>
      </c>
      <c r="O162">
        <v>663</v>
      </c>
      <c r="P162">
        <f t="shared" si="15"/>
        <v>14242000</v>
      </c>
      <c r="Q162">
        <v>11461000</v>
      </c>
      <c r="R162">
        <v>2781000</v>
      </c>
      <c r="S162">
        <v>161000</v>
      </c>
      <c r="T162" s="128">
        <f t="shared" si="12"/>
        <v>32428815</v>
      </c>
      <c r="U162" s="128">
        <f t="shared" si="16"/>
        <v>-2634185</v>
      </c>
      <c r="V162" s="128">
        <f t="shared" si="13"/>
        <v>0</v>
      </c>
      <c r="W162" s="128">
        <v>584924</v>
      </c>
      <c r="X162" s="188">
        <f t="shared" si="17"/>
        <v>-4.5034654074717403E-3</v>
      </c>
      <c r="Y162" s="238"/>
      <c r="AE162" s="128"/>
      <c r="AF162" s="128"/>
      <c r="AG162" s="128"/>
    </row>
    <row r="163" spans="1:33" x14ac:dyDescent="0.25">
      <c r="A163" t="s">
        <v>518</v>
      </c>
      <c r="B163" t="s">
        <v>303</v>
      </c>
      <c r="C163">
        <f t="shared" si="14"/>
        <v>58764</v>
      </c>
      <c r="D163">
        <v>25039</v>
      </c>
      <c r="E163">
        <v>33725</v>
      </c>
      <c r="F163">
        <v>15105</v>
      </c>
      <c r="G163">
        <v>762</v>
      </c>
      <c r="H163">
        <v>1177</v>
      </c>
      <c r="I163">
        <v>0</v>
      </c>
      <c r="J163">
        <v>11109</v>
      </c>
      <c r="K163">
        <v>18807</v>
      </c>
      <c r="L163">
        <v>1503</v>
      </c>
      <c r="M163">
        <v>0</v>
      </c>
      <c r="N163">
        <v>3556</v>
      </c>
      <c r="O163">
        <v>1416</v>
      </c>
      <c r="P163">
        <f t="shared" si="15"/>
        <v>22370000</v>
      </c>
      <c r="Q163">
        <v>19065000</v>
      </c>
      <c r="R163">
        <v>3305000</v>
      </c>
      <c r="S163">
        <v>351000</v>
      </c>
      <c r="T163" s="128">
        <f t="shared" si="12"/>
        <v>48910875</v>
      </c>
      <c r="U163" s="128">
        <f t="shared" si="16"/>
        <v>-9853125</v>
      </c>
      <c r="V163" s="128">
        <f t="shared" si="13"/>
        <v>0</v>
      </c>
      <c r="W163" s="128">
        <v>526416</v>
      </c>
      <c r="X163" s="188">
        <f t="shared" si="17"/>
        <v>-1.8717373712045227E-2</v>
      </c>
      <c r="Y163" s="238"/>
      <c r="AE163" s="128"/>
      <c r="AF163" s="128"/>
      <c r="AG163" s="128"/>
    </row>
    <row r="164" spans="1:33" x14ac:dyDescent="0.25">
      <c r="A164" t="s">
        <v>518</v>
      </c>
      <c r="B164" t="s">
        <v>304</v>
      </c>
      <c r="C164">
        <f t="shared" si="14"/>
        <v>7667</v>
      </c>
      <c r="D164">
        <v>5456</v>
      </c>
      <c r="E164">
        <v>2211</v>
      </c>
      <c r="F164">
        <v>22</v>
      </c>
      <c r="G164">
        <v>24</v>
      </c>
      <c r="H164">
        <v>70</v>
      </c>
      <c r="I164">
        <v>0</v>
      </c>
      <c r="J164">
        <v>1835</v>
      </c>
      <c r="K164">
        <v>4952</v>
      </c>
      <c r="L164">
        <v>282</v>
      </c>
      <c r="M164">
        <v>291</v>
      </c>
      <c r="N164">
        <v>293</v>
      </c>
      <c r="O164">
        <v>29</v>
      </c>
      <c r="P164">
        <f t="shared" si="15"/>
        <v>4591000</v>
      </c>
      <c r="Q164">
        <v>4158000</v>
      </c>
      <c r="R164">
        <v>433000</v>
      </c>
      <c r="S164">
        <v>253000</v>
      </c>
      <c r="T164" s="128">
        <f t="shared" si="12"/>
        <v>9570720</v>
      </c>
      <c r="U164" s="128">
        <f t="shared" si="16"/>
        <v>1903720</v>
      </c>
      <c r="V164" s="128">
        <f t="shared" si="13"/>
        <v>1903720</v>
      </c>
      <c r="W164" s="128">
        <v>67258</v>
      </c>
      <c r="X164" s="188">
        <f t="shared" si="17"/>
        <v>2.8304736982961133E-2</v>
      </c>
      <c r="Y164" s="238"/>
      <c r="AE164" s="128"/>
      <c r="AF164" s="128"/>
      <c r="AG164" s="128"/>
    </row>
    <row r="165" spans="1:33" x14ac:dyDescent="0.25">
      <c r="A165" t="s">
        <v>521</v>
      </c>
      <c r="B165" t="s">
        <v>305</v>
      </c>
      <c r="C165">
        <f t="shared" si="14"/>
        <v>14255</v>
      </c>
      <c r="D165">
        <v>9171</v>
      </c>
      <c r="E165">
        <v>5084</v>
      </c>
      <c r="F165">
        <v>308</v>
      </c>
      <c r="G165">
        <v>0</v>
      </c>
      <c r="H165">
        <v>379</v>
      </c>
      <c r="I165">
        <v>530</v>
      </c>
      <c r="J165">
        <v>7247</v>
      </c>
      <c r="K165">
        <v>12797</v>
      </c>
      <c r="L165">
        <v>1162</v>
      </c>
      <c r="M165">
        <v>897</v>
      </c>
      <c r="N165">
        <v>2092</v>
      </c>
      <c r="O165">
        <v>239</v>
      </c>
      <c r="P165">
        <f t="shared" si="15"/>
        <v>12935000</v>
      </c>
      <c r="Q165">
        <v>11791000</v>
      </c>
      <c r="R165">
        <v>1144000</v>
      </c>
      <c r="S165">
        <v>287000</v>
      </c>
      <c r="T165" s="128">
        <f t="shared" si="12"/>
        <v>26820495</v>
      </c>
      <c r="U165" s="128">
        <f t="shared" si="16"/>
        <v>12565495</v>
      </c>
      <c r="V165" s="128">
        <f t="shared" si="13"/>
        <v>12565495</v>
      </c>
      <c r="W165" s="128">
        <v>229929</v>
      </c>
      <c r="X165" s="188">
        <f t="shared" si="17"/>
        <v>5.4649457006293249E-2</v>
      </c>
      <c r="Y165" s="238"/>
      <c r="AE165" s="128"/>
      <c r="AF165" s="128"/>
      <c r="AG165" s="128"/>
    </row>
    <row r="166" spans="1:33" x14ac:dyDescent="0.25">
      <c r="A166" t="s">
        <v>518</v>
      </c>
      <c r="B166" t="s">
        <v>431</v>
      </c>
      <c r="C166">
        <f t="shared" si="14"/>
        <v>26551</v>
      </c>
      <c r="D166">
        <v>12131</v>
      </c>
      <c r="E166">
        <v>14420</v>
      </c>
      <c r="F166">
        <v>2250</v>
      </c>
      <c r="G166">
        <v>0</v>
      </c>
      <c r="H166">
        <v>300</v>
      </c>
      <c r="I166">
        <v>460</v>
      </c>
      <c r="J166">
        <v>6651</v>
      </c>
      <c r="K166">
        <v>8967</v>
      </c>
      <c r="L166">
        <v>963</v>
      </c>
      <c r="M166">
        <v>349</v>
      </c>
      <c r="N166">
        <v>1500</v>
      </c>
      <c r="O166">
        <v>323</v>
      </c>
      <c r="P166">
        <f t="shared" si="15"/>
        <v>9527000</v>
      </c>
      <c r="Q166">
        <v>7620000</v>
      </c>
      <c r="R166">
        <v>1907000</v>
      </c>
      <c r="T166" s="128">
        <f t="shared" si="12"/>
        <v>21781770</v>
      </c>
      <c r="U166" s="128">
        <f t="shared" si="16"/>
        <v>-4769230</v>
      </c>
      <c r="V166" s="128">
        <f t="shared" si="13"/>
        <v>0</v>
      </c>
      <c r="W166" s="128">
        <v>291483</v>
      </c>
      <c r="X166" s="188">
        <f t="shared" si="17"/>
        <v>-1.6361949067355559E-2</v>
      </c>
      <c r="Y166" s="238"/>
      <c r="AE166" s="128"/>
      <c r="AF166" s="128"/>
      <c r="AG166" s="128"/>
    </row>
    <row r="167" spans="1:33" x14ac:dyDescent="0.25">
      <c r="A167" t="s">
        <v>520</v>
      </c>
      <c r="B167" t="s">
        <v>411</v>
      </c>
      <c r="C167">
        <f t="shared" si="14"/>
        <v>6757</v>
      </c>
      <c r="D167">
        <v>4967</v>
      </c>
      <c r="E167">
        <v>1790</v>
      </c>
      <c r="F167">
        <v>0</v>
      </c>
      <c r="G167">
        <v>0</v>
      </c>
      <c r="H167">
        <v>975</v>
      </c>
      <c r="I167">
        <v>306</v>
      </c>
      <c r="J167">
        <v>4794</v>
      </c>
      <c r="K167">
        <v>3545</v>
      </c>
      <c r="L167">
        <v>274</v>
      </c>
      <c r="M167">
        <v>7</v>
      </c>
      <c r="N167">
        <v>743</v>
      </c>
      <c r="O167">
        <v>23</v>
      </c>
      <c r="P167">
        <f t="shared" si="15"/>
        <v>4923000</v>
      </c>
      <c r="Q167">
        <v>4195000</v>
      </c>
      <c r="R167">
        <v>728000</v>
      </c>
      <c r="S167">
        <v>143000</v>
      </c>
      <c r="T167" s="128">
        <f t="shared" si="12"/>
        <v>10765155</v>
      </c>
      <c r="U167" s="128">
        <f t="shared" si="16"/>
        <v>4008155</v>
      </c>
      <c r="V167" s="128">
        <f t="shared" si="13"/>
        <v>4008155</v>
      </c>
      <c r="W167" s="128">
        <v>82817</v>
      </c>
      <c r="X167" s="188">
        <f t="shared" si="17"/>
        <v>4.8397732349638359E-2</v>
      </c>
      <c r="Y167" s="238"/>
      <c r="AE167" s="128"/>
      <c r="AF167" s="128"/>
      <c r="AG167" s="128"/>
    </row>
    <row r="168" spans="1:33" x14ac:dyDescent="0.25">
      <c r="A168" t="s">
        <v>521</v>
      </c>
      <c r="B168" t="s">
        <v>223</v>
      </c>
      <c r="C168">
        <f t="shared" si="14"/>
        <v>8518</v>
      </c>
      <c r="D168">
        <v>5084</v>
      </c>
      <c r="E168">
        <v>3434</v>
      </c>
      <c r="F168">
        <v>11</v>
      </c>
      <c r="G168">
        <v>30</v>
      </c>
      <c r="H168">
        <v>143</v>
      </c>
      <c r="I168">
        <v>0</v>
      </c>
      <c r="J168">
        <v>1944</v>
      </c>
      <c r="K168">
        <v>3063</v>
      </c>
      <c r="L168">
        <v>321</v>
      </c>
      <c r="M168">
        <v>36</v>
      </c>
      <c r="N168">
        <v>484</v>
      </c>
      <c r="O168">
        <v>71</v>
      </c>
      <c r="P168">
        <f t="shared" si="15"/>
        <v>5346000</v>
      </c>
      <c r="Q168">
        <v>4740000</v>
      </c>
      <c r="R168">
        <v>606000</v>
      </c>
      <c r="S168">
        <v>234000</v>
      </c>
      <c r="T168" s="128">
        <f t="shared" si="12"/>
        <v>11338560</v>
      </c>
      <c r="U168" s="128">
        <f t="shared" si="16"/>
        <v>2820560</v>
      </c>
      <c r="V168" s="128">
        <f t="shared" si="13"/>
        <v>2820560</v>
      </c>
      <c r="W168" s="128">
        <v>62212</v>
      </c>
      <c r="X168" s="188">
        <f t="shared" si="17"/>
        <v>4.5337876936925349E-2</v>
      </c>
      <c r="Y168" s="238"/>
      <c r="AE168" s="128"/>
      <c r="AF168" s="128"/>
      <c r="AG168" s="128"/>
    </row>
    <row r="169" spans="1:33" x14ac:dyDescent="0.25">
      <c r="A169" t="s">
        <v>521</v>
      </c>
      <c r="B169" t="s">
        <v>187</v>
      </c>
      <c r="C169">
        <f t="shared" si="14"/>
        <v>12740</v>
      </c>
      <c r="D169">
        <v>9511</v>
      </c>
      <c r="E169">
        <v>3229</v>
      </c>
      <c r="F169">
        <v>0</v>
      </c>
      <c r="G169">
        <v>0</v>
      </c>
      <c r="H169">
        <v>93</v>
      </c>
      <c r="I169">
        <v>411</v>
      </c>
      <c r="J169">
        <v>4885</v>
      </c>
      <c r="K169">
        <v>4859</v>
      </c>
      <c r="L169">
        <v>558</v>
      </c>
      <c r="M169">
        <v>200</v>
      </c>
      <c r="N169">
        <v>1157</v>
      </c>
      <c r="O169">
        <v>258</v>
      </c>
      <c r="P169">
        <f t="shared" si="15"/>
        <v>6480000</v>
      </c>
      <c r="Q169">
        <v>5851000</v>
      </c>
      <c r="R169">
        <v>629000</v>
      </c>
      <c r="S169">
        <v>258000</v>
      </c>
      <c r="T169" s="128">
        <f t="shared" si="12"/>
        <v>13542645</v>
      </c>
      <c r="U169" s="128">
        <f t="shared" si="16"/>
        <v>802645</v>
      </c>
      <c r="V169" s="128">
        <f t="shared" si="13"/>
        <v>802645</v>
      </c>
      <c r="W169" s="128">
        <v>113331</v>
      </c>
      <c r="X169" s="188">
        <f t="shared" si="17"/>
        <v>7.0823075769207017E-3</v>
      </c>
      <c r="Y169" s="238"/>
      <c r="AE169" s="128"/>
      <c r="AF169" s="128"/>
      <c r="AG169" s="128"/>
    </row>
    <row r="170" spans="1:33" x14ac:dyDescent="0.25">
      <c r="A170" t="s">
        <v>521</v>
      </c>
      <c r="B170" t="s">
        <v>306</v>
      </c>
      <c r="C170">
        <f t="shared" si="14"/>
        <v>6686</v>
      </c>
      <c r="D170">
        <v>3820</v>
      </c>
      <c r="E170">
        <v>2866</v>
      </c>
      <c r="F170">
        <v>7</v>
      </c>
      <c r="G170">
        <v>10</v>
      </c>
      <c r="H170">
        <v>125</v>
      </c>
      <c r="I170">
        <v>106</v>
      </c>
      <c r="J170">
        <v>2130</v>
      </c>
      <c r="K170">
        <v>3887</v>
      </c>
      <c r="L170">
        <v>283</v>
      </c>
      <c r="M170">
        <v>0</v>
      </c>
      <c r="N170">
        <v>773</v>
      </c>
      <c r="O170">
        <v>65</v>
      </c>
      <c r="P170">
        <f t="shared" si="15"/>
        <v>3980000</v>
      </c>
      <c r="Q170">
        <v>3410000</v>
      </c>
      <c r="R170">
        <v>570000</v>
      </c>
      <c r="S170">
        <v>248000</v>
      </c>
      <c r="T170" s="128">
        <f t="shared" si="12"/>
        <v>8667750</v>
      </c>
      <c r="U170" s="128">
        <f t="shared" si="16"/>
        <v>1981750</v>
      </c>
      <c r="V170" s="128">
        <f t="shared" si="13"/>
        <v>1981750</v>
      </c>
      <c r="W170" s="128">
        <v>53414</v>
      </c>
      <c r="X170" s="188">
        <f t="shared" si="17"/>
        <v>3.7101696184520909E-2</v>
      </c>
      <c r="Y170" s="238"/>
      <c r="AE170" s="128"/>
      <c r="AF170" s="128"/>
      <c r="AG170" s="128"/>
    </row>
    <row r="171" spans="1:33" x14ac:dyDescent="0.25">
      <c r="A171" t="s">
        <v>523</v>
      </c>
      <c r="B171" t="s">
        <v>188</v>
      </c>
      <c r="C171">
        <f t="shared" si="14"/>
        <v>5884</v>
      </c>
      <c r="D171">
        <v>4265</v>
      </c>
      <c r="E171">
        <v>1619</v>
      </c>
      <c r="F171">
        <v>16</v>
      </c>
      <c r="G171">
        <v>0</v>
      </c>
      <c r="H171">
        <v>736</v>
      </c>
      <c r="I171">
        <v>230</v>
      </c>
      <c r="J171">
        <v>5678</v>
      </c>
      <c r="K171">
        <v>3950</v>
      </c>
      <c r="L171">
        <v>379</v>
      </c>
      <c r="M171">
        <v>374</v>
      </c>
      <c r="N171">
        <v>759</v>
      </c>
      <c r="O171">
        <v>359</v>
      </c>
      <c r="P171">
        <f t="shared" si="15"/>
        <v>5878000</v>
      </c>
      <c r="Q171">
        <v>5123000</v>
      </c>
      <c r="R171">
        <v>755000</v>
      </c>
      <c r="S171">
        <v>169000</v>
      </c>
      <c r="T171" s="128">
        <f t="shared" si="12"/>
        <v>12635865</v>
      </c>
      <c r="U171" s="128">
        <f t="shared" si="16"/>
        <v>6751865</v>
      </c>
      <c r="V171" s="128">
        <f t="shared" si="13"/>
        <v>6751865</v>
      </c>
      <c r="W171" s="128">
        <v>81453</v>
      </c>
      <c r="X171" s="188">
        <f t="shared" si="17"/>
        <v>8.2892772519121458E-2</v>
      </c>
      <c r="Y171" s="238"/>
      <c r="AE171" s="128"/>
      <c r="AF171" s="128"/>
      <c r="AG171" s="128"/>
    </row>
    <row r="172" spans="1:33" x14ac:dyDescent="0.25">
      <c r="A172" t="s">
        <v>526</v>
      </c>
      <c r="B172" t="s">
        <v>377</v>
      </c>
      <c r="C172">
        <f t="shared" si="14"/>
        <v>6194</v>
      </c>
      <c r="D172">
        <v>3941</v>
      </c>
      <c r="E172">
        <v>2253</v>
      </c>
      <c r="F172">
        <v>0</v>
      </c>
      <c r="G172">
        <v>0</v>
      </c>
      <c r="H172">
        <v>2578</v>
      </c>
      <c r="I172">
        <v>290</v>
      </c>
      <c r="J172">
        <v>2383</v>
      </c>
      <c r="K172">
        <v>2866</v>
      </c>
      <c r="L172">
        <v>371</v>
      </c>
      <c r="M172">
        <v>0</v>
      </c>
      <c r="N172">
        <v>226</v>
      </c>
      <c r="O172">
        <v>15</v>
      </c>
      <c r="P172">
        <f t="shared" si="15"/>
        <v>3509000</v>
      </c>
      <c r="Q172">
        <v>2937000</v>
      </c>
      <c r="R172">
        <v>572000</v>
      </c>
      <c r="S172">
        <v>221000</v>
      </c>
      <c r="T172" s="128">
        <f t="shared" si="12"/>
        <v>7774305</v>
      </c>
      <c r="U172" s="128">
        <f t="shared" si="16"/>
        <v>1580305</v>
      </c>
      <c r="V172" s="128">
        <f t="shared" si="13"/>
        <v>1580305</v>
      </c>
      <c r="W172" s="128">
        <v>59738</v>
      </c>
      <c r="X172" s="188">
        <f t="shared" si="17"/>
        <v>2.6453932170477753E-2</v>
      </c>
      <c r="Y172" s="238"/>
      <c r="AE172" s="128"/>
      <c r="AF172" s="128"/>
      <c r="AG172" s="128"/>
    </row>
    <row r="173" spans="1:33" x14ac:dyDescent="0.25">
      <c r="A173" t="s">
        <v>524</v>
      </c>
      <c r="B173" t="s">
        <v>224</v>
      </c>
      <c r="C173">
        <f t="shared" si="14"/>
        <v>3450</v>
      </c>
      <c r="D173">
        <v>2785</v>
      </c>
      <c r="E173">
        <v>665</v>
      </c>
      <c r="F173">
        <v>0</v>
      </c>
      <c r="G173">
        <v>14</v>
      </c>
      <c r="H173">
        <v>51</v>
      </c>
      <c r="I173">
        <v>77</v>
      </c>
      <c r="J173">
        <v>1814</v>
      </c>
      <c r="K173">
        <v>1788</v>
      </c>
      <c r="L173">
        <v>204</v>
      </c>
      <c r="M173">
        <v>85</v>
      </c>
      <c r="N173">
        <v>457</v>
      </c>
      <c r="O173">
        <v>8</v>
      </c>
      <c r="P173">
        <f t="shared" si="15"/>
        <v>2197000</v>
      </c>
      <c r="Q173">
        <v>1902000</v>
      </c>
      <c r="R173">
        <v>295000</v>
      </c>
      <c r="S173">
        <v>292000</v>
      </c>
      <c r="T173" s="128">
        <f t="shared" si="12"/>
        <v>4747260</v>
      </c>
      <c r="U173" s="128">
        <f t="shared" si="16"/>
        <v>1297260</v>
      </c>
      <c r="V173" s="128">
        <f t="shared" si="13"/>
        <v>1297260</v>
      </c>
      <c r="W173" s="128">
        <v>32010</v>
      </c>
      <c r="X173" s="188">
        <f t="shared" si="17"/>
        <v>4.0526710402999065E-2</v>
      </c>
      <c r="Y173" s="238"/>
      <c r="AE173" s="128"/>
      <c r="AF173" s="128"/>
      <c r="AG173" s="128"/>
    </row>
    <row r="174" spans="1:33" x14ac:dyDescent="0.25">
      <c r="A174" t="s">
        <v>519</v>
      </c>
      <c r="B174" t="s">
        <v>152</v>
      </c>
      <c r="C174">
        <f t="shared" si="14"/>
        <v>5140</v>
      </c>
      <c r="D174">
        <v>3630</v>
      </c>
      <c r="E174">
        <v>1510</v>
      </c>
      <c r="F174">
        <v>0</v>
      </c>
      <c r="G174">
        <v>0</v>
      </c>
      <c r="H174">
        <v>425</v>
      </c>
      <c r="I174">
        <v>124</v>
      </c>
      <c r="J174">
        <v>3226</v>
      </c>
      <c r="K174">
        <v>2162</v>
      </c>
      <c r="L174">
        <v>256</v>
      </c>
      <c r="M174">
        <v>1</v>
      </c>
      <c r="N174">
        <v>410</v>
      </c>
      <c r="O174">
        <v>45</v>
      </c>
      <c r="P174">
        <f t="shared" si="15"/>
        <v>2912000</v>
      </c>
      <c r="Q174">
        <v>2522000</v>
      </c>
      <c r="R174">
        <v>390000</v>
      </c>
      <c r="S174">
        <v>240000</v>
      </c>
      <c r="T174" s="128">
        <f t="shared" si="12"/>
        <v>6290310</v>
      </c>
      <c r="U174" s="128">
        <f t="shared" si="16"/>
        <v>1150310</v>
      </c>
      <c r="V174" s="128">
        <f t="shared" si="13"/>
        <v>1150310</v>
      </c>
      <c r="W174" s="128">
        <v>65135</v>
      </c>
      <c r="X174" s="188">
        <f t="shared" si="17"/>
        <v>1.7660397635679743E-2</v>
      </c>
      <c r="Y174" s="238"/>
      <c r="AE174" s="128"/>
      <c r="AF174" s="128"/>
      <c r="AG174" s="128"/>
    </row>
    <row r="175" spans="1:33" x14ac:dyDescent="0.25">
      <c r="A175" t="s">
        <v>518</v>
      </c>
      <c r="B175" t="s">
        <v>189</v>
      </c>
      <c r="C175">
        <f t="shared" si="14"/>
        <v>5475</v>
      </c>
      <c r="D175">
        <v>3234</v>
      </c>
      <c r="E175">
        <v>2241</v>
      </c>
      <c r="F175">
        <v>0</v>
      </c>
      <c r="G175">
        <v>0</v>
      </c>
      <c r="H175">
        <v>233</v>
      </c>
      <c r="I175">
        <v>77</v>
      </c>
      <c r="J175">
        <v>2816</v>
      </c>
      <c r="K175">
        <v>0</v>
      </c>
      <c r="L175">
        <v>227</v>
      </c>
      <c r="M175">
        <v>63</v>
      </c>
      <c r="N175">
        <v>938</v>
      </c>
      <c r="O175">
        <v>155</v>
      </c>
      <c r="P175">
        <f t="shared" si="15"/>
        <v>3508000</v>
      </c>
      <c r="Q175">
        <v>2950000</v>
      </c>
      <c r="R175">
        <v>558000</v>
      </c>
      <c r="S175">
        <v>258000</v>
      </c>
      <c r="T175" s="128">
        <f t="shared" si="12"/>
        <v>7745730</v>
      </c>
      <c r="U175" s="128">
        <f t="shared" si="16"/>
        <v>2270730</v>
      </c>
      <c r="V175" s="128">
        <f t="shared" si="13"/>
        <v>2270730</v>
      </c>
      <c r="W175" s="128">
        <v>59786</v>
      </c>
      <c r="X175" s="188">
        <f t="shared" si="17"/>
        <v>3.7980965443414845E-2</v>
      </c>
      <c r="Y175" s="238"/>
      <c r="AE175" s="128"/>
      <c r="AF175" s="128"/>
      <c r="AG175" s="128"/>
    </row>
    <row r="176" spans="1:33" x14ac:dyDescent="0.25">
      <c r="A176" t="s">
        <v>519</v>
      </c>
      <c r="B176" t="s">
        <v>412</v>
      </c>
      <c r="C176">
        <f t="shared" si="14"/>
        <v>4473</v>
      </c>
      <c r="D176">
        <v>2805</v>
      </c>
      <c r="E176">
        <v>1668</v>
      </c>
      <c r="F176">
        <v>90</v>
      </c>
      <c r="G176">
        <v>0</v>
      </c>
      <c r="H176">
        <v>464</v>
      </c>
      <c r="I176">
        <v>289</v>
      </c>
      <c r="J176">
        <v>2969</v>
      </c>
      <c r="K176">
        <v>2651</v>
      </c>
      <c r="L176">
        <v>237</v>
      </c>
      <c r="M176">
        <v>83</v>
      </c>
      <c r="N176">
        <v>303</v>
      </c>
      <c r="O176">
        <v>79</v>
      </c>
      <c r="P176">
        <f t="shared" si="15"/>
        <v>3277000</v>
      </c>
      <c r="Q176">
        <v>2785000</v>
      </c>
      <c r="R176">
        <v>492000</v>
      </c>
      <c r="S176">
        <v>283000</v>
      </c>
      <c r="T176" s="128">
        <f t="shared" si="12"/>
        <v>7179945</v>
      </c>
      <c r="U176" s="128">
        <f t="shared" si="16"/>
        <v>2706945</v>
      </c>
      <c r="V176" s="128">
        <f t="shared" si="13"/>
        <v>2706945</v>
      </c>
      <c r="W176" s="128">
        <v>59797</v>
      </c>
      <c r="X176" s="188">
        <f t="shared" si="17"/>
        <v>4.5268909811529007E-2</v>
      </c>
      <c r="Y176" s="238"/>
      <c r="AE176" s="128"/>
      <c r="AF176" s="128"/>
      <c r="AG176" s="128"/>
    </row>
    <row r="177" spans="1:33" s="207" customFormat="1" x14ac:dyDescent="0.25">
      <c r="A177" s="207" t="s">
        <v>517</v>
      </c>
      <c r="B177" s="207" t="s">
        <v>869</v>
      </c>
      <c r="C177">
        <f t="shared" si="14"/>
        <v>13569</v>
      </c>
      <c r="D177" s="207">
        <v>6876</v>
      </c>
      <c r="E177" s="207">
        <v>6693</v>
      </c>
      <c r="F177" s="207">
        <v>2395</v>
      </c>
      <c r="G177" s="207">
        <v>0</v>
      </c>
      <c r="H177" s="207">
        <v>391</v>
      </c>
      <c r="I177" s="207">
        <v>197</v>
      </c>
      <c r="J177" s="207">
        <v>5565</v>
      </c>
      <c r="K177" s="207">
        <v>6096</v>
      </c>
      <c r="L177" s="207">
        <v>756</v>
      </c>
      <c r="M177" s="207">
        <v>165</v>
      </c>
      <c r="N177" s="207">
        <v>1819</v>
      </c>
      <c r="O177" s="207">
        <v>585</v>
      </c>
      <c r="P177">
        <f t="shared" si="15"/>
        <v>9087000</v>
      </c>
      <c r="Q177" s="207">
        <v>7505000</v>
      </c>
      <c r="R177" s="207">
        <v>1582000</v>
      </c>
      <c r="S177" s="207">
        <v>247000</v>
      </c>
      <c r="T177" s="242">
        <f t="shared" si="12"/>
        <v>20324445</v>
      </c>
      <c r="U177" s="128">
        <f t="shared" si="16"/>
        <v>6755445</v>
      </c>
      <c r="V177" s="242">
        <f t="shared" si="13"/>
        <v>6755445</v>
      </c>
      <c r="W177" s="242">
        <v>149664</v>
      </c>
      <c r="X177" s="341">
        <f t="shared" si="17"/>
        <v>4.5137407793457346E-2</v>
      </c>
      <c r="Y177" s="300"/>
      <c r="AE177" s="242"/>
      <c r="AF177" s="242"/>
      <c r="AG177" s="242"/>
    </row>
    <row r="178" spans="1:33" x14ac:dyDescent="0.25">
      <c r="A178" t="s">
        <v>519</v>
      </c>
      <c r="B178" t="s">
        <v>307</v>
      </c>
      <c r="C178">
        <f t="shared" si="14"/>
        <v>7174</v>
      </c>
      <c r="D178">
        <v>5072</v>
      </c>
      <c r="E178">
        <v>2102</v>
      </c>
      <c r="F178">
        <v>0</v>
      </c>
      <c r="G178">
        <v>45</v>
      </c>
      <c r="H178">
        <v>51</v>
      </c>
      <c r="I178">
        <v>40</v>
      </c>
      <c r="J178">
        <v>3036</v>
      </c>
      <c r="K178">
        <v>6199</v>
      </c>
      <c r="L178">
        <v>585</v>
      </c>
      <c r="M178">
        <v>583</v>
      </c>
      <c r="N178">
        <v>541</v>
      </c>
      <c r="O178">
        <v>255</v>
      </c>
      <c r="P178">
        <f t="shared" si="15"/>
        <v>4118000</v>
      </c>
      <c r="Q178">
        <v>3667000</v>
      </c>
      <c r="R178">
        <v>451000</v>
      </c>
      <c r="S178">
        <v>274000</v>
      </c>
      <c r="T178" s="128">
        <f t="shared" si="12"/>
        <v>8703945</v>
      </c>
      <c r="U178" s="128">
        <f t="shared" si="16"/>
        <v>1529945</v>
      </c>
      <c r="V178" s="128">
        <f t="shared" si="13"/>
        <v>1529945</v>
      </c>
      <c r="W178" s="128">
        <v>104154</v>
      </c>
      <c r="X178" s="188">
        <f t="shared" si="17"/>
        <v>1.4689258213798798E-2</v>
      </c>
      <c r="Y178" s="238"/>
      <c r="AE178" s="128"/>
      <c r="AF178" s="128"/>
      <c r="AG178" s="128"/>
    </row>
    <row r="179" spans="1:33" x14ac:dyDescent="0.25">
      <c r="A179" t="s">
        <v>522</v>
      </c>
      <c r="B179" t="s">
        <v>413</v>
      </c>
      <c r="C179">
        <f t="shared" si="14"/>
        <v>36146</v>
      </c>
      <c r="D179">
        <v>17224</v>
      </c>
      <c r="E179">
        <v>18922</v>
      </c>
      <c r="F179">
        <v>12559</v>
      </c>
      <c r="G179">
        <v>916</v>
      </c>
      <c r="H179">
        <v>5531</v>
      </c>
      <c r="I179">
        <v>2054</v>
      </c>
      <c r="J179">
        <v>14532</v>
      </c>
      <c r="K179">
        <v>19184</v>
      </c>
      <c r="L179">
        <v>2015</v>
      </c>
      <c r="M179">
        <v>483</v>
      </c>
      <c r="N179">
        <v>5223</v>
      </c>
      <c r="O179">
        <v>1403</v>
      </c>
      <c r="P179">
        <f t="shared" si="15"/>
        <v>18466000</v>
      </c>
      <c r="Q179">
        <v>15018000</v>
      </c>
      <c r="R179">
        <v>3448000</v>
      </c>
      <c r="S179">
        <v>216000</v>
      </c>
      <c r="T179" s="128">
        <f t="shared" si="12"/>
        <v>41746170</v>
      </c>
      <c r="U179" s="128">
        <f t="shared" si="16"/>
        <v>5600170</v>
      </c>
      <c r="V179" s="128">
        <f t="shared" si="13"/>
        <v>5600170</v>
      </c>
      <c r="W179" s="128">
        <v>529732</v>
      </c>
      <c r="X179" s="188">
        <f t="shared" si="17"/>
        <v>1.0571704182492279E-2</v>
      </c>
      <c r="Y179" s="238"/>
      <c r="AE179" s="128"/>
      <c r="AF179" s="128"/>
      <c r="AG179" s="128"/>
    </row>
    <row r="180" spans="1:33" x14ac:dyDescent="0.25">
      <c r="A180" t="s">
        <v>519</v>
      </c>
      <c r="B180" t="s">
        <v>266</v>
      </c>
      <c r="C180">
        <f t="shared" si="14"/>
        <v>8878</v>
      </c>
      <c r="D180">
        <v>5457</v>
      </c>
      <c r="E180">
        <v>3421</v>
      </c>
      <c r="F180">
        <v>0</v>
      </c>
      <c r="G180">
        <v>0</v>
      </c>
      <c r="H180">
        <v>1174</v>
      </c>
      <c r="I180">
        <v>471</v>
      </c>
      <c r="J180">
        <v>4492</v>
      </c>
      <c r="K180">
        <v>6519</v>
      </c>
      <c r="L180">
        <v>540</v>
      </c>
      <c r="M180">
        <v>217</v>
      </c>
      <c r="N180">
        <v>1351</v>
      </c>
      <c r="O180">
        <v>377</v>
      </c>
      <c r="P180">
        <f t="shared" si="15"/>
        <v>6498000</v>
      </c>
      <c r="Q180">
        <v>5431000</v>
      </c>
      <c r="R180">
        <v>1067000</v>
      </c>
      <c r="S180">
        <v>260000</v>
      </c>
      <c r="T180" s="128">
        <f t="shared" si="12"/>
        <v>14411325</v>
      </c>
      <c r="U180" s="128">
        <f t="shared" si="16"/>
        <v>5533325</v>
      </c>
      <c r="V180" s="128">
        <f t="shared" si="13"/>
        <v>5533325</v>
      </c>
      <c r="W180" s="128">
        <v>122555</v>
      </c>
      <c r="X180" s="188">
        <f t="shared" si="17"/>
        <v>4.5149728693239771E-2</v>
      </c>
      <c r="Y180" s="238"/>
      <c r="AE180" s="128"/>
      <c r="AF180" s="128"/>
      <c r="AG180" s="128"/>
    </row>
    <row r="181" spans="1:33" x14ac:dyDescent="0.25">
      <c r="A181" t="s">
        <v>526</v>
      </c>
      <c r="B181" t="s">
        <v>414</v>
      </c>
      <c r="C181">
        <f t="shared" si="14"/>
        <v>5234</v>
      </c>
      <c r="D181">
        <v>4286</v>
      </c>
      <c r="E181">
        <v>948</v>
      </c>
      <c r="F181">
        <v>291</v>
      </c>
      <c r="G181">
        <v>0</v>
      </c>
      <c r="H181">
        <v>115</v>
      </c>
      <c r="I181">
        <v>141</v>
      </c>
      <c r="J181">
        <v>3009</v>
      </c>
      <c r="K181">
        <v>2285</v>
      </c>
      <c r="L181">
        <v>120</v>
      </c>
      <c r="M181">
        <v>148</v>
      </c>
      <c r="N181">
        <v>378</v>
      </c>
      <c r="O181">
        <v>17</v>
      </c>
      <c r="P181">
        <f t="shared" si="15"/>
        <v>2613000</v>
      </c>
      <c r="Q181">
        <v>2423000</v>
      </c>
      <c r="R181">
        <v>190000</v>
      </c>
      <c r="S181">
        <v>207000</v>
      </c>
      <c r="T181" s="128">
        <f t="shared" si="12"/>
        <v>5339715</v>
      </c>
      <c r="U181" s="128">
        <f t="shared" si="16"/>
        <v>105715</v>
      </c>
      <c r="V181" s="128">
        <f t="shared" si="13"/>
        <v>105715</v>
      </c>
      <c r="W181" s="128">
        <v>49840</v>
      </c>
      <c r="X181" s="188">
        <f t="shared" si="17"/>
        <v>2.1210874799357945E-3</v>
      </c>
      <c r="Y181" s="238"/>
      <c r="AE181" s="128"/>
      <c r="AF181" s="128"/>
      <c r="AG181" s="128"/>
    </row>
    <row r="182" spans="1:33" x14ac:dyDescent="0.25">
      <c r="A182" t="s">
        <v>521</v>
      </c>
      <c r="B182" t="s">
        <v>587</v>
      </c>
      <c r="C182">
        <f t="shared" si="14"/>
        <v>20437</v>
      </c>
      <c r="D182">
        <v>11591</v>
      </c>
      <c r="E182">
        <v>8846</v>
      </c>
      <c r="F182">
        <v>47</v>
      </c>
      <c r="G182">
        <v>0</v>
      </c>
      <c r="H182">
        <v>187</v>
      </c>
      <c r="I182">
        <v>300</v>
      </c>
      <c r="J182">
        <v>7128</v>
      </c>
      <c r="K182">
        <v>7967</v>
      </c>
      <c r="L182">
        <v>1058</v>
      </c>
      <c r="M182">
        <v>125</v>
      </c>
      <c r="N182">
        <v>3014</v>
      </c>
      <c r="O182">
        <v>424</v>
      </c>
      <c r="P182">
        <f t="shared" si="15"/>
        <v>12932000</v>
      </c>
      <c r="Q182">
        <v>10447000</v>
      </c>
      <c r="R182">
        <v>2485000</v>
      </c>
      <c r="S182">
        <v>198000</v>
      </c>
      <c r="T182" s="128">
        <f t="shared" si="12"/>
        <v>29369385</v>
      </c>
      <c r="U182" s="128">
        <f t="shared" si="16"/>
        <v>8932385</v>
      </c>
      <c r="V182" s="128">
        <f t="shared" si="13"/>
        <v>8932385</v>
      </c>
      <c r="W182" s="128">
        <v>236098</v>
      </c>
      <c r="X182" s="188">
        <f t="shared" si="17"/>
        <v>3.7833378512312686E-2</v>
      </c>
      <c r="Y182" s="238"/>
      <c r="AE182" s="128"/>
      <c r="AF182" s="128"/>
      <c r="AG182" s="128"/>
    </row>
    <row r="183" spans="1:33" x14ac:dyDescent="0.25">
      <c r="A183" s="94" t="s">
        <v>526</v>
      </c>
      <c r="B183" t="s">
        <v>112</v>
      </c>
      <c r="C183">
        <f t="shared" si="14"/>
        <v>9691</v>
      </c>
      <c r="D183">
        <v>4825</v>
      </c>
      <c r="E183">
        <v>4866</v>
      </c>
      <c r="F183">
        <v>1790</v>
      </c>
      <c r="G183">
        <v>64</v>
      </c>
      <c r="H183">
        <v>0</v>
      </c>
      <c r="I183">
        <v>188</v>
      </c>
      <c r="J183">
        <v>2930</v>
      </c>
      <c r="K183">
        <v>3341</v>
      </c>
      <c r="L183">
        <v>349</v>
      </c>
      <c r="M183">
        <v>297</v>
      </c>
      <c r="N183">
        <v>863</v>
      </c>
      <c r="O183">
        <v>411</v>
      </c>
      <c r="P183">
        <f t="shared" si="15"/>
        <v>4394000</v>
      </c>
      <c r="Q183">
        <v>3603000</v>
      </c>
      <c r="R183">
        <v>791000</v>
      </c>
      <c r="S183">
        <v>196000</v>
      </c>
      <c r="T183" s="128">
        <f t="shared" si="12"/>
        <v>9877425</v>
      </c>
      <c r="U183" s="128">
        <f t="shared" si="16"/>
        <v>186425</v>
      </c>
      <c r="V183" s="128">
        <f t="shared" si="13"/>
        <v>186425</v>
      </c>
      <c r="W183" s="128">
        <v>115315</v>
      </c>
      <c r="X183" s="188">
        <f t="shared" si="17"/>
        <v>1.6166587174261805E-3</v>
      </c>
      <c r="Y183" s="238"/>
      <c r="AE183" s="128"/>
      <c r="AF183" s="128"/>
      <c r="AG183" s="128"/>
    </row>
    <row r="184" spans="1:33" x14ac:dyDescent="0.25">
      <c r="A184" t="s">
        <v>518</v>
      </c>
      <c r="B184" t="s">
        <v>334</v>
      </c>
      <c r="C184">
        <f t="shared" si="14"/>
        <v>14126</v>
      </c>
      <c r="D184">
        <v>7430</v>
      </c>
      <c r="E184">
        <v>6696</v>
      </c>
      <c r="F184">
        <v>6169</v>
      </c>
      <c r="G184">
        <v>222</v>
      </c>
      <c r="H184">
        <v>1089</v>
      </c>
      <c r="I184">
        <v>659</v>
      </c>
      <c r="J184">
        <v>5744</v>
      </c>
      <c r="K184">
        <v>6761</v>
      </c>
      <c r="L184">
        <v>514</v>
      </c>
      <c r="M184">
        <v>2004</v>
      </c>
      <c r="N184">
        <v>977</v>
      </c>
      <c r="O184">
        <v>525</v>
      </c>
      <c r="P184">
        <f t="shared" si="15"/>
        <v>6256000</v>
      </c>
      <c r="Q184">
        <v>5186000</v>
      </c>
      <c r="R184">
        <v>1070000</v>
      </c>
      <c r="S184">
        <v>221000</v>
      </c>
      <c r="T184" s="128">
        <f t="shared" si="12"/>
        <v>13956030</v>
      </c>
      <c r="U184" s="128">
        <f t="shared" si="16"/>
        <v>-169970</v>
      </c>
      <c r="V184" s="128">
        <f t="shared" si="13"/>
        <v>0</v>
      </c>
      <c r="W184" s="128">
        <v>179431</v>
      </c>
      <c r="X184" s="188">
        <f t="shared" si="17"/>
        <v>-9.4727221048759695E-4</v>
      </c>
      <c r="Y184" s="238"/>
      <c r="AE184" s="128"/>
      <c r="AF184" s="128"/>
      <c r="AG184" s="128"/>
    </row>
    <row r="185" spans="1:33" x14ac:dyDescent="0.25">
      <c r="A185" t="s">
        <v>526</v>
      </c>
      <c r="B185" t="s">
        <v>308</v>
      </c>
      <c r="C185">
        <f t="shared" si="14"/>
        <v>5761</v>
      </c>
      <c r="D185">
        <v>3786</v>
      </c>
      <c r="E185">
        <v>1975</v>
      </c>
      <c r="F185">
        <v>0</v>
      </c>
      <c r="G185">
        <v>0</v>
      </c>
      <c r="H185">
        <v>0</v>
      </c>
      <c r="I185">
        <v>0</v>
      </c>
      <c r="J185">
        <v>1722</v>
      </c>
      <c r="K185">
        <v>2692</v>
      </c>
      <c r="L185">
        <v>222</v>
      </c>
      <c r="M185">
        <v>63</v>
      </c>
      <c r="N185">
        <v>1009</v>
      </c>
      <c r="O185">
        <v>39</v>
      </c>
      <c r="P185">
        <f t="shared" si="15"/>
        <v>3539000</v>
      </c>
      <c r="Q185">
        <v>3039000</v>
      </c>
      <c r="R185">
        <v>500000</v>
      </c>
      <c r="S185">
        <v>238000</v>
      </c>
      <c r="T185" s="128">
        <f t="shared" si="12"/>
        <v>7694295</v>
      </c>
      <c r="U185" s="128">
        <f t="shared" si="16"/>
        <v>1933295</v>
      </c>
      <c r="V185" s="128">
        <f t="shared" si="13"/>
        <v>1933295</v>
      </c>
      <c r="W185" s="128">
        <v>47801</v>
      </c>
      <c r="X185" s="188">
        <f t="shared" si="17"/>
        <v>4.0444655969540388E-2</v>
      </c>
      <c r="Y185" s="238"/>
      <c r="AE185" s="128"/>
      <c r="AF185" s="128"/>
      <c r="AG185" s="128"/>
    </row>
    <row r="186" spans="1:33" s="207" customFormat="1" x14ac:dyDescent="0.25">
      <c r="A186" s="207" t="s">
        <v>517</v>
      </c>
      <c r="B186" s="207" t="s">
        <v>113</v>
      </c>
      <c r="C186">
        <f t="shared" si="14"/>
        <v>6415</v>
      </c>
      <c r="D186" s="207">
        <v>3717</v>
      </c>
      <c r="E186" s="207">
        <v>2698</v>
      </c>
      <c r="F186" s="207">
        <v>0</v>
      </c>
      <c r="G186" s="207">
        <v>33</v>
      </c>
      <c r="H186" s="207">
        <v>1161</v>
      </c>
      <c r="I186" s="207">
        <v>0</v>
      </c>
      <c r="J186" s="207">
        <v>3961</v>
      </c>
      <c r="K186" s="207">
        <v>2927</v>
      </c>
      <c r="L186" s="207">
        <v>377</v>
      </c>
      <c r="M186" s="207">
        <v>400</v>
      </c>
      <c r="N186" s="207">
        <v>713</v>
      </c>
      <c r="O186" s="207">
        <v>83</v>
      </c>
      <c r="P186">
        <f t="shared" si="15"/>
        <v>4329000</v>
      </c>
      <c r="Q186" s="207">
        <v>3520000</v>
      </c>
      <c r="R186" s="207">
        <v>809000</v>
      </c>
      <c r="S186" s="207">
        <v>260000</v>
      </c>
      <c r="T186" s="242">
        <f t="shared" si="12"/>
        <v>9787890</v>
      </c>
      <c r="U186" s="128">
        <f t="shared" si="16"/>
        <v>3372890</v>
      </c>
      <c r="V186" s="242">
        <f t="shared" si="13"/>
        <v>3372890</v>
      </c>
      <c r="W186" s="242">
        <v>82394</v>
      </c>
      <c r="X186" s="341">
        <f t="shared" si="17"/>
        <v>4.0936111852804817E-2</v>
      </c>
      <c r="Y186" s="300"/>
      <c r="AE186" s="242"/>
      <c r="AF186" s="242"/>
      <c r="AG186" s="242"/>
    </row>
    <row r="187" spans="1:33" x14ac:dyDescent="0.25">
      <c r="A187" t="s">
        <v>516</v>
      </c>
      <c r="B187" t="s">
        <v>602</v>
      </c>
      <c r="C187">
        <f t="shared" si="14"/>
        <v>20649</v>
      </c>
      <c r="D187">
        <v>11741</v>
      </c>
      <c r="E187">
        <v>8908</v>
      </c>
      <c r="F187">
        <v>140</v>
      </c>
      <c r="G187">
        <v>0</v>
      </c>
      <c r="H187">
        <v>300</v>
      </c>
      <c r="I187">
        <v>0</v>
      </c>
      <c r="J187">
        <v>5605</v>
      </c>
      <c r="K187">
        <v>6397</v>
      </c>
      <c r="L187">
        <v>691</v>
      </c>
      <c r="M187">
        <v>210</v>
      </c>
      <c r="N187">
        <v>1366</v>
      </c>
      <c r="O187">
        <v>67</v>
      </c>
      <c r="P187">
        <f t="shared" si="15"/>
        <v>6365000</v>
      </c>
      <c r="Q187">
        <v>5205000</v>
      </c>
      <c r="R187">
        <v>1160000</v>
      </c>
      <c r="S187">
        <v>190000</v>
      </c>
      <c r="T187" s="128">
        <f t="shared" si="12"/>
        <v>14335125</v>
      </c>
      <c r="U187" s="128">
        <f t="shared" si="16"/>
        <v>-6313875</v>
      </c>
      <c r="V187" s="128">
        <f t="shared" si="13"/>
        <v>0</v>
      </c>
      <c r="W187" s="128">
        <v>242669</v>
      </c>
      <c r="X187" s="188">
        <f t="shared" si="17"/>
        <v>-2.6018465481787951E-2</v>
      </c>
      <c r="Y187" s="238"/>
      <c r="AE187" s="128"/>
      <c r="AF187" s="128"/>
      <c r="AG187" s="128"/>
    </row>
    <row r="188" spans="1:33" x14ac:dyDescent="0.25">
      <c r="A188" t="s">
        <v>528</v>
      </c>
      <c r="B188" t="s">
        <v>379</v>
      </c>
      <c r="C188">
        <f t="shared" si="14"/>
        <v>18780</v>
      </c>
      <c r="D188">
        <v>3652</v>
      </c>
      <c r="E188">
        <v>15128</v>
      </c>
      <c r="F188">
        <v>6</v>
      </c>
      <c r="G188">
        <v>0</v>
      </c>
      <c r="H188">
        <v>192</v>
      </c>
      <c r="I188">
        <v>64</v>
      </c>
      <c r="J188">
        <v>5774</v>
      </c>
      <c r="K188">
        <v>5141</v>
      </c>
      <c r="L188">
        <v>398</v>
      </c>
      <c r="M188">
        <v>143</v>
      </c>
      <c r="N188">
        <v>1600</v>
      </c>
      <c r="O188">
        <v>218</v>
      </c>
      <c r="P188">
        <f t="shared" si="15"/>
        <v>6880000</v>
      </c>
      <c r="Q188">
        <v>4234000</v>
      </c>
      <c r="R188">
        <v>2646000</v>
      </c>
      <c r="S188">
        <v>181000</v>
      </c>
      <c r="T188" s="128">
        <f t="shared" si="12"/>
        <v>18147030</v>
      </c>
      <c r="U188" s="128">
        <f t="shared" si="16"/>
        <v>-632970</v>
      </c>
      <c r="V188" s="128">
        <f t="shared" si="13"/>
        <v>0</v>
      </c>
      <c r="W188" s="128">
        <v>108476</v>
      </c>
      <c r="X188" s="188">
        <f t="shared" si="17"/>
        <v>-5.835115601607729E-3</v>
      </c>
      <c r="Y188" s="238"/>
      <c r="AE188" s="128"/>
      <c r="AF188" s="128"/>
      <c r="AG188" s="128"/>
    </row>
    <row r="189" spans="1:33" x14ac:dyDescent="0.25">
      <c r="A189" t="s">
        <v>516</v>
      </c>
      <c r="B189" t="s">
        <v>603</v>
      </c>
      <c r="C189">
        <f t="shared" si="14"/>
        <v>8280</v>
      </c>
      <c r="D189">
        <v>5347</v>
      </c>
      <c r="E189">
        <v>2933</v>
      </c>
      <c r="F189">
        <v>0</v>
      </c>
      <c r="G189">
        <v>0</v>
      </c>
      <c r="H189">
        <v>100</v>
      </c>
      <c r="I189">
        <v>1</v>
      </c>
      <c r="J189">
        <v>4049</v>
      </c>
      <c r="K189">
        <v>5436</v>
      </c>
      <c r="L189">
        <v>444</v>
      </c>
      <c r="M189">
        <v>332</v>
      </c>
      <c r="N189">
        <v>2196</v>
      </c>
      <c r="O189">
        <v>214</v>
      </c>
      <c r="P189">
        <f t="shared" si="15"/>
        <v>6245000</v>
      </c>
      <c r="Q189">
        <v>5291000</v>
      </c>
      <c r="R189">
        <v>954000</v>
      </c>
      <c r="S189">
        <v>304000</v>
      </c>
      <c r="T189" s="128">
        <f t="shared" si="12"/>
        <v>13714095</v>
      </c>
      <c r="U189" s="128">
        <f t="shared" si="16"/>
        <v>5434095</v>
      </c>
      <c r="V189" s="128">
        <f t="shared" si="13"/>
        <v>5434095</v>
      </c>
      <c r="W189" s="128">
        <v>105714</v>
      </c>
      <c r="X189" s="188">
        <f t="shared" si="17"/>
        <v>5.1403740280379133E-2</v>
      </c>
      <c r="Y189" s="238"/>
      <c r="AE189" s="128"/>
      <c r="AF189" s="128"/>
      <c r="AG189" s="128"/>
    </row>
    <row r="190" spans="1:33" x14ac:dyDescent="0.25">
      <c r="A190" t="s">
        <v>521</v>
      </c>
      <c r="B190" t="s">
        <v>190</v>
      </c>
      <c r="C190">
        <f t="shared" si="14"/>
        <v>7675</v>
      </c>
      <c r="D190">
        <v>5149</v>
      </c>
      <c r="E190">
        <v>2526</v>
      </c>
      <c r="F190">
        <v>0</v>
      </c>
      <c r="G190">
        <v>0</v>
      </c>
      <c r="H190">
        <v>410</v>
      </c>
      <c r="I190">
        <v>317</v>
      </c>
      <c r="J190">
        <v>4496</v>
      </c>
      <c r="K190">
        <v>3409</v>
      </c>
      <c r="L190">
        <v>499</v>
      </c>
      <c r="M190">
        <v>112</v>
      </c>
      <c r="N190">
        <v>1182</v>
      </c>
      <c r="O190">
        <v>73</v>
      </c>
      <c r="P190">
        <f t="shared" si="15"/>
        <v>4270000</v>
      </c>
      <c r="Q190">
        <v>3679000</v>
      </c>
      <c r="R190">
        <v>591000</v>
      </c>
      <c r="S190">
        <v>201000</v>
      </c>
      <c r="T190" s="128">
        <f t="shared" si="12"/>
        <v>9260205</v>
      </c>
      <c r="U190" s="128">
        <f t="shared" si="16"/>
        <v>1585205</v>
      </c>
      <c r="V190" s="128">
        <f t="shared" si="13"/>
        <v>1585205</v>
      </c>
      <c r="W190" s="128">
        <v>91821</v>
      </c>
      <c r="X190" s="188">
        <f t="shared" si="17"/>
        <v>1.7264079023317107E-2</v>
      </c>
      <c r="Y190" s="238"/>
      <c r="AE190" s="128"/>
      <c r="AF190" s="128"/>
      <c r="AG190" s="128"/>
    </row>
    <row r="191" spans="1:33" x14ac:dyDescent="0.25">
      <c r="A191" t="s">
        <v>525</v>
      </c>
      <c r="B191" t="s">
        <v>438</v>
      </c>
      <c r="C191">
        <f t="shared" si="14"/>
        <v>4056</v>
      </c>
      <c r="D191">
        <v>2535</v>
      </c>
      <c r="E191">
        <v>1521</v>
      </c>
      <c r="F191">
        <v>0</v>
      </c>
      <c r="G191">
        <v>0</v>
      </c>
      <c r="H191">
        <v>0</v>
      </c>
      <c r="I191">
        <v>0</v>
      </c>
      <c r="J191">
        <v>1576</v>
      </c>
      <c r="K191">
        <v>2016</v>
      </c>
      <c r="L191">
        <v>249</v>
      </c>
      <c r="M191">
        <v>87</v>
      </c>
      <c r="N191">
        <v>388</v>
      </c>
      <c r="O191">
        <v>27</v>
      </c>
      <c r="P191">
        <f t="shared" si="15"/>
        <v>2130000</v>
      </c>
      <c r="Q191">
        <v>1856000</v>
      </c>
      <c r="R191">
        <v>274000</v>
      </c>
      <c r="S191">
        <v>153000</v>
      </c>
      <c r="T191" s="128">
        <f t="shared" ref="T191:T254" si="18">0.1905*SUM(Q191,R191,R191)*10</f>
        <v>4579620</v>
      </c>
      <c r="U191" s="128">
        <f t="shared" si="16"/>
        <v>523620</v>
      </c>
      <c r="V191" s="128">
        <f t="shared" ref="V191:V254" si="19">IF(U191&gt;0,U191,0)</f>
        <v>523620</v>
      </c>
      <c r="W191" s="128">
        <v>29748</v>
      </c>
      <c r="X191" s="188">
        <f t="shared" si="17"/>
        <v>1.7601855586930212E-2</v>
      </c>
      <c r="Y191" s="238"/>
      <c r="AE191" s="128"/>
      <c r="AF191" s="128"/>
      <c r="AG191" s="128"/>
    </row>
    <row r="192" spans="1:33" x14ac:dyDescent="0.25">
      <c r="A192" t="s">
        <v>526</v>
      </c>
      <c r="B192" t="s">
        <v>415</v>
      </c>
      <c r="C192">
        <f t="shared" si="14"/>
        <v>2127</v>
      </c>
      <c r="D192">
        <v>1677</v>
      </c>
      <c r="E192">
        <v>450</v>
      </c>
      <c r="F192">
        <v>0</v>
      </c>
      <c r="G192">
        <v>0</v>
      </c>
      <c r="H192">
        <v>79</v>
      </c>
      <c r="I192">
        <v>91</v>
      </c>
      <c r="J192">
        <v>518</v>
      </c>
      <c r="K192">
        <v>806</v>
      </c>
      <c r="L192">
        <v>90</v>
      </c>
      <c r="M192">
        <v>0</v>
      </c>
      <c r="N192">
        <v>102</v>
      </c>
      <c r="O192">
        <v>29</v>
      </c>
      <c r="P192">
        <f t="shared" si="15"/>
        <v>1269000</v>
      </c>
      <c r="Q192">
        <v>1182000</v>
      </c>
      <c r="R192">
        <v>87000</v>
      </c>
      <c r="S192">
        <v>249000</v>
      </c>
      <c r="T192" s="128">
        <f t="shared" si="18"/>
        <v>2583180</v>
      </c>
      <c r="U192" s="128">
        <f t="shared" si="16"/>
        <v>456180</v>
      </c>
      <c r="V192" s="128">
        <f t="shared" si="19"/>
        <v>456180</v>
      </c>
      <c r="W192" s="128">
        <v>17653</v>
      </c>
      <c r="X192" s="188">
        <f t="shared" si="17"/>
        <v>2.5841500028323798E-2</v>
      </c>
      <c r="Y192" s="238"/>
      <c r="AE192" s="128"/>
      <c r="AF192" s="128"/>
      <c r="AG192" s="128"/>
    </row>
    <row r="193" spans="1:33" x14ac:dyDescent="0.25">
      <c r="A193" t="s">
        <v>517</v>
      </c>
      <c r="B193" t="s">
        <v>191</v>
      </c>
      <c r="C193">
        <f t="shared" si="14"/>
        <v>5151</v>
      </c>
      <c r="D193">
        <v>3556</v>
      </c>
      <c r="E193">
        <v>1595</v>
      </c>
      <c r="F193">
        <v>0</v>
      </c>
      <c r="G193">
        <v>0</v>
      </c>
      <c r="H193">
        <v>53</v>
      </c>
      <c r="I193">
        <v>149</v>
      </c>
      <c r="J193">
        <v>2299</v>
      </c>
      <c r="K193">
        <v>0</v>
      </c>
      <c r="L193">
        <v>336</v>
      </c>
      <c r="M193">
        <v>278</v>
      </c>
      <c r="N193">
        <v>1393</v>
      </c>
      <c r="O193">
        <v>418</v>
      </c>
      <c r="P193">
        <f t="shared" si="15"/>
        <v>2964000</v>
      </c>
      <c r="Q193">
        <v>2506000</v>
      </c>
      <c r="R193">
        <v>458000</v>
      </c>
      <c r="S193">
        <v>219000</v>
      </c>
      <c r="T193" s="128">
        <f t="shared" si="18"/>
        <v>6518910</v>
      </c>
      <c r="U193" s="128">
        <f t="shared" si="16"/>
        <v>1367910</v>
      </c>
      <c r="V193" s="128">
        <f t="shared" si="19"/>
        <v>1367910</v>
      </c>
      <c r="W193" s="128">
        <v>59441</v>
      </c>
      <c r="X193" s="188">
        <f t="shared" si="17"/>
        <v>2.3012903551420737E-2</v>
      </c>
      <c r="Y193" s="238"/>
      <c r="AE193" s="128"/>
      <c r="AF193" s="128"/>
      <c r="AG193" s="128"/>
    </row>
    <row r="194" spans="1:33" x14ac:dyDescent="0.25">
      <c r="A194" t="s">
        <v>521</v>
      </c>
      <c r="B194" t="s">
        <v>416</v>
      </c>
      <c r="C194">
        <f t="shared" si="14"/>
        <v>4619</v>
      </c>
      <c r="D194">
        <v>2727</v>
      </c>
      <c r="E194">
        <v>1892</v>
      </c>
      <c r="F194">
        <v>0</v>
      </c>
      <c r="G194">
        <v>0</v>
      </c>
      <c r="H194">
        <v>19</v>
      </c>
      <c r="I194">
        <v>55</v>
      </c>
      <c r="J194">
        <v>2340</v>
      </c>
      <c r="K194">
        <v>1598</v>
      </c>
      <c r="L194">
        <v>96</v>
      </c>
      <c r="M194">
        <v>20</v>
      </c>
      <c r="N194">
        <v>519</v>
      </c>
      <c r="O194">
        <v>22</v>
      </c>
      <c r="P194">
        <f t="shared" si="15"/>
        <v>2560000</v>
      </c>
      <c r="Q194">
        <v>2149000</v>
      </c>
      <c r="R194">
        <v>411000</v>
      </c>
      <c r="S194">
        <v>267500</v>
      </c>
      <c r="T194" s="128">
        <f t="shared" si="18"/>
        <v>5659755</v>
      </c>
      <c r="U194" s="128">
        <f t="shared" si="16"/>
        <v>1040755</v>
      </c>
      <c r="V194" s="128">
        <f t="shared" si="19"/>
        <v>1040755</v>
      </c>
      <c r="W194" s="128">
        <v>46271</v>
      </c>
      <c r="X194" s="188">
        <f t="shared" si="17"/>
        <v>2.2492597955522897E-2</v>
      </c>
      <c r="Y194" s="238"/>
      <c r="AE194" s="128"/>
    </row>
    <row r="195" spans="1:33" x14ac:dyDescent="0.25">
      <c r="A195" t="s">
        <v>519</v>
      </c>
      <c r="B195" t="s">
        <v>225</v>
      </c>
      <c r="C195">
        <f t="shared" ref="C195:C258" si="20">SUM(D195:E195)</f>
        <v>18073</v>
      </c>
      <c r="D195">
        <v>7280</v>
      </c>
      <c r="E195">
        <v>10793</v>
      </c>
      <c r="F195">
        <v>5566</v>
      </c>
      <c r="G195">
        <v>137</v>
      </c>
      <c r="H195">
        <v>56</v>
      </c>
      <c r="I195">
        <v>10</v>
      </c>
      <c r="J195">
        <v>5216</v>
      </c>
      <c r="K195">
        <v>8772</v>
      </c>
      <c r="L195">
        <v>980</v>
      </c>
      <c r="M195">
        <v>432</v>
      </c>
      <c r="N195">
        <v>2287</v>
      </c>
      <c r="O195">
        <v>214</v>
      </c>
      <c r="P195">
        <f t="shared" ref="P195:P258" si="21">SUM(Q195:R195)</f>
        <v>9841000</v>
      </c>
      <c r="Q195">
        <v>7892000</v>
      </c>
      <c r="R195">
        <v>1949000</v>
      </c>
      <c r="S195">
        <v>202000</v>
      </c>
      <c r="T195" s="128">
        <f t="shared" si="18"/>
        <v>22459950</v>
      </c>
      <c r="U195" s="128">
        <f t="shared" ref="U195:U258" si="22">SUM(T195,-C195*1000)</f>
        <v>4386950</v>
      </c>
      <c r="V195" s="128">
        <f t="shared" si="19"/>
        <v>4386950</v>
      </c>
      <c r="W195" s="128">
        <v>229749</v>
      </c>
      <c r="X195" s="188">
        <f t="shared" ref="X195:X258" si="23">U195/(W195*1000)</f>
        <v>1.909453359971099E-2</v>
      </c>
      <c r="Y195" s="238"/>
      <c r="AE195" s="128"/>
      <c r="AF195" s="128"/>
      <c r="AG195" s="128"/>
    </row>
    <row r="196" spans="1:33" x14ac:dyDescent="0.25">
      <c r="A196" t="s">
        <v>524</v>
      </c>
      <c r="B196" t="s">
        <v>309</v>
      </c>
      <c r="C196">
        <f t="shared" si="20"/>
        <v>8363</v>
      </c>
      <c r="D196">
        <v>5148</v>
      </c>
      <c r="E196">
        <v>3215</v>
      </c>
      <c r="F196">
        <v>0</v>
      </c>
      <c r="G196">
        <v>0</v>
      </c>
      <c r="H196">
        <v>0</v>
      </c>
      <c r="I196">
        <v>186</v>
      </c>
      <c r="J196">
        <v>2766</v>
      </c>
      <c r="K196">
        <v>3901</v>
      </c>
      <c r="L196">
        <v>230</v>
      </c>
      <c r="M196">
        <v>171</v>
      </c>
      <c r="N196">
        <v>1326</v>
      </c>
      <c r="O196">
        <v>433</v>
      </c>
      <c r="P196">
        <f t="shared" si="21"/>
        <v>4631000</v>
      </c>
      <c r="Q196">
        <v>4046000</v>
      </c>
      <c r="R196">
        <v>585000</v>
      </c>
      <c r="S196">
        <v>272000</v>
      </c>
      <c r="T196" s="128">
        <f t="shared" si="18"/>
        <v>9936480</v>
      </c>
      <c r="U196" s="128">
        <f t="shared" si="22"/>
        <v>1573480</v>
      </c>
      <c r="V196" s="128">
        <f t="shared" si="19"/>
        <v>1573480</v>
      </c>
      <c r="W196" s="128">
        <v>75030</v>
      </c>
      <c r="X196" s="188">
        <f t="shared" si="23"/>
        <v>2.0971344795415167E-2</v>
      </c>
      <c r="Y196" s="238"/>
      <c r="AE196" s="128"/>
      <c r="AF196" s="128"/>
      <c r="AG196" s="128"/>
    </row>
    <row r="197" spans="1:33" x14ac:dyDescent="0.25">
      <c r="A197" t="s">
        <v>526</v>
      </c>
      <c r="B197" t="s">
        <v>192</v>
      </c>
      <c r="C197">
        <f t="shared" si="20"/>
        <v>10208</v>
      </c>
      <c r="D197">
        <v>5952</v>
      </c>
      <c r="E197">
        <v>4256</v>
      </c>
      <c r="F197">
        <v>455</v>
      </c>
      <c r="G197">
        <v>0</v>
      </c>
      <c r="H197">
        <v>267</v>
      </c>
      <c r="I197">
        <v>210</v>
      </c>
      <c r="J197">
        <v>2204</v>
      </c>
      <c r="K197">
        <v>3207</v>
      </c>
      <c r="L197">
        <v>486</v>
      </c>
      <c r="M197">
        <v>594</v>
      </c>
      <c r="N197">
        <v>1447</v>
      </c>
      <c r="O197">
        <v>335</v>
      </c>
      <c r="P197">
        <f t="shared" si="21"/>
        <v>7352000</v>
      </c>
      <c r="Q197">
        <v>6201000</v>
      </c>
      <c r="R197">
        <v>1151000</v>
      </c>
      <c r="S197">
        <v>277000</v>
      </c>
      <c r="T197" s="128">
        <f t="shared" si="18"/>
        <v>16198215</v>
      </c>
      <c r="U197" s="128">
        <f t="shared" si="22"/>
        <v>5990215</v>
      </c>
      <c r="V197" s="128">
        <f t="shared" si="19"/>
        <v>5990215</v>
      </c>
      <c r="W197" s="128">
        <v>102386</v>
      </c>
      <c r="X197" s="188">
        <f t="shared" si="23"/>
        <v>5.8506192252847068E-2</v>
      </c>
      <c r="Y197" s="238"/>
      <c r="AE197" s="128"/>
      <c r="AF197" s="128"/>
      <c r="AG197" s="128"/>
    </row>
    <row r="198" spans="1:33" s="86" customFormat="1" x14ac:dyDescent="0.25">
      <c r="A198" s="86" t="s">
        <v>519</v>
      </c>
      <c r="B198" s="86" t="s">
        <v>193</v>
      </c>
      <c r="C198">
        <f t="shared" si="20"/>
        <v>91822</v>
      </c>
      <c r="D198" s="86">
        <v>49570</v>
      </c>
      <c r="E198" s="86">
        <v>42252</v>
      </c>
      <c r="F198" s="86">
        <v>18378</v>
      </c>
      <c r="G198" s="86">
        <v>538</v>
      </c>
      <c r="H198" s="86">
        <v>824</v>
      </c>
      <c r="I198" s="86">
        <v>1375</v>
      </c>
      <c r="J198" s="86">
        <v>16240</v>
      </c>
      <c r="K198" s="86">
        <v>3699</v>
      </c>
      <c r="L198" s="86">
        <v>2121</v>
      </c>
      <c r="M198" s="86">
        <v>0</v>
      </c>
      <c r="N198" s="86">
        <v>6081</v>
      </c>
      <c r="O198" s="86">
        <v>2145</v>
      </c>
      <c r="P198">
        <f t="shared" si="21"/>
        <v>27058000</v>
      </c>
      <c r="Q198" s="86">
        <v>22539000</v>
      </c>
      <c r="R198" s="86">
        <v>4519000</v>
      </c>
      <c r="S198" s="86">
        <v>232000</v>
      </c>
      <c r="T198" s="243">
        <f t="shared" si="18"/>
        <v>60154185</v>
      </c>
      <c r="U198" s="128">
        <f t="shared" si="22"/>
        <v>-31667815</v>
      </c>
      <c r="V198" s="243">
        <f t="shared" si="19"/>
        <v>0</v>
      </c>
      <c r="W198" s="243">
        <v>811173</v>
      </c>
      <c r="X198" s="273">
        <f t="shared" si="23"/>
        <v>-3.9039532873998521E-2</v>
      </c>
      <c r="Y198" s="301"/>
      <c r="AE198" s="243"/>
      <c r="AF198" s="243"/>
      <c r="AG198" s="243"/>
    </row>
    <row r="199" spans="1:33" x14ac:dyDescent="0.25">
      <c r="A199" t="s">
        <v>526</v>
      </c>
      <c r="B199" t="s">
        <v>479</v>
      </c>
      <c r="C199">
        <f t="shared" si="20"/>
        <v>17285</v>
      </c>
      <c r="D199">
        <v>10790</v>
      </c>
      <c r="E199">
        <v>6495</v>
      </c>
      <c r="F199">
        <v>3113</v>
      </c>
      <c r="G199">
        <v>42</v>
      </c>
      <c r="H199">
        <v>150</v>
      </c>
      <c r="I199">
        <v>1246</v>
      </c>
      <c r="J199">
        <v>6181</v>
      </c>
      <c r="K199">
        <v>13431</v>
      </c>
      <c r="L199">
        <v>890</v>
      </c>
      <c r="M199">
        <v>456</v>
      </c>
      <c r="N199">
        <v>527</v>
      </c>
      <c r="O199">
        <v>172</v>
      </c>
      <c r="P199">
        <f t="shared" si="21"/>
        <v>9748000</v>
      </c>
      <c r="Q199">
        <v>8552000</v>
      </c>
      <c r="R199">
        <v>1196000</v>
      </c>
      <c r="S199">
        <v>247000</v>
      </c>
      <c r="T199" s="128">
        <f t="shared" si="18"/>
        <v>20848320</v>
      </c>
      <c r="U199" s="128">
        <f t="shared" si="22"/>
        <v>3563320</v>
      </c>
      <c r="V199" s="128">
        <f t="shared" si="19"/>
        <v>3563320</v>
      </c>
      <c r="W199" s="128">
        <v>310996</v>
      </c>
      <c r="X199" s="188">
        <f t="shared" si="23"/>
        <v>1.1457767945568431E-2</v>
      </c>
      <c r="Y199" s="238"/>
      <c r="AE199" s="128"/>
      <c r="AF199" s="128"/>
      <c r="AG199" s="128"/>
    </row>
    <row r="200" spans="1:33" x14ac:dyDescent="0.25">
      <c r="A200" t="s">
        <v>524</v>
      </c>
      <c r="B200" t="s">
        <v>604</v>
      </c>
      <c r="C200">
        <f t="shared" si="20"/>
        <v>9709</v>
      </c>
      <c r="D200">
        <v>6220</v>
      </c>
      <c r="E200">
        <v>3489</v>
      </c>
      <c r="F200">
        <v>388</v>
      </c>
      <c r="G200">
        <v>0</v>
      </c>
      <c r="H200">
        <v>560</v>
      </c>
      <c r="I200">
        <v>255</v>
      </c>
      <c r="J200">
        <v>5022</v>
      </c>
      <c r="K200">
        <v>5354</v>
      </c>
      <c r="L200">
        <v>449</v>
      </c>
      <c r="M200">
        <v>327</v>
      </c>
      <c r="N200">
        <v>1366</v>
      </c>
      <c r="O200">
        <v>245</v>
      </c>
      <c r="P200">
        <f t="shared" si="21"/>
        <v>4725000</v>
      </c>
      <c r="Q200">
        <v>3811000</v>
      </c>
      <c r="R200">
        <v>914000</v>
      </c>
      <c r="S200">
        <v>214000</v>
      </c>
      <c r="T200" s="128">
        <f t="shared" si="18"/>
        <v>10742295</v>
      </c>
      <c r="U200" s="128">
        <f t="shared" si="22"/>
        <v>1033295</v>
      </c>
      <c r="V200" s="128">
        <f t="shared" si="19"/>
        <v>1033295</v>
      </c>
      <c r="W200" s="128">
        <v>160636</v>
      </c>
      <c r="X200" s="188">
        <f t="shared" si="23"/>
        <v>6.432524465250629E-3</v>
      </c>
      <c r="Y200" s="238"/>
      <c r="AE200" s="128"/>
      <c r="AF200" s="128"/>
      <c r="AG200" s="128"/>
    </row>
    <row r="201" spans="1:33" x14ac:dyDescent="0.25">
      <c r="A201" t="s">
        <v>524</v>
      </c>
      <c r="B201" t="s">
        <v>335</v>
      </c>
      <c r="C201">
        <f t="shared" si="20"/>
        <v>2399</v>
      </c>
      <c r="D201">
        <v>1729</v>
      </c>
      <c r="E201">
        <v>670</v>
      </c>
      <c r="F201">
        <v>717</v>
      </c>
      <c r="G201">
        <v>5</v>
      </c>
      <c r="H201">
        <v>1937</v>
      </c>
      <c r="I201">
        <v>972</v>
      </c>
      <c r="J201">
        <v>1070</v>
      </c>
      <c r="K201">
        <v>1286</v>
      </c>
      <c r="L201">
        <v>120</v>
      </c>
      <c r="M201">
        <v>68</v>
      </c>
      <c r="N201">
        <v>200</v>
      </c>
      <c r="O201">
        <v>247</v>
      </c>
      <c r="P201">
        <f t="shared" si="21"/>
        <v>1734000</v>
      </c>
      <c r="Q201">
        <v>1456000</v>
      </c>
      <c r="R201">
        <v>278000</v>
      </c>
      <c r="S201">
        <v>282000</v>
      </c>
      <c r="T201" s="128">
        <f t="shared" si="18"/>
        <v>3832860</v>
      </c>
      <c r="U201" s="128">
        <f t="shared" si="22"/>
        <v>1433860</v>
      </c>
      <c r="V201" s="128">
        <f t="shared" si="19"/>
        <v>1433860</v>
      </c>
      <c r="W201" s="128">
        <v>27944</v>
      </c>
      <c r="X201" s="188">
        <f t="shared" si="23"/>
        <v>5.1311909533352421E-2</v>
      </c>
      <c r="Y201" s="238"/>
      <c r="AE201" s="128"/>
      <c r="AF201" s="128"/>
      <c r="AG201" s="128"/>
    </row>
    <row r="202" spans="1:33" x14ac:dyDescent="0.25">
      <c r="A202" t="s">
        <v>519</v>
      </c>
      <c r="B202" t="s">
        <v>114</v>
      </c>
      <c r="C202">
        <f t="shared" si="20"/>
        <v>6361</v>
      </c>
      <c r="D202">
        <v>4365</v>
      </c>
      <c r="E202">
        <v>1996</v>
      </c>
      <c r="F202">
        <v>0</v>
      </c>
      <c r="G202">
        <v>0</v>
      </c>
      <c r="H202">
        <v>289</v>
      </c>
      <c r="I202">
        <v>495</v>
      </c>
      <c r="J202">
        <v>4018</v>
      </c>
      <c r="K202">
        <v>2988</v>
      </c>
      <c r="L202">
        <v>287</v>
      </c>
      <c r="M202">
        <v>168</v>
      </c>
      <c r="N202">
        <v>530</v>
      </c>
      <c r="O202">
        <v>50</v>
      </c>
      <c r="P202">
        <f t="shared" si="21"/>
        <v>4727000</v>
      </c>
      <c r="Q202">
        <v>3923000</v>
      </c>
      <c r="R202">
        <v>804000</v>
      </c>
      <c r="S202">
        <v>285000</v>
      </c>
      <c r="T202" s="128">
        <f t="shared" si="18"/>
        <v>10536555</v>
      </c>
      <c r="U202" s="128">
        <f t="shared" si="22"/>
        <v>4175555</v>
      </c>
      <c r="V202" s="128">
        <f t="shared" si="19"/>
        <v>4175555</v>
      </c>
      <c r="W202" s="128">
        <v>101474</v>
      </c>
      <c r="X202" s="188">
        <f t="shared" si="23"/>
        <v>4.1149013540414295E-2</v>
      </c>
      <c r="Y202" s="238"/>
      <c r="AE202" s="128"/>
      <c r="AF202" s="128"/>
      <c r="AG202" s="128"/>
    </row>
    <row r="203" spans="1:33" x14ac:dyDescent="0.25">
      <c r="A203" t="s">
        <v>519</v>
      </c>
      <c r="B203" t="s">
        <v>432</v>
      </c>
      <c r="C203">
        <f t="shared" si="20"/>
        <v>12391</v>
      </c>
      <c r="D203">
        <v>6049</v>
      </c>
      <c r="E203">
        <v>6342</v>
      </c>
      <c r="F203">
        <v>0</v>
      </c>
      <c r="G203">
        <v>0</v>
      </c>
      <c r="H203">
        <v>406</v>
      </c>
      <c r="I203">
        <v>80</v>
      </c>
      <c r="J203">
        <v>3278</v>
      </c>
      <c r="K203">
        <v>5764</v>
      </c>
      <c r="L203">
        <v>473</v>
      </c>
      <c r="M203">
        <v>510</v>
      </c>
      <c r="N203">
        <v>1056</v>
      </c>
      <c r="O203">
        <v>221</v>
      </c>
      <c r="P203">
        <f t="shared" si="21"/>
        <v>6049000</v>
      </c>
      <c r="Q203">
        <v>4213000</v>
      </c>
      <c r="R203">
        <v>1836000</v>
      </c>
      <c r="S203">
        <v>205000</v>
      </c>
      <c r="T203" s="128">
        <f t="shared" si="18"/>
        <v>15020925</v>
      </c>
      <c r="U203" s="128">
        <f t="shared" si="22"/>
        <v>2629925</v>
      </c>
      <c r="V203" s="128">
        <f t="shared" si="19"/>
        <v>2629925</v>
      </c>
      <c r="W203" s="128">
        <v>143634</v>
      </c>
      <c r="X203" s="188">
        <f t="shared" si="23"/>
        <v>1.8309905732625979E-2</v>
      </c>
      <c r="Y203" s="238"/>
      <c r="AE203" s="128"/>
      <c r="AF203" s="128"/>
      <c r="AG203" s="128"/>
    </row>
    <row r="204" spans="1:33" x14ac:dyDescent="0.25">
      <c r="A204" t="s">
        <v>521</v>
      </c>
      <c r="B204" t="s">
        <v>310</v>
      </c>
      <c r="C204">
        <f t="shared" si="20"/>
        <v>13501</v>
      </c>
      <c r="D204">
        <v>9484</v>
      </c>
      <c r="E204">
        <v>4017</v>
      </c>
      <c r="F204">
        <v>4434</v>
      </c>
      <c r="G204">
        <v>208</v>
      </c>
      <c r="H204">
        <v>3326</v>
      </c>
      <c r="I204">
        <v>1611</v>
      </c>
      <c r="J204">
        <v>4693</v>
      </c>
      <c r="K204">
        <v>6765</v>
      </c>
      <c r="L204">
        <v>516</v>
      </c>
      <c r="M204">
        <v>203</v>
      </c>
      <c r="N204">
        <v>2584</v>
      </c>
      <c r="O204">
        <v>392</v>
      </c>
      <c r="P204">
        <f t="shared" si="21"/>
        <v>9546000</v>
      </c>
      <c r="Q204">
        <v>8264000</v>
      </c>
      <c r="R204">
        <v>1282000</v>
      </c>
      <c r="S204">
        <v>173000</v>
      </c>
      <c r="T204" s="128">
        <f t="shared" si="18"/>
        <v>20627340</v>
      </c>
      <c r="U204" s="128">
        <f t="shared" si="22"/>
        <v>7126340</v>
      </c>
      <c r="V204" s="128">
        <f t="shared" si="19"/>
        <v>7126340</v>
      </c>
      <c r="W204" s="128">
        <v>139670</v>
      </c>
      <c r="X204" s="188">
        <f t="shared" si="23"/>
        <v>5.102269635569557E-2</v>
      </c>
      <c r="Y204" s="238"/>
      <c r="AE204" s="128"/>
      <c r="AF204" s="128"/>
      <c r="AG204" s="128"/>
    </row>
    <row r="205" spans="1:33" x14ac:dyDescent="0.25">
      <c r="A205" t="s">
        <v>520</v>
      </c>
      <c r="B205" t="s">
        <v>435</v>
      </c>
      <c r="C205">
        <f t="shared" si="20"/>
        <v>6390</v>
      </c>
      <c r="D205">
        <v>5014</v>
      </c>
      <c r="E205">
        <v>1376</v>
      </c>
      <c r="F205">
        <v>0</v>
      </c>
      <c r="G205">
        <v>0</v>
      </c>
      <c r="H205">
        <v>24</v>
      </c>
      <c r="I205">
        <v>75</v>
      </c>
      <c r="J205">
        <v>2000</v>
      </c>
      <c r="K205">
        <v>2584</v>
      </c>
      <c r="L205">
        <v>340</v>
      </c>
      <c r="M205">
        <v>93</v>
      </c>
      <c r="N205">
        <v>784</v>
      </c>
      <c r="O205">
        <v>46</v>
      </c>
      <c r="P205">
        <f t="shared" si="21"/>
        <v>4168000</v>
      </c>
      <c r="Q205">
        <v>3816000</v>
      </c>
      <c r="R205">
        <v>352000</v>
      </c>
      <c r="S205" s="129">
        <v>158333.33333333334</v>
      </c>
      <c r="T205" s="128">
        <f t="shared" si="18"/>
        <v>8610600</v>
      </c>
      <c r="U205" s="128">
        <f t="shared" si="22"/>
        <v>2220600</v>
      </c>
      <c r="V205" s="128">
        <f t="shared" si="19"/>
        <v>2220600</v>
      </c>
      <c r="W205" s="128">
        <v>55260</v>
      </c>
      <c r="X205" s="188">
        <f t="shared" si="23"/>
        <v>4.0184581976112924E-2</v>
      </c>
      <c r="Y205" s="238"/>
      <c r="AE205" s="128"/>
      <c r="AF205" s="128"/>
      <c r="AG205" s="128"/>
    </row>
    <row r="206" spans="1:33" x14ac:dyDescent="0.25">
      <c r="A206" t="s">
        <v>528</v>
      </c>
      <c r="B206" t="s">
        <v>194</v>
      </c>
      <c r="C206">
        <f t="shared" si="20"/>
        <v>5938</v>
      </c>
      <c r="D206">
        <v>4316</v>
      </c>
      <c r="E206">
        <v>1622</v>
      </c>
      <c r="F206">
        <v>0</v>
      </c>
      <c r="G206">
        <v>0</v>
      </c>
      <c r="H206">
        <v>817</v>
      </c>
      <c r="I206">
        <v>752</v>
      </c>
      <c r="J206">
        <v>1795</v>
      </c>
      <c r="K206">
        <v>2317</v>
      </c>
      <c r="L206">
        <v>525</v>
      </c>
      <c r="M206">
        <v>313</v>
      </c>
      <c r="N206">
        <v>1005</v>
      </c>
      <c r="O206">
        <v>106</v>
      </c>
      <c r="P206">
        <f t="shared" si="21"/>
        <v>4290000</v>
      </c>
      <c r="Q206">
        <v>3757000</v>
      </c>
      <c r="R206">
        <v>533000</v>
      </c>
      <c r="S206">
        <v>201000</v>
      </c>
      <c r="T206" s="128">
        <f t="shared" si="18"/>
        <v>9187815</v>
      </c>
      <c r="U206" s="128">
        <f t="shared" si="22"/>
        <v>3249815</v>
      </c>
      <c r="V206" s="128">
        <f t="shared" si="19"/>
        <v>3249815</v>
      </c>
      <c r="W206" s="128">
        <v>66254</v>
      </c>
      <c r="X206" s="188">
        <f t="shared" si="23"/>
        <v>4.9050849760014489E-2</v>
      </c>
      <c r="Y206" s="238"/>
      <c r="AE206" s="128"/>
      <c r="AF206" s="128"/>
      <c r="AG206" s="128"/>
    </row>
    <row r="207" spans="1:33" x14ac:dyDescent="0.25">
      <c r="A207" s="86" t="s">
        <v>516</v>
      </c>
      <c r="B207" t="s">
        <v>311</v>
      </c>
      <c r="C207">
        <f t="shared" si="20"/>
        <v>8933</v>
      </c>
      <c r="D207">
        <v>5634</v>
      </c>
      <c r="E207">
        <v>3299</v>
      </c>
      <c r="F207">
        <v>0</v>
      </c>
      <c r="G207">
        <v>9</v>
      </c>
      <c r="H207">
        <v>382</v>
      </c>
      <c r="I207">
        <v>135</v>
      </c>
      <c r="J207">
        <v>2504</v>
      </c>
      <c r="K207">
        <v>4133</v>
      </c>
      <c r="L207">
        <v>182</v>
      </c>
      <c r="M207">
        <v>0</v>
      </c>
      <c r="N207">
        <v>1367</v>
      </c>
      <c r="O207">
        <v>73</v>
      </c>
      <c r="P207">
        <f t="shared" si="21"/>
        <v>5604000</v>
      </c>
      <c r="Q207">
        <v>5098000</v>
      </c>
      <c r="R207">
        <v>506000</v>
      </c>
      <c r="S207">
        <v>225000</v>
      </c>
      <c r="T207" s="128">
        <f t="shared" si="18"/>
        <v>11639550</v>
      </c>
      <c r="U207" s="128">
        <f t="shared" si="22"/>
        <v>2706550</v>
      </c>
      <c r="V207" s="128">
        <f t="shared" si="19"/>
        <v>2706550</v>
      </c>
      <c r="W207" s="128">
        <v>59324</v>
      </c>
      <c r="X207" s="188">
        <f t="shared" si="23"/>
        <v>4.5623187917200457E-2</v>
      </c>
      <c r="Y207" s="238"/>
      <c r="AE207" s="128"/>
      <c r="AF207" s="128"/>
      <c r="AG207" s="128"/>
    </row>
    <row r="208" spans="1:33" s="86" customFormat="1" x14ac:dyDescent="0.25">
      <c r="A208" s="86" t="s">
        <v>523</v>
      </c>
      <c r="B208" s="86" t="s">
        <v>380</v>
      </c>
      <c r="C208">
        <f t="shared" si="20"/>
        <v>7223</v>
      </c>
      <c r="D208" s="86">
        <v>3682</v>
      </c>
      <c r="E208" s="86">
        <v>3541</v>
      </c>
      <c r="F208" s="86">
        <v>0</v>
      </c>
      <c r="G208" s="86">
        <v>0</v>
      </c>
      <c r="H208" s="86">
        <v>363</v>
      </c>
      <c r="I208" s="86">
        <v>102</v>
      </c>
      <c r="J208" s="86">
        <v>1662</v>
      </c>
      <c r="K208" s="86">
        <v>1620</v>
      </c>
      <c r="L208" s="86">
        <v>178</v>
      </c>
      <c r="M208" s="86">
        <v>0</v>
      </c>
      <c r="N208" s="86">
        <v>480</v>
      </c>
      <c r="O208" s="86">
        <v>84</v>
      </c>
      <c r="P208">
        <f t="shared" si="21"/>
        <v>3690000</v>
      </c>
      <c r="Q208" s="86">
        <v>2907000</v>
      </c>
      <c r="R208" s="86">
        <v>783000</v>
      </c>
      <c r="S208" s="86">
        <v>186000</v>
      </c>
      <c r="T208" s="243">
        <f t="shared" si="18"/>
        <v>8521065</v>
      </c>
      <c r="U208" s="128">
        <f t="shared" si="22"/>
        <v>1298065</v>
      </c>
      <c r="V208" s="243">
        <f t="shared" si="19"/>
        <v>1298065</v>
      </c>
      <c r="W208" s="243">
        <v>39933</v>
      </c>
      <c r="X208" s="273">
        <f t="shared" si="23"/>
        <v>3.2506072671725138E-2</v>
      </c>
      <c r="Y208" s="301"/>
      <c r="AE208" s="243"/>
      <c r="AF208" s="243"/>
      <c r="AG208" s="243"/>
    </row>
    <row r="209" spans="1:33" x14ac:dyDescent="0.25">
      <c r="A209" t="s">
        <v>521</v>
      </c>
      <c r="B209" t="s">
        <v>381</v>
      </c>
      <c r="C209">
        <f t="shared" si="20"/>
        <v>8576</v>
      </c>
      <c r="D209">
        <v>5936</v>
      </c>
      <c r="E209">
        <v>2640</v>
      </c>
      <c r="F209">
        <v>1175</v>
      </c>
      <c r="G209">
        <v>174</v>
      </c>
      <c r="H209">
        <v>991</v>
      </c>
      <c r="I209">
        <v>129</v>
      </c>
      <c r="J209">
        <v>3264</v>
      </c>
      <c r="K209">
        <v>2842</v>
      </c>
      <c r="L209">
        <v>451</v>
      </c>
      <c r="M209">
        <v>0</v>
      </c>
      <c r="N209">
        <v>960</v>
      </c>
      <c r="O209">
        <v>280</v>
      </c>
      <c r="P209">
        <f t="shared" si="21"/>
        <v>5901000</v>
      </c>
      <c r="Q209">
        <v>5202000</v>
      </c>
      <c r="R209">
        <v>699000</v>
      </c>
      <c r="S209" s="129">
        <v>309500</v>
      </c>
      <c r="T209" s="128">
        <f t="shared" si="18"/>
        <v>12573000</v>
      </c>
      <c r="U209" s="128">
        <f t="shared" si="22"/>
        <v>3997000</v>
      </c>
      <c r="V209" s="128">
        <f t="shared" si="19"/>
        <v>3997000</v>
      </c>
      <c r="W209" s="128">
        <v>88044</v>
      </c>
      <c r="X209" s="188">
        <f t="shared" si="23"/>
        <v>4.5397755667620734E-2</v>
      </c>
      <c r="Y209" s="238"/>
      <c r="AE209" s="128"/>
    </row>
    <row r="210" spans="1:33" x14ac:dyDescent="0.25">
      <c r="A210" t="s">
        <v>517</v>
      </c>
      <c r="B210" t="s">
        <v>123</v>
      </c>
      <c r="C210">
        <f t="shared" si="20"/>
        <v>14047</v>
      </c>
      <c r="D210">
        <v>7222</v>
      </c>
      <c r="E210">
        <v>6825</v>
      </c>
      <c r="F210">
        <v>3</v>
      </c>
      <c r="G210">
        <v>19</v>
      </c>
      <c r="H210">
        <v>81</v>
      </c>
      <c r="I210">
        <v>111</v>
      </c>
      <c r="J210">
        <v>4585</v>
      </c>
      <c r="K210">
        <v>4232</v>
      </c>
      <c r="L210">
        <v>524</v>
      </c>
      <c r="M210">
        <v>155</v>
      </c>
      <c r="N210">
        <v>865</v>
      </c>
      <c r="O210">
        <v>53</v>
      </c>
      <c r="P210">
        <f t="shared" si="21"/>
        <v>3869000</v>
      </c>
      <c r="Q210">
        <v>3099000</v>
      </c>
      <c r="R210">
        <v>770000</v>
      </c>
      <c r="S210">
        <v>302000</v>
      </c>
      <c r="T210" s="128">
        <f t="shared" si="18"/>
        <v>8837295</v>
      </c>
      <c r="U210" s="128">
        <f t="shared" si="22"/>
        <v>-5209705</v>
      </c>
      <c r="V210" s="128">
        <f t="shared" si="19"/>
        <v>0</v>
      </c>
      <c r="W210" s="128">
        <v>151781</v>
      </c>
      <c r="X210" s="188">
        <f t="shared" si="23"/>
        <v>-3.4323828410670637E-2</v>
      </c>
      <c r="Y210" s="238"/>
      <c r="AE210" s="128"/>
      <c r="AF210" s="128"/>
      <c r="AG210" s="128"/>
    </row>
    <row r="211" spans="1:33" x14ac:dyDescent="0.25">
      <c r="A211" t="s">
        <v>519</v>
      </c>
      <c r="B211" t="s">
        <v>195</v>
      </c>
      <c r="C211">
        <f t="shared" si="20"/>
        <v>5496</v>
      </c>
      <c r="D211">
        <v>3479</v>
      </c>
      <c r="E211">
        <v>2017</v>
      </c>
      <c r="F211">
        <v>0</v>
      </c>
      <c r="G211">
        <v>21</v>
      </c>
      <c r="H211">
        <v>696</v>
      </c>
      <c r="I211">
        <v>63</v>
      </c>
      <c r="J211">
        <v>1575</v>
      </c>
      <c r="K211">
        <v>2890</v>
      </c>
      <c r="L211">
        <v>241</v>
      </c>
      <c r="M211">
        <v>557</v>
      </c>
      <c r="N211">
        <v>1083</v>
      </c>
      <c r="O211">
        <v>117</v>
      </c>
      <c r="P211">
        <f t="shared" si="21"/>
        <v>3292000</v>
      </c>
      <c r="Q211">
        <v>2846000</v>
      </c>
      <c r="R211">
        <v>446000</v>
      </c>
      <c r="S211">
        <v>270000</v>
      </c>
      <c r="T211" s="128">
        <f t="shared" si="18"/>
        <v>7120890</v>
      </c>
      <c r="U211" s="128">
        <f t="shared" si="22"/>
        <v>1624890</v>
      </c>
      <c r="V211" s="128">
        <f t="shared" si="19"/>
        <v>1624890</v>
      </c>
      <c r="W211" s="128">
        <v>71094</v>
      </c>
      <c r="X211" s="188">
        <f t="shared" si="23"/>
        <v>2.2855515233353024E-2</v>
      </c>
      <c r="Y211" s="238"/>
      <c r="AE211" s="128"/>
      <c r="AF211" s="128"/>
      <c r="AG211" s="128"/>
    </row>
    <row r="212" spans="1:33" x14ac:dyDescent="0.25">
      <c r="A212" t="s">
        <v>521</v>
      </c>
      <c r="B212" t="s">
        <v>153</v>
      </c>
      <c r="C212">
        <f t="shared" si="20"/>
        <v>8582</v>
      </c>
      <c r="D212">
        <v>4418</v>
      </c>
      <c r="E212">
        <v>4164</v>
      </c>
      <c r="F212">
        <v>783</v>
      </c>
      <c r="G212">
        <v>22</v>
      </c>
      <c r="H212">
        <v>96</v>
      </c>
      <c r="I212">
        <v>224</v>
      </c>
      <c r="J212">
        <v>3120</v>
      </c>
      <c r="K212">
        <v>4210</v>
      </c>
      <c r="L212">
        <v>449</v>
      </c>
      <c r="M212">
        <v>202</v>
      </c>
      <c r="N212">
        <v>719</v>
      </c>
      <c r="O212">
        <v>108</v>
      </c>
      <c r="P212">
        <f t="shared" si="21"/>
        <v>4432000</v>
      </c>
      <c r="Q212">
        <v>3670000</v>
      </c>
      <c r="R212">
        <v>762000</v>
      </c>
      <c r="S212">
        <v>351000</v>
      </c>
      <c r="T212" s="128">
        <f t="shared" si="18"/>
        <v>9894570</v>
      </c>
      <c r="U212" s="128">
        <f t="shared" si="22"/>
        <v>1312570</v>
      </c>
      <c r="V212" s="128">
        <f t="shared" si="19"/>
        <v>1312570</v>
      </c>
      <c r="W212" s="128">
        <v>96089</v>
      </c>
      <c r="X212" s="188">
        <f t="shared" si="23"/>
        <v>1.3659940263713848E-2</v>
      </c>
      <c r="Y212" s="238"/>
      <c r="AE212" s="128"/>
      <c r="AF212" s="128"/>
      <c r="AG212" s="128"/>
    </row>
    <row r="213" spans="1:33" x14ac:dyDescent="0.25">
      <c r="A213" t="s">
        <v>517</v>
      </c>
      <c r="B213" t="s">
        <v>154</v>
      </c>
      <c r="C213">
        <f t="shared" si="20"/>
        <v>4923</v>
      </c>
      <c r="D213">
        <v>3572</v>
      </c>
      <c r="E213">
        <v>1351</v>
      </c>
      <c r="F213">
        <v>0</v>
      </c>
      <c r="G213">
        <v>0</v>
      </c>
      <c r="H213">
        <v>141</v>
      </c>
      <c r="I213">
        <v>54</v>
      </c>
      <c r="J213">
        <v>1789</v>
      </c>
      <c r="K213">
        <v>1765</v>
      </c>
      <c r="L213">
        <v>176</v>
      </c>
      <c r="M213">
        <v>58</v>
      </c>
      <c r="N213">
        <v>285</v>
      </c>
      <c r="O213">
        <v>60</v>
      </c>
      <c r="P213">
        <f t="shared" si="21"/>
        <v>2459000</v>
      </c>
      <c r="Q213">
        <v>2160000</v>
      </c>
      <c r="R213">
        <v>299000</v>
      </c>
      <c r="S213">
        <v>318000</v>
      </c>
      <c r="T213" s="128">
        <f t="shared" si="18"/>
        <v>5253990</v>
      </c>
      <c r="U213" s="128">
        <f t="shared" si="22"/>
        <v>330990</v>
      </c>
      <c r="V213" s="128">
        <f t="shared" si="19"/>
        <v>330990</v>
      </c>
      <c r="W213" s="128">
        <v>47490</v>
      </c>
      <c r="X213" s="188">
        <f t="shared" si="23"/>
        <v>6.9696778269109283E-3</v>
      </c>
      <c r="Y213" s="238"/>
      <c r="AE213" s="128"/>
      <c r="AF213" s="128"/>
      <c r="AG213" s="128"/>
    </row>
    <row r="214" spans="1:33" x14ac:dyDescent="0.25">
      <c r="A214" t="s">
        <v>517</v>
      </c>
      <c r="B214" t="s">
        <v>155</v>
      </c>
      <c r="C214">
        <f t="shared" si="20"/>
        <v>4201</v>
      </c>
      <c r="D214" s="129">
        <v>2365</v>
      </c>
      <c r="E214" s="129">
        <v>1836</v>
      </c>
      <c r="F214" s="129">
        <v>0</v>
      </c>
      <c r="G214" s="129">
        <v>34</v>
      </c>
      <c r="H214" s="129">
        <v>770</v>
      </c>
      <c r="I214" s="129">
        <v>837</v>
      </c>
      <c r="J214" s="129">
        <v>1934</v>
      </c>
      <c r="K214" s="129">
        <v>1587</v>
      </c>
      <c r="L214" s="129">
        <v>194</v>
      </c>
      <c r="M214" s="129">
        <v>259</v>
      </c>
      <c r="N214" s="129">
        <v>557</v>
      </c>
      <c r="O214" s="129">
        <v>51</v>
      </c>
      <c r="P214">
        <f t="shared" si="21"/>
        <v>2728000</v>
      </c>
      <c r="Q214" s="129">
        <v>2170000</v>
      </c>
      <c r="R214" s="129">
        <v>558000</v>
      </c>
      <c r="S214">
        <v>314000</v>
      </c>
      <c r="T214" s="128">
        <f>0.1905*SUM(Q214,R214,R214)*10</f>
        <v>6259830</v>
      </c>
      <c r="U214" s="128">
        <f t="shared" si="22"/>
        <v>2058830</v>
      </c>
      <c r="V214" s="128">
        <f>IF(U214&gt;0,U214,0)</f>
        <v>2058830</v>
      </c>
      <c r="W214" s="128">
        <v>53492</v>
      </c>
      <c r="X214" s="188">
        <f t="shared" si="23"/>
        <v>3.8488559036865329E-2</v>
      </c>
      <c r="Y214" s="238"/>
      <c r="AA214" s="129"/>
      <c r="AB214" s="129"/>
      <c r="AC214" s="129"/>
      <c r="AD214" s="129"/>
      <c r="AE214" s="128"/>
      <c r="AF214" s="128"/>
      <c r="AG214" s="128"/>
    </row>
    <row r="215" spans="1:33" x14ac:dyDescent="0.25">
      <c r="A215" t="s">
        <v>525</v>
      </c>
      <c r="B215" t="s">
        <v>196</v>
      </c>
      <c r="C215">
        <f t="shared" si="20"/>
        <v>6772</v>
      </c>
      <c r="D215">
        <v>4381</v>
      </c>
      <c r="E215">
        <v>2391</v>
      </c>
      <c r="F215">
        <v>0</v>
      </c>
      <c r="G215">
        <v>16</v>
      </c>
      <c r="H215">
        <v>680</v>
      </c>
      <c r="I215">
        <v>174</v>
      </c>
      <c r="J215">
        <v>2791</v>
      </c>
      <c r="K215">
        <v>2640</v>
      </c>
      <c r="L215">
        <v>249</v>
      </c>
      <c r="M215">
        <v>0</v>
      </c>
      <c r="N215">
        <v>769</v>
      </c>
      <c r="O215">
        <v>100</v>
      </c>
      <c r="P215">
        <f t="shared" si="21"/>
        <v>3852000</v>
      </c>
      <c r="Q215">
        <v>3031000</v>
      </c>
      <c r="R215">
        <v>821000</v>
      </c>
      <c r="S215">
        <v>134000</v>
      </c>
      <c r="T215" s="128">
        <f t="shared" si="18"/>
        <v>8902065</v>
      </c>
      <c r="U215" s="128">
        <f t="shared" si="22"/>
        <v>2130065</v>
      </c>
      <c r="V215" s="128">
        <f t="shared" si="19"/>
        <v>2130065</v>
      </c>
      <c r="W215" s="128">
        <v>74521</v>
      </c>
      <c r="X215" s="188">
        <f t="shared" si="23"/>
        <v>2.8583419438815903E-2</v>
      </c>
      <c r="Y215" s="238"/>
      <c r="AE215" s="128"/>
      <c r="AF215" s="128"/>
      <c r="AG215" s="128"/>
    </row>
    <row r="216" spans="1:33" x14ac:dyDescent="0.25">
      <c r="A216" t="s">
        <v>519</v>
      </c>
      <c r="B216" t="s">
        <v>382</v>
      </c>
      <c r="C216">
        <f t="shared" si="20"/>
        <v>12056</v>
      </c>
      <c r="D216">
        <v>6581</v>
      </c>
      <c r="E216">
        <v>5475</v>
      </c>
      <c r="F216">
        <v>1882</v>
      </c>
      <c r="G216">
        <v>91</v>
      </c>
      <c r="H216">
        <v>400</v>
      </c>
      <c r="I216">
        <v>305</v>
      </c>
      <c r="J216">
        <v>5441</v>
      </c>
      <c r="K216">
        <v>6586</v>
      </c>
      <c r="L216">
        <v>938</v>
      </c>
      <c r="M216">
        <v>0</v>
      </c>
      <c r="N216">
        <v>1813</v>
      </c>
      <c r="O216">
        <v>254</v>
      </c>
      <c r="P216">
        <f t="shared" si="21"/>
        <v>8789000</v>
      </c>
      <c r="Q216">
        <v>7171000</v>
      </c>
      <c r="R216">
        <v>1618000</v>
      </c>
      <c r="S216">
        <v>246000</v>
      </c>
      <c r="T216" s="128">
        <f t="shared" si="18"/>
        <v>19825335</v>
      </c>
      <c r="U216" s="128">
        <f t="shared" si="22"/>
        <v>7769335</v>
      </c>
      <c r="V216" s="128">
        <f t="shared" si="19"/>
        <v>7769335</v>
      </c>
      <c r="W216" s="128">
        <v>163559</v>
      </c>
      <c r="X216" s="188">
        <f t="shared" si="23"/>
        <v>4.7501727205473257E-2</v>
      </c>
      <c r="Y216" s="238"/>
      <c r="AE216" s="128"/>
      <c r="AF216" s="128"/>
      <c r="AG216" s="128"/>
    </row>
    <row r="217" spans="1:33" x14ac:dyDescent="0.25">
      <c r="A217" t="s">
        <v>522</v>
      </c>
      <c r="B217" t="s">
        <v>133</v>
      </c>
      <c r="C217">
        <f t="shared" si="20"/>
        <v>3155</v>
      </c>
      <c r="D217">
        <v>2461</v>
      </c>
      <c r="E217">
        <v>694</v>
      </c>
      <c r="F217">
        <v>0</v>
      </c>
      <c r="G217">
        <v>0</v>
      </c>
      <c r="H217">
        <v>319</v>
      </c>
      <c r="I217">
        <v>188</v>
      </c>
      <c r="J217">
        <v>2826</v>
      </c>
      <c r="K217">
        <v>2630</v>
      </c>
      <c r="L217">
        <v>280</v>
      </c>
      <c r="M217">
        <v>0</v>
      </c>
      <c r="N217">
        <v>530</v>
      </c>
      <c r="O217">
        <v>32</v>
      </c>
      <c r="P217">
        <f t="shared" si="21"/>
        <v>3082000</v>
      </c>
      <c r="Q217">
        <v>2624000</v>
      </c>
      <c r="R217">
        <v>458000</v>
      </c>
      <c r="S217">
        <v>216000</v>
      </c>
      <c r="T217" s="128">
        <f t="shared" si="18"/>
        <v>6743700</v>
      </c>
      <c r="U217" s="128">
        <f t="shared" si="22"/>
        <v>3588700</v>
      </c>
      <c r="V217" s="128">
        <f t="shared" si="19"/>
        <v>3588700</v>
      </c>
      <c r="W217" s="128">
        <v>77041</v>
      </c>
      <c r="X217" s="188">
        <f t="shared" si="23"/>
        <v>4.65816902688179E-2</v>
      </c>
      <c r="Y217" s="238"/>
      <c r="AE217" s="128"/>
      <c r="AF217" s="128"/>
      <c r="AG217" s="128"/>
    </row>
    <row r="218" spans="1:33" x14ac:dyDescent="0.25">
      <c r="A218" t="s">
        <v>522</v>
      </c>
      <c r="B218" t="s">
        <v>267</v>
      </c>
      <c r="C218">
        <f t="shared" si="20"/>
        <v>2542</v>
      </c>
      <c r="D218">
        <v>1835</v>
      </c>
      <c r="E218">
        <v>707</v>
      </c>
      <c r="F218">
        <v>0</v>
      </c>
      <c r="G218">
        <v>0</v>
      </c>
      <c r="H218">
        <v>292</v>
      </c>
      <c r="I218">
        <v>39</v>
      </c>
      <c r="J218">
        <v>1469</v>
      </c>
      <c r="K218">
        <v>1294</v>
      </c>
      <c r="L218">
        <v>143</v>
      </c>
      <c r="M218">
        <v>125</v>
      </c>
      <c r="N218">
        <v>430</v>
      </c>
      <c r="O218">
        <v>43</v>
      </c>
      <c r="P218">
        <f t="shared" si="21"/>
        <v>1773000</v>
      </c>
      <c r="Q218">
        <v>1597000</v>
      </c>
      <c r="R218">
        <v>176000</v>
      </c>
      <c r="S218">
        <v>229000</v>
      </c>
      <c r="T218" s="128">
        <f t="shared" si="18"/>
        <v>3712845</v>
      </c>
      <c r="U218" s="128">
        <f t="shared" si="22"/>
        <v>1170845</v>
      </c>
      <c r="V218" s="128">
        <f t="shared" si="19"/>
        <v>1170845</v>
      </c>
      <c r="W218" s="128">
        <v>23043</v>
      </c>
      <c r="X218" s="188">
        <f t="shared" si="23"/>
        <v>5.0811309291324915E-2</v>
      </c>
      <c r="Y218" s="238"/>
      <c r="AE218" s="128"/>
      <c r="AF218" s="128"/>
      <c r="AG218" s="128"/>
    </row>
    <row r="219" spans="1:33" x14ac:dyDescent="0.25">
      <c r="A219" t="s">
        <v>522</v>
      </c>
      <c r="B219" t="s">
        <v>268</v>
      </c>
      <c r="C219">
        <f t="shared" si="20"/>
        <v>2919</v>
      </c>
      <c r="D219">
        <v>2054</v>
      </c>
      <c r="E219">
        <v>865</v>
      </c>
      <c r="F219">
        <v>0</v>
      </c>
      <c r="G219">
        <v>0</v>
      </c>
      <c r="H219">
        <v>12</v>
      </c>
      <c r="I219">
        <v>127</v>
      </c>
      <c r="J219">
        <v>1133</v>
      </c>
      <c r="K219">
        <v>1780</v>
      </c>
      <c r="L219">
        <v>107</v>
      </c>
      <c r="M219">
        <v>17</v>
      </c>
      <c r="N219">
        <v>170</v>
      </c>
      <c r="O219">
        <v>37</v>
      </c>
      <c r="P219">
        <f t="shared" si="21"/>
        <v>1681000</v>
      </c>
      <c r="Q219">
        <v>1422000</v>
      </c>
      <c r="R219">
        <v>259000</v>
      </c>
      <c r="S219">
        <v>242000</v>
      </c>
      <c r="T219" s="128">
        <f t="shared" si="18"/>
        <v>3695700</v>
      </c>
      <c r="U219" s="128">
        <f t="shared" si="22"/>
        <v>776700</v>
      </c>
      <c r="V219" s="128">
        <f t="shared" si="19"/>
        <v>776700</v>
      </c>
      <c r="W219" s="128">
        <v>38550</v>
      </c>
      <c r="X219" s="188">
        <f t="shared" si="23"/>
        <v>2.014785992217899E-2</v>
      </c>
      <c r="Y219" s="238"/>
      <c r="AE219" s="128"/>
      <c r="AF219" s="128"/>
      <c r="AG219" s="128"/>
    </row>
    <row r="220" spans="1:33" x14ac:dyDescent="0.25">
      <c r="A220" t="s">
        <v>519</v>
      </c>
      <c r="B220" t="s">
        <v>134</v>
      </c>
      <c r="C220">
        <f t="shared" si="20"/>
        <v>4710</v>
      </c>
      <c r="D220">
        <v>3190</v>
      </c>
      <c r="E220">
        <v>1520</v>
      </c>
      <c r="F220">
        <v>0</v>
      </c>
      <c r="G220">
        <v>0</v>
      </c>
      <c r="H220">
        <v>178</v>
      </c>
      <c r="I220">
        <v>40</v>
      </c>
      <c r="J220">
        <v>2896</v>
      </c>
      <c r="K220">
        <v>3278</v>
      </c>
      <c r="L220">
        <v>255</v>
      </c>
      <c r="M220">
        <v>150</v>
      </c>
      <c r="N220">
        <v>716</v>
      </c>
      <c r="O220">
        <v>28</v>
      </c>
      <c r="P220">
        <f t="shared" si="21"/>
        <v>3663000</v>
      </c>
      <c r="Q220">
        <v>3124000</v>
      </c>
      <c r="R220">
        <v>539000</v>
      </c>
      <c r="S220">
        <v>204000</v>
      </c>
      <c r="T220" s="128">
        <f t="shared" si="18"/>
        <v>8004810</v>
      </c>
      <c r="U220" s="128">
        <f t="shared" si="22"/>
        <v>3294810</v>
      </c>
      <c r="V220" s="128">
        <f t="shared" si="19"/>
        <v>3294810</v>
      </c>
      <c r="W220" s="128">
        <v>81198</v>
      </c>
      <c r="X220" s="188">
        <f t="shared" si="23"/>
        <v>4.0577477277765464E-2</v>
      </c>
      <c r="Y220" s="238"/>
      <c r="AE220" s="128"/>
      <c r="AF220" s="128"/>
      <c r="AG220" s="128"/>
    </row>
    <row r="221" spans="1:33" s="86" customFormat="1" x14ac:dyDescent="0.25">
      <c r="A221" s="86" t="s">
        <v>517</v>
      </c>
      <c r="B221" s="86" t="s">
        <v>383</v>
      </c>
      <c r="C221">
        <f t="shared" si="20"/>
        <v>21715</v>
      </c>
      <c r="D221" s="86">
        <v>12691</v>
      </c>
      <c r="E221" s="86">
        <v>9024</v>
      </c>
      <c r="F221" s="86">
        <v>2272</v>
      </c>
      <c r="G221" s="86">
        <v>68</v>
      </c>
      <c r="H221" s="86">
        <v>233</v>
      </c>
      <c r="I221" s="86">
        <v>745</v>
      </c>
      <c r="J221" s="86">
        <v>8465</v>
      </c>
      <c r="K221" s="86">
        <v>12072</v>
      </c>
      <c r="L221" s="86">
        <v>1019</v>
      </c>
      <c r="M221" s="86">
        <v>240</v>
      </c>
      <c r="N221" s="86">
        <v>2863</v>
      </c>
      <c r="O221" s="86">
        <v>577</v>
      </c>
      <c r="P221">
        <f t="shared" si="21"/>
        <v>12435000</v>
      </c>
      <c r="Q221" s="86">
        <v>10502000</v>
      </c>
      <c r="R221" s="86">
        <v>1933000</v>
      </c>
      <c r="S221" s="86">
        <v>230000</v>
      </c>
      <c r="T221" s="243">
        <f t="shared" si="18"/>
        <v>27371040</v>
      </c>
      <c r="U221" s="128">
        <f t="shared" si="22"/>
        <v>5656040</v>
      </c>
      <c r="V221" s="243">
        <f t="shared" si="19"/>
        <v>5656040</v>
      </c>
      <c r="W221" s="243">
        <v>300514</v>
      </c>
      <c r="X221" s="273">
        <f t="shared" si="23"/>
        <v>1.8821219643677167E-2</v>
      </c>
      <c r="Y221" s="301"/>
      <c r="AE221" s="243"/>
      <c r="AF221" s="243"/>
      <c r="AG221" s="243"/>
    </row>
    <row r="222" spans="1:33" x14ac:dyDescent="0.25">
      <c r="A222" t="s">
        <v>520</v>
      </c>
      <c r="B222" t="s">
        <v>197</v>
      </c>
      <c r="C222">
        <f t="shared" si="20"/>
        <v>8833</v>
      </c>
      <c r="D222">
        <v>6197</v>
      </c>
      <c r="E222">
        <v>2636</v>
      </c>
      <c r="F222">
        <v>0</v>
      </c>
      <c r="G222">
        <v>6</v>
      </c>
      <c r="H222">
        <v>211</v>
      </c>
      <c r="I222">
        <v>0</v>
      </c>
      <c r="J222">
        <v>4130</v>
      </c>
      <c r="K222">
        <v>3582</v>
      </c>
      <c r="L222">
        <v>345</v>
      </c>
      <c r="M222">
        <v>126</v>
      </c>
      <c r="N222">
        <v>430</v>
      </c>
      <c r="O222">
        <v>110</v>
      </c>
      <c r="P222">
        <f t="shared" si="21"/>
        <v>4828000</v>
      </c>
      <c r="Q222">
        <v>3993000</v>
      </c>
      <c r="R222">
        <v>835000</v>
      </c>
      <c r="S222">
        <v>191000</v>
      </c>
      <c r="T222" s="128">
        <f t="shared" si="18"/>
        <v>10788015</v>
      </c>
      <c r="U222" s="128">
        <f t="shared" si="22"/>
        <v>1955015</v>
      </c>
      <c r="V222" s="128">
        <f t="shared" si="19"/>
        <v>1955015</v>
      </c>
      <c r="W222" s="128">
        <v>107641</v>
      </c>
      <c r="X222" s="188">
        <f t="shared" si="23"/>
        <v>1.8162363783316766E-2</v>
      </c>
      <c r="Y222" s="238"/>
      <c r="AE222" s="128"/>
      <c r="AF222" s="128"/>
      <c r="AG222" s="128"/>
    </row>
    <row r="223" spans="1:33" x14ac:dyDescent="0.25">
      <c r="A223" t="s">
        <v>518</v>
      </c>
      <c r="B223" t="s">
        <v>269</v>
      </c>
      <c r="C223">
        <f t="shared" si="20"/>
        <v>5528</v>
      </c>
      <c r="D223">
        <v>2200</v>
      </c>
      <c r="E223">
        <v>3328</v>
      </c>
      <c r="F223">
        <v>767</v>
      </c>
      <c r="G223">
        <v>0</v>
      </c>
      <c r="H223">
        <v>344</v>
      </c>
      <c r="I223">
        <v>118</v>
      </c>
      <c r="J223">
        <v>1798</v>
      </c>
      <c r="K223">
        <v>1976</v>
      </c>
      <c r="L223">
        <v>210</v>
      </c>
      <c r="M223">
        <v>204</v>
      </c>
      <c r="N223">
        <v>1140</v>
      </c>
      <c r="O223">
        <v>16</v>
      </c>
      <c r="P223">
        <f t="shared" si="21"/>
        <v>3684000</v>
      </c>
      <c r="Q223">
        <v>2935000</v>
      </c>
      <c r="R223">
        <v>749000</v>
      </c>
      <c r="S223">
        <v>284000</v>
      </c>
      <c r="T223" s="128">
        <f t="shared" si="18"/>
        <v>8444865</v>
      </c>
      <c r="U223" s="128">
        <f t="shared" si="22"/>
        <v>2916865</v>
      </c>
      <c r="V223" s="128">
        <f t="shared" si="19"/>
        <v>2916865</v>
      </c>
      <c r="W223" s="128">
        <v>37781</v>
      </c>
      <c r="X223" s="188">
        <f t="shared" si="23"/>
        <v>7.7204547259204365E-2</v>
      </c>
      <c r="Y223" s="238"/>
      <c r="AE223" s="128"/>
      <c r="AF223" s="128"/>
      <c r="AG223" s="128"/>
    </row>
    <row r="224" spans="1:33" x14ac:dyDescent="0.25">
      <c r="A224" t="s">
        <v>518</v>
      </c>
      <c r="B224" t="s">
        <v>226</v>
      </c>
      <c r="C224">
        <f t="shared" si="20"/>
        <v>2787</v>
      </c>
      <c r="D224">
        <v>1905</v>
      </c>
      <c r="E224">
        <v>882</v>
      </c>
      <c r="F224">
        <v>0</v>
      </c>
      <c r="G224">
        <v>12</v>
      </c>
      <c r="H224">
        <v>13</v>
      </c>
      <c r="I224">
        <v>58</v>
      </c>
      <c r="J224">
        <v>1730</v>
      </c>
      <c r="K224">
        <v>1264</v>
      </c>
      <c r="L224">
        <v>166</v>
      </c>
      <c r="M224">
        <v>6</v>
      </c>
      <c r="N224">
        <v>355</v>
      </c>
      <c r="O224">
        <v>75</v>
      </c>
      <c r="P224">
        <f t="shared" si="21"/>
        <v>1628000</v>
      </c>
      <c r="Q224">
        <v>1440000</v>
      </c>
      <c r="R224">
        <v>188000</v>
      </c>
      <c r="S224">
        <v>239000</v>
      </c>
      <c r="T224" s="128">
        <f t="shared" si="18"/>
        <v>3459480</v>
      </c>
      <c r="U224" s="128">
        <f t="shared" si="22"/>
        <v>672480</v>
      </c>
      <c r="V224" s="128">
        <f t="shared" si="19"/>
        <v>672480</v>
      </c>
      <c r="W224" s="128">
        <v>24950</v>
      </c>
      <c r="X224" s="188">
        <f t="shared" si="23"/>
        <v>2.695310621242485E-2</v>
      </c>
      <c r="Y224" s="238"/>
      <c r="AE224" s="128"/>
      <c r="AF224" s="128"/>
      <c r="AG224" s="128"/>
    </row>
    <row r="225" spans="1:33" x14ac:dyDescent="0.25">
      <c r="A225" t="s">
        <v>520</v>
      </c>
      <c r="B225" t="s">
        <v>198</v>
      </c>
      <c r="C225">
        <f t="shared" si="20"/>
        <v>8648</v>
      </c>
      <c r="D225">
        <v>5893</v>
      </c>
      <c r="E225">
        <v>2755</v>
      </c>
      <c r="F225">
        <v>0</v>
      </c>
      <c r="G225">
        <v>35</v>
      </c>
      <c r="H225">
        <v>0</v>
      </c>
      <c r="I225">
        <v>592</v>
      </c>
      <c r="J225">
        <v>1938</v>
      </c>
      <c r="K225">
        <v>6118</v>
      </c>
      <c r="L225">
        <v>497</v>
      </c>
      <c r="M225">
        <v>80</v>
      </c>
      <c r="N225">
        <v>1696</v>
      </c>
      <c r="O225">
        <v>152</v>
      </c>
      <c r="P225">
        <f t="shared" si="21"/>
        <v>6630000</v>
      </c>
      <c r="Q225">
        <v>5655000</v>
      </c>
      <c r="R225">
        <v>975000</v>
      </c>
      <c r="S225">
        <v>212000</v>
      </c>
      <c r="T225" s="128">
        <f t="shared" si="18"/>
        <v>14487525</v>
      </c>
      <c r="U225" s="128">
        <f t="shared" si="22"/>
        <v>5839525</v>
      </c>
      <c r="V225" s="128">
        <f t="shared" si="19"/>
        <v>5839525</v>
      </c>
      <c r="W225" s="128">
        <v>113661</v>
      </c>
      <c r="X225" s="188">
        <f t="shared" si="23"/>
        <v>5.1376681535443114E-2</v>
      </c>
      <c r="Y225" s="238"/>
      <c r="AE225" s="128"/>
      <c r="AF225" s="128"/>
      <c r="AG225" s="128"/>
    </row>
    <row r="226" spans="1:33" x14ac:dyDescent="0.25">
      <c r="A226" t="s">
        <v>517</v>
      </c>
      <c r="B226" t="s">
        <v>312</v>
      </c>
      <c r="C226">
        <f t="shared" si="20"/>
        <v>8001</v>
      </c>
      <c r="D226">
        <v>5105</v>
      </c>
      <c r="E226">
        <v>2896</v>
      </c>
      <c r="F226">
        <v>579</v>
      </c>
      <c r="G226">
        <v>0</v>
      </c>
      <c r="H226">
        <v>56</v>
      </c>
      <c r="I226">
        <v>280</v>
      </c>
      <c r="J226">
        <v>2411</v>
      </c>
      <c r="K226">
        <v>4922</v>
      </c>
      <c r="L226">
        <v>342</v>
      </c>
      <c r="M226">
        <v>408</v>
      </c>
      <c r="N226">
        <v>467</v>
      </c>
      <c r="O226">
        <v>30</v>
      </c>
      <c r="P226">
        <f t="shared" si="21"/>
        <v>4316000</v>
      </c>
      <c r="Q226">
        <v>3732000</v>
      </c>
      <c r="R226">
        <v>584000</v>
      </c>
      <c r="S226">
        <v>218000</v>
      </c>
      <c r="T226" s="128">
        <f t="shared" si="18"/>
        <v>9334500</v>
      </c>
      <c r="U226" s="128">
        <f t="shared" si="22"/>
        <v>1333500</v>
      </c>
      <c r="V226" s="128">
        <f t="shared" si="19"/>
        <v>1333500</v>
      </c>
      <c r="W226" s="128">
        <v>88301</v>
      </c>
      <c r="X226" s="188">
        <f t="shared" si="23"/>
        <v>1.5101754227018947E-2</v>
      </c>
      <c r="Y226" s="238"/>
      <c r="AE226" s="128"/>
      <c r="AF226" s="128"/>
      <c r="AG226" s="128"/>
    </row>
    <row r="227" spans="1:33" x14ac:dyDescent="0.25">
      <c r="A227" t="s">
        <v>519</v>
      </c>
      <c r="B227" t="s">
        <v>417</v>
      </c>
      <c r="C227">
        <f t="shared" si="20"/>
        <v>8471</v>
      </c>
      <c r="D227">
        <v>4941</v>
      </c>
      <c r="E227">
        <v>3530</v>
      </c>
      <c r="F227">
        <v>0</v>
      </c>
      <c r="G227">
        <v>0</v>
      </c>
      <c r="H227">
        <v>930</v>
      </c>
      <c r="I227">
        <v>18</v>
      </c>
      <c r="J227">
        <v>5566</v>
      </c>
      <c r="K227">
        <v>3803</v>
      </c>
      <c r="L227">
        <v>596</v>
      </c>
      <c r="M227">
        <v>43</v>
      </c>
      <c r="N227">
        <v>962</v>
      </c>
      <c r="O227">
        <v>26</v>
      </c>
      <c r="P227">
        <f t="shared" si="21"/>
        <v>6136000</v>
      </c>
      <c r="Q227">
        <v>5149000</v>
      </c>
      <c r="R227">
        <v>987000</v>
      </c>
      <c r="S227">
        <v>198000</v>
      </c>
      <c r="T227" s="128">
        <f t="shared" si="18"/>
        <v>13569315</v>
      </c>
      <c r="U227" s="128">
        <f t="shared" si="22"/>
        <v>5098315</v>
      </c>
      <c r="V227" s="128">
        <f t="shared" si="19"/>
        <v>5098315</v>
      </c>
      <c r="W227" s="128">
        <v>102350</v>
      </c>
      <c r="X227" s="188">
        <f t="shared" si="23"/>
        <v>4.9812554958475821E-2</v>
      </c>
      <c r="Y227" s="238"/>
      <c r="AE227" s="128"/>
      <c r="AF227" s="128"/>
      <c r="AG227" s="128"/>
    </row>
    <row r="228" spans="1:33" x14ac:dyDescent="0.25">
      <c r="A228" t="s">
        <v>518</v>
      </c>
      <c r="B228" t="s">
        <v>124</v>
      </c>
      <c r="C228">
        <f t="shared" si="20"/>
        <v>3141</v>
      </c>
      <c r="D228">
        <v>2048</v>
      </c>
      <c r="E228">
        <v>1093</v>
      </c>
      <c r="F228">
        <v>0</v>
      </c>
      <c r="G228">
        <v>0</v>
      </c>
      <c r="H228">
        <v>0</v>
      </c>
      <c r="I228">
        <v>125</v>
      </c>
      <c r="J228">
        <v>1106</v>
      </c>
      <c r="K228">
        <v>1577</v>
      </c>
      <c r="L228">
        <v>135</v>
      </c>
      <c r="M228">
        <v>62</v>
      </c>
      <c r="N228">
        <v>148</v>
      </c>
      <c r="O228">
        <v>12</v>
      </c>
      <c r="P228">
        <f t="shared" si="21"/>
        <v>929000</v>
      </c>
      <c r="Q228">
        <v>801000</v>
      </c>
      <c r="R228">
        <v>128000</v>
      </c>
      <c r="S228">
        <v>358000</v>
      </c>
      <c r="T228" s="128">
        <f t="shared" si="18"/>
        <v>2013585</v>
      </c>
      <c r="U228" s="128">
        <f t="shared" si="22"/>
        <v>-1127415</v>
      </c>
      <c r="V228" s="128">
        <f t="shared" si="19"/>
        <v>0</v>
      </c>
      <c r="W228" s="128">
        <v>47401</v>
      </c>
      <c r="X228" s="188">
        <f t="shared" si="23"/>
        <v>-2.3784624796945212E-2</v>
      </c>
      <c r="Y228" s="238"/>
      <c r="AE228" s="128"/>
      <c r="AF228" s="128"/>
      <c r="AG228" s="128"/>
    </row>
    <row r="229" spans="1:33" x14ac:dyDescent="0.25">
      <c r="A229" t="s">
        <v>524</v>
      </c>
      <c r="B229" t="s">
        <v>313</v>
      </c>
      <c r="C229">
        <f t="shared" si="20"/>
        <v>10619</v>
      </c>
      <c r="D229">
        <v>7260</v>
      </c>
      <c r="E229">
        <v>3359</v>
      </c>
      <c r="F229">
        <v>10</v>
      </c>
      <c r="G229">
        <v>0</v>
      </c>
      <c r="H229">
        <v>208</v>
      </c>
      <c r="I229">
        <v>140</v>
      </c>
      <c r="J229">
        <v>5322</v>
      </c>
      <c r="K229">
        <v>7660</v>
      </c>
      <c r="L229">
        <v>756</v>
      </c>
      <c r="M229">
        <v>0</v>
      </c>
      <c r="N229">
        <v>2499</v>
      </c>
      <c r="O229">
        <v>126</v>
      </c>
      <c r="P229">
        <f t="shared" si="21"/>
        <v>8804000</v>
      </c>
      <c r="Q229">
        <v>7858000</v>
      </c>
      <c r="R229">
        <v>946000</v>
      </c>
      <c r="S229">
        <v>287000</v>
      </c>
      <c r="T229" s="128">
        <f t="shared" si="18"/>
        <v>18573750</v>
      </c>
      <c r="U229" s="128">
        <f t="shared" si="22"/>
        <v>7954750</v>
      </c>
      <c r="V229" s="128">
        <f t="shared" si="19"/>
        <v>7954750</v>
      </c>
      <c r="W229" s="128">
        <v>162381</v>
      </c>
      <c r="X229" s="188">
        <f t="shared" si="23"/>
        <v>4.8988182114902606E-2</v>
      </c>
      <c r="Y229" s="238"/>
      <c r="AE229" s="128"/>
      <c r="AF229" s="128"/>
      <c r="AG229" s="128"/>
    </row>
    <row r="230" spans="1:33" x14ac:dyDescent="0.25">
      <c r="A230" t="s">
        <v>519</v>
      </c>
      <c r="B230" t="s">
        <v>270</v>
      </c>
      <c r="C230">
        <f t="shared" si="20"/>
        <v>17230</v>
      </c>
      <c r="D230">
        <v>11537</v>
      </c>
      <c r="E230">
        <v>5693</v>
      </c>
      <c r="F230">
        <v>3240</v>
      </c>
      <c r="G230">
        <v>239</v>
      </c>
      <c r="H230">
        <v>148</v>
      </c>
      <c r="I230">
        <v>726</v>
      </c>
      <c r="J230">
        <v>8713</v>
      </c>
      <c r="K230">
        <v>15722</v>
      </c>
      <c r="L230">
        <v>870</v>
      </c>
      <c r="M230">
        <v>438</v>
      </c>
      <c r="N230">
        <v>3275</v>
      </c>
      <c r="O230">
        <v>278</v>
      </c>
      <c r="P230">
        <f t="shared" si="21"/>
        <v>13871000</v>
      </c>
      <c r="Q230">
        <v>12257000</v>
      </c>
      <c r="R230">
        <v>1614000</v>
      </c>
      <c r="S230">
        <v>235000</v>
      </c>
      <c r="T230" s="128">
        <f t="shared" si="18"/>
        <v>29498925</v>
      </c>
      <c r="U230" s="128">
        <f t="shared" si="22"/>
        <v>12268925</v>
      </c>
      <c r="V230" s="128">
        <f t="shared" si="19"/>
        <v>12268925</v>
      </c>
      <c r="W230" s="128">
        <v>295002</v>
      </c>
      <c r="X230" s="188">
        <f t="shared" si="23"/>
        <v>4.1589294309869088E-2</v>
      </c>
      <c r="Y230" s="238"/>
      <c r="AE230" s="128"/>
      <c r="AF230" s="128"/>
      <c r="AG230" s="128"/>
    </row>
    <row r="231" spans="1:33" x14ac:dyDescent="0.25">
      <c r="A231" t="s">
        <v>521</v>
      </c>
      <c r="B231" t="s">
        <v>199</v>
      </c>
      <c r="C231">
        <f t="shared" si="20"/>
        <v>4319</v>
      </c>
      <c r="D231">
        <v>2893</v>
      </c>
      <c r="E231">
        <v>1426</v>
      </c>
      <c r="F231">
        <v>10</v>
      </c>
      <c r="G231">
        <v>0</v>
      </c>
      <c r="H231">
        <v>735</v>
      </c>
      <c r="I231">
        <v>503</v>
      </c>
      <c r="J231">
        <v>2576</v>
      </c>
      <c r="K231">
        <v>1644</v>
      </c>
      <c r="L231">
        <v>346</v>
      </c>
      <c r="M231">
        <v>416</v>
      </c>
      <c r="N231">
        <v>1038</v>
      </c>
      <c r="O231">
        <v>120</v>
      </c>
      <c r="P231">
        <f t="shared" si="21"/>
        <v>4155000</v>
      </c>
      <c r="Q231">
        <v>3668000</v>
      </c>
      <c r="R231">
        <v>487000</v>
      </c>
      <c r="S231">
        <v>204000</v>
      </c>
      <c r="T231" s="128">
        <f t="shared" si="18"/>
        <v>8843010</v>
      </c>
      <c r="U231" s="128">
        <f t="shared" si="22"/>
        <v>4524010</v>
      </c>
      <c r="V231" s="128">
        <f t="shared" si="19"/>
        <v>4524010</v>
      </c>
      <c r="W231" s="128">
        <v>57399</v>
      </c>
      <c r="X231" s="188">
        <f t="shared" si="23"/>
        <v>7.8816878342828273E-2</v>
      </c>
      <c r="Y231" s="238"/>
      <c r="AE231" s="128"/>
      <c r="AF231" s="128"/>
      <c r="AG231" s="128"/>
    </row>
    <row r="232" spans="1:33" x14ac:dyDescent="0.25">
      <c r="A232" t="s">
        <v>526</v>
      </c>
      <c r="B232" t="s">
        <v>156</v>
      </c>
      <c r="C232">
        <f t="shared" si="20"/>
        <v>8788</v>
      </c>
      <c r="D232">
        <v>5482</v>
      </c>
      <c r="E232">
        <v>3306</v>
      </c>
      <c r="F232">
        <v>4</v>
      </c>
      <c r="G232">
        <v>41</v>
      </c>
      <c r="H232">
        <v>285</v>
      </c>
      <c r="I232">
        <v>273</v>
      </c>
      <c r="J232">
        <v>3826</v>
      </c>
      <c r="K232">
        <v>3062</v>
      </c>
      <c r="L232">
        <v>328</v>
      </c>
      <c r="M232">
        <v>188</v>
      </c>
      <c r="N232">
        <v>925</v>
      </c>
      <c r="O232">
        <v>150</v>
      </c>
      <c r="P232">
        <f t="shared" si="21"/>
        <v>5341000</v>
      </c>
      <c r="Q232">
        <v>4480000</v>
      </c>
      <c r="R232">
        <v>861000</v>
      </c>
      <c r="S232">
        <v>234000</v>
      </c>
      <c r="T232" s="128">
        <f t="shared" si="18"/>
        <v>11814810</v>
      </c>
      <c r="U232" s="128">
        <f t="shared" si="22"/>
        <v>3026810</v>
      </c>
      <c r="V232" s="128">
        <f t="shared" si="19"/>
        <v>3026810</v>
      </c>
      <c r="W232" s="128">
        <v>98414</v>
      </c>
      <c r="X232" s="188">
        <f t="shared" si="23"/>
        <v>3.0755888389863231E-2</v>
      </c>
      <c r="Y232" s="238"/>
      <c r="AE232" s="128"/>
      <c r="AF232" s="128"/>
      <c r="AG232" s="128"/>
    </row>
    <row r="233" spans="1:33" x14ac:dyDescent="0.25">
      <c r="A233" t="s">
        <v>525</v>
      </c>
      <c r="B233" t="s">
        <v>336</v>
      </c>
      <c r="C233">
        <f t="shared" si="20"/>
        <v>4049</v>
      </c>
      <c r="D233">
        <v>2311</v>
      </c>
      <c r="E233">
        <v>1738</v>
      </c>
      <c r="F233">
        <v>0</v>
      </c>
      <c r="G233">
        <v>0</v>
      </c>
      <c r="H233">
        <v>30</v>
      </c>
      <c r="I233">
        <v>6</v>
      </c>
      <c r="J233">
        <v>2440</v>
      </c>
      <c r="K233">
        <v>2818</v>
      </c>
      <c r="L233">
        <v>244</v>
      </c>
      <c r="M233">
        <v>274</v>
      </c>
      <c r="N233">
        <v>720</v>
      </c>
      <c r="O233">
        <v>983</v>
      </c>
      <c r="P233">
        <f t="shared" si="21"/>
        <v>2533000</v>
      </c>
      <c r="Q233">
        <v>1990000</v>
      </c>
      <c r="R233">
        <v>543000</v>
      </c>
      <c r="S233">
        <v>127000</v>
      </c>
      <c r="T233" s="128">
        <f t="shared" si="18"/>
        <v>5859780</v>
      </c>
      <c r="U233" s="128">
        <f t="shared" si="22"/>
        <v>1810780</v>
      </c>
      <c r="V233" s="128">
        <f t="shared" si="19"/>
        <v>1810780</v>
      </c>
      <c r="W233" s="128">
        <v>53290</v>
      </c>
      <c r="X233" s="188">
        <f t="shared" si="23"/>
        <v>3.3979733533495968E-2</v>
      </c>
      <c r="Y233" s="238"/>
      <c r="AE233" s="128"/>
      <c r="AF233" s="128"/>
      <c r="AG233" s="128"/>
    </row>
    <row r="234" spans="1:33" x14ac:dyDescent="0.25">
      <c r="A234" t="s">
        <v>521</v>
      </c>
      <c r="B234" t="s">
        <v>200</v>
      </c>
      <c r="C234">
        <f t="shared" si="20"/>
        <v>8803</v>
      </c>
      <c r="D234">
        <v>6035</v>
      </c>
      <c r="E234">
        <v>2768</v>
      </c>
      <c r="F234">
        <v>27</v>
      </c>
      <c r="G234">
        <v>10</v>
      </c>
      <c r="H234">
        <v>484</v>
      </c>
      <c r="I234">
        <v>263</v>
      </c>
      <c r="J234">
        <v>4481</v>
      </c>
      <c r="K234">
        <v>4042</v>
      </c>
      <c r="L234">
        <v>345</v>
      </c>
      <c r="M234">
        <v>312</v>
      </c>
      <c r="N234">
        <v>572</v>
      </c>
      <c r="O234">
        <v>19</v>
      </c>
      <c r="P234">
        <f t="shared" si="21"/>
        <v>5096000</v>
      </c>
      <c r="Q234">
        <v>4614000</v>
      </c>
      <c r="R234">
        <v>482000</v>
      </c>
      <c r="S234">
        <v>290000</v>
      </c>
      <c r="T234" s="128">
        <f t="shared" si="18"/>
        <v>10626090</v>
      </c>
      <c r="U234" s="128">
        <f t="shared" si="22"/>
        <v>1823090</v>
      </c>
      <c r="V234" s="128">
        <f t="shared" si="19"/>
        <v>1823090</v>
      </c>
      <c r="W234" s="128">
        <v>84813</v>
      </c>
      <c r="X234" s="188">
        <f t="shared" si="23"/>
        <v>2.1495407543654865E-2</v>
      </c>
      <c r="Y234" s="238"/>
      <c r="AE234" s="128"/>
      <c r="AF234" s="128"/>
      <c r="AG234" s="128"/>
    </row>
    <row r="235" spans="1:33" s="86" customFormat="1" x14ac:dyDescent="0.25">
      <c r="A235" s="94" t="s">
        <v>518</v>
      </c>
      <c r="B235" s="86" t="s">
        <v>227</v>
      </c>
      <c r="C235">
        <f t="shared" si="20"/>
        <v>1175</v>
      </c>
      <c r="D235" s="86">
        <v>636</v>
      </c>
      <c r="E235" s="86">
        <v>539</v>
      </c>
      <c r="F235" s="86">
        <v>0</v>
      </c>
      <c r="G235" s="86">
        <v>0</v>
      </c>
      <c r="H235" s="86">
        <v>51</v>
      </c>
      <c r="I235" s="86">
        <v>0</v>
      </c>
      <c r="J235" s="86">
        <v>612</v>
      </c>
      <c r="K235" s="86">
        <v>656</v>
      </c>
      <c r="L235" s="86">
        <v>68</v>
      </c>
      <c r="M235" s="86">
        <v>68</v>
      </c>
      <c r="N235" s="86">
        <v>232</v>
      </c>
      <c r="O235" s="86">
        <v>2</v>
      </c>
      <c r="P235">
        <f t="shared" si="21"/>
        <v>918000</v>
      </c>
      <c r="Q235" s="86">
        <v>737000</v>
      </c>
      <c r="R235" s="86">
        <v>181000</v>
      </c>
      <c r="S235" s="86">
        <v>209000</v>
      </c>
      <c r="T235" s="243">
        <f t="shared" si="18"/>
        <v>2093595</v>
      </c>
      <c r="U235" s="128">
        <f t="shared" si="22"/>
        <v>918595</v>
      </c>
      <c r="V235" s="243">
        <f t="shared" si="19"/>
        <v>918595</v>
      </c>
      <c r="W235" s="243">
        <v>13852</v>
      </c>
      <c r="X235" s="273">
        <f t="shared" si="23"/>
        <v>6.6314972567138322E-2</v>
      </c>
      <c r="Y235" s="301"/>
      <c r="AE235" s="243"/>
      <c r="AF235" s="243"/>
      <c r="AG235" s="243"/>
    </row>
    <row r="236" spans="1:33" x14ac:dyDescent="0.25">
      <c r="A236" t="s">
        <v>519</v>
      </c>
      <c r="B236" t="s">
        <v>384</v>
      </c>
      <c r="C236">
        <f t="shared" si="20"/>
        <v>2945</v>
      </c>
      <c r="D236">
        <v>1894</v>
      </c>
      <c r="E236">
        <v>1051</v>
      </c>
      <c r="F236">
        <v>0</v>
      </c>
      <c r="G236">
        <v>0</v>
      </c>
      <c r="H236">
        <v>184</v>
      </c>
      <c r="I236">
        <v>26</v>
      </c>
      <c r="J236">
        <v>1287</v>
      </c>
      <c r="K236">
        <v>785</v>
      </c>
      <c r="L236">
        <v>92</v>
      </c>
      <c r="M236">
        <v>0</v>
      </c>
      <c r="N236">
        <v>572</v>
      </c>
      <c r="O236">
        <v>158</v>
      </c>
      <c r="P236">
        <f t="shared" si="21"/>
        <v>1991000</v>
      </c>
      <c r="Q236">
        <v>1696000</v>
      </c>
      <c r="R236">
        <v>295000</v>
      </c>
      <c r="S236">
        <v>312000</v>
      </c>
      <c r="T236" s="128">
        <f t="shared" si="18"/>
        <v>4354830</v>
      </c>
      <c r="U236" s="128">
        <f t="shared" si="22"/>
        <v>1409830</v>
      </c>
      <c r="V236" s="128">
        <f t="shared" si="19"/>
        <v>1409830</v>
      </c>
      <c r="W236" s="128">
        <v>35400</v>
      </c>
      <c r="X236" s="188">
        <f t="shared" si="23"/>
        <v>3.9825706214689269E-2</v>
      </c>
      <c r="Y236" s="238"/>
      <c r="AE236" s="128"/>
      <c r="AF236" s="128"/>
      <c r="AG236" s="128"/>
    </row>
    <row r="237" spans="1:33" x14ac:dyDescent="0.25">
      <c r="A237" t="s">
        <v>522</v>
      </c>
      <c r="B237" t="s">
        <v>201</v>
      </c>
      <c r="C237">
        <f t="shared" si="20"/>
        <v>9113</v>
      </c>
      <c r="D237">
        <v>6778</v>
      </c>
      <c r="E237">
        <v>2335</v>
      </c>
      <c r="F237">
        <v>29</v>
      </c>
      <c r="G237">
        <v>0</v>
      </c>
      <c r="H237">
        <v>274</v>
      </c>
      <c r="I237">
        <v>388</v>
      </c>
      <c r="J237">
        <v>4572</v>
      </c>
      <c r="K237">
        <v>4544</v>
      </c>
      <c r="L237">
        <v>585</v>
      </c>
      <c r="M237">
        <v>504</v>
      </c>
      <c r="N237">
        <v>450</v>
      </c>
      <c r="O237">
        <v>81</v>
      </c>
      <c r="P237">
        <f t="shared" si="21"/>
        <v>5756000</v>
      </c>
      <c r="Q237">
        <v>5168000</v>
      </c>
      <c r="R237">
        <v>588000</v>
      </c>
      <c r="S237">
        <v>233000</v>
      </c>
      <c r="T237" s="128">
        <f t="shared" si="18"/>
        <v>12085320</v>
      </c>
      <c r="U237" s="128">
        <f t="shared" si="22"/>
        <v>2972320</v>
      </c>
      <c r="V237" s="128">
        <f t="shared" si="19"/>
        <v>2972320</v>
      </c>
      <c r="W237" s="128">
        <v>126298</v>
      </c>
      <c r="X237" s="188">
        <f t="shared" si="23"/>
        <v>2.3534181063833155E-2</v>
      </c>
      <c r="Y237" s="238"/>
      <c r="AE237" s="128"/>
      <c r="AF237" s="128"/>
      <c r="AG237" s="128"/>
    </row>
    <row r="238" spans="1:33" x14ac:dyDescent="0.25">
      <c r="A238" t="s">
        <v>528</v>
      </c>
      <c r="B238" t="s">
        <v>228</v>
      </c>
      <c r="C238">
        <f t="shared" si="20"/>
        <v>4784</v>
      </c>
      <c r="D238">
        <v>3281</v>
      </c>
      <c r="E238">
        <v>1503</v>
      </c>
      <c r="F238">
        <v>21</v>
      </c>
      <c r="G238">
        <v>26</v>
      </c>
      <c r="H238">
        <v>172</v>
      </c>
      <c r="I238">
        <v>224</v>
      </c>
      <c r="J238">
        <v>1565</v>
      </c>
      <c r="K238">
        <v>2595</v>
      </c>
      <c r="L238">
        <v>223</v>
      </c>
      <c r="M238">
        <v>496</v>
      </c>
      <c r="N238">
        <v>698</v>
      </c>
      <c r="O238">
        <v>66</v>
      </c>
      <c r="P238">
        <f t="shared" si="21"/>
        <v>3012000</v>
      </c>
      <c r="Q238">
        <v>2670000</v>
      </c>
      <c r="R238">
        <v>342000</v>
      </c>
      <c r="S238">
        <v>195000</v>
      </c>
      <c r="T238" s="128">
        <f t="shared" si="18"/>
        <v>6389370</v>
      </c>
      <c r="U238" s="128">
        <f t="shared" si="22"/>
        <v>1605370</v>
      </c>
      <c r="V238" s="128">
        <f t="shared" si="19"/>
        <v>1605370</v>
      </c>
      <c r="W238" s="128">
        <v>48856</v>
      </c>
      <c r="X238" s="188">
        <f t="shared" si="23"/>
        <v>3.285921892909776E-2</v>
      </c>
      <c r="Y238" s="238"/>
      <c r="AE238" s="128"/>
      <c r="AF238" s="128"/>
      <c r="AG238" s="128"/>
    </row>
    <row r="239" spans="1:33" x14ac:dyDescent="0.25">
      <c r="A239" t="s">
        <v>519</v>
      </c>
      <c r="B239" t="s">
        <v>314</v>
      </c>
      <c r="C239">
        <f t="shared" si="20"/>
        <v>12422</v>
      </c>
      <c r="D239">
        <v>6106</v>
      </c>
      <c r="E239">
        <v>6316</v>
      </c>
      <c r="F239">
        <v>407</v>
      </c>
      <c r="G239">
        <v>0</v>
      </c>
      <c r="H239">
        <v>0</v>
      </c>
      <c r="I239">
        <v>116</v>
      </c>
      <c r="J239">
        <v>4409</v>
      </c>
      <c r="K239">
        <v>6775</v>
      </c>
      <c r="L239">
        <v>527</v>
      </c>
      <c r="M239">
        <v>225</v>
      </c>
      <c r="N239">
        <v>987</v>
      </c>
      <c r="O239">
        <v>209</v>
      </c>
      <c r="P239">
        <f t="shared" si="21"/>
        <v>6786000</v>
      </c>
      <c r="Q239">
        <v>5450000</v>
      </c>
      <c r="R239">
        <v>1336000</v>
      </c>
      <c r="S239">
        <v>259000</v>
      </c>
      <c r="T239" s="128">
        <f t="shared" si="18"/>
        <v>15472410</v>
      </c>
      <c r="U239" s="128">
        <f t="shared" si="22"/>
        <v>3050410</v>
      </c>
      <c r="V239" s="128">
        <f t="shared" si="19"/>
        <v>3050410</v>
      </c>
      <c r="W239" s="128">
        <v>129794</v>
      </c>
      <c r="X239" s="188">
        <f t="shared" si="23"/>
        <v>2.3501933833613264E-2</v>
      </c>
      <c r="Y239" s="238"/>
      <c r="AE239" s="128"/>
      <c r="AF239" s="128"/>
      <c r="AG239" s="128"/>
    </row>
    <row r="240" spans="1:33" x14ac:dyDescent="0.25">
      <c r="A240" t="s">
        <v>524</v>
      </c>
      <c r="B240" t="s">
        <v>157</v>
      </c>
      <c r="C240">
        <f t="shared" si="20"/>
        <v>6987</v>
      </c>
      <c r="D240">
        <v>3869</v>
      </c>
      <c r="E240">
        <v>3118</v>
      </c>
      <c r="F240">
        <v>1</v>
      </c>
      <c r="G240">
        <v>15</v>
      </c>
      <c r="H240">
        <v>380</v>
      </c>
      <c r="I240">
        <v>350</v>
      </c>
      <c r="J240">
        <v>2801</v>
      </c>
      <c r="K240">
        <v>2979</v>
      </c>
      <c r="L240">
        <v>500</v>
      </c>
      <c r="M240">
        <v>559</v>
      </c>
      <c r="N240">
        <v>887</v>
      </c>
      <c r="O240">
        <v>76</v>
      </c>
      <c r="P240">
        <f t="shared" si="21"/>
        <v>4954000</v>
      </c>
      <c r="Q240">
        <v>4110000</v>
      </c>
      <c r="R240">
        <v>844000</v>
      </c>
      <c r="S240">
        <v>288000</v>
      </c>
      <c r="T240" s="128">
        <f t="shared" si="18"/>
        <v>11045190</v>
      </c>
      <c r="U240" s="128">
        <f t="shared" si="22"/>
        <v>4058190</v>
      </c>
      <c r="V240" s="128">
        <f t="shared" si="19"/>
        <v>4058190</v>
      </c>
      <c r="W240" s="128">
        <v>92071</v>
      </c>
      <c r="X240" s="188">
        <f t="shared" si="23"/>
        <v>4.4076745120613436E-2</v>
      </c>
      <c r="Y240" s="238"/>
      <c r="AE240" s="128"/>
      <c r="AF240" s="128"/>
      <c r="AG240" s="128"/>
    </row>
    <row r="241" spans="1:33" x14ac:dyDescent="0.25">
      <c r="A241" t="s">
        <v>517</v>
      </c>
      <c r="B241" t="s">
        <v>315</v>
      </c>
      <c r="C241">
        <f t="shared" si="20"/>
        <v>12624</v>
      </c>
      <c r="D241">
        <v>6672</v>
      </c>
      <c r="E241">
        <v>5952</v>
      </c>
      <c r="F241">
        <v>2643</v>
      </c>
      <c r="G241">
        <v>53</v>
      </c>
      <c r="H241">
        <v>330</v>
      </c>
      <c r="I241">
        <v>94</v>
      </c>
      <c r="J241">
        <v>5791</v>
      </c>
      <c r="K241">
        <v>10762</v>
      </c>
      <c r="L241">
        <v>636</v>
      </c>
      <c r="M241">
        <v>0</v>
      </c>
      <c r="N241">
        <v>2650</v>
      </c>
      <c r="O241">
        <v>108</v>
      </c>
      <c r="P241">
        <f t="shared" si="21"/>
        <v>8613000</v>
      </c>
      <c r="Q241">
        <v>7468000</v>
      </c>
      <c r="R241">
        <v>1145000</v>
      </c>
      <c r="S241">
        <v>271000</v>
      </c>
      <c r="T241" s="128">
        <f t="shared" si="18"/>
        <v>18588990</v>
      </c>
      <c r="U241" s="128">
        <f t="shared" si="22"/>
        <v>5964990</v>
      </c>
      <c r="V241" s="128">
        <f t="shared" si="19"/>
        <v>5964990</v>
      </c>
      <c r="W241" s="128">
        <v>207186</v>
      </c>
      <c r="X241" s="188">
        <f t="shared" si="23"/>
        <v>2.879050708059425E-2</v>
      </c>
      <c r="Y241" s="238"/>
      <c r="AE241" s="128"/>
      <c r="AF241" s="128"/>
      <c r="AG241" s="128"/>
    </row>
    <row r="242" spans="1:33" x14ac:dyDescent="0.25">
      <c r="A242" t="s">
        <v>519</v>
      </c>
      <c r="B242" t="s">
        <v>418</v>
      </c>
      <c r="C242">
        <f t="shared" si="20"/>
        <v>3443</v>
      </c>
      <c r="D242">
        <v>2710</v>
      </c>
      <c r="E242">
        <v>733</v>
      </c>
      <c r="F242">
        <v>0</v>
      </c>
      <c r="G242">
        <v>0</v>
      </c>
      <c r="H242">
        <v>471</v>
      </c>
      <c r="I242">
        <v>133</v>
      </c>
      <c r="J242">
        <v>2191</v>
      </c>
      <c r="K242">
        <v>2687</v>
      </c>
      <c r="L242">
        <v>393</v>
      </c>
      <c r="M242">
        <v>40</v>
      </c>
      <c r="N242">
        <v>434</v>
      </c>
      <c r="O242">
        <v>3</v>
      </c>
      <c r="P242">
        <f t="shared" si="21"/>
        <v>2589000</v>
      </c>
      <c r="Q242">
        <v>2343000</v>
      </c>
      <c r="R242">
        <v>246000</v>
      </c>
      <c r="S242">
        <v>210000</v>
      </c>
      <c r="T242" s="128">
        <f t="shared" si="18"/>
        <v>5400675</v>
      </c>
      <c r="U242" s="128">
        <f t="shared" si="22"/>
        <v>1957675</v>
      </c>
      <c r="V242" s="128">
        <f t="shared" si="19"/>
        <v>1957675</v>
      </c>
      <c r="W242" s="128">
        <v>57816</v>
      </c>
      <c r="X242" s="188">
        <f t="shared" si="23"/>
        <v>3.3860436557354365E-2</v>
      </c>
      <c r="Y242" s="238"/>
      <c r="AE242" s="128"/>
      <c r="AF242" s="128"/>
      <c r="AG242" s="128"/>
    </row>
    <row r="243" spans="1:33" x14ac:dyDescent="0.25">
      <c r="A243" t="s">
        <v>524</v>
      </c>
      <c r="B243" t="s">
        <v>419</v>
      </c>
      <c r="C243">
        <f t="shared" si="20"/>
        <v>16466</v>
      </c>
      <c r="D243">
        <v>8827</v>
      </c>
      <c r="E243">
        <v>7639</v>
      </c>
      <c r="F243">
        <v>3698</v>
      </c>
      <c r="G243">
        <v>337</v>
      </c>
      <c r="H243">
        <v>791</v>
      </c>
      <c r="I243">
        <v>1195</v>
      </c>
      <c r="J243">
        <v>5798</v>
      </c>
      <c r="K243">
        <v>8740</v>
      </c>
      <c r="L243">
        <v>586</v>
      </c>
      <c r="M243">
        <v>266</v>
      </c>
      <c r="N243">
        <v>1521</v>
      </c>
      <c r="O243">
        <v>736</v>
      </c>
      <c r="P243">
        <f t="shared" si="21"/>
        <v>8488000</v>
      </c>
      <c r="Q243">
        <v>6554000</v>
      </c>
      <c r="R243">
        <v>1934000</v>
      </c>
      <c r="S243">
        <v>265000</v>
      </c>
      <c r="T243" s="128">
        <f t="shared" si="18"/>
        <v>19853910</v>
      </c>
      <c r="U243" s="128">
        <f t="shared" si="22"/>
        <v>3387910</v>
      </c>
      <c r="V243" s="128">
        <f t="shared" si="19"/>
        <v>3387910</v>
      </c>
      <c r="W243" s="128">
        <v>205888</v>
      </c>
      <c r="X243" s="188">
        <f t="shared" si="23"/>
        <v>1.6455111516941248E-2</v>
      </c>
      <c r="Y243" s="238"/>
      <c r="AE243" s="128"/>
      <c r="AF243" s="128"/>
      <c r="AG243" s="128"/>
    </row>
    <row r="244" spans="1:33" x14ac:dyDescent="0.25">
      <c r="A244" t="s">
        <v>521</v>
      </c>
      <c r="B244" t="s">
        <v>385</v>
      </c>
      <c r="C244">
        <f t="shared" si="20"/>
        <v>13974</v>
      </c>
      <c r="D244">
        <v>8335</v>
      </c>
      <c r="E244">
        <v>5639</v>
      </c>
      <c r="F244">
        <v>1955</v>
      </c>
      <c r="G244">
        <v>114</v>
      </c>
      <c r="H244">
        <v>188</v>
      </c>
      <c r="I244">
        <v>618</v>
      </c>
      <c r="J244">
        <v>13042</v>
      </c>
      <c r="K244">
        <v>10054</v>
      </c>
      <c r="L244">
        <v>907</v>
      </c>
      <c r="M244">
        <v>0</v>
      </c>
      <c r="N244">
        <v>1401</v>
      </c>
      <c r="O244">
        <v>450</v>
      </c>
      <c r="P244">
        <f t="shared" si="21"/>
        <v>10329000</v>
      </c>
      <c r="Q244">
        <v>8336000</v>
      </c>
      <c r="R244">
        <v>1993000</v>
      </c>
      <c r="S244">
        <v>195000</v>
      </c>
      <c r="T244" s="128">
        <f t="shared" si="18"/>
        <v>23473410</v>
      </c>
      <c r="U244" s="128">
        <f t="shared" si="22"/>
        <v>9499410</v>
      </c>
      <c r="V244" s="128">
        <f t="shared" si="19"/>
        <v>9499410</v>
      </c>
      <c r="W244" s="128">
        <v>266077</v>
      </c>
      <c r="X244" s="188">
        <f t="shared" si="23"/>
        <v>3.5701732957001166E-2</v>
      </c>
      <c r="Y244" s="238"/>
      <c r="AE244" s="128"/>
      <c r="AF244" s="128"/>
      <c r="AG244" s="128"/>
    </row>
    <row r="245" spans="1:33" x14ac:dyDescent="0.25">
      <c r="A245" t="s">
        <v>522</v>
      </c>
      <c r="B245" t="s">
        <v>316</v>
      </c>
      <c r="C245">
        <f t="shared" si="20"/>
        <v>271450</v>
      </c>
      <c r="D245">
        <v>63584</v>
      </c>
      <c r="E245">
        <v>207866</v>
      </c>
      <c r="F245">
        <v>157670</v>
      </c>
      <c r="G245">
        <v>8052</v>
      </c>
      <c r="H245">
        <v>10731</v>
      </c>
      <c r="I245">
        <v>3666</v>
      </c>
      <c r="J245">
        <v>85584</v>
      </c>
      <c r="K245">
        <v>105904</v>
      </c>
      <c r="L245">
        <v>8627</v>
      </c>
      <c r="M245">
        <v>4736</v>
      </c>
      <c r="N245">
        <v>30227</v>
      </c>
      <c r="O245">
        <v>12473</v>
      </c>
      <c r="P245">
        <f t="shared" si="21"/>
        <v>113292000</v>
      </c>
      <c r="Q245">
        <v>79566000</v>
      </c>
      <c r="R245">
        <v>33726000</v>
      </c>
      <c r="S245">
        <v>228000</v>
      </c>
      <c r="T245" s="128">
        <f t="shared" si="18"/>
        <v>280069290</v>
      </c>
      <c r="U245" s="128">
        <f t="shared" si="22"/>
        <v>8619290</v>
      </c>
      <c r="V245" s="128">
        <f t="shared" si="19"/>
        <v>8619290</v>
      </c>
      <c r="W245" s="128">
        <v>3576929</v>
      </c>
      <c r="X245" s="188">
        <f t="shared" si="23"/>
        <v>2.4096899882552884E-3</v>
      </c>
      <c r="Y245" s="238"/>
      <c r="AE245" s="128"/>
      <c r="AF245" s="128"/>
      <c r="AG245" s="128"/>
    </row>
    <row r="246" spans="1:33" x14ac:dyDescent="0.25">
      <c r="A246" t="s">
        <v>521</v>
      </c>
      <c r="B246" t="s">
        <v>202</v>
      </c>
      <c r="C246">
        <f t="shared" si="20"/>
        <v>450</v>
      </c>
      <c r="D246">
        <v>391</v>
      </c>
      <c r="E246">
        <v>59</v>
      </c>
      <c r="F246">
        <v>0</v>
      </c>
      <c r="G246">
        <v>0</v>
      </c>
      <c r="H246">
        <v>0</v>
      </c>
      <c r="I246">
        <v>0</v>
      </c>
      <c r="J246">
        <v>160</v>
      </c>
      <c r="K246">
        <v>189</v>
      </c>
      <c r="L246">
        <v>26</v>
      </c>
      <c r="M246">
        <v>80</v>
      </c>
      <c r="N246">
        <v>50</v>
      </c>
      <c r="O246">
        <v>1</v>
      </c>
      <c r="P246">
        <f t="shared" si="21"/>
        <v>418000</v>
      </c>
      <c r="Q246">
        <v>391000</v>
      </c>
      <c r="R246">
        <v>27000</v>
      </c>
      <c r="S246">
        <v>201000</v>
      </c>
      <c r="T246" s="128">
        <f t="shared" si="18"/>
        <v>847725</v>
      </c>
      <c r="U246" s="128">
        <f t="shared" si="22"/>
        <v>397725</v>
      </c>
      <c r="V246" s="128">
        <f t="shared" si="19"/>
        <v>397725</v>
      </c>
      <c r="W246" s="128">
        <v>4262</v>
      </c>
      <c r="X246" s="188">
        <f t="shared" si="23"/>
        <v>9.3318864382918823E-2</v>
      </c>
      <c r="Y246" s="238"/>
      <c r="AE246" s="128"/>
      <c r="AF246" s="128"/>
      <c r="AG246" s="128"/>
    </row>
    <row r="247" spans="1:33" x14ac:dyDescent="0.25">
      <c r="A247" t="s">
        <v>526</v>
      </c>
      <c r="B247" t="s">
        <v>386</v>
      </c>
      <c r="C247">
        <f t="shared" si="20"/>
        <v>3927</v>
      </c>
      <c r="D247">
        <v>2822</v>
      </c>
      <c r="E247">
        <v>1105</v>
      </c>
      <c r="F247">
        <v>17</v>
      </c>
      <c r="G247">
        <v>0</v>
      </c>
      <c r="H247">
        <v>116</v>
      </c>
      <c r="I247">
        <v>18</v>
      </c>
      <c r="J247">
        <v>2345</v>
      </c>
      <c r="K247">
        <v>2811</v>
      </c>
      <c r="L247">
        <v>264</v>
      </c>
      <c r="M247">
        <v>26</v>
      </c>
      <c r="N247">
        <v>606</v>
      </c>
      <c r="O247">
        <v>22</v>
      </c>
      <c r="P247">
        <f t="shared" si="21"/>
        <v>3174000</v>
      </c>
      <c r="Q247">
        <v>2754000</v>
      </c>
      <c r="R247">
        <v>420000</v>
      </c>
      <c r="S247">
        <v>209000</v>
      </c>
      <c r="T247" s="128">
        <f t="shared" si="18"/>
        <v>6846570</v>
      </c>
      <c r="U247" s="128">
        <f t="shared" si="22"/>
        <v>2919570</v>
      </c>
      <c r="V247" s="128">
        <f t="shared" si="19"/>
        <v>2919570</v>
      </c>
      <c r="W247" s="128">
        <v>69827</v>
      </c>
      <c r="X247" s="188">
        <f t="shared" si="23"/>
        <v>4.1811476935855761E-2</v>
      </c>
      <c r="Y247" s="238"/>
      <c r="AE247" s="128"/>
      <c r="AF247" s="128"/>
      <c r="AG247" s="128"/>
    </row>
    <row r="248" spans="1:33" s="86" customFormat="1" x14ac:dyDescent="0.25">
      <c r="A248" s="86" t="s">
        <v>526</v>
      </c>
      <c r="B248" s="86" t="s">
        <v>271</v>
      </c>
      <c r="C248">
        <f t="shared" si="20"/>
        <v>10793</v>
      </c>
      <c r="D248" s="86">
        <v>7339</v>
      </c>
      <c r="E248" s="86">
        <v>3454</v>
      </c>
      <c r="F248" s="86">
        <v>6</v>
      </c>
      <c r="G248" s="86">
        <v>124</v>
      </c>
      <c r="H248" s="86">
        <v>1465</v>
      </c>
      <c r="I248" s="86">
        <v>1911</v>
      </c>
      <c r="J248" s="86">
        <v>4978</v>
      </c>
      <c r="K248" s="86">
        <v>7142</v>
      </c>
      <c r="L248" s="86">
        <v>491</v>
      </c>
      <c r="M248" s="86">
        <v>288</v>
      </c>
      <c r="N248" s="86">
        <v>1200</v>
      </c>
      <c r="O248" s="86">
        <v>164</v>
      </c>
      <c r="P248">
        <f t="shared" si="21"/>
        <v>6759000</v>
      </c>
      <c r="Q248" s="86">
        <v>5857000</v>
      </c>
      <c r="R248" s="86">
        <v>902000</v>
      </c>
      <c r="S248" s="86">
        <v>185000</v>
      </c>
      <c r="T248" s="243">
        <f t="shared" si="18"/>
        <v>14594205</v>
      </c>
      <c r="U248" s="128">
        <f t="shared" si="22"/>
        <v>3801205</v>
      </c>
      <c r="V248" s="243">
        <f t="shared" si="19"/>
        <v>3801205</v>
      </c>
      <c r="W248" s="243">
        <v>118140</v>
      </c>
      <c r="X248" s="273">
        <f t="shared" si="23"/>
        <v>3.2175427458947012E-2</v>
      </c>
      <c r="Y248" s="301"/>
      <c r="AE248" s="243"/>
      <c r="AF248" s="243"/>
      <c r="AG248" s="243"/>
    </row>
    <row r="249" spans="1:33" x14ac:dyDescent="0.25">
      <c r="A249" t="s">
        <v>517</v>
      </c>
      <c r="B249" t="s">
        <v>203</v>
      </c>
      <c r="C249">
        <f t="shared" si="20"/>
        <v>2153</v>
      </c>
      <c r="D249">
        <v>1484</v>
      </c>
      <c r="E249">
        <v>669</v>
      </c>
      <c r="F249">
        <v>0</v>
      </c>
      <c r="G249">
        <v>0</v>
      </c>
      <c r="H249">
        <v>157</v>
      </c>
      <c r="I249">
        <v>43</v>
      </c>
      <c r="J249">
        <v>1244</v>
      </c>
      <c r="K249">
        <v>955</v>
      </c>
      <c r="L249">
        <v>159</v>
      </c>
      <c r="M249">
        <v>150</v>
      </c>
      <c r="N249">
        <v>419</v>
      </c>
      <c r="O249">
        <v>71</v>
      </c>
      <c r="P249">
        <f t="shared" si="21"/>
        <v>1440000</v>
      </c>
      <c r="Q249">
        <v>1259000</v>
      </c>
      <c r="R249">
        <v>181000</v>
      </c>
      <c r="S249">
        <v>207000</v>
      </c>
      <c r="T249" s="128">
        <f t="shared" si="18"/>
        <v>3088005</v>
      </c>
      <c r="U249" s="128">
        <f t="shared" si="22"/>
        <v>935005</v>
      </c>
      <c r="V249" s="128">
        <f t="shared" si="19"/>
        <v>935005</v>
      </c>
      <c r="W249" s="128">
        <v>23305</v>
      </c>
      <c r="X249" s="188">
        <f t="shared" si="23"/>
        <v>4.0120360437674321E-2</v>
      </c>
      <c r="Y249" s="238"/>
      <c r="AE249" s="128"/>
      <c r="AF249" s="128"/>
      <c r="AG249" s="128"/>
    </row>
    <row r="250" spans="1:33" x14ac:dyDescent="0.25">
      <c r="A250" t="s">
        <v>521</v>
      </c>
      <c r="B250" t="s">
        <v>317</v>
      </c>
      <c r="C250">
        <f t="shared" si="20"/>
        <v>15655</v>
      </c>
      <c r="D250">
        <v>7800</v>
      </c>
      <c r="E250">
        <v>7855</v>
      </c>
      <c r="F250">
        <v>3533</v>
      </c>
      <c r="G250">
        <v>154</v>
      </c>
      <c r="H250">
        <v>300</v>
      </c>
      <c r="I250">
        <v>196</v>
      </c>
      <c r="J250">
        <v>10416</v>
      </c>
      <c r="K250">
        <v>13217</v>
      </c>
      <c r="L250">
        <v>1006</v>
      </c>
      <c r="M250">
        <v>0</v>
      </c>
      <c r="N250">
        <v>2198</v>
      </c>
      <c r="O250">
        <v>1566</v>
      </c>
      <c r="P250">
        <f t="shared" si="21"/>
        <v>9927000</v>
      </c>
      <c r="Q250">
        <v>8299000</v>
      </c>
      <c r="R250">
        <v>1628000</v>
      </c>
      <c r="S250">
        <v>166000</v>
      </c>
      <c r="T250" s="128">
        <f t="shared" si="18"/>
        <v>22012275</v>
      </c>
      <c r="U250" s="128">
        <f t="shared" si="22"/>
        <v>6357275</v>
      </c>
      <c r="V250" s="128">
        <f t="shared" si="19"/>
        <v>6357275</v>
      </c>
      <c r="W250" s="128">
        <v>322326</v>
      </c>
      <c r="X250" s="188">
        <f t="shared" si="23"/>
        <v>1.9723121932453479E-2</v>
      </c>
      <c r="Y250" s="238"/>
      <c r="AE250" s="128"/>
      <c r="AF250" s="128"/>
      <c r="AG250" s="128"/>
    </row>
    <row r="251" spans="1:33" x14ac:dyDescent="0.25">
      <c r="A251" t="s">
        <v>519</v>
      </c>
      <c r="B251" t="s">
        <v>135</v>
      </c>
      <c r="C251">
        <f t="shared" si="20"/>
        <v>565</v>
      </c>
      <c r="D251">
        <v>371</v>
      </c>
      <c r="E251">
        <v>194</v>
      </c>
      <c r="F251">
        <v>0</v>
      </c>
      <c r="G251">
        <v>0</v>
      </c>
      <c r="H251">
        <v>1299</v>
      </c>
      <c r="I251">
        <v>282</v>
      </c>
      <c r="J251">
        <v>188</v>
      </c>
      <c r="K251">
        <v>373</v>
      </c>
      <c r="L251">
        <v>18</v>
      </c>
      <c r="M251">
        <v>29</v>
      </c>
      <c r="N251">
        <v>101</v>
      </c>
      <c r="O251">
        <v>69</v>
      </c>
      <c r="P251">
        <f t="shared" si="21"/>
        <v>432000</v>
      </c>
      <c r="Q251">
        <v>377000</v>
      </c>
      <c r="R251">
        <v>55000</v>
      </c>
      <c r="S251">
        <v>469000</v>
      </c>
      <c r="T251" s="128">
        <f t="shared" si="18"/>
        <v>927735</v>
      </c>
      <c r="U251" s="128">
        <f t="shared" si="22"/>
        <v>362735</v>
      </c>
      <c r="V251" s="128">
        <f t="shared" si="19"/>
        <v>362735</v>
      </c>
      <c r="W251" s="128">
        <v>8113</v>
      </c>
      <c r="X251" s="188">
        <f t="shared" si="23"/>
        <v>4.4710341427338839E-2</v>
      </c>
      <c r="Y251" s="238"/>
      <c r="AE251" s="128"/>
      <c r="AF251" s="128"/>
      <c r="AG251" s="128"/>
    </row>
    <row r="252" spans="1:33" x14ac:dyDescent="0.25">
      <c r="A252" t="s">
        <v>526</v>
      </c>
      <c r="B252" t="s">
        <v>337</v>
      </c>
      <c r="C252">
        <f t="shared" si="20"/>
        <v>10783</v>
      </c>
      <c r="D252">
        <v>7337</v>
      </c>
      <c r="E252">
        <v>3446</v>
      </c>
      <c r="F252">
        <v>1908</v>
      </c>
      <c r="G252">
        <v>241</v>
      </c>
      <c r="H252">
        <v>9383</v>
      </c>
      <c r="I252">
        <v>3434</v>
      </c>
      <c r="J252">
        <v>7025</v>
      </c>
      <c r="K252">
        <v>4860</v>
      </c>
      <c r="L252">
        <v>416</v>
      </c>
      <c r="M252">
        <v>516</v>
      </c>
      <c r="N252">
        <v>1877</v>
      </c>
      <c r="O252">
        <v>1194</v>
      </c>
      <c r="P252">
        <f t="shared" si="21"/>
        <v>6469000</v>
      </c>
      <c r="Q252">
        <v>5414000</v>
      </c>
      <c r="R252">
        <v>1055000</v>
      </c>
      <c r="S252">
        <v>244000</v>
      </c>
      <c r="T252" s="128">
        <f t="shared" si="18"/>
        <v>14333220</v>
      </c>
      <c r="U252" s="128">
        <f t="shared" si="22"/>
        <v>3550220</v>
      </c>
      <c r="V252" s="128">
        <f t="shared" si="19"/>
        <v>3550220</v>
      </c>
      <c r="W252" s="128">
        <v>121305</v>
      </c>
      <c r="X252" s="188">
        <f t="shared" si="23"/>
        <v>2.9266889246115164E-2</v>
      </c>
      <c r="Y252" s="238"/>
      <c r="AE252" s="128"/>
      <c r="AF252" s="128"/>
      <c r="AG252" s="128"/>
    </row>
    <row r="253" spans="1:33" x14ac:dyDescent="0.25">
      <c r="A253" t="s">
        <v>518</v>
      </c>
      <c r="B253" t="s">
        <v>443</v>
      </c>
      <c r="C253">
        <f t="shared" si="20"/>
        <v>112136</v>
      </c>
      <c r="D253">
        <v>41494</v>
      </c>
      <c r="E253">
        <v>70642</v>
      </c>
      <c r="F253">
        <v>79456</v>
      </c>
      <c r="G253">
        <v>140</v>
      </c>
      <c r="H253">
        <v>14241</v>
      </c>
      <c r="I253">
        <v>3137</v>
      </c>
      <c r="J253">
        <v>44403</v>
      </c>
      <c r="K253">
        <v>87151</v>
      </c>
      <c r="L253">
        <v>8120</v>
      </c>
      <c r="M253">
        <v>2156</v>
      </c>
      <c r="N253">
        <v>25444</v>
      </c>
      <c r="O253">
        <v>5143</v>
      </c>
      <c r="P253">
        <f t="shared" si="21"/>
        <v>91625000</v>
      </c>
      <c r="Q253">
        <v>77256000</v>
      </c>
      <c r="R253">
        <v>14369000</v>
      </c>
      <c r="S253">
        <v>231000</v>
      </c>
      <c r="T253" s="128">
        <f t="shared" si="18"/>
        <v>201918570</v>
      </c>
      <c r="U253" s="128">
        <f t="shared" si="22"/>
        <v>89782570</v>
      </c>
      <c r="V253" s="128">
        <f t="shared" si="19"/>
        <v>89782570</v>
      </c>
      <c r="W253" s="128">
        <v>2529529</v>
      </c>
      <c r="X253" s="188">
        <f t="shared" si="23"/>
        <v>3.549378955528875E-2</v>
      </c>
      <c r="Y253" s="238"/>
      <c r="AE253" s="128"/>
      <c r="AF253" s="128"/>
      <c r="AG253" s="128"/>
    </row>
    <row r="254" spans="1:33" x14ac:dyDescent="0.25">
      <c r="A254" t="s">
        <v>519</v>
      </c>
      <c r="B254" t="s">
        <v>480</v>
      </c>
      <c r="C254">
        <f t="shared" si="20"/>
        <v>44078</v>
      </c>
      <c r="D254">
        <v>18350</v>
      </c>
      <c r="E254">
        <v>25728</v>
      </c>
      <c r="F254">
        <v>21118</v>
      </c>
      <c r="G254">
        <v>592</v>
      </c>
      <c r="H254">
        <v>1366</v>
      </c>
      <c r="I254">
        <v>979</v>
      </c>
      <c r="J254">
        <v>11627</v>
      </c>
      <c r="K254">
        <v>16500</v>
      </c>
      <c r="L254">
        <v>2076</v>
      </c>
      <c r="M254">
        <v>134</v>
      </c>
      <c r="N254">
        <v>4296</v>
      </c>
      <c r="O254">
        <v>2301</v>
      </c>
      <c r="P254">
        <f t="shared" si="21"/>
        <v>27702000</v>
      </c>
      <c r="Q254">
        <v>22940000</v>
      </c>
      <c r="R254">
        <v>4762000</v>
      </c>
      <c r="S254">
        <v>260000</v>
      </c>
      <c r="T254" s="128">
        <f t="shared" si="18"/>
        <v>61843920</v>
      </c>
      <c r="U254" s="128">
        <f t="shared" si="22"/>
        <v>17765920</v>
      </c>
      <c r="V254" s="128">
        <f t="shared" si="19"/>
        <v>17765920</v>
      </c>
      <c r="W254" s="128">
        <v>695433</v>
      </c>
      <c r="X254" s="188">
        <f t="shared" si="23"/>
        <v>2.5546558762670164E-2</v>
      </c>
      <c r="Y254" s="238"/>
      <c r="AE254" s="128"/>
      <c r="AF254" s="128"/>
      <c r="AG254" s="128"/>
    </row>
    <row r="255" spans="1:33" x14ac:dyDescent="0.25">
      <c r="A255" t="s">
        <v>521</v>
      </c>
      <c r="B255" t="s">
        <v>420</v>
      </c>
      <c r="C255">
        <f t="shared" si="20"/>
        <v>2145</v>
      </c>
      <c r="D255">
        <v>1857</v>
      </c>
      <c r="E255">
        <v>288</v>
      </c>
      <c r="F255">
        <v>2</v>
      </c>
      <c r="G255">
        <v>0</v>
      </c>
      <c r="H255">
        <v>59</v>
      </c>
      <c r="I255">
        <v>79</v>
      </c>
      <c r="J255">
        <v>1214</v>
      </c>
      <c r="K255">
        <v>1254</v>
      </c>
      <c r="L255">
        <v>95</v>
      </c>
      <c r="M255">
        <v>30</v>
      </c>
      <c r="N255">
        <v>70</v>
      </c>
      <c r="O255">
        <v>9</v>
      </c>
      <c r="P255">
        <f t="shared" si="21"/>
        <v>1122000</v>
      </c>
      <c r="Q255">
        <v>1028000</v>
      </c>
      <c r="R255">
        <v>94000</v>
      </c>
      <c r="S255">
        <v>156000</v>
      </c>
      <c r="T255" s="128">
        <f t="shared" ref="T255:T318" si="24">0.1905*SUM(Q255,R255,R255)*10</f>
        <v>2316480</v>
      </c>
      <c r="U255" s="128">
        <f t="shared" si="22"/>
        <v>171480</v>
      </c>
      <c r="V255" s="128">
        <f t="shared" ref="V255:V318" si="25">IF(U255&gt;0,U255,0)</f>
        <v>171480</v>
      </c>
      <c r="W255" s="128">
        <v>26726</v>
      </c>
      <c r="X255" s="188">
        <f t="shared" si="23"/>
        <v>6.4162239018184537E-3</v>
      </c>
      <c r="Y255" s="238"/>
      <c r="AE255" s="128"/>
      <c r="AF255" s="128"/>
      <c r="AG255" s="128"/>
    </row>
    <row r="256" spans="1:33" x14ac:dyDescent="0.25">
      <c r="A256" t="s">
        <v>520</v>
      </c>
      <c r="B256" t="s">
        <v>387</v>
      </c>
      <c r="C256">
        <f t="shared" si="20"/>
        <v>7450</v>
      </c>
      <c r="D256">
        <v>6004</v>
      </c>
      <c r="E256">
        <v>1446</v>
      </c>
      <c r="F256">
        <v>0</v>
      </c>
      <c r="G256">
        <v>0</v>
      </c>
      <c r="H256">
        <v>144</v>
      </c>
      <c r="I256">
        <v>0</v>
      </c>
      <c r="J256">
        <v>1842</v>
      </c>
      <c r="K256">
        <v>3377</v>
      </c>
      <c r="L256">
        <v>426</v>
      </c>
      <c r="M256">
        <v>3</v>
      </c>
      <c r="N256">
        <v>537</v>
      </c>
      <c r="O256">
        <v>75</v>
      </c>
      <c r="P256">
        <f t="shared" si="21"/>
        <v>4651000</v>
      </c>
      <c r="Q256">
        <v>4279000</v>
      </c>
      <c r="R256">
        <v>372000</v>
      </c>
      <c r="S256">
        <v>247000</v>
      </c>
      <c r="T256" s="128">
        <f t="shared" si="24"/>
        <v>9568815</v>
      </c>
      <c r="U256" s="128">
        <f t="shared" si="22"/>
        <v>2118815</v>
      </c>
      <c r="V256" s="128">
        <f t="shared" si="25"/>
        <v>2118815</v>
      </c>
      <c r="W256" s="128">
        <v>66651</v>
      </c>
      <c r="X256" s="188">
        <f t="shared" si="23"/>
        <v>3.1789695578460939E-2</v>
      </c>
      <c r="Y256" s="238"/>
      <c r="AE256" s="128"/>
      <c r="AF256" s="128"/>
      <c r="AG256" s="128"/>
    </row>
    <row r="257" spans="1:33" x14ac:dyDescent="0.25">
      <c r="A257" t="s">
        <v>528</v>
      </c>
      <c r="B257" t="s">
        <v>421</v>
      </c>
      <c r="C257">
        <f t="shared" si="20"/>
        <v>55937</v>
      </c>
      <c r="D257">
        <v>19043</v>
      </c>
      <c r="E257">
        <v>36894</v>
      </c>
      <c r="F257">
        <v>5834</v>
      </c>
      <c r="G257">
        <v>67</v>
      </c>
      <c r="H257">
        <v>278</v>
      </c>
      <c r="I257">
        <v>677</v>
      </c>
      <c r="J257">
        <v>10222</v>
      </c>
      <c r="K257">
        <v>12962</v>
      </c>
      <c r="L257">
        <v>959</v>
      </c>
      <c r="M257">
        <v>471</v>
      </c>
      <c r="N257">
        <v>2152</v>
      </c>
      <c r="O257">
        <v>600</v>
      </c>
      <c r="P257">
        <f t="shared" si="21"/>
        <v>12563000</v>
      </c>
      <c r="Q257">
        <v>9440000</v>
      </c>
      <c r="R257">
        <v>3123000</v>
      </c>
      <c r="S257">
        <v>235000</v>
      </c>
      <c r="T257" s="128">
        <f t="shared" si="24"/>
        <v>29881830</v>
      </c>
      <c r="U257" s="128">
        <f t="shared" si="22"/>
        <v>-26055170</v>
      </c>
      <c r="V257" s="128">
        <f t="shared" si="25"/>
        <v>0</v>
      </c>
      <c r="W257" s="128">
        <v>367317</v>
      </c>
      <c r="X257" s="188">
        <f t="shared" si="23"/>
        <v>-7.0933743877903827E-2</v>
      </c>
      <c r="Y257" s="238"/>
      <c r="AE257" s="128"/>
      <c r="AF257" s="128"/>
      <c r="AG257" s="128"/>
    </row>
    <row r="258" spans="1:33" x14ac:dyDescent="0.25">
      <c r="A258" t="s">
        <v>521</v>
      </c>
      <c r="B258" t="s">
        <v>318</v>
      </c>
      <c r="C258">
        <f t="shared" si="20"/>
        <v>4108</v>
      </c>
      <c r="D258">
        <v>2251</v>
      </c>
      <c r="E258">
        <v>1857</v>
      </c>
      <c r="F258">
        <v>0</v>
      </c>
      <c r="G258">
        <v>43</v>
      </c>
      <c r="H258">
        <v>0</v>
      </c>
      <c r="I258">
        <v>270</v>
      </c>
      <c r="J258">
        <v>3372</v>
      </c>
      <c r="K258">
        <v>3474</v>
      </c>
      <c r="L258">
        <v>208</v>
      </c>
      <c r="M258">
        <v>482</v>
      </c>
      <c r="N258">
        <v>483</v>
      </c>
      <c r="O258">
        <v>202</v>
      </c>
      <c r="P258">
        <f t="shared" si="21"/>
        <v>3216000</v>
      </c>
      <c r="Q258">
        <v>2587000</v>
      </c>
      <c r="R258">
        <v>629000</v>
      </c>
      <c r="S258">
        <v>212000</v>
      </c>
      <c r="T258" s="128">
        <f t="shared" si="24"/>
        <v>7324725</v>
      </c>
      <c r="U258" s="128">
        <f t="shared" si="22"/>
        <v>3216725</v>
      </c>
      <c r="V258" s="128">
        <f t="shared" si="25"/>
        <v>3216725</v>
      </c>
      <c r="W258" s="128">
        <v>73174</v>
      </c>
      <c r="X258" s="188">
        <f t="shared" si="23"/>
        <v>4.3959944789132753E-2</v>
      </c>
      <c r="Y258" s="238"/>
      <c r="AE258" s="128"/>
      <c r="AF258" s="128"/>
      <c r="AG258" s="128"/>
    </row>
    <row r="259" spans="1:33" x14ac:dyDescent="0.25">
      <c r="A259" t="s">
        <v>517</v>
      </c>
      <c r="B259" t="s">
        <v>338</v>
      </c>
      <c r="C259">
        <f t="shared" ref="C259:C322" si="26">SUM(D259:E259)</f>
        <v>6638</v>
      </c>
      <c r="D259">
        <v>4165</v>
      </c>
      <c r="E259">
        <v>2473</v>
      </c>
      <c r="F259">
        <v>2225</v>
      </c>
      <c r="G259">
        <v>235</v>
      </c>
      <c r="H259">
        <v>4705</v>
      </c>
      <c r="I259">
        <v>3192</v>
      </c>
      <c r="J259">
        <v>4798</v>
      </c>
      <c r="K259">
        <v>3569</v>
      </c>
      <c r="L259">
        <v>526</v>
      </c>
      <c r="M259">
        <v>396</v>
      </c>
      <c r="N259">
        <v>1651</v>
      </c>
      <c r="O259">
        <v>102</v>
      </c>
      <c r="P259">
        <f t="shared" ref="P259:P322" si="27">SUM(Q259:R259)</f>
        <v>5278000</v>
      </c>
      <c r="Q259">
        <v>4585000</v>
      </c>
      <c r="R259">
        <v>693000</v>
      </c>
      <c r="S259">
        <v>256000</v>
      </c>
      <c r="T259" s="128">
        <f t="shared" si="24"/>
        <v>11374755</v>
      </c>
      <c r="U259" s="128">
        <f t="shared" ref="U259:U322" si="28">SUM(T259,-C259*1000)</f>
        <v>4736755</v>
      </c>
      <c r="V259" s="128">
        <f t="shared" si="25"/>
        <v>4736755</v>
      </c>
      <c r="W259" s="128">
        <v>77206</v>
      </c>
      <c r="X259" s="188">
        <f t="shared" ref="X259:X322" si="29">U259/(W259*1000)</f>
        <v>6.1352161749086857E-2</v>
      </c>
      <c r="Y259" s="238"/>
      <c r="AE259" s="128"/>
      <c r="AF259" s="128"/>
      <c r="AG259" s="128"/>
    </row>
    <row r="260" spans="1:33" x14ac:dyDescent="0.25">
      <c r="A260" t="s">
        <v>526</v>
      </c>
      <c r="B260" t="s">
        <v>136</v>
      </c>
      <c r="C260">
        <f t="shared" si="26"/>
        <v>15217</v>
      </c>
      <c r="D260">
        <v>7247</v>
      </c>
      <c r="E260">
        <v>7970</v>
      </c>
      <c r="F260">
        <v>3057</v>
      </c>
      <c r="G260">
        <v>0</v>
      </c>
      <c r="H260">
        <v>0</v>
      </c>
      <c r="I260">
        <v>394</v>
      </c>
      <c r="J260">
        <v>7793</v>
      </c>
      <c r="K260">
        <v>6556</v>
      </c>
      <c r="L260">
        <v>646</v>
      </c>
      <c r="M260">
        <v>441</v>
      </c>
      <c r="N260">
        <v>1175</v>
      </c>
      <c r="O260">
        <v>283</v>
      </c>
      <c r="P260">
        <f t="shared" si="27"/>
        <v>6640000</v>
      </c>
      <c r="Q260">
        <v>5363000</v>
      </c>
      <c r="R260">
        <v>1277000</v>
      </c>
      <c r="S260">
        <v>171000</v>
      </c>
      <c r="T260" s="128">
        <f t="shared" si="24"/>
        <v>15081885</v>
      </c>
      <c r="U260" s="128">
        <f t="shared" si="28"/>
        <v>-135115</v>
      </c>
      <c r="V260" s="128">
        <f t="shared" si="25"/>
        <v>0</v>
      </c>
      <c r="W260" s="128">
        <v>197127</v>
      </c>
      <c r="X260" s="188">
        <f t="shared" si="29"/>
        <v>-6.8542107372404593E-4</v>
      </c>
      <c r="Y260" s="238"/>
      <c r="AE260" s="128"/>
      <c r="AF260" s="128"/>
      <c r="AG260" s="128"/>
    </row>
    <row r="261" spans="1:33" x14ac:dyDescent="0.25">
      <c r="A261" t="s">
        <v>517</v>
      </c>
      <c r="B261" t="s">
        <v>229</v>
      </c>
      <c r="C261">
        <f t="shared" si="26"/>
        <v>9958</v>
      </c>
      <c r="D261">
        <v>6074</v>
      </c>
      <c r="E261">
        <v>3884</v>
      </c>
      <c r="F261">
        <v>11</v>
      </c>
      <c r="G261">
        <v>0</v>
      </c>
      <c r="H261">
        <v>0</v>
      </c>
      <c r="I261">
        <v>285</v>
      </c>
      <c r="J261">
        <v>4580</v>
      </c>
      <c r="K261">
        <v>5443</v>
      </c>
      <c r="L261">
        <v>465</v>
      </c>
      <c r="M261">
        <v>646</v>
      </c>
      <c r="N261">
        <v>1327</v>
      </c>
      <c r="O261">
        <v>124</v>
      </c>
      <c r="P261">
        <f t="shared" si="27"/>
        <v>8321000</v>
      </c>
      <c r="Q261">
        <v>7393000</v>
      </c>
      <c r="R261">
        <v>928000</v>
      </c>
      <c r="T261" s="128">
        <f t="shared" si="24"/>
        <v>17619345</v>
      </c>
      <c r="U261" s="128">
        <f t="shared" si="28"/>
        <v>7661345</v>
      </c>
      <c r="V261" s="128">
        <f t="shared" si="25"/>
        <v>7661345</v>
      </c>
      <c r="W261" s="128">
        <v>141152</v>
      </c>
      <c r="X261" s="188">
        <f t="shared" si="29"/>
        <v>5.4277268476535932E-2</v>
      </c>
      <c r="Y261" s="238"/>
      <c r="AE261" s="128"/>
      <c r="AF261" s="128"/>
      <c r="AG261" s="128"/>
    </row>
    <row r="262" spans="1:33" x14ac:dyDescent="0.25">
      <c r="A262" t="s">
        <v>517</v>
      </c>
      <c r="B262" t="s">
        <v>388</v>
      </c>
      <c r="C262">
        <f t="shared" si="26"/>
        <v>4410</v>
      </c>
      <c r="D262">
        <v>3012</v>
      </c>
      <c r="E262">
        <v>1398</v>
      </c>
      <c r="F262">
        <v>0</v>
      </c>
      <c r="G262">
        <v>0</v>
      </c>
      <c r="H262">
        <v>245</v>
      </c>
      <c r="I262">
        <v>96</v>
      </c>
      <c r="J262">
        <v>1687</v>
      </c>
      <c r="K262">
        <v>2164</v>
      </c>
      <c r="L262">
        <v>250</v>
      </c>
      <c r="M262">
        <v>0</v>
      </c>
      <c r="N262">
        <v>1023</v>
      </c>
      <c r="O262">
        <v>78</v>
      </c>
      <c r="P262">
        <f t="shared" si="27"/>
        <v>3035000</v>
      </c>
      <c r="Q262">
        <v>2532000</v>
      </c>
      <c r="R262">
        <v>503000</v>
      </c>
      <c r="S262">
        <v>299000</v>
      </c>
      <c r="T262" s="128">
        <f t="shared" si="24"/>
        <v>6739890</v>
      </c>
      <c r="U262" s="128">
        <f t="shared" si="28"/>
        <v>2329890</v>
      </c>
      <c r="V262" s="128">
        <f t="shared" si="25"/>
        <v>2329890</v>
      </c>
      <c r="W262" s="128">
        <v>49530</v>
      </c>
      <c r="X262" s="188">
        <f t="shared" si="29"/>
        <v>4.7039975772259233E-2</v>
      </c>
      <c r="Y262" s="238"/>
      <c r="AE262" s="128"/>
      <c r="AF262" s="128"/>
      <c r="AG262" s="128"/>
    </row>
    <row r="263" spans="1:33" x14ac:dyDescent="0.25">
      <c r="A263" t="s">
        <v>526</v>
      </c>
      <c r="B263" t="s">
        <v>389</v>
      </c>
      <c r="C263">
        <f t="shared" si="26"/>
        <v>4751</v>
      </c>
      <c r="D263">
        <v>2462</v>
      </c>
      <c r="E263">
        <v>2289</v>
      </c>
      <c r="F263">
        <v>0</v>
      </c>
      <c r="G263">
        <v>9</v>
      </c>
      <c r="H263">
        <v>0</v>
      </c>
      <c r="I263">
        <v>0</v>
      </c>
      <c r="J263">
        <v>1410</v>
      </c>
      <c r="K263">
        <v>2477</v>
      </c>
      <c r="L263">
        <v>220</v>
      </c>
      <c r="M263">
        <v>0</v>
      </c>
      <c r="N263">
        <v>741</v>
      </c>
      <c r="O263">
        <v>59</v>
      </c>
      <c r="P263">
        <f t="shared" si="27"/>
        <v>3425000</v>
      </c>
      <c r="Q263">
        <v>2739000</v>
      </c>
      <c r="R263">
        <v>686000</v>
      </c>
      <c r="S263">
        <v>165000</v>
      </c>
      <c r="T263" s="128">
        <f t="shared" si="24"/>
        <v>7831455</v>
      </c>
      <c r="U263" s="128">
        <f t="shared" si="28"/>
        <v>3080455</v>
      </c>
      <c r="V263" s="128">
        <f t="shared" si="25"/>
        <v>3080455</v>
      </c>
      <c r="W263" s="128">
        <v>42251</v>
      </c>
      <c r="X263" s="188">
        <f t="shared" si="29"/>
        <v>7.2908451870961635E-2</v>
      </c>
      <c r="Y263" s="238"/>
      <c r="AE263" s="128"/>
      <c r="AF263" s="128"/>
      <c r="AG263" s="128"/>
    </row>
    <row r="264" spans="1:33" x14ac:dyDescent="0.25">
      <c r="A264" t="s">
        <v>521</v>
      </c>
      <c r="B264" t="s">
        <v>125</v>
      </c>
      <c r="C264">
        <f t="shared" si="26"/>
        <v>8193</v>
      </c>
      <c r="D264">
        <v>5034</v>
      </c>
      <c r="E264">
        <v>3159</v>
      </c>
      <c r="F264">
        <v>0</v>
      </c>
      <c r="G264">
        <v>0</v>
      </c>
      <c r="H264">
        <v>173</v>
      </c>
      <c r="I264">
        <v>59</v>
      </c>
      <c r="J264">
        <v>2687</v>
      </c>
      <c r="K264">
        <v>3237</v>
      </c>
      <c r="L264">
        <v>301</v>
      </c>
      <c r="M264">
        <v>55</v>
      </c>
      <c r="N264">
        <v>450</v>
      </c>
      <c r="O264">
        <v>101</v>
      </c>
      <c r="P264">
        <f t="shared" si="27"/>
        <v>3113000</v>
      </c>
      <c r="Q264">
        <v>2635000</v>
      </c>
      <c r="R264">
        <v>478000</v>
      </c>
      <c r="S264">
        <v>187000</v>
      </c>
      <c r="T264" s="128">
        <f t="shared" si="24"/>
        <v>6840855</v>
      </c>
      <c r="U264" s="128">
        <f t="shared" si="28"/>
        <v>-1352145</v>
      </c>
      <c r="V264" s="128">
        <f t="shared" si="25"/>
        <v>0</v>
      </c>
      <c r="W264" s="128">
        <v>120376</v>
      </c>
      <c r="X264" s="188">
        <f t="shared" si="29"/>
        <v>-1.1232679271615604E-2</v>
      </c>
      <c r="Y264" s="238"/>
      <c r="AE264" s="128"/>
      <c r="AF264" s="128"/>
      <c r="AG264" s="128"/>
    </row>
    <row r="265" spans="1:33" x14ac:dyDescent="0.25">
      <c r="A265" t="s">
        <v>528</v>
      </c>
      <c r="B265" t="s">
        <v>158</v>
      </c>
      <c r="C265">
        <f t="shared" si="26"/>
        <v>4236</v>
      </c>
      <c r="D265">
        <v>2167</v>
      </c>
      <c r="E265">
        <v>2069</v>
      </c>
      <c r="F265">
        <v>0</v>
      </c>
      <c r="G265">
        <v>0</v>
      </c>
      <c r="H265">
        <v>95</v>
      </c>
      <c r="I265">
        <v>143</v>
      </c>
      <c r="J265">
        <v>1571</v>
      </c>
      <c r="K265">
        <v>1383</v>
      </c>
      <c r="L265">
        <v>199</v>
      </c>
      <c r="M265">
        <v>350</v>
      </c>
      <c r="N265">
        <v>733</v>
      </c>
      <c r="O265">
        <v>67</v>
      </c>
      <c r="P265">
        <f t="shared" si="27"/>
        <v>2166000</v>
      </c>
      <c r="Q265">
        <v>1657000</v>
      </c>
      <c r="R265">
        <v>509000</v>
      </c>
      <c r="S265">
        <v>195000</v>
      </c>
      <c r="T265" s="128">
        <f t="shared" si="24"/>
        <v>5095875</v>
      </c>
      <c r="U265" s="128">
        <f t="shared" si="28"/>
        <v>859875</v>
      </c>
      <c r="V265" s="128">
        <f t="shared" si="25"/>
        <v>859875</v>
      </c>
      <c r="W265" s="128">
        <v>41558</v>
      </c>
      <c r="X265" s="188">
        <f t="shared" si="29"/>
        <v>2.0690962028971558E-2</v>
      </c>
      <c r="Y265" s="238"/>
      <c r="AE265" s="128"/>
      <c r="AF265" s="128"/>
      <c r="AG265" s="128"/>
    </row>
    <row r="266" spans="1:33" x14ac:dyDescent="0.25">
      <c r="A266" t="s">
        <v>520</v>
      </c>
      <c r="B266" t="s">
        <v>272</v>
      </c>
      <c r="C266">
        <f t="shared" si="26"/>
        <v>4508</v>
      </c>
      <c r="D266">
        <v>3635</v>
      </c>
      <c r="E266">
        <v>873</v>
      </c>
      <c r="F266">
        <v>0</v>
      </c>
      <c r="G266">
        <v>0</v>
      </c>
      <c r="H266">
        <v>30</v>
      </c>
      <c r="I266">
        <v>138</v>
      </c>
      <c r="J266">
        <v>1658</v>
      </c>
      <c r="K266">
        <v>3308</v>
      </c>
      <c r="L266">
        <v>205</v>
      </c>
      <c r="M266">
        <v>9</v>
      </c>
      <c r="N266">
        <v>279</v>
      </c>
      <c r="O266">
        <v>43</v>
      </c>
      <c r="P266">
        <f t="shared" si="27"/>
        <v>2644000</v>
      </c>
      <c r="Q266">
        <v>2377000</v>
      </c>
      <c r="R266">
        <v>267000</v>
      </c>
      <c r="S266">
        <v>170000</v>
      </c>
      <c r="T266" s="128">
        <f t="shared" si="24"/>
        <v>5545455</v>
      </c>
      <c r="U266" s="128">
        <f t="shared" si="28"/>
        <v>1037455</v>
      </c>
      <c r="V266" s="128">
        <f t="shared" si="25"/>
        <v>1037455</v>
      </c>
      <c r="W266" s="128">
        <v>55053</v>
      </c>
      <c r="X266" s="188">
        <f t="shared" si="29"/>
        <v>1.8844658783354222E-2</v>
      </c>
      <c r="Y266" s="238"/>
      <c r="AE266" s="128"/>
      <c r="AF266" s="128"/>
      <c r="AG266" s="128"/>
    </row>
    <row r="267" spans="1:33" x14ac:dyDescent="0.25">
      <c r="A267" t="s">
        <v>524</v>
      </c>
      <c r="B267" t="s">
        <v>390</v>
      </c>
      <c r="C267">
        <f t="shared" si="26"/>
        <v>5102</v>
      </c>
      <c r="D267">
        <v>3004</v>
      </c>
      <c r="E267">
        <v>2098</v>
      </c>
      <c r="F267">
        <v>0</v>
      </c>
      <c r="G267">
        <v>0</v>
      </c>
      <c r="H267">
        <v>105</v>
      </c>
      <c r="I267">
        <v>92</v>
      </c>
      <c r="J267">
        <v>2002</v>
      </c>
      <c r="K267">
        <v>3816</v>
      </c>
      <c r="L267">
        <v>441</v>
      </c>
      <c r="M267">
        <v>33</v>
      </c>
      <c r="N267">
        <v>657</v>
      </c>
      <c r="O267">
        <v>64</v>
      </c>
      <c r="P267">
        <f t="shared" si="27"/>
        <v>3206000</v>
      </c>
      <c r="Q267">
        <v>2540000</v>
      </c>
      <c r="R267">
        <v>666000</v>
      </c>
      <c r="S267">
        <v>291000</v>
      </c>
      <c r="T267" s="128">
        <f t="shared" si="24"/>
        <v>7376160</v>
      </c>
      <c r="U267" s="128">
        <f t="shared" si="28"/>
        <v>2274160</v>
      </c>
      <c r="V267" s="128">
        <f t="shared" si="25"/>
        <v>2274160</v>
      </c>
      <c r="W267" s="128">
        <v>67689</v>
      </c>
      <c r="X267" s="188">
        <f t="shared" si="29"/>
        <v>3.3597187135280475E-2</v>
      </c>
      <c r="Y267" s="238"/>
      <c r="AE267" s="128"/>
      <c r="AF267" s="128"/>
      <c r="AG267" s="128"/>
    </row>
    <row r="268" spans="1:33" x14ac:dyDescent="0.25">
      <c r="A268" t="s">
        <v>517</v>
      </c>
      <c r="B268" t="s">
        <v>159</v>
      </c>
      <c r="C268">
        <f t="shared" si="26"/>
        <v>7971</v>
      </c>
      <c r="D268">
        <v>4761</v>
      </c>
      <c r="E268">
        <v>3210</v>
      </c>
      <c r="F268">
        <v>11</v>
      </c>
      <c r="G268">
        <v>0</v>
      </c>
      <c r="H268">
        <v>782</v>
      </c>
      <c r="I268">
        <v>853</v>
      </c>
      <c r="J268">
        <v>4661</v>
      </c>
      <c r="K268">
        <v>4199</v>
      </c>
      <c r="L268">
        <v>452</v>
      </c>
      <c r="M268">
        <v>593</v>
      </c>
      <c r="N268">
        <v>2015</v>
      </c>
      <c r="O268">
        <v>596</v>
      </c>
      <c r="P268">
        <f t="shared" si="27"/>
        <v>5774000</v>
      </c>
      <c r="Q268">
        <v>4835000</v>
      </c>
      <c r="R268">
        <v>939000</v>
      </c>
      <c r="T268" s="128">
        <f t="shared" si="24"/>
        <v>12788265</v>
      </c>
      <c r="U268" s="128">
        <f t="shared" si="28"/>
        <v>4817265</v>
      </c>
      <c r="V268" s="128">
        <f t="shared" si="25"/>
        <v>4817265</v>
      </c>
      <c r="W268" s="128">
        <v>134900</v>
      </c>
      <c r="X268" s="188">
        <f t="shared" si="29"/>
        <v>3.5709896219421791E-2</v>
      </c>
      <c r="Y268" s="238"/>
      <c r="AE268" s="128"/>
      <c r="AF268" s="128"/>
      <c r="AG268" s="128"/>
    </row>
    <row r="269" spans="1:33" x14ac:dyDescent="0.25">
      <c r="A269" t="s">
        <v>517</v>
      </c>
      <c r="B269" t="s">
        <v>422</v>
      </c>
      <c r="C269">
        <f t="shared" si="26"/>
        <v>5822</v>
      </c>
      <c r="D269">
        <v>3822</v>
      </c>
      <c r="E269">
        <v>2000</v>
      </c>
      <c r="F269">
        <v>12</v>
      </c>
      <c r="G269">
        <v>0</v>
      </c>
      <c r="H269">
        <v>169</v>
      </c>
      <c r="I269">
        <v>236</v>
      </c>
      <c r="J269">
        <v>2826</v>
      </c>
      <c r="K269">
        <v>3279</v>
      </c>
      <c r="L269">
        <v>317</v>
      </c>
      <c r="M269">
        <v>64</v>
      </c>
      <c r="N269">
        <v>237</v>
      </c>
      <c r="O269">
        <v>29</v>
      </c>
      <c r="P269">
        <f t="shared" si="27"/>
        <v>3075000</v>
      </c>
      <c r="Q269">
        <v>2733000</v>
      </c>
      <c r="R269">
        <v>342000</v>
      </c>
      <c r="S269">
        <v>303000</v>
      </c>
      <c r="T269" s="128">
        <f t="shared" si="24"/>
        <v>6509385</v>
      </c>
      <c r="U269" s="128">
        <f t="shared" si="28"/>
        <v>687385</v>
      </c>
      <c r="V269" s="128">
        <f t="shared" si="25"/>
        <v>687385</v>
      </c>
      <c r="W269" s="128">
        <v>63911</v>
      </c>
      <c r="X269" s="188">
        <f t="shared" si="29"/>
        <v>1.0755347279810987E-2</v>
      </c>
      <c r="Y269" s="238"/>
      <c r="AE269" s="128"/>
      <c r="AF269" s="128"/>
      <c r="AG269" s="128"/>
    </row>
    <row r="270" spans="1:33" x14ac:dyDescent="0.25">
      <c r="A270" t="s">
        <v>525</v>
      </c>
      <c r="B270" t="s">
        <v>230</v>
      </c>
      <c r="C270">
        <f t="shared" si="26"/>
        <v>13280</v>
      </c>
      <c r="D270">
        <v>9982</v>
      </c>
      <c r="E270">
        <v>3298</v>
      </c>
      <c r="F270">
        <v>57</v>
      </c>
      <c r="G270">
        <v>97</v>
      </c>
      <c r="H270">
        <v>298</v>
      </c>
      <c r="I270">
        <v>525</v>
      </c>
      <c r="J270">
        <v>7133</v>
      </c>
      <c r="K270">
        <v>7891</v>
      </c>
      <c r="L270">
        <v>835</v>
      </c>
      <c r="M270">
        <v>451</v>
      </c>
      <c r="N270">
        <v>1909</v>
      </c>
      <c r="O270">
        <v>239</v>
      </c>
      <c r="P270">
        <f t="shared" si="27"/>
        <v>11414000</v>
      </c>
      <c r="Q270">
        <v>10363000</v>
      </c>
      <c r="R270">
        <v>1051000</v>
      </c>
      <c r="S270">
        <v>149000</v>
      </c>
      <c r="T270" s="128">
        <f t="shared" si="24"/>
        <v>23745825</v>
      </c>
      <c r="U270" s="128">
        <f t="shared" si="28"/>
        <v>10465825</v>
      </c>
      <c r="V270" s="128">
        <f t="shared" si="25"/>
        <v>10465825</v>
      </c>
      <c r="W270" s="128">
        <v>145459</v>
      </c>
      <c r="X270" s="188">
        <f t="shared" si="29"/>
        <v>7.1950343395733501E-2</v>
      </c>
      <c r="Y270" s="238"/>
      <c r="AE270" s="128"/>
      <c r="AF270" s="128"/>
      <c r="AG270" s="128"/>
    </row>
    <row r="271" spans="1:33" x14ac:dyDescent="0.25">
      <c r="A271" t="s">
        <v>522</v>
      </c>
      <c r="B271" t="s">
        <v>440</v>
      </c>
      <c r="C271">
        <f t="shared" si="26"/>
        <v>22325</v>
      </c>
      <c r="D271">
        <v>12435</v>
      </c>
      <c r="E271">
        <v>9890</v>
      </c>
      <c r="F271">
        <v>2077</v>
      </c>
      <c r="G271">
        <v>105</v>
      </c>
      <c r="H271">
        <v>2272</v>
      </c>
      <c r="I271">
        <v>1989</v>
      </c>
      <c r="J271">
        <v>8477</v>
      </c>
      <c r="K271">
        <v>10783</v>
      </c>
      <c r="L271">
        <v>1318</v>
      </c>
      <c r="M271">
        <v>625</v>
      </c>
      <c r="N271">
        <v>2182</v>
      </c>
      <c r="O271">
        <v>1312</v>
      </c>
      <c r="P271">
        <f t="shared" si="27"/>
        <v>11338000</v>
      </c>
      <c r="Q271">
        <v>9376000</v>
      </c>
      <c r="R271">
        <v>1962000</v>
      </c>
      <c r="S271">
        <v>252000</v>
      </c>
      <c r="T271" s="128">
        <f t="shared" si="24"/>
        <v>25336500</v>
      </c>
      <c r="U271" s="128">
        <f t="shared" si="28"/>
        <v>3011500</v>
      </c>
      <c r="V271" s="128">
        <f t="shared" si="25"/>
        <v>3011500</v>
      </c>
      <c r="W271" s="128">
        <v>283890</v>
      </c>
      <c r="X271" s="188">
        <f t="shared" si="29"/>
        <v>1.0607981964845539E-2</v>
      </c>
      <c r="Y271" s="238"/>
      <c r="AE271" s="128"/>
      <c r="AF271" s="128"/>
      <c r="AG271" s="128"/>
    </row>
    <row r="272" spans="1:33" x14ac:dyDescent="0.25">
      <c r="A272" t="s">
        <v>518</v>
      </c>
      <c r="B272" t="s">
        <v>339</v>
      </c>
      <c r="C272">
        <f t="shared" si="26"/>
        <v>18584</v>
      </c>
      <c r="D272">
        <v>7543</v>
      </c>
      <c r="E272">
        <v>11041</v>
      </c>
      <c r="F272">
        <v>1143</v>
      </c>
      <c r="G272">
        <v>0</v>
      </c>
      <c r="H272">
        <v>441</v>
      </c>
      <c r="I272">
        <v>716</v>
      </c>
      <c r="J272">
        <v>5546</v>
      </c>
      <c r="K272">
        <v>8579</v>
      </c>
      <c r="L272">
        <v>601</v>
      </c>
      <c r="M272">
        <v>778</v>
      </c>
      <c r="N272">
        <v>1178</v>
      </c>
      <c r="O272">
        <v>183</v>
      </c>
      <c r="P272">
        <f t="shared" si="27"/>
        <v>7221000</v>
      </c>
      <c r="Q272">
        <v>5140000</v>
      </c>
      <c r="R272">
        <v>2081000</v>
      </c>
      <c r="S272">
        <v>206000</v>
      </c>
      <c r="T272" s="128">
        <f t="shared" si="24"/>
        <v>17720310</v>
      </c>
      <c r="U272" s="128">
        <f t="shared" si="28"/>
        <v>-863690</v>
      </c>
      <c r="V272" s="128">
        <f t="shared" si="25"/>
        <v>0</v>
      </c>
      <c r="W272" s="128">
        <v>175775</v>
      </c>
      <c r="X272" s="188">
        <f t="shared" si="29"/>
        <v>-4.9136111506186885E-3</v>
      </c>
      <c r="Y272" s="238"/>
      <c r="AE272" s="128"/>
      <c r="AF272" s="128"/>
      <c r="AG272" s="128"/>
    </row>
    <row r="273" spans="1:33" x14ac:dyDescent="0.25">
      <c r="A273" t="s">
        <v>517</v>
      </c>
      <c r="B273" t="s">
        <v>137</v>
      </c>
      <c r="C273">
        <f t="shared" si="26"/>
        <v>2120</v>
      </c>
      <c r="D273">
        <v>1228</v>
      </c>
      <c r="E273">
        <v>892</v>
      </c>
      <c r="F273">
        <v>0</v>
      </c>
      <c r="G273">
        <v>95</v>
      </c>
      <c r="H273">
        <v>3276</v>
      </c>
      <c r="I273">
        <v>817</v>
      </c>
      <c r="J273">
        <v>860</v>
      </c>
      <c r="K273">
        <v>847</v>
      </c>
      <c r="L273">
        <v>150</v>
      </c>
      <c r="M273">
        <v>7</v>
      </c>
      <c r="N273">
        <v>457</v>
      </c>
      <c r="O273">
        <v>277</v>
      </c>
      <c r="P273">
        <f t="shared" si="27"/>
        <v>1423000</v>
      </c>
      <c r="Q273">
        <v>1176000</v>
      </c>
      <c r="R273">
        <v>247000</v>
      </c>
      <c r="S273">
        <v>207000</v>
      </c>
      <c r="T273" s="128">
        <f t="shared" si="24"/>
        <v>3181350</v>
      </c>
      <c r="U273" s="128">
        <f t="shared" si="28"/>
        <v>1061350</v>
      </c>
      <c r="V273" s="128">
        <f t="shared" si="25"/>
        <v>1061350</v>
      </c>
      <c r="W273" s="128">
        <v>24365</v>
      </c>
      <c r="X273" s="188">
        <f t="shared" si="29"/>
        <v>4.3560435050277034E-2</v>
      </c>
      <c r="Y273" s="238"/>
      <c r="AE273" s="128"/>
      <c r="AF273" s="128"/>
      <c r="AG273" s="128"/>
    </row>
    <row r="274" spans="1:33" x14ac:dyDescent="0.25">
      <c r="A274" t="s">
        <v>522</v>
      </c>
      <c r="B274" t="s">
        <v>273</v>
      </c>
      <c r="C274">
        <f t="shared" si="26"/>
        <v>1955</v>
      </c>
      <c r="D274">
        <v>1168</v>
      </c>
      <c r="E274">
        <v>787</v>
      </c>
      <c r="F274">
        <v>4468</v>
      </c>
      <c r="G274">
        <v>181</v>
      </c>
      <c r="H274">
        <v>7956</v>
      </c>
      <c r="I274">
        <v>1395</v>
      </c>
      <c r="J274">
        <v>3560</v>
      </c>
      <c r="K274">
        <v>2116</v>
      </c>
      <c r="L274">
        <v>216</v>
      </c>
      <c r="M274">
        <v>65</v>
      </c>
      <c r="N274">
        <v>1088</v>
      </c>
      <c r="O274">
        <v>233</v>
      </c>
      <c r="P274">
        <f t="shared" si="27"/>
        <v>3695000</v>
      </c>
      <c r="Q274">
        <v>3016000</v>
      </c>
      <c r="R274">
        <v>679000</v>
      </c>
      <c r="S274">
        <v>200000</v>
      </c>
      <c r="T274" s="128">
        <f t="shared" si="24"/>
        <v>8332470</v>
      </c>
      <c r="U274" s="128">
        <f t="shared" si="28"/>
        <v>6377470</v>
      </c>
      <c r="V274" s="128">
        <f t="shared" si="25"/>
        <v>6377470</v>
      </c>
      <c r="W274" s="128">
        <v>59846</v>
      </c>
      <c r="X274" s="188">
        <f t="shared" si="29"/>
        <v>0.1065646826855596</v>
      </c>
      <c r="Y274" s="238"/>
      <c r="AE274" s="128"/>
      <c r="AF274" s="128"/>
      <c r="AG274" s="128"/>
    </row>
    <row r="275" spans="1:33" x14ac:dyDescent="0.25">
      <c r="A275" t="s">
        <v>526</v>
      </c>
      <c r="B275" t="s">
        <v>319</v>
      </c>
      <c r="C275">
        <f t="shared" si="26"/>
        <v>8271</v>
      </c>
      <c r="D275">
        <v>5567</v>
      </c>
      <c r="E275">
        <v>2704</v>
      </c>
      <c r="F275">
        <v>23</v>
      </c>
      <c r="G275">
        <v>90</v>
      </c>
      <c r="H275">
        <v>0</v>
      </c>
      <c r="I275">
        <v>138</v>
      </c>
      <c r="J275">
        <v>3162</v>
      </c>
      <c r="K275">
        <v>3862</v>
      </c>
      <c r="L275">
        <v>640</v>
      </c>
      <c r="M275">
        <v>0</v>
      </c>
      <c r="N275">
        <v>698</v>
      </c>
      <c r="O275">
        <v>218</v>
      </c>
      <c r="P275">
        <f t="shared" si="27"/>
        <v>6934000</v>
      </c>
      <c r="Q275">
        <v>6144000</v>
      </c>
      <c r="R275">
        <v>790000</v>
      </c>
      <c r="S275">
        <v>194000</v>
      </c>
      <c r="T275" s="128">
        <f t="shared" si="24"/>
        <v>14714220</v>
      </c>
      <c r="U275" s="128">
        <f t="shared" si="28"/>
        <v>6443220</v>
      </c>
      <c r="V275" s="128">
        <f t="shared" si="25"/>
        <v>6443220</v>
      </c>
      <c r="W275" s="128">
        <v>85819</v>
      </c>
      <c r="X275" s="188">
        <f t="shared" si="29"/>
        <v>7.5079178270546151E-2</v>
      </c>
      <c r="Y275" s="238"/>
      <c r="AE275" s="128"/>
      <c r="AF275" s="128"/>
      <c r="AG275" s="128"/>
    </row>
    <row r="276" spans="1:33" x14ac:dyDescent="0.25">
      <c r="A276" t="s">
        <v>524</v>
      </c>
      <c r="B276" t="s">
        <v>340</v>
      </c>
      <c r="C276">
        <f t="shared" si="26"/>
        <v>5360</v>
      </c>
      <c r="D276">
        <v>3081</v>
      </c>
      <c r="E276">
        <v>2279</v>
      </c>
      <c r="F276">
        <v>10</v>
      </c>
      <c r="G276">
        <v>12</v>
      </c>
      <c r="H276">
        <v>282</v>
      </c>
      <c r="I276">
        <v>249</v>
      </c>
      <c r="J276">
        <v>2266</v>
      </c>
      <c r="K276">
        <v>2744</v>
      </c>
      <c r="L276">
        <v>202</v>
      </c>
      <c r="M276">
        <v>553</v>
      </c>
      <c r="N276">
        <v>583</v>
      </c>
      <c r="O276">
        <v>190</v>
      </c>
      <c r="P276">
        <f t="shared" si="27"/>
        <v>2836000</v>
      </c>
      <c r="Q276">
        <v>2343000</v>
      </c>
      <c r="R276">
        <v>493000</v>
      </c>
      <c r="S276">
        <v>298000</v>
      </c>
      <c r="T276" s="128">
        <f t="shared" si="24"/>
        <v>6341745</v>
      </c>
      <c r="U276" s="128">
        <f t="shared" si="28"/>
        <v>981745</v>
      </c>
      <c r="V276" s="128">
        <f t="shared" si="25"/>
        <v>981745</v>
      </c>
      <c r="W276" s="128">
        <v>72395</v>
      </c>
      <c r="X276" s="188">
        <f t="shared" si="29"/>
        <v>1.3560950341874439E-2</v>
      </c>
      <c r="Y276" s="238"/>
      <c r="AE276" s="128"/>
      <c r="AF276" s="128"/>
      <c r="AG276" s="128"/>
    </row>
    <row r="277" spans="1:33" x14ac:dyDescent="0.25">
      <c r="A277" t="s">
        <v>520</v>
      </c>
      <c r="B277" t="s">
        <v>204</v>
      </c>
      <c r="C277">
        <f t="shared" si="26"/>
        <v>11365</v>
      </c>
      <c r="D277">
        <v>5785</v>
      </c>
      <c r="E277">
        <v>5580</v>
      </c>
      <c r="F277">
        <v>2512</v>
      </c>
      <c r="G277">
        <v>35</v>
      </c>
      <c r="H277">
        <v>228</v>
      </c>
      <c r="I277">
        <v>714</v>
      </c>
      <c r="J277">
        <v>4271</v>
      </c>
      <c r="K277">
        <v>0</v>
      </c>
      <c r="L277">
        <v>391</v>
      </c>
      <c r="M277">
        <v>300</v>
      </c>
      <c r="N277">
        <v>1122</v>
      </c>
      <c r="O277">
        <v>422</v>
      </c>
      <c r="P277">
        <f t="shared" si="27"/>
        <v>5322000</v>
      </c>
      <c r="Q277">
        <v>4244000</v>
      </c>
      <c r="R277">
        <v>1078000</v>
      </c>
      <c r="S277">
        <v>189000</v>
      </c>
      <c r="T277" s="128">
        <f t="shared" si="24"/>
        <v>12192000</v>
      </c>
      <c r="U277" s="128">
        <f t="shared" si="28"/>
        <v>827000</v>
      </c>
      <c r="V277" s="128">
        <f t="shared" si="25"/>
        <v>827000</v>
      </c>
      <c r="W277" s="128">
        <v>147693</v>
      </c>
      <c r="X277" s="188">
        <f t="shared" si="29"/>
        <v>5.5994529192311075E-3</v>
      </c>
      <c r="Y277" s="238"/>
      <c r="AE277" s="128"/>
      <c r="AF277" s="128"/>
      <c r="AG277" s="128"/>
    </row>
    <row r="278" spans="1:33" x14ac:dyDescent="0.25">
      <c r="A278" t="s">
        <v>528</v>
      </c>
      <c r="B278" t="s">
        <v>391</v>
      </c>
      <c r="C278">
        <f t="shared" si="26"/>
        <v>48356</v>
      </c>
      <c r="D278">
        <v>23100</v>
      </c>
      <c r="E278">
        <v>25256</v>
      </c>
      <c r="F278">
        <v>19289</v>
      </c>
      <c r="G278">
        <v>723</v>
      </c>
      <c r="H278">
        <v>442</v>
      </c>
      <c r="I278">
        <v>3014</v>
      </c>
      <c r="J278">
        <v>13638</v>
      </c>
      <c r="K278">
        <v>27750</v>
      </c>
      <c r="L278">
        <v>1887</v>
      </c>
      <c r="M278">
        <v>232</v>
      </c>
      <c r="N278">
        <v>8196</v>
      </c>
      <c r="O278">
        <v>1812</v>
      </c>
      <c r="P278">
        <f t="shared" si="27"/>
        <v>31818000</v>
      </c>
      <c r="Q278">
        <v>25153000</v>
      </c>
      <c r="R278">
        <v>6665000</v>
      </c>
      <c r="S278">
        <v>165000</v>
      </c>
      <c r="T278" s="128">
        <f t="shared" si="24"/>
        <v>73310115</v>
      </c>
      <c r="U278" s="128">
        <f t="shared" si="28"/>
        <v>24954115</v>
      </c>
      <c r="V278" s="128">
        <f t="shared" si="25"/>
        <v>24954115</v>
      </c>
      <c r="W278" s="128">
        <v>881325</v>
      </c>
      <c r="X278" s="188">
        <f t="shared" si="29"/>
        <v>2.8314316512069896E-2</v>
      </c>
      <c r="Y278" s="238"/>
      <c r="AE278" s="128"/>
      <c r="AF278" s="128"/>
      <c r="AG278" s="128"/>
    </row>
    <row r="279" spans="1:33" x14ac:dyDescent="0.25">
      <c r="A279" t="s">
        <v>520</v>
      </c>
      <c r="B279" t="s">
        <v>160</v>
      </c>
      <c r="C279">
        <f t="shared" si="26"/>
        <v>4393</v>
      </c>
      <c r="D279">
        <v>2567</v>
      </c>
      <c r="E279">
        <v>1826</v>
      </c>
      <c r="F279">
        <v>2</v>
      </c>
      <c r="G279">
        <v>0</v>
      </c>
      <c r="H279">
        <v>201</v>
      </c>
      <c r="I279">
        <v>106</v>
      </c>
      <c r="J279">
        <v>2000</v>
      </c>
      <c r="K279">
        <v>1231</v>
      </c>
      <c r="L279">
        <v>266</v>
      </c>
      <c r="M279">
        <v>0</v>
      </c>
      <c r="N279">
        <v>496</v>
      </c>
      <c r="O279">
        <v>23</v>
      </c>
      <c r="P279">
        <f t="shared" si="27"/>
        <v>3036000</v>
      </c>
      <c r="Q279">
        <v>2400000</v>
      </c>
      <c r="R279">
        <v>636000</v>
      </c>
      <c r="S279">
        <v>309000</v>
      </c>
      <c r="T279" s="128">
        <f t="shared" si="24"/>
        <v>6995160</v>
      </c>
      <c r="U279" s="128">
        <f t="shared" si="28"/>
        <v>2602160</v>
      </c>
      <c r="V279" s="128">
        <f t="shared" si="25"/>
        <v>2602160</v>
      </c>
      <c r="W279" s="128">
        <v>43762</v>
      </c>
      <c r="X279" s="188">
        <f t="shared" si="29"/>
        <v>5.9461633380558473E-2</v>
      </c>
      <c r="Y279" s="238"/>
      <c r="AE279" s="128"/>
      <c r="AF279" s="128"/>
      <c r="AG279" s="128"/>
    </row>
    <row r="280" spans="1:33" x14ac:dyDescent="0.25">
      <c r="A280" t="s">
        <v>518</v>
      </c>
      <c r="B280" t="s">
        <v>161</v>
      </c>
      <c r="C280">
        <f t="shared" si="26"/>
        <v>8471</v>
      </c>
      <c r="D280">
        <v>5534</v>
      </c>
      <c r="E280">
        <v>2937</v>
      </c>
      <c r="F280">
        <v>0</v>
      </c>
      <c r="G280">
        <v>0</v>
      </c>
      <c r="H280">
        <v>45</v>
      </c>
      <c r="I280">
        <v>5</v>
      </c>
      <c r="J280">
        <v>3641</v>
      </c>
      <c r="K280">
        <v>2495</v>
      </c>
      <c r="L280">
        <v>422</v>
      </c>
      <c r="M280">
        <v>580</v>
      </c>
      <c r="N280">
        <v>813</v>
      </c>
      <c r="O280">
        <v>26</v>
      </c>
      <c r="P280">
        <f t="shared" si="27"/>
        <v>3921000</v>
      </c>
      <c r="Q280">
        <v>3315000</v>
      </c>
      <c r="R280">
        <v>606000</v>
      </c>
      <c r="S280">
        <v>279000</v>
      </c>
      <c r="T280" s="128">
        <f t="shared" si="24"/>
        <v>8623935</v>
      </c>
      <c r="U280" s="128">
        <f t="shared" si="28"/>
        <v>152935</v>
      </c>
      <c r="V280" s="128">
        <f t="shared" si="25"/>
        <v>152935</v>
      </c>
      <c r="W280" s="128">
        <v>96796</v>
      </c>
      <c r="X280" s="188">
        <f t="shared" si="29"/>
        <v>1.5799723129054919E-3</v>
      </c>
      <c r="Y280" s="238"/>
      <c r="AE280" s="128"/>
      <c r="AF280" s="128"/>
      <c r="AG280" s="128"/>
    </row>
    <row r="281" spans="1:33" x14ac:dyDescent="0.25">
      <c r="A281" t="s">
        <v>521</v>
      </c>
      <c r="B281" t="s">
        <v>115</v>
      </c>
      <c r="C281">
        <f t="shared" si="26"/>
        <v>6011</v>
      </c>
      <c r="D281">
        <v>4575</v>
      </c>
      <c r="E281">
        <v>1436</v>
      </c>
      <c r="F281">
        <v>0</v>
      </c>
      <c r="G281">
        <v>0</v>
      </c>
      <c r="H281">
        <v>417</v>
      </c>
      <c r="I281">
        <v>69</v>
      </c>
      <c r="J281">
        <v>2784</v>
      </c>
      <c r="K281">
        <v>2826</v>
      </c>
      <c r="L281">
        <v>399</v>
      </c>
      <c r="M281">
        <v>445</v>
      </c>
      <c r="N281">
        <v>836</v>
      </c>
      <c r="O281">
        <v>315</v>
      </c>
      <c r="P281">
        <f t="shared" si="27"/>
        <v>5074000</v>
      </c>
      <c r="Q281">
        <v>4483000</v>
      </c>
      <c r="R281">
        <v>591000</v>
      </c>
      <c r="S281">
        <v>297000</v>
      </c>
      <c r="T281" s="128">
        <f t="shared" si="24"/>
        <v>10791825</v>
      </c>
      <c r="U281" s="128">
        <f t="shared" si="28"/>
        <v>4780825</v>
      </c>
      <c r="V281" s="128">
        <f t="shared" si="25"/>
        <v>4780825</v>
      </c>
      <c r="W281" s="128">
        <v>85164</v>
      </c>
      <c r="X281" s="188">
        <f t="shared" si="29"/>
        <v>5.6136689211403877E-2</v>
      </c>
      <c r="Y281" s="238"/>
      <c r="AE281" s="128"/>
      <c r="AF281" s="128"/>
      <c r="AG281" s="128"/>
    </row>
    <row r="282" spans="1:33" x14ac:dyDescent="0.25">
      <c r="A282" t="s">
        <v>528</v>
      </c>
      <c r="B282" t="s">
        <v>138</v>
      </c>
      <c r="C282">
        <f t="shared" si="26"/>
        <v>8372</v>
      </c>
      <c r="D282">
        <v>5920</v>
      </c>
      <c r="E282">
        <v>2452</v>
      </c>
      <c r="F282">
        <v>0</v>
      </c>
      <c r="G282">
        <v>0</v>
      </c>
      <c r="H282">
        <v>432</v>
      </c>
      <c r="I282">
        <v>46</v>
      </c>
      <c r="J282">
        <v>2185</v>
      </c>
      <c r="K282">
        <v>3516</v>
      </c>
      <c r="L282">
        <v>317</v>
      </c>
      <c r="M282">
        <v>17</v>
      </c>
      <c r="N282">
        <v>461</v>
      </c>
      <c r="O282">
        <v>81</v>
      </c>
      <c r="P282">
        <f t="shared" si="27"/>
        <v>3599000</v>
      </c>
      <c r="Q282">
        <v>3138000</v>
      </c>
      <c r="R282">
        <v>461000</v>
      </c>
      <c r="S282">
        <v>188000</v>
      </c>
      <c r="T282" s="128">
        <f t="shared" si="24"/>
        <v>7734300</v>
      </c>
      <c r="U282" s="128">
        <f t="shared" si="28"/>
        <v>-637700</v>
      </c>
      <c r="V282" s="128">
        <f t="shared" si="25"/>
        <v>0</v>
      </c>
      <c r="W282" s="128">
        <v>87399</v>
      </c>
      <c r="X282" s="188">
        <f t="shared" si="29"/>
        <v>-7.2964221558599069E-3</v>
      </c>
      <c r="Y282" s="238"/>
      <c r="AE282" s="128"/>
      <c r="AF282" s="128"/>
      <c r="AG282" s="128"/>
    </row>
    <row r="283" spans="1:33" x14ac:dyDescent="0.25">
      <c r="A283" t="s">
        <v>519</v>
      </c>
      <c r="B283" t="s">
        <v>274</v>
      </c>
      <c r="C283">
        <f t="shared" si="26"/>
        <v>3209</v>
      </c>
      <c r="D283">
        <v>2345</v>
      </c>
      <c r="E283">
        <v>864</v>
      </c>
      <c r="F283">
        <v>0</v>
      </c>
      <c r="G283">
        <v>17</v>
      </c>
      <c r="H283">
        <v>106</v>
      </c>
      <c r="I283">
        <v>61</v>
      </c>
      <c r="J283">
        <v>975</v>
      </c>
      <c r="K283">
        <v>1751</v>
      </c>
      <c r="L283">
        <v>136</v>
      </c>
      <c r="M283">
        <v>15</v>
      </c>
      <c r="N283">
        <v>297</v>
      </c>
      <c r="O283">
        <v>17</v>
      </c>
      <c r="P283">
        <f t="shared" si="27"/>
        <v>2083000</v>
      </c>
      <c r="Q283">
        <v>1920000</v>
      </c>
      <c r="R283">
        <v>163000</v>
      </c>
      <c r="S283">
        <v>198000</v>
      </c>
      <c r="T283" s="128">
        <f t="shared" si="24"/>
        <v>4278630</v>
      </c>
      <c r="U283" s="128">
        <f t="shared" si="28"/>
        <v>1069630</v>
      </c>
      <c r="V283" s="128">
        <f t="shared" si="25"/>
        <v>1069630</v>
      </c>
      <c r="W283" s="128">
        <v>27034</v>
      </c>
      <c r="X283" s="188">
        <f t="shared" si="29"/>
        <v>3.9566101945698012E-2</v>
      </c>
      <c r="Y283" s="238"/>
      <c r="AE283" s="128"/>
      <c r="AF283" s="128"/>
      <c r="AG283" s="128"/>
    </row>
    <row r="284" spans="1:33" x14ac:dyDescent="0.25">
      <c r="A284" t="s">
        <v>517</v>
      </c>
      <c r="B284" t="s">
        <v>275</v>
      </c>
      <c r="C284">
        <f t="shared" si="26"/>
        <v>8031</v>
      </c>
      <c r="D284" s="129">
        <v>4586</v>
      </c>
      <c r="E284" s="129">
        <v>3445</v>
      </c>
      <c r="F284" s="129">
        <v>2</v>
      </c>
      <c r="G284" s="129">
        <v>32</v>
      </c>
      <c r="H284" s="129">
        <v>116</v>
      </c>
      <c r="I284" s="129">
        <v>5</v>
      </c>
      <c r="J284" s="129">
        <v>3616</v>
      </c>
      <c r="K284" s="129">
        <v>4167</v>
      </c>
      <c r="L284" s="129">
        <v>382</v>
      </c>
      <c r="M284" s="129">
        <v>313</v>
      </c>
      <c r="N284" s="129">
        <v>1064</v>
      </c>
      <c r="O284" s="129">
        <v>118</v>
      </c>
      <c r="P284">
        <f t="shared" si="27"/>
        <v>5169000</v>
      </c>
      <c r="Q284" s="129">
        <v>4396000</v>
      </c>
      <c r="R284" s="129">
        <v>773000</v>
      </c>
      <c r="S284">
        <v>193000</v>
      </c>
      <c r="T284" s="128">
        <f>0.1905*SUM(Q284,R284,R284)*10</f>
        <v>11319510</v>
      </c>
      <c r="U284" s="128">
        <f t="shared" si="28"/>
        <v>3288510</v>
      </c>
      <c r="V284" s="128">
        <f>IF(U284&gt;0,U284,0)</f>
        <v>3288510</v>
      </c>
      <c r="W284" s="128">
        <v>76928</v>
      </c>
      <c r="X284" s="188">
        <f t="shared" si="29"/>
        <v>4.2747894134775373E-2</v>
      </c>
      <c r="Y284" s="238"/>
      <c r="AA284" s="129"/>
      <c r="AB284" s="129"/>
      <c r="AC284" s="129"/>
      <c r="AD284" s="129"/>
      <c r="AE284" s="128"/>
      <c r="AF284" s="128"/>
      <c r="AG284" s="128"/>
    </row>
    <row r="285" spans="1:33" x14ac:dyDescent="0.25">
      <c r="A285" t="s">
        <v>522</v>
      </c>
      <c r="B285" t="s">
        <v>433</v>
      </c>
      <c r="C285">
        <f t="shared" si="26"/>
        <v>5211</v>
      </c>
      <c r="D285">
        <v>2808</v>
      </c>
      <c r="E285">
        <v>2403</v>
      </c>
      <c r="F285">
        <v>0</v>
      </c>
      <c r="G285">
        <v>18</v>
      </c>
      <c r="H285">
        <v>43</v>
      </c>
      <c r="I285">
        <v>62</v>
      </c>
      <c r="J285">
        <v>2064</v>
      </c>
      <c r="K285">
        <v>1829</v>
      </c>
      <c r="L285">
        <v>205</v>
      </c>
      <c r="M285">
        <v>315</v>
      </c>
      <c r="N285">
        <v>428</v>
      </c>
      <c r="O285">
        <v>609</v>
      </c>
      <c r="P285">
        <f t="shared" si="27"/>
        <v>2204000</v>
      </c>
      <c r="Q285">
        <v>1740000</v>
      </c>
      <c r="R285">
        <v>464000</v>
      </c>
      <c r="S285">
        <v>257000</v>
      </c>
      <c r="T285" s="128">
        <f t="shared" si="24"/>
        <v>5082540</v>
      </c>
      <c r="U285" s="128">
        <f t="shared" si="28"/>
        <v>-128460</v>
      </c>
      <c r="V285" s="128">
        <f t="shared" si="25"/>
        <v>0</v>
      </c>
      <c r="W285" s="128">
        <v>67723</v>
      </c>
      <c r="X285" s="188">
        <f t="shared" si="29"/>
        <v>-1.8968444989146966E-3</v>
      </c>
      <c r="Y285" s="238"/>
      <c r="AE285" s="128"/>
      <c r="AF285" s="128"/>
      <c r="AG285" s="128"/>
    </row>
    <row r="286" spans="1:33" x14ac:dyDescent="0.25">
      <c r="A286" t="s">
        <v>522</v>
      </c>
      <c r="B286" t="s">
        <v>231</v>
      </c>
      <c r="C286">
        <f t="shared" si="26"/>
        <v>131975</v>
      </c>
      <c r="D286">
        <v>46648</v>
      </c>
      <c r="E286">
        <v>85327</v>
      </c>
      <c r="F286">
        <v>51187</v>
      </c>
      <c r="G286">
        <v>673</v>
      </c>
      <c r="H286">
        <v>3914</v>
      </c>
      <c r="I286">
        <v>1021</v>
      </c>
      <c r="J286">
        <v>43791</v>
      </c>
      <c r="K286">
        <v>53201</v>
      </c>
      <c r="L286">
        <v>4740</v>
      </c>
      <c r="M286">
        <v>1148</v>
      </c>
      <c r="N286">
        <v>16916</v>
      </c>
      <c r="O286">
        <v>3443</v>
      </c>
      <c r="P286">
        <f t="shared" si="27"/>
        <v>69633000</v>
      </c>
      <c r="Q286">
        <v>55944000</v>
      </c>
      <c r="R286">
        <v>13689000</v>
      </c>
      <c r="S286">
        <v>206000</v>
      </c>
      <c r="T286" s="128">
        <f t="shared" si="24"/>
        <v>158728410</v>
      </c>
      <c r="U286" s="128">
        <f t="shared" si="28"/>
        <v>26753410</v>
      </c>
      <c r="V286" s="128">
        <f t="shared" si="25"/>
        <v>26753410</v>
      </c>
      <c r="W286" s="128">
        <v>1480690</v>
      </c>
      <c r="X286" s="188">
        <f t="shared" si="29"/>
        <v>1.8068204688354753E-2</v>
      </c>
      <c r="Y286" s="238"/>
      <c r="AE286" s="128"/>
      <c r="AF286" s="128"/>
      <c r="AG286" s="128"/>
    </row>
    <row r="287" spans="1:33" x14ac:dyDescent="0.25">
      <c r="A287" t="s">
        <v>516</v>
      </c>
      <c r="B287" t="s">
        <v>232</v>
      </c>
      <c r="C287">
        <f t="shared" si="26"/>
        <v>12642</v>
      </c>
      <c r="D287">
        <v>9724</v>
      </c>
      <c r="E287">
        <v>2918</v>
      </c>
      <c r="F287">
        <v>18</v>
      </c>
      <c r="G287">
        <v>0</v>
      </c>
      <c r="H287">
        <v>1046</v>
      </c>
      <c r="I287">
        <v>1000</v>
      </c>
      <c r="J287">
        <v>6726</v>
      </c>
      <c r="K287">
        <v>6484</v>
      </c>
      <c r="L287">
        <v>619</v>
      </c>
      <c r="M287">
        <v>958</v>
      </c>
      <c r="N287">
        <v>1636</v>
      </c>
      <c r="O287">
        <v>167</v>
      </c>
      <c r="P287">
        <f t="shared" si="27"/>
        <v>9266000</v>
      </c>
      <c r="Q287">
        <v>8385000</v>
      </c>
      <c r="R287">
        <v>881000</v>
      </c>
      <c r="S287">
        <v>256000</v>
      </c>
      <c r="T287" s="128">
        <f t="shared" si="24"/>
        <v>19330035</v>
      </c>
      <c r="U287" s="128">
        <f t="shared" si="28"/>
        <v>6688035</v>
      </c>
      <c r="V287" s="128">
        <f t="shared" si="25"/>
        <v>6688035</v>
      </c>
      <c r="W287" s="128">
        <v>133306</v>
      </c>
      <c r="X287" s="188">
        <f t="shared" si="29"/>
        <v>5.0170547462229757E-2</v>
      </c>
      <c r="Y287" s="238"/>
      <c r="AE287" s="128"/>
      <c r="AF287" s="128"/>
      <c r="AG287" s="128"/>
    </row>
    <row r="288" spans="1:33" x14ac:dyDescent="0.25">
      <c r="A288" t="s">
        <v>520</v>
      </c>
      <c r="B288" t="s">
        <v>423</v>
      </c>
      <c r="C288">
        <f t="shared" si="26"/>
        <v>2274</v>
      </c>
      <c r="D288">
        <v>1718</v>
      </c>
      <c r="E288">
        <v>556</v>
      </c>
      <c r="F288">
        <v>685</v>
      </c>
      <c r="G288">
        <v>0</v>
      </c>
      <c r="H288">
        <v>1481</v>
      </c>
      <c r="I288">
        <v>83</v>
      </c>
      <c r="J288">
        <v>1048</v>
      </c>
      <c r="K288">
        <v>1984</v>
      </c>
      <c r="L288">
        <v>109</v>
      </c>
      <c r="M288">
        <v>0</v>
      </c>
      <c r="N288">
        <v>280</v>
      </c>
      <c r="O288">
        <v>48</v>
      </c>
      <c r="P288">
        <f t="shared" si="27"/>
        <v>1170000</v>
      </c>
      <c r="Q288">
        <v>1054000</v>
      </c>
      <c r="R288">
        <v>116000</v>
      </c>
      <c r="S288">
        <v>192000</v>
      </c>
      <c r="T288" s="128">
        <f t="shared" si="24"/>
        <v>2449830</v>
      </c>
      <c r="U288" s="128">
        <f t="shared" si="28"/>
        <v>175830</v>
      </c>
      <c r="V288" s="128">
        <f t="shared" si="25"/>
        <v>175830</v>
      </c>
      <c r="W288" s="128">
        <v>33912</v>
      </c>
      <c r="X288" s="188">
        <f t="shared" si="29"/>
        <v>5.1848903043170561E-3</v>
      </c>
      <c r="Y288" s="238"/>
      <c r="AE288" s="128"/>
      <c r="AF288" s="128"/>
      <c r="AG288" s="128"/>
    </row>
    <row r="289" spans="1:33" x14ac:dyDescent="0.25">
      <c r="A289" t="s">
        <v>517</v>
      </c>
      <c r="B289" t="s">
        <v>424</v>
      </c>
      <c r="C289">
        <f t="shared" si="26"/>
        <v>5515</v>
      </c>
      <c r="D289">
        <v>3327</v>
      </c>
      <c r="E289">
        <v>2188</v>
      </c>
      <c r="F289">
        <v>2932</v>
      </c>
      <c r="G289">
        <v>386</v>
      </c>
      <c r="H289">
        <v>2200</v>
      </c>
      <c r="I289">
        <v>408</v>
      </c>
      <c r="J289">
        <v>2848</v>
      </c>
      <c r="K289">
        <v>1070</v>
      </c>
      <c r="L289">
        <v>175</v>
      </c>
      <c r="M289">
        <v>152</v>
      </c>
      <c r="N289">
        <v>294</v>
      </c>
      <c r="O289">
        <v>344</v>
      </c>
      <c r="P289">
        <f t="shared" si="27"/>
        <v>2447000</v>
      </c>
      <c r="Q289">
        <v>2169000</v>
      </c>
      <c r="R289">
        <v>278000</v>
      </c>
      <c r="S289">
        <v>237000</v>
      </c>
      <c r="T289" s="128">
        <f t="shared" si="24"/>
        <v>5191125</v>
      </c>
      <c r="U289" s="128">
        <f t="shared" si="28"/>
        <v>-323875</v>
      </c>
      <c r="V289" s="128">
        <f t="shared" si="25"/>
        <v>0</v>
      </c>
      <c r="W289" s="128">
        <v>54520</v>
      </c>
      <c r="X289" s="188">
        <f t="shared" si="29"/>
        <v>-5.940480557593544E-3</v>
      </c>
      <c r="Y289" s="238"/>
      <c r="AE289" s="128"/>
      <c r="AF289" s="128"/>
      <c r="AG289" s="128"/>
    </row>
    <row r="290" spans="1:33" x14ac:dyDescent="0.25">
      <c r="A290" t="s">
        <v>518</v>
      </c>
      <c r="B290" t="s">
        <v>393</v>
      </c>
      <c r="C290">
        <f t="shared" si="26"/>
        <v>8204</v>
      </c>
      <c r="D290">
        <v>5478</v>
      </c>
      <c r="E290">
        <v>2726</v>
      </c>
      <c r="F290">
        <v>746</v>
      </c>
      <c r="G290">
        <v>79</v>
      </c>
      <c r="H290">
        <v>0</v>
      </c>
      <c r="I290">
        <v>90</v>
      </c>
      <c r="J290">
        <v>3247</v>
      </c>
      <c r="K290">
        <v>4410</v>
      </c>
      <c r="L290">
        <v>274</v>
      </c>
      <c r="M290">
        <v>188</v>
      </c>
      <c r="N290">
        <v>620</v>
      </c>
      <c r="O290">
        <v>187</v>
      </c>
      <c r="P290">
        <f t="shared" si="27"/>
        <v>5076000</v>
      </c>
      <c r="Q290">
        <v>4417000</v>
      </c>
      <c r="R290">
        <v>659000</v>
      </c>
      <c r="S290">
        <v>260000</v>
      </c>
      <c r="T290" s="128">
        <f t="shared" si="24"/>
        <v>10925175</v>
      </c>
      <c r="U290" s="128">
        <f t="shared" si="28"/>
        <v>2721175</v>
      </c>
      <c r="V290" s="128">
        <f t="shared" si="25"/>
        <v>2721175</v>
      </c>
      <c r="W290" s="128">
        <v>87202</v>
      </c>
      <c r="X290" s="188">
        <f t="shared" si="29"/>
        <v>3.1205419600467878E-2</v>
      </c>
      <c r="Y290" s="238"/>
      <c r="AE290" s="128"/>
      <c r="AF290" s="128"/>
      <c r="AG290" s="128"/>
    </row>
    <row r="291" spans="1:33" x14ac:dyDescent="0.25">
      <c r="A291" t="s">
        <v>518</v>
      </c>
      <c r="B291" t="s">
        <v>126</v>
      </c>
      <c r="C291">
        <f t="shared" si="26"/>
        <v>8361</v>
      </c>
      <c r="D291">
        <v>4830</v>
      </c>
      <c r="E291">
        <v>3531</v>
      </c>
      <c r="F291">
        <v>0</v>
      </c>
      <c r="G291">
        <v>12</v>
      </c>
      <c r="H291">
        <v>0</v>
      </c>
      <c r="I291">
        <v>140</v>
      </c>
      <c r="J291">
        <v>2029</v>
      </c>
      <c r="K291">
        <v>3682</v>
      </c>
      <c r="L291">
        <v>315</v>
      </c>
      <c r="M291">
        <v>83</v>
      </c>
      <c r="N291">
        <v>402</v>
      </c>
      <c r="O291">
        <v>45</v>
      </c>
      <c r="P291">
        <f t="shared" si="27"/>
        <v>2540000</v>
      </c>
      <c r="Q291">
        <v>2042000</v>
      </c>
      <c r="R291">
        <v>498000</v>
      </c>
      <c r="S291">
        <v>258000</v>
      </c>
      <c r="T291" s="128">
        <f t="shared" si="24"/>
        <v>5787390</v>
      </c>
      <c r="U291" s="128">
        <f t="shared" si="28"/>
        <v>-2573610</v>
      </c>
      <c r="V291" s="128">
        <f t="shared" si="25"/>
        <v>0</v>
      </c>
      <c r="W291" s="128">
        <v>112724</v>
      </c>
      <c r="X291" s="188">
        <f t="shared" si="29"/>
        <v>-2.2831074127958553E-2</v>
      </c>
      <c r="Y291" s="238"/>
      <c r="AE291" s="128"/>
      <c r="AF291" s="128"/>
      <c r="AG291" s="128"/>
    </row>
    <row r="292" spans="1:33" x14ac:dyDescent="0.25">
      <c r="A292" t="s">
        <v>523</v>
      </c>
      <c r="B292" t="s">
        <v>233</v>
      </c>
      <c r="C292">
        <f t="shared" si="26"/>
        <v>14664</v>
      </c>
      <c r="D292">
        <v>8005</v>
      </c>
      <c r="E292">
        <v>6659</v>
      </c>
      <c r="F292">
        <v>2244</v>
      </c>
      <c r="G292">
        <v>95</v>
      </c>
      <c r="H292">
        <v>110</v>
      </c>
      <c r="I292">
        <v>1214</v>
      </c>
      <c r="J292">
        <v>3437</v>
      </c>
      <c r="K292">
        <v>8251</v>
      </c>
      <c r="L292">
        <v>983</v>
      </c>
      <c r="M292">
        <v>790</v>
      </c>
      <c r="N292">
        <v>1687</v>
      </c>
      <c r="O292">
        <v>74</v>
      </c>
      <c r="P292">
        <f t="shared" si="27"/>
        <v>9447000</v>
      </c>
      <c r="Q292">
        <v>7925000</v>
      </c>
      <c r="R292">
        <v>1522000</v>
      </c>
      <c r="S292">
        <v>210000</v>
      </c>
      <c r="T292" s="128">
        <f t="shared" si="24"/>
        <v>20895945</v>
      </c>
      <c r="U292" s="128">
        <f t="shared" si="28"/>
        <v>6231945</v>
      </c>
      <c r="V292" s="128">
        <f t="shared" si="25"/>
        <v>6231945</v>
      </c>
      <c r="W292" s="128">
        <v>199763</v>
      </c>
      <c r="X292" s="188">
        <f t="shared" si="29"/>
        <v>3.1196693081301342E-2</v>
      </c>
      <c r="Y292" s="238"/>
      <c r="AE292" s="128"/>
      <c r="AF292" s="128"/>
      <c r="AG292" s="128"/>
    </row>
    <row r="293" spans="1:33" x14ac:dyDescent="0.25">
      <c r="A293" t="s">
        <v>524</v>
      </c>
      <c r="B293" t="s">
        <v>341</v>
      </c>
      <c r="C293">
        <f t="shared" si="26"/>
        <v>5926</v>
      </c>
      <c r="D293">
        <v>4323</v>
      </c>
      <c r="E293">
        <v>1603</v>
      </c>
      <c r="F293">
        <v>6530</v>
      </c>
      <c r="G293">
        <v>161</v>
      </c>
      <c r="H293">
        <v>8902</v>
      </c>
      <c r="I293">
        <v>1982</v>
      </c>
      <c r="J293">
        <v>2580</v>
      </c>
      <c r="K293">
        <v>3753</v>
      </c>
      <c r="L293">
        <v>261</v>
      </c>
      <c r="M293">
        <v>510</v>
      </c>
      <c r="N293">
        <v>891</v>
      </c>
      <c r="O293">
        <v>258</v>
      </c>
      <c r="P293">
        <f t="shared" si="27"/>
        <v>5162000</v>
      </c>
      <c r="Q293">
        <v>4398000</v>
      </c>
      <c r="R293">
        <v>764000</v>
      </c>
      <c r="S293">
        <v>262000</v>
      </c>
      <c r="T293" s="128">
        <f t="shared" si="24"/>
        <v>11289030</v>
      </c>
      <c r="U293" s="128">
        <f t="shared" si="28"/>
        <v>5363030</v>
      </c>
      <c r="V293" s="128">
        <f t="shared" si="25"/>
        <v>5363030</v>
      </c>
      <c r="W293" s="128">
        <v>74464</v>
      </c>
      <c r="X293" s="188">
        <f t="shared" si="29"/>
        <v>7.2021782337773954E-2</v>
      </c>
      <c r="Y293" s="238"/>
      <c r="AE293" s="128"/>
      <c r="AF293" s="128"/>
      <c r="AG293" s="128"/>
    </row>
    <row r="294" spans="1:33" x14ac:dyDescent="0.25">
      <c r="A294" t="s">
        <v>524</v>
      </c>
      <c r="B294" t="s">
        <v>394</v>
      </c>
      <c r="C294">
        <f t="shared" si="26"/>
        <v>13115</v>
      </c>
      <c r="D294">
        <v>7249</v>
      </c>
      <c r="E294">
        <v>5866</v>
      </c>
      <c r="F294">
        <v>819</v>
      </c>
      <c r="G294">
        <v>0</v>
      </c>
      <c r="H294">
        <v>335</v>
      </c>
      <c r="I294">
        <v>710</v>
      </c>
      <c r="J294">
        <v>3632</v>
      </c>
      <c r="K294">
        <v>4918</v>
      </c>
      <c r="L294">
        <v>516</v>
      </c>
      <c r="M294">
        <v>132</v>
      </c>
      <c r="N294">
        <v>1315</v>
      </c>
      <c r="O294">
        <v>78</v>
      </c>
      <c r="P294">
        <f t="shared" si="27"/>
        <v>8580000</v>
      </c>
      <c r="Q294">
        <v>7022000</v>
      </c>
      <c r="R294">
        <v>1558000</v>
      </c>
      <c r="S294">
        <v>331000</v>
      </c>
      <c r="T294" s="128">
        <f t="shared" si="24"/>
        <v>19312890</v>
      </c>
      <c r="U294" s="128">
        <f t="shared" si="28"/>
        <v>6197890</v>
      </c>
      <c r="V294" s="128">
        <f t="shared" si="25"/>
        <v>6197890</v>
      </c>
      <c r="W294" s="128">
        <v>139641</v>
      </c>
      <c r="X294" s="188">
        <f t="shared" si="29"/>
        <v>4.4384457286899978E-2</v>
      </c>
      <c r="Y294" s="238"/>
      <c r="AE294" s="128"/>
      <c r="AF294" s="128"/>
      <c r="AG294" s="128"/>
    </row>
    <row r="295" spans="1:33" x14ac:dyDescent="0.25">
      <c r="A295" t="s">
        <v>526</v>
      </c>
      <c r="B295" t="s">
        <v>276</v>
      </c>
      <c r="C295">
        <f t="shared" si="26"/>
        <v>17520</v>
      </c>
      <c r="D295">
        <v>8884</v>
      </c>
      <c r="E295">
        <v>8636</v>
      </c>
      <c r="F295">
        <v>382</v>
      </c>
      <c r="G295">
        <v>70</v>
      </c>
      <c r="H295">
        <v>1045</v>
      </c>
      <c r="I295">
        <v>642</v>
      </c>
      <c r="J295">
        <v>5725</v>
      </c>
      <c r="K295">
        <v>12129</v>
      </c>
      <c r="L295">
        <v>693</v>
      </c>
      <c r="M295">
        <v>342</v>
      </c>
      <c r="N295">
        <v>1786</v>
      </c>
      <c r="O295">
        <v>109</v>
      </c>
      <c r="P295">
        <f t="shared" si="27"/>
        <v>11218000</v>
      </c>
      <c r="Q295">
        <v>9560000</v>
      </c>
      <c r="R295">
        <v>1658000</v>
      </c>
      <c r="S295">
        <v>153000</v>
      </c>
      <c r="T295" s="128">
        <f t="shared" si="24"/>
        <v>24528780</v>
      </c>
      <c r="U295" s="128">
        <f t="shared" si="28"/>
        <v>7008780</v>
      </c>
      <c r="V295" s="128">
        <f t="shared" si="25"/>
        <v>7008780</v>
      </c>
      <c r="W295" s="128">
        <v>193717</v>
      </c>
      <c r="X295" s="188">
        <f t="shared" si="29"/>
        <v>3.6180510745055933E-2</v>
      </c>
      <c r="Y295" s="238"/>
      <c r="AE295" s="128"/>
      <c r="AF295" s="128"/>
      <c r="AG295" s="128"/>
    </row>
    <row r="296" spans="1:33" x14ac:dyDescent="0.25">
      <c r="A296" t="s">
        <v>526</v>
      </c>
      <c r="B296" t="s">
        <v>425</v>
      </c>
      <c r="C296">
        <f t="shared" si="26"/>
        <v>39539</v>
      </c>
      <c r="D296">
        <v>17169</v>
      </c>
      <c r="E296">
        <v>22370</v>
      </c>
      <c r="F296">
        <v>2926</v>
      </c>
      <c r="G296">
        <v>0</v>
      </c>
      <c r="H296">
        <v>2127</v>
      </c>
      <c r="I296">
        <v>1072</v>
      </c>
      <c r="J296">
        <v>8018</v>
      </c>
      <c r="K296">
        <v>10639</v>
      </c>
      <c r="L296">
        <v>1277</v>
      </c>
      <c r="M296">
        <v>394</v>
      </c>
      <c r="N296">
        <v>3644</v>
      </c>
      <c r="O296">
        <v>1018</v>
      </c>
      <c r="P296">
        <f t="shared" si="27"/>
        <v>14274000</v>
      </c>
      <c r="Q296">
        <v>10724000</v>
      </c>
      <c r="R296">
        <v>3550000</v>
      </c>
      <c r="S296">
        <v>200000</v>
      </c>
      <c r="T296" s="128">
        <f t="shared" si="24"/>
        <v>33954720</v>
      </c>
      <c r="U296" s="128">
        <f t="shared" si="28"/>
        <v>-5584280</v>
      </c>
      <c r="V296" s="128">
        <f t="shared" si="25"/>
        <v>0</v>
      </c>
      <c r="W296" s="128">
        <v>454028</v>
      </c>
      <c r="X296" s="188">
        <f t="shared" si="29"/>
        <v>-1.2299417657060798E-2</v>
      </c>
      <c r="Y296" s="238"/>
      <c r="AE296" s="128"/>
      <c r="AF296" s="128"/>
      <c r="AG296" s="128"/>
    </row>
    <row r="297" spans="1:33" x14ac:dyDescent="0.25">
      <c r="A297" t="s">
        <v>517</v>
      </c>
      <c r="B297" t="s">
        <v>426</v>
      </c>
      <c r="C297">
        <f t="shared" si="26"/>
        <v>15272</v>
      </c>
      <c r="D297">
        <v>6673</v>
      </c>
      <c r="E297">
        <v>8599</v>
      </c>
      <c r="F297">
        <v>492</v>
      </c>
      <c r="G297">
        <v>0</v>
      </c>
      <c r="H297">
        <v>555</v>
      </c>
      <c r="I297">
        <v>217</v>
      </c>
      <c r="J297">
        <v>4446</v>
      </c>
      <c r="K297">
        <v>4877</v>
      </c>
      <c r="L297">
        <v>370</v>
      </c>
      <c r="M297">
        <v>19</v>
      </c>
      <c r="N297">
        <v>953</v>
      </c>
      <c r="O297">
        <v>556</v>
      </c>
      <c r="P297">
        <f t="shared" si="27"/>
        <v>6340000</v>
      </c>
      <c r="Q297">
        <v>4678000</v>
      </c>
      <c r="R297">
        <v>1662000</v>
      </c>
      <c r="S297">
        <v>252000</v>
      </c>
      <c r="T297" s="128">
        <f t="shared" si="24"/>
        <v>15243810</v>
      </c>
      <c r="U297" s="128">
        <f t="shared" si="28"/>
        <v>-28190</v>
      </c>
      <c r="V297" s="128">
        <f t="shared" si="25"/>
        <v>0</v>
      </c>
      <c r="W297" s="128">
        <v>128496</v>
      </c>
      <c r="X297" s="188">
        <f t="shared" si="29"/>
        <v>-2.1938426098866892E-4</v>
      </c>
      <c r="Y297" s="238"/>
      <c r="AE297" s="128"/>
      <c r="AF297" s="128"/>
      <c r="AG297" s="128"/>
    </row>
    <row r="298" spans="1:33" x14ac:dyDescent="0.25">
      <c r="A298" t="s">
        <v>525</v>
      </c>
      <c r="B298" t="s">
        <v>605</v>
      </c>
      <c r="C298">
        <f t="shared" si="26"/>
        <v>14533</v>
      </c>
      <c r="D298">
        <v>8697</v>
      </c>
      <c r="E298">
        <v>5836</v>
      </c>
      <c r="F298">
        <v>531</v>
      </c>
      <c r="G298">
        <v>0</v>
      </c>
      <c r="H298">
        <v>229</v>
      </c>
      <c r="I298">
        <v>549</v>
      </c>
      <c r="J298">
        <v>5253</v>
      </c>
      <c r="K298">
        <v>9271</v>
      </c>
      <c r="L298">
        <v>672</v>
      </c>
      <c r="M298">
        <v>893</v>
      </c>
      <c r="N298">
        <v>2432</v>
      </c>
      <c r="O298">
        <v>354</v>
      </c>
      <c r="P298">
        <f t="shared" si="27"/>
        <v>8033000</v>
      </c>
      <c r="Q298">
        <v>6740000</v>
      </c>
      <c r="R298">
        <v>1293000</v>
      </c>
      <c r="S298">
        <v>140000</v>
      </c>
      <c r="T298" s="128">
        <f t="shared" si="24"/>
        <v>17766030</v>
      </c>
      <c r="U298" s="128">
        <f t="shared" si="28"/>
        <v>3233030</v>
      </c>
      <c r="V298" s="128">
        <f t="shared" si="25"/>
        <v>3233030</v>
      </c>
      <c r="W298" s="128">
        <v>171431</v>
      </c>
      <c r="X298" s="188">
        <f t="shared" si="29"/>
        <v>1.8859074496444635E-2</v>
      </c>
      <c r="Y298" s="238"/>
      <c r="AE298" s="128"/>
      <c r="AF298" s="128"/>
      <c r="AG298" s="128"/>
    </row>
    <row r="299" spans="1:33" s="86" customFormat="1" x14ac:dyDescent="0.25">
      <c r="A299" s="86" t="s">
        <v>524</v>
      </c>
      <c r="B299" s="86" t="s">
        <v>320</v>
      </c>
      <c r="C299">
        <f t="shared" si="26"/>
        <v>20821</v>
      </c>
      <c r="D299" s="86">
        <v>11860</v>
      </c>
      <c r="E299" s="86">
        <v>8961</v>
      </c>
      <c r="F299" s="86">
        <v>2598</v>
      </c>
      <c r="G299" s="86">
        <v>872</v>
      </c>
      <c r="H299" s="86">
        <v>334</v>
      </c>
      <c r="I299" s="86">
        <v>25</v>
      </c>
      <c r="J299" s="86">
        <v>6461</v>
      </c>
      <c r="K299" s="86">
        <v>11663</v>
      </c>
      <c r="L299" s="86">
        <v>750</v>
      </c>
      <c r="M299" s="86">
        <v>782</v>
      </c>
      <c r="N299" s="86">
        <v>1342</v>
      </c>
      <c r="O299" s="86">
        <v>1411</v>
      </c>
      <c r="P299">
        <f t="shared" si="27"/>
        <v>9180000</v>
      </c>
      <c r="Q299" s="86">
        <v>7807000</v>
      </c>
      <c r="R299" s="86">
        <v>1373000</v>
      </c>
      <c r="S299" s="86">
        <v>218000</v>
      </c>
      <c r="T299" s="243">
        <f t="shared" si="24"/>
        <v>20103465</v>
      </c>
      <c r="U299" s="128">
        <f t="shared" si="28"/>
        <v>-717535</v>
      </c>
      <c r="V299" s="243">
        <f t="shared" si="25"/>
        <v>0</v>
      </c>
      <c r="W299" s="243">
        <v>262321</v>
      </c>
      <c r="X299" s="273">
        <f t="shared" si="29"/>
        <v>-2.7353319025163825E-3</v>
      </c>
      <c r="Y299" s="301"/>
      <c r="AE299" s="243"/>
      <c r="AF299" s="243"/>
      <c r="AG299" s="243"/>
    </row>
    <row r="300" spans="1:33" x14ac:dyDescent="0.25">
      <c r="A300" t="s">
        <v>528</v>
      </c>
      <c r="B300" t="s">
        <v>139</v>
      </c>
      <c r="C300">
        <f t="shared" si="26"/>
        <v>641</v>
      </c>
      <c r="D300">
        <v>297</v>
      </c>
      <c r="E300">
        <v>344</v>
      </c>
      <c r="F300">
        <v>0</v>
      </c>
      <c r="G300">
        <v>43</v>
      </c>
      <c r="H300">
        <v>1737</v>
      </c>
      <c r="I300">
        <v>241</v>
      </c>
      <c r="J300">
        <v>214</v>
      </c>
      <c r="K300">
        <v>525</v>
      </c>
      <c r="L300">
        <v>108</v>
      </c>
      <c r="M300">
        <v>15</v>
      </c>
      <c r="N300">
        <v>52</v>
      </c>
      <c r="O300">
        <v>0</v>
      </c>
      <c r="P300">
        <f t="shared" si="27"/>
        <v>513000</v>
      </c>
      <c r="Q300">
        <v>422000</v>
      </c>
      <c r="R300">
        <v>91000</v>
      </c>
      <c r="S300">
        <v>266000</v>
      </c>
      <c r="T300" s="128">
        <f t="shared" si="24"/>
        <v>1150620</v>
      </c>
      <c r="U300" s="128">
        <f t="shared" si="28"/>
        <v>509620</v>
      </c>
      <c r="V300" s="128">
        <f t="shared" si="25"/>
        <v>509620</v>
      </c>
      <c r="W300" s="128">
        <v>8824</v>
      </c>
      <c r="X300" s="188">
        <f t="shared" si="29"/>
        <v>5.7753853127833182E-2</v>
      </c>
      <c r="Y300" s="238"/>
      <c r="AE300" s="128"/>
      <c r="AF300" s="128"/>
      <c r="AG300" s="128"/>
    </row>
    <row r="301" spans="1:33" x14ac:dyDescent="0.25">
      <c r="A301" t="s">
        <v>517</v>
      </c>
      <c r="B301" t="s">
        <v>342</v>
      </c>
      <c r="C301">
        <f t="shared" si="26"/>
        <v>13536</v>
      </c>
      <c r="D301">
        <v>6039</v>
      </c>
      <c r="E301">
        <v>7497</v>
      </c>
      <c r="F301">
        <v>3116</v>
      </c>
      <c r="G301">
        <v>189</v>
      </c>
      <c r="H301">
        <v>567</v>
      </c>
      <c r="I301">
        <v>738</v>
      </c>
      <c r="J301">
        <v>6641</v>
      </c>
      <c r="K301">
        <v>7562</v>
      </c>
      <c r="L301">
        <v>793</v>
      </c>
      <c r="M301">
        <v>553</v>
      </c>
      <c r="N301">
        <v>1543</v>
      </c>
      <c r="O301">
        <v>764</v>
      </c>
      <c r="P301">
        <f t="shared" si="27"/>
        <v>5372000</v>
      </c>
      <c r="Q301">
        <v>4184000</v>
      </c>
      <c r="R301">
        <v>1188000</v>
      </c>
      <c r="S301">
        <v>278000</v>
      </c>
      <c r="T301" s="128">
        <f t="shared" si="24"/>
        <v>12496800</v>
      </c>
      <c r="U301" s="128">
        <f t="shared" si="28"/>
        <v>-1039200</v>
      </c>
      <c r="V301" s="128">
        <f t="shared" si="25"/>
        <v>0</v>
      </c>
      <c r="W301" s="128">
        <v>255303</v>
      </c>
      <c r="X301" s="188">
        <f t="shared" si="29"/>
        <v>-4.0704574564341192E-3</v>
      </c>
      <c r="Y301" s="238"/>
      <c r="AE301" s="128"/>
      <c r="AF301" s="128"/>
      <c r="AG301" s="128"/>
    </row>
    <row r="302" spans="1:33" x14ac:dyDescent="0.25">
      <c r="A302" t="s">
        <v>518</v>
      </c>
      <c r="B302" t="s">
        <v>427</v>
      </c>
      <c r="C302">
        <f t="shared" si="26"/>
        <v>2903</v>
      </c>
      <c r="D302">
        <v>2383</v>
      </c>
      <c r="E302">
        <v>520</v>
      </c>
      <c r="F302">
        <v>4</v>
      </c>
      <c r="G302">
        <v>0</v>
      </c>
      <c r="H302">
        <v>61</v>
      </c>
      <c r="I302">
        <v>1</v>
      </c>
      <c r="J302">
        <v>1711</v>
      </c>
      <c r="K302">
        <v>1486</v>
      </c>
      <c r="L302">
        <v>121</v>
      </c>
      <c r="M302">
        <v>17</v>
      </c>
      <c r="N302">
        <v>82</v>
      </c>
      <c r="O302">
        <v>40</v>
      </c>
      <c r="P302">
        <f t="shared" si="27"/>
        <v>1621000</v>
      </c>
      <c r="Q302">
        <v>1496000</v>
      </c>
      <c r="R302">
        <v>125000</v>
      </c>
      <c r="S302">
        <v>243000</v>
      </c>
      <c r="T302" s="128">
        <f t="shared" si="24"/>
        <v>3326130</v>
      </c>
      <c r="U302" s="128">
        <f t="shared" si="28"/>
        <v>423130</v>
      </c>
      <c r="V302" s="128">
        <f t="shared" si="25"/>
        <v>423130</v>
      </c>
      <c r="W302" s="128">
        <v>28051</v>
      </c>
      <c r="X302" s="188">
        <f t="shared" si="29"/>
        <v>1.5084310719760437E-2</v>
      </c>
      <c r="Y302" s="238"/>
      <c r="AE302" s="128"/>
      <c r="AF302" s="128"/>
      <c r="AG302" s="128"/>
    </row>
    <row r="303" spans="1:33" x14ac:dyDescent="0.25">
      <c r="A303" t="s">
        <v>526</v>
      </c>
      <c r="B303" t="s">
        <v>321</v>
      </c>
      <c r="C303">
        <f t="shared" si="26"/>
        <v>7756</v>
      </c>
      <c r="D303">
        <v>6657</v>
      </c>
      <c r="E303">
        <v>1099</v>
      </c>
      <c r="F303">
        <v>13</v>
      </c>
      <c r="G303">
        <v>24</v>
      </c>
      <c r="H303">
        <v>164</v>
      </c>
      <c r="I303">
        <v>222</v>
      </c>
      <c r="J303">
        <v>2731</v>
      </c>
      <c r="K303">
        <v>4064</v>
      </c>
      <c r="L303">
        <v>282</v>
      </c>
      <c r="M303">
        <v>318</v>
      </c>
      <c r="N303">
        <v>602</v>
      </c>
      <c r="O303">
        <v>71</v>
      </c>
      <c r="P303">
        <f t="shared" si="27"/>
        <v>4769000</v>
      </c>
      <c r="Q303">
        <v>4468000</v>
      </c>
      <c r="R303">
        <v>301000</v>
      </c>
      <c r="S303">
        <v>188000</v>
      </c>
      <c r="T303" s="128">
        <f t="shared" si="24"/>
        <v>9658350</v>
      </c>
      <c r="U303" s="128">
        <f t="shared" si="28"/>
        <v>1902350</v>
      </c>
      <c r="V303" s="128">
        <f t="shared" si="25"/>
        <v>1902350</v>
      </c>
      <c r="W303" s="128">
        <v>61946</v>
      </c>
      <c r="X303" s="188">
        <f t="shared" si="29"/>
        <v>3.0709811771542958E-2</v>
      </c>
      <c r="Y303" s="238"/>
      <c r="AE303" s="128"/>
      <c r="AF303" s="128"/>
      <c r="AG303" s="128"/>
    </row>
    <row r="304" spans="1:33" x14ac:dyDescent="0.25">
      <c r="A304" t="s">
        <v>526</v>
      </c>
      <c r="B304" t="s">
        <v>205</v>
      </c>
      <c r="C304">
        <f t="shared" si="26"/>
        <v>6743</v>
      </c>
      <c r="D304">
        <v>4207</v>
      </c>
      <c r="E304">
        <v>2536</v>
      </c>
      <c r="F304">
        <v>0</v>
      </c>
      <c r="G304">
        <v>1294</v>
      </c>
      <c r="H304">
        <v>191</v>
      </c>
      <c r="I304">
        <v>110</v>
      </c>
      <c r="J304">
        <v>2439</v>
      </c>
      <c r="K304">
        <v>1957</v>
      </c>
      <c r="L304">
        <v>336</v>
      </c>
      <c r="M304">
        <v>163</v>
      </c>
      <c r="N304">
        <v>1014</v>
      </c>
      <c r="O304">
        <v>114</v>
      </c>
      <c r="P304">
        <f t="shared" si="27"/>
        <v>4088000</v>
      </c>
      <c r="Q304">
        <v>3413000</v>
      </c>
      <c r="R304">
        <v>675000</v>
      </c>
      <c r="S304">
        <v>216000</v>
      </c>
      <c r="T304" s="128">
        <f t="shared" si="24"/>
        <v>9073515</v>
      </c>
      <c r="U304" s="128">
        <f t="shared" si="28"/>
        <v>2330515</v>
      </c>
      <c r="V304" s="128">
        <f t="shared" si="25"/>
        <v>2330515</v>
      </c>
      <c r="W304" s="128">
        <v>63823</v>
      </c>
      <c r="X304" s="188">
        <f t="shared" si="29"/>
        <v>3.6515284458580766E-2</v>
      </c>
      <c r="Y304" s="238"/>
      <c r="AE304" s="128"/>
      <c r="AF304" s="128"/>
      <c r="AG304" s="128"/>
    </row>
    <row r="305" spans="1:33" x14ac:dyDescent="0.25">
      <c r="A305" t="s">
        <v>524</v>
      </c>
      <c r="B305" t="s">
        <v>395</v>
      </c>
      <c r="C305">
        <f t="shared" si="26"/>
        <v>9559</v>
      </c>
      <c r="D305">
        <v>6458</v>
      </c>
      <c r="E305">
        <v>3101</v>
      </c>
      <c r="F305">
        <v>0</v>
      </c>
      <c r="G305">
        <v>0</v>
      </c>
      <c r="H305">
        <v>449</v>
      </c>
      <c r="I305">
        <v>30</v>
      </c>
      <c r="J305">
        <v>4421</v>
      </c>
      <c r="K305">
        <v>3396</v>
      </c>
      <c r="L305">
        <v>476</v>
      </c>
      <c r="M305">
        <v>19</v>
      </c>
      <c r="N305">
        <v>1384</v>
      </c>
      <c r="O305">
        <v>79</v>
      </c>
      <c r="P305">
        <f t="shared" si="27"/>
        <v>6327000</v>
      </c>
      <c r="Q305">
        <v>5542000</v>
      </c>
      <c r="R305">
        <v>785000</v>
      </c>
      <c r="S305">
        <v>234000</v>
      </c>
      <c r="T305" s="128">
        <f t="shared" si="24"/>
        <v>13548360</v>
      </c>
      <c r="U305" s="128">
        <f t="shared" si="28"/>
        <v>3989360</v>
      </c>
      <c r="V305" s="128">
        <f t="shared" si="25"/>
        <v>3989360</v>
      </c>
      <c r="W305" s="128">
        <v>77937</v>
      </c>
      <c r="X305" s="188">
        <f t="shared" si="29"/>
        <v>5.1186984359161886E-2</v>
      </c>
      <c r="Y305" s="238"/>
      <c r="AE305" s="128"/>
      <c r="AF305" s="128"/>
      <c r="AG305" s="128"/>
    </row>
    <row r="306" spans="1:33" x14ac:dyDescent="0.25">
      <c r="A306" t="s">
        <v>521</v>
      </c>
      <c r="B306" t="s">
        <v>606</v>
      </c>
      <c r="C306">
        <f t="shared" si="26"/>
        <v>7755</v>
      </c>
      <c r="D306">
        <v>5282</v>
      </c>
      <c r="E306">
        <v>2473</v>
      </c>
      <c r="F306">
        <v>563</v>
      </c>
      <c r="G306">
        <v>0</v>
      </c>
      <c r="H306">
        <v>0</v>
      </c>
      <c r="I306">
        <v>122</v>
      </c>
      <c r="J306">
        <v>5803</v>
      </c>
      <c r="K306">
        <v>5694</v>
      </c>
      <c r="L306">
        <v>557</v>
      </c>
      <c r="M306">
        <v>234</v>
      </c>
      <c r="N306">
        <v>759</v>
      </c>
      <c r="O306">
        <v>72</v>
      </c>
      <c r="P306">
        <f t="shared" si="27"/>
        <v>4475000</v>
      </c>
      <c r="Q306">
        <v>3734000</v>
      </c>
      <c r="R306">
        <v>741000</v>
      </c>
      <c r="S306">
        <v>169000</v>
      </c>
      <c r="T306" s="128">
        <f t="shared" si="24"/>
        <v>9936480</v>
      </c>
      <c r="U306" s="128">
        <f t="shared" si="28"/>
        <v>2181480</v>
      </c>
      <c r="V306" s="128">
        <f t="shared" si="25"/>
        <v>2181480</v>
      </c>
      <c r="W306" s="128">
        <v>131740</v>
      </c>
      <c r="X306" s="188">
        <f t="shared" si="29"/>
        <v>1.6558979808714135E-2</v>
      </c>
      <c r="Y306" s="238"/>
      <c r="AE306" s="128"/>
      <c r="AF306" s="128"/>
      <c r="AG306" s="128"/>
    </row>
    <row r="307" spans="1:33" x14ac:dyDescent="0.25">
      <c r="A307" t="s">
        <v>520</v>
      </c>
      <c r="B307" t="s">
        <v>396</v>
      </c>
      <c r="C307">
        <f t="shared" si="26"/>
        <v>4031</v>
      </c>
      <c r="D307">
        <v>3307</v>
      </c>
      <c r="E307">
        <v>724</v>
      </c>
      <c r="F307">
        <v>0</v>
      </c>
      <c r="G307">
        <v>2</v>
      </c>
      <c r="H307">
        <v>175</v>
      </c>
      <c r="I307">
        <v>43</v>
      </c>
      <c r="J307">
        <v>1632</v>
      </c>
      <c r="K307">
        <v>1521</v>
      </c>
      <c r="L307">
        <v>183</v>
      </c>
      <c r="M307">
        <v>55</v>
      </c>
      <c r="N307">
        <v>700</v>
      </c>
      <c r="O307">
        <v>7</v>
      </c>
      <c r="P307">
        <f t="shared" si="27"/>
        <v>3267000</v>
      </c>
      <c r="Q307">
        <v>3038000</v>
      </c>
      <c r="R307">
        <v>229000</v>
      </c>
      <c r="S307">
        <v>260000</v>
      </c>
      <c r="T307" s="128">
        <f t="shared" si="24"/>
        <v>6659880</v>
      </c>
      <c r="U307" s="128">
        <f t="shared" si="28"/>
        <v>2628880</v>
      </c>
      <c r="V307" s="128">
        <f t="shared" si="25"/>
        <v>2628880</v>
      </c>
      <c r="W307" s="128">
        <v>37069</v>
      </c>
      <c r="X307" s="188">
        <f t="shared" si="29"/>
        <v>7.0918557285062994E-2</v>
      </c>
      <c r="Y307" s="238"/>
      <c r="AE307" s="128"/>
      <c r="AF307" s="128"/>
      <c r="AG307" s="128"/>
    </row>
    <row r="308" spans="1:33" x14ac:dyDescent="0.25">
      <c r="A308" t="s">
        <v>528</v>
      </c>
      <c r="B308" t="s">
        <v>397</v>
      </c>
      <c r="C308">
        <f t="shared" si="26"/>
        <v>13149</v>
      </c>
      <c r="D308">
        <v>6223</v>
      </c>
      <c r="E308">
        <v>6926</v>
      </c>
      <c r="F308">
        <v>919</v>
      </c>
      <c r="G308">
        <v>125</v>
      </c>
      <c r="H308">
        <v>651</v>
      </c>
      <c r="I308">
        <v>324</v>
      </c>
      <c r="J308">
        <v>3859</v>
      </c>
      <c r="K308">
        <v>4432</v>
      </c>
      <c r="L308">
        <v>721</v>
      </c>
      <c r="M308">
        <v>322</v>
      </c>
      <c r="N308">
        <v>1404</v>
      </c>
      <c r="O308">
        <v>175</v>
      </c>
      <c r="P308">
        <f t="shared" si="27"/>
        <v>7728000</v>
      </c>
      <c r="Q308">
        <v>5928000</v>
      </c>
      <c r="R308">
        <v>1800000</v>
      </c>
      <c r="S308">
        <v>154000</v>
      </c>
      <c r="T308" s="128">
        <f t="shared" si="24"/>
        <v>18150840</v>
      </c>
      <c r="U308" s="128">
        <f t="shared" si="28"/>
        <v>5001840</v>
      </c>
      <c r="V308" s="128">
        <f t="shared" si="25"/>
        <v>5001840</v>
      </c>
      <c r="W308" s="128">
        <v>162234</v>
      </c>
      <c r="X308" s="188">
        <f t="shared" si="29"/>
        <v>3.0831021857317207E-2</v>
      </c>
      <c r="Y308" s="238"/>
      <c r="AE308" s="128"/>
      <c r="AF308" s="128"/>
      <c r="AG308" s="128"/>
    </row>
    <row r="309" spans="1:33" x14ac:dyDescent="0.25">
      <c r="A309" t="s">
        <v>526</v>
      </c>
      <c r="B309" t="s">
        <v>322</v>
      </c>
      <c r="C309">
        <f t="shared" si="26"/>
        <v>7881</v>
      </c>
      <c r="D309">
        <v>3977</v>
      </c>
      <c r="E309">
        <v>3904</v>
      </c>
      <c r="F309">
        <v>0</v>
      </c>
      <c r="G309">
        <v>37</v>
      </c>
      <c r="H309">
        <v>33</v>
      </c>
      <c r="I309">
        <v>0</v>
      </c>
      <c r="J309">
        <v>2722</v>
      </c>
      <c r="K309">
        <v>4447</v>
      </c>
      <c r="L309">
        <v>294</v>
      </c>
      <c r="M309">
        <v>300</v>
      </c>
      <c r="N309">
        <v>829</v>
      </c>
      <c r="O309">
        <v>62</v>
      </c>
      <c r="P309">
        <f t="shared" si="27"/>
        <v>4461000</v>
      </c>
      <c r="Q309">
        <v>3658000</v>
      </c>
      <c r="R309">
        <v>803000</v>
      </c>
      <c r="S309">
        <v>222000</v>
      </c>
      <c r="T309" s="128">
        <f t="shared" si="24"/>
        <v>10027920</v>
      </c>
      <c r="U309" s="128">
        <f t="shared" si="28"/>
        <v>2146920</v>
      </c>
      <c r="V309" s="128">
        <f t="shared" si="25"/>
        <v>2146920</v>
      </c>
      <c r="W309" s="128">
        <v>97186</v>
      </c>
      <c r="X309" s="188">
        <f t="shared" si="29"/>
        <v>2.2090836128660505E-2</v>
      </c>
      <c r="Y309" s="238"/>
      <c r="AE309" s="128"/>
      <c r="AF309" s="128"/>
      <c r="AG309" s="128"/>
    </row>
    <row r="310" spans="1:33" x14ac:dyDescent="0.25">
      <c r="A310" t="s">
        <v>521</v>
      </c>
      <c r="B310" t="s">
        <v>206</v>
      </c>
      <c r="C310">
        <f t="shared" si="26"/>
        <v>13035</v>
      </c>
      <c r="D310">
        <v>6670</v>
      </c>
      <c r="E310">
        <v>6365</v>
      </c>
      <c r="F310">
        <v>1192</v>
      </c>
      <c r="G310">
        <v>95</v>
      </c>
      <c r="H310">
        <v>235</v>
      </c>
      <c r="I310">
        <v>283</v>
      </c>
      <c r="J310">
        <v>2224</v>
      </c>
      <c r="K310">
        <v>5348</v>
      </c>
      <c r="L310">
        <v>419</v>
      </c>
      <c r="M310">
        <v>500</v>
      </c>
      <c r="N310">
        <v>1258</v>
      </c>
      <c r="O310">
        <v>1423</v>
      </c>
      <c r="P310">
        <f t="shared" si="27"/>
        <v>5581000</v>
      </c>
      <c r="Q310">
        <v>4591000</v>
      </c>
      <c r="R310">
        <v>990000</v>
      </c>
      <c r="S310">
        <v>311000</v>
      </c>
      <c r="T310" s="128">
        <f t="shared" si="24"/>
        <v>12517755</v>
      </c>
      <c r="U310" s="128">
        <f t="shared" si="28"/>
        <v>-517245</v>
      </c>
      <c r="V310" s="128">
        <f t="shared" si="25"/>
        <v>0</v>
      </c>
      <c r="W310" s="128">
        <v>111064</v>
      </c>
      <c r="X310" s="188">
        <f t="shared" si="29"/>
        <v>-4.6571796441691278E-3</v>
      </c>
      <c r="Y310" s="238"/>
      <c r="AE310" s="128"/>
      <c r="AF310" s="128"/>
      <c r="AG310" s="128"/>
    </row>
    <row r="311" spans="1:33" x14ac:dyDescent="0.25">
      <c r="A311" t="s">
        <v>519</v>
      </c>
      <c r="B311" t="s">
        <v>323</v>
      </c>
      <c r="C311">
        <f t="shared" si="26"/>
        <v>11298</v>
      </c>
      <c r="D311">
        <v>8238</v>
      </c>
      <c r="E311">
        <v>3060</v>
      </c>
      <c r="F311">
        <v>17</v>
      </c>
      <c r="G311">
        <v>125</v>
      </c>
      <c r="H311">
        <v>1193</v>
      </c>
      <c r="I311">
        <v>361</v>
      </c>
      <c r="J311">
        <v>2692</v>
      </c>
      <c r="K311">
        <v>5163</v>
      </c>
      <c r="L311">
        <v>379</v>
      </c>
      <c r="M311">
        <v>51</v>
      </c>
      <c r="N311">
        <v>1278</v>
      </c>
      <c r="O311">
        <v>79</v>
      </c>
      <c r="P311">
        <f t="shared" si="27"/>
        <v>8160000</v>
      </c>
      <c r="Q311">
        <v>7582000</v>
      </c>
      <c r="R311">
        <v>578000</v>
      </c>
      <c r="S311">
        <v>275000</v>
      </c>
      <c r="T311" s="128">
        <f t="shared" si="24"/>
        <v>16645890</v>
      </c>
      <c r="U311" s="128">
        <f t="shared" si="28"/>
        <v>5347890</v>
      </c>
      <c r="V311" s="128">
        <f t="shared" si="25"/>
        <v>5347890</v>
      </c>
      <c r="W311" s="128">
        <v>67643</v>
      </c>
      <c r="X311" s="188">
        <f t="shared" si="29"/>
        <v>7.9060508847922178E-2</v>
      </c>
      <c r="Y311" s="238"/>
      <c r="AE311" s="128"/>
      <c r="AF311" s="128"/>
      <c r="AG311" s="128"/>
    </row>
    <row r="312" spans="1:33" x14ac:dyDescent="0.25">
      <c r="A312" t="s">
        <v>517</v>
      </c>
      <c r="B312" t="s">
        <v>277</v>
      </c>
      <c r="C312">
        <f t="shared" si="26"/>
        <v>3971</v>
      </c>
      <c r="D312" s="129">
        <v>3166</v>
      </c>
      <c r="E312" s="129">
        <v>805</v>
      </c>
      <c r="F312" s="129">
        <v>433</v>
      </c>
      <c r="G312" s="129">
        <v>14</v>
      </c>
      <c r="H312" s="129">
        <v>722</v>
      </c>
      <c r="I312" s="129">
        <v>129</v>
      </c>
      <c r="J312" s="129">
        <v>1244</v>
      </c>
      <c r="K312" s="129">
        <v>1880</v>
      </c>
      <c r="L312" s="129">
        <v>216</v>
      </c>
      <c r="M312" s="129">
        <v>208</v>
      </c>
      <c r="N312" s="129">
        <v>593</v>
      </c>
      <c r="O312" s="129">
        <v>158</v>
      </c>
      <c r="P312">
        <f t="shared" si="27"/>
        <v>3109000</v>
      </c>
      <c r="Q312" s="129">
        <v>2940000</v>
      </c>
      <c r="R312" s="129">
        <v>169000</v>
      </c>
      <c r="S312">
        <v>345000</v>
      </c>
      <c r="T312" s="128">
        <f>0.1905*SUM(Q312,R312,R312)*10</f>
        <v>6244590</v>
      </c>
      <c r="U312" s="128">
        <f t="shared" si="28"/>
        <v>2273590</v>
      </c>
      <c r="V312" s="128">
        <f>IF(U312&gt;0,U312,0)</f>
        <v>2273590</v>
      </c>
      <c r="W312" s="128">
        <v>41810</v>
      </c>
      <c r="X312" s="188">
        <f t="shared" si="29"/>
        <v>5.4379095910069362E-2</v>
      </c>
      <c r="Y312" s="238"/>
      <c r="AA312" s="129"/>
      <c r="AB312" s="129"/>
      <c r="AC312" s="129"/>
      <c r="AD312" s="129"/>
      <c r="AE312" s="128"/>
      <c r="AF312" s="128"/>
      <c r="AG312" s="128"/>
    </row>
    <row r="313" spans="1:33" x14ac:dyDescent="0.25">
      <c r="A313" t="s">
        <v>520</v>
      </c>
      <c r="B313" t="s">
        <v>428</v>
      </c>
      <c r="C313">
        <f t="shared" si="26"/>
        <v>11287</v>
      </c>
      <c r="D313">
        <v>6730</v>
      </c>
      <c r="E313">
        <v>4557</v>
      </c>
      <c r="F313">
        <v>3147</v>
      </c>
      <c r="G313">
        <v>0</v>
      </c>
      <c r="H313">
        <v>1391</v>
      </c>
      <c r="I313">
        <v>151</v>
      </c>
      <c r="J313">
        <v>5242</v>
      </c>
      <c r="K313">
        <v>6765</v>
      </c>
      <c r="L313">
        <v>552</v>
      </c>
      <c r="M313">
        <v>8</v>
      </c>
      <c r="N313">
        <v>1609</v>
      </c>
      <c r="O313">
        <v>667</v>
      </c>
      <c r="P313">
        <f t="shared" si="27"/>
        <v>7288000</v>
      </c>
      <c r="Q313">
        <v>6018000</v>
      </c>
      <c r="R313">
        <v>1270000</v>
      </c>
      <c r="S313">
        <v>154000</v>
      </c>
      <c r="T313" s="128">
        <f t="shared" si="24"/>
        <v>16302990</v>
      </c>
      <c r="U313" s="128">
        <f t="shared" si="28"/>
        <v>5015990</v>
      </c>
      <c r="V313" s="128">
        <f t="shared" si="25"/>
        <v>5015990</v>
      </c>
      <c r="W313" s="128">
        <v>159455</v>
      </c>
      <c r="X313" s="188">
        <f t="shared" si="29"/>
        <v>3.1457088206704086E-2</v>
      </c>
      <c r="Y313" s="238"/>
      <c r="AE313" s="128"/>
      <c r="AF313" s="128"/>
      <c r="AG313" s="128"/>
    </row>
    <row r="314" spans="1:33" x14ac:dyDescent="0.25">
      <c r="A314" t="s">
        <v>517</v>
      </c>
      <c r="B314" t="s">
        <v>278</v>
      </c>
      <c r="C314">
        <f t="shared" si="26"/>
        <v>3109</v>
      </c>
      <c r="D314">
        <v>1601</v>
      </c>
      <c r="E314">
        <v>1508</v>
      </c>
      <c r="F314">
        <v>1152</v>
      </c>
      <c r="G314">
        <v>0</v>
      </c>
      <c r="H314">
        <v>0</v>
      </c>
      <c r="I314">
        <v>133</v>
      </c>
      <c r="J314">
        <v>2160</v>
      </c>
      <c r="K314">
        <v>2638</v>
      </c>
      <c r="L314">
        <v>283</v>
      </c>
      <c r="M314">
        <v>178</v>
      </c>
      <c r="N314">
        <v>2812</v>
      </c>
      <c r="O314">
        <v>72</v>
      </c>
      <c r="P314">
        <f t="shared" si="27"/>
        <v>3944000</v>
      </c>
      <c r="Q314">
        <v>3418000</v>
      </c>
      <c r="R314">
        <v>526000</v>
      </c>
      <c r="S314">
        <v>316000</v>
      </c>
      <c r="T314" s="128">
        <f t="shared" si="24"/>
        <v>8515350</v>
      </c>
      <c r="U314" s="128">
        <f t="shared" si="28"/>
        <v>5406350</v>
      </c>
      <c r="V314" s="128">
        <f t="shared" si="25"/>
        <v>5406350</v>
      </c>
      <c r="W314" s="128">
        <v>52347</v>
      </c>
      <c r="X314" s="188">
        <f t="shared" si="29"/>
        <v>0.1032790799854815</v>
      </c>
      <c r="Y314" s="238"/>
      <c r="AE314" s="128"/>
      <c r="AF314" s="128"/>
      <c r="AG314" s="128"/>
    </row>
    <row r="315" spans="1:33" x14ac:dyDescent="0.25">
      <c r="A315" t="s">
        <v>517</v>
      </c>
      <c r="B315" t="s">
        <v>607</v>
      </c>
      <c r="C315">
        <f t="shared" si="26"/>
        <v>13730</v>
      </c>
      <c r="D315">
        <v>8010</v>
      </c>
      <c r="E315">
        <v>5720</v>
      </c>
      <c r="F315">
        <v>243</v>
      </c>
      <c r="G315">
        <v>0</v>
      </c>
      <c r="H315">
        <v>167</v>
      </c>
      <c r="I315">
        <v>39</v>
      </c>
      <c r="J315">
        <v>8276</v>
      </c>
      <c r="K315">
        <v>0</v>
      </c>
      <c r="L315">
        <v>595</v>
      </c>
      <c r="M315">
        <v>729</v>
      </c>
      <c r="N315">
        <v>1428</v>
      </c>
      <c r="O315">
        <v>249</v>
      </c>
      <c r="P315">
        <f t="shared" si="27"/>
        <v>7519000</v>
      </c>
      <c r="Q315">
        <v>6245000</v>
      </c>
      <c r="R315">
        <v>1274000</v>
      </c>
      <c r="S315">
        <v>222000</v>
      </c>
      <c r="T315" s="128">
        <f t="shared" si="24"/>
        <v>16750665</v>
      </c>
      <c r="U315" s="128">
        <f t="shared" si="28"/>
        <v>3020665</v>
      </c>
      <c r="V315" s="128">
        <f t="shared" si="25"/>
        <v>3020665</v>
      </c>
      <c r="W315" s="128">
        <v>131348</v>
      </c>
      <c r="X315" s="188">
        <f t="shared" si="29"/>
        <v>2.2997419069951577E-2</v>
      </c>
      <c r="Y315" s="238"/>
      <c r="AE315" s="128"/>
      <c r="AF315" s="128"/>
      <c r="AG315" s="128"/>
    </row>
    <row r="316" spans="1:33" x14ac:dyDescent="0.25">
      <c r="A316" t="s">
        <v>521</v>
      </c>
      <c r="B316" t="s">
        <v>207</v>
      </c>
      <c r="C316">
        <f t="shared" si="26"/>
        <v>4151</v>
      </c>
      <c r="D316">
        <v>2540</v>
      </c>
      <c r="E316">
        <v>1611</v>
      </c>
      <c r="F316">
        <v>0</v>
      </c>
      <c r="G316">
        <v>0</v>
      </c>
      <c r="H316">
        <v>162</v>
      </c>
      <c r="I316">
        <v>136</v>
      </c>
      <c r="J316">
        <v>2578</v>
      </c>
      <c r="K316">
        <v>0</v>
      </c>
      <c r="L316">
        <v>203</v>
      </c>
      <c r="M316">
        <v>14</v>
      </c>
      <c r="N316">
        <v>1131</v>
      </c>
      <c r="O316">
        <v>51</v>
      </c>
      <c r="P316">
        <f t="shared" si="27"/>
        <v>2755000</v>
      </c>
      <c r="Q316">
        <v>2371000</v>
      </c>
      <c r="R316">
        <v>384000</v>
      </c>
      <c r="S316">
        <v>214000</v>
      </c>
      <c r="T316" s="128">
        <f t="shared" si="24"/>
        <v>5979795</v>
      </c>
      <c r="U316" s="128">
        <f t="shared" si="28"/>
        <v>1828795</v>
      </c>
      <c r="V316" s="128">
        <f t="shared" si="25"/>
        <v>1828795</v>
      </c>
      <c r="W316" s="128">
        <v>46232</v>
      </c>
      <c r="X316" s="188">
        <f t="shared" si="29"/>
        <v>3.9556908634711889E-2</v>
      </c>
      <c r="Y316" s="238"/>
      <c r="AE316" s="128"/>
      <c r="AF316" s="128"/>
      <c r="AG316" s="128"/>
    </row>
    <row r="317" spans="1:33" x14ac:dyDescent="0.25">
      <c r="A317" t="s">
        <v>519</v>
      </c>
      <c r="B317" t="s">
        <v>608</v>
      </c>
      <c r="C317">
        <f t="shared" si="26"/>
        <v>15667</v>
      </c>
      <c r="D317">
        <v>9751</v>
      </c>
      <c r="E317">
        <v>5916</v>
      </c>
      <c r="F317">
        <v>7</v>
      </c>
      <c r="G317">
        <v>0</v>
      </c>
      <c r="H317">
        <v>0</v>
      </c>
      <c r="I317">
        <v>65</v>
      </c>
      <c r="J317">
        <v>6292</v>
      </c>
      <c r="K317">
        <v>8925</v>
      </c>
      <c r="L317">
        <v>970</v>
      </c>
      <c r="M317">
        <v>542</v>
      </c>
      <c r="N317">
        <v>1280</v>
      </c>
      <c r="O317">
        <v>64</v>
      </c>
      <c r="P317">
        <f t="shared" si="27"/>
        <v>7476000</v>
      </c>
      <c r="Q317">
        <v>6213000</v>
      </c>
      <c r="R317">
        <v>1263000</v>
      </c>
      <c r="S317">
        <v>231000</v>
      </c>
      <c r="T317" s="128">
        <f t="shared" si="24"/>
        <v>16647795</v>
      </c>
      <c r="U317" s="128">
        <f t="shared" si="28"/>
        <v>980795</v>
      </c>
      <c r="V317" s="128">
        <f t="shared" si="25"/>
        <v>980795</v>
      </c>
      <c r="W317" s="128">
        <v>176353</v>
      </c>
      <c r="X317" s="188">
        <f t="shared" si="29"/>
        <v>5.5615441756023433E-3</v>
      </c>
      <c r="Y317" s="238"/>
      <c r="AE317" s="128"/>
      <c r="AF317" s="128"/>
      <c r="AG317" s="128"/>
    </row>
    <row r="318" spans="1:33" x14ac:dyDescent="0.25">
      <c r="A318" t="s">
        <v>521</v>
      </c>
      <c r="B318" t="s">
        <v>116</v>
      </c>
      <c r="C318">
        <f t="shared" si="26"/>
        <v>4219</v>
      </c>
      <c r="D318">
        <v>3084</v>
      </c>
      <c r="E318">
        <v>1135</v>
      </c>
      <c r="F318">
        <v>0</v>
      </c>
      <c r="G318">
        <v>0</v>
      </c>
      <c r="H318">
        <v>1107</v>
      </c>
      <c r="I318">
        <v>936</v>
      </c>
      <c r="J318">
        <v>2146</v>
      </c>
      <c r="K318">
        <v>1949</v>
      </c>
      <c r="L318">
        <v>283</v>
      </c>
      <c r="M318">
        <v>236</v>
      </c>
      <c r="N318">
        <v>510</v>
      </c>
      <c r="O318">
        <v>68</v>
      </c>
      <c r="P318">
        <f t="shared" si="27"/>
        <v>3044000</v>
      </c>
      <c r="Q318">
        <v>2632000</v>
      </c>
      <c r="R318">
        <v>412000</v>
      </c>
      <c r="S318">
        <v>523000</v>
      </c>
      <c r="T318" s="128">
        <f t="shared" si="24"/>
        <v>6583680</v>
      </c>
      <c r="U318" s="128">
        <f t="shared" si="28"/>
        <v>2364680</v>
      </c>
      <c r="V318" s="128">
        <f t="shared" si="25"/>
        <v>2364680</v>
      </c>
      <c r="W318" s="128">
        <v>56770</v>
      </c>
      <c r="X318" s="188">
        <f t="shared" si="29"/>
        <v>4.1653690329399327E-2</v>
      </c>
      <c r="Y318" s="238"/>
      <c r="AE318" s="128"/>
      <c r="AF318" s="128"/>
      <c r="AG318" s="128"/>
    </row>
    <row r="319" spans="1:33" x14ac:dyDescent="0.25">
      <c r="A319" t="s">
        <v>518</v>
      </c>
      <c r="B319" t="s">
        <v>208</v>
      </c>
      <c r="C319">
        <f t="shared" si="26"/>
        <v>3350</v>
      </c>
      <c r="D319">
        <v>2803</v>
      </c>
      <c r="E319">
        <v>547</v>
      </c>
      <c r="F319">
        <v>2</v>
      </c>
      <c r="G319">
        <v>0</v>
      </c>
      <c r="H319">
        <v>0</v>
      </c>
      <c r="I319">
        <v>135</v>
      </c>
      <c r="J319">
        <v>1602</v>
      </c>
      <c r="K319">
        <v>1613</v>
      </c>
      <c r="L319">
        <v>158</v>
      </c>
      <c r="M319">
        <v>28</v>
      </c>
      <c r="N319">
        <v>93</v>
      </c>
      <c r="O319">
        <v>25</v>
      </c>
      <c r="P319">
        <f t="shared" si="27"/>
        <v>1703000</v>
      </c>
      <c r="Q319">
        <v>1591000</v>
      </c>
      <c r="R319">
        <v>112000</v>
      </c>
      <c r="S319">
        <v>302000</v>
      </c>
      <c r="T319" s="128">
        <f t="shared" ref="T319:T347" si="30">0.1905*SUM(Q319,R319,R319)*10</f>
        <v>3457575</v>
      </c>
      <c r="U319" s="128">
        <f t="shared" si="28"/>
        <v>107575</v>
      </c>
      <c r="V319" s="128">
        <f t="shared" ref="V319:V347" si="31">IF(U319&gt;0,U319,0)</f>
        <v>107575</v>
      </c>
      <c r="W319" s="128">
        <v>41222</v>
      </c>
      <c r="X319" s="188">
        <f t="shared" si="29"/>
        <v>2.6096501867934599E-3</v>
      </c>
      <c r="Y319" s="238"/>
      <c r="AE319" s="128"/>
      <c r="AF319" s="128"/>
      <c r="AG319" s="128"/>
    </row>
    <row r="320" spans="1:33" x14ac:dyDescent="0.25">
      <c r="A320" t="s">
        <v>526</v>
      </c>
      <c r="B320" t="s">
        <v>609</v>
      </c>
      <c r="C320">
        <f t="shared" si="26"/>
        <v>6281</v>
      </c>
      <c r="D320">
        <v>3930</v>
      </c>
      <c r="E320">
        <v>2351</v>
      </c>
      <c r="F320">
        <v>0</v>
      </c>
      <c r="G320">
        <v>0</v>
      </c>
      <c r="H320">
        <v>313</v>
      </c>
      <c r="I320">
        <v>66</v>
      </c>
      <c r="J320">
        <v>3795</v>
      </c>
      <c r="K320">
        <v>3787</v>
      </c>
      <c r="L320">
        <v>211</v>
      </c>
      <c r="M320">
        <v>105</v>
      </c>
      <c r="N320">
        <v>333</v>
      </c>
      <c r="O320">
        <v>45</v>
      </c>
      <c r="P320">
        <f t="shared" si="27"/>
        <v>2831000</v>
      </c>
      <c r="Q320">
        <v>2267000</v>
      </c>
      <c r="R320">
        <v>564000</v>
      </c>
      <c r="S320">
        <v>219000</v>
      </c>
      <c r="T320" s="128">
        <f t="shared" si="30"/>
        <v>6467475</v>
      </c>
      <c r="U320" s="128">
        <f t="shared" si="28"/>
        <v>186475</v>
      </c>
      <c r="V320" s="128">
        <f t="shared" si="31"/>
        <v>186475</v>
      </c>
      <c r="W320" s="128">
        <v>93663</v>
      </c>
      <c r="X320" s="188">
        <f t="shared" si="29"/>
        <v>1.9909142350768181E-3</v>
      </c>
      <c r="Y320" s="238"/>
      <c r="AE320" s="128"/>
      <c r="AF320" s="128"/>
      <c r="AG320" s="128"/>
    </row>
    <row r="321" spans="1:33" x14ac:dyDescent="0.25">
      <c r="A321" t="s">
        <v>518</v>
      </c>
      <c r="B321" t="s">
        <v>324</v>
      </c>
      <c r="C321">
        <f t="shared" si="26"/>
        <v>32397</v>
      </c>
      <c r="D321">
        <v>14900</v>
      </c>
      <c r="E321">
        <v>17497</v>
      </c>
      <c r="F321">
        <v>371</v>
      </c>
      <c r="G321">
        <v>0</v>
      </c>
      <c r="H321">
        <v>270</v>
      </c>
      <c r="I321">
        <v>713</v>
      </c>
      <c r="J321">
        <v>14763</v>
      </c>
      <c r="K321">
        <v>14791</v>
      </c>
      <c r="L321">
        <v>1121</v>
      </c>
      <c r="M321">
        <v>1038</v>
      </c>
      <c r="N321">
        <v>4912</v>
      </c>
      <c r="O321">
        <v>426</v>
      </c>
      <c r="P321">
        <f t="shared" si="27"/>
        <v>19733000</v>
      </c>
      <c r="Q321">
        <v>15246000</v>
      </c>
      <c r="R321">
        <v>4487000</v>
      </c>
      <c r="S321">
        <v>253000</v>
      </c>
      <c r="T321" s="128">
        <f t="shared" si="30"/>
        <v>46139100</v>
      </c>
      <c r="U321" s="128">
        <f t="shared" si="28"/>
        <v>13742100</v>
      </c>
      <c r="V321" s="128">
        <f t="shared" si="31"/>
        <v>13742100</v>
      </c>
      <c r="W321" s="128">
        <v>327096</v>
      </c>
      <c r="X321" s="188">
        <f t="shared" si="29"/>
        <v>4.2012436715826544E-2</v>
      </c>
      <c r="Y321" s="238"/>
      <c r="AE321" s="128"/>
      <c r="AF321" s="128"/>
      <c r="AG321" s="128"/>
    </row>
    <row r="322" spans="1:33" x14ac:dyDescent="0.25">
      <c r="A322" t="s">
        <v>519</v>
      </c>
      <c r="B322" t="s">
        <v>140</v>
      </c>
      <c r="C322">
        <f t="shared" si="26"/>
        <v>4931</v>
      </c>
      <c r="D322">
        <v>3074</v>
      </c>
      <c r="E322">
        <v>1857</v>
      </c>
      <c r="F322">
        <v>0</v>
      </c>
      <c r="G322">
        <v>0</v>
      </c>
      <c r="H322">
        <v>150</v>
      </c>
      <c r="I322">
        <v>146</v>
      </c>
      <c r="J322">
        <v>2139</v>
      </c>
      <c r="K322">
        <v>3131</v>
      </c>
      <c r="L322">
        <v>236</v>
      </c>
      <c r="M322">
        <v>92</v>
      </c>
      <c r="N322">
        <v>600</v>
      </c>
      <c r="O322">
        <v>96</v>
      </c>
      <c r="P322">
        <f t="shared" si="27"/>
        <v>3117000</v>
      </c>
      <c r="Q322">
        <v>2614000</v>
      </c>
      <c r="R322">
        <v>503000</v>
      </c>
      <c r="S322">
        <v>263000</v>
      </c>
      <c r="T322" s="128">
        <f t="shared" si="30"/>
        <v>6896100</v>
      </c>
      <c r="U322" s="128">
        <f t="shared" si="28"/>
        <v>1965100</v>
      </c>
      <c r="V322" s="128">
        <f t="shared" si="31"/>
        <v>1965100</v>
      </c>
      <c r="W322" s="128">
        <v>82286</v>
      </c>
      <c r="X322" s="188">
        <f t="shared" si="29"/>
        <v>2.3881340689789272E-2</v>
      </c>
      <c r="Y322" s="238"/>
      <c r="AE322" s="128"/>
      <c r="AF322" s="128"/>
      <c r="AG322" s="128"/>
    </row>
    <row r="323" spans="1:33" x14ac:dyDescent="0.25">
      <c r="A323" t="s">
        <v>519</v>
      </c>
      <c r="B323" t="s">
        <v>325</v>
      </c>
      <c r="C323">
        <f t="shared" ref="C323:C347" si="32">SUM(D323:E323)</f>
        <v>3087</v>
      </c>
      <c r="D323">
        <v>2684</v>
      </c>
      <c r="E323">
        <v>403</v>
      </c>
      <c r="F323">
        <v>601</v>
      </c>
      <c r="G323">
        <v>0</v>
      </c>
      <c r="H323">
        <v>1021</v>
      </c>
      <c r="I323">
        <v>102</v>
      </c>
      <c r="J323">
        <v>2273</v>
      </c>
      <c r="K323">
        <v>2214</v>
      </c>
      <c r="L323">
        <v>197</v>
      </c>
      <c r="M323">
        <v>379</v>
      </c>
      <c r="N323">
        <v>677</v>
      </c>
      <c r="O323">
        <v>30</v>
      </c>
      <c r="P323">
        <f t="shared" ref="P323:P346" si="33">SUM(Q323:R323)</f>
        <v>2916000</v>
      </c>
      <c r="Q323">
        <v>2669000</v>
      </c>
      <c r="R323">
        <v>247000</v>
      </c>
      <c r="S323">
        <v>238000</v>
      </c>
      <c r="T323" s="128">
        <f t="shared" si="30"/>
        <v>6025515</v>
      </c>
      <c r="U323" s="128">
        <f t="shared" ref="U323:U347" si="34">SUM(T323,-C323*1000)</f>
        <v>2938515</v>
      </c>
      <c r="V323" s="128">
        <f t="shared" si="31"/>
        <v>2938515</v>
      </c>
      <c r="W323" s="128">
        <v>48957</v>
      </c>
      <c r="X323" s="188">
        <f t="shared" ref="X323:X347" si="35">U323/(W323*1000)</f>
        <v>6.0022366566578833E-2</v>
      </c>
      <c r="Y323" s="238"/>
      <c r="AE323" s="128"/>
      <c r="AF323" s="128"/>
      <c r="AG323" s="128"/>
    </row>
    <row r="324" spans="1:33" x14ac:dyDescent="0.25">
      <c r="A324" t="s">
        <v>525</v>
      </c>
      <c r="B324" t="s">
        <v>162</v>
      </c>
      <c r="C324">
        <f t="shared" si="32"/>
        <v>5082</v>
      </c>
      <c r="D324">
        <v>3496</v>
      </c>
      <c r="E324">
        <v>1586</v>
      </c>
      <c r="F324">
        <v>0</v>
      </c>
      <c r="G324">
        <v>0</v>
      </c>
      <c r="H324">
        <v>213</v>
      </c>
      <c r="I324">
        <v>171</v>
      </c>
      <c r="J324">
        <v>3151</v>
      </c>
      <c r="K324">
        <v>1933</v>
      </c>
      <c r="L324">
        <v>266</v>
      </c>
      <c r="M324">
        <v>318</v>
      </c>
      <c r="N324">
        <v>580</v>
      </c>
      <c r="O324">
        <v>36</v>
      </c>
      <c r="P324">
        <f t="shared" si="33"/>
        <v>3357000</v>
      </c>
      <c r="Q324">
        <v>2912000</v>
      </c>
      <c r="R324">
        <v>445000</v>
      </c>
      <c r="S324">
        <v>202750</v>
      </c>
      <c r="T324" s="128">
        <f t="shared" si="30"/>
        <v>7242810</v>
      </c>
      <c r="U324" s="128">
        <f t="shared" si="34"/>
        <v>2160810</v>
      </c>
      <c r="V324" s="128">
        <f t="shared" si="31"/>
        <v>2160810</v>
      </c>
      <c r="W324" s="128">
        <v>61817</v>
      </c>
      <c r="X324" s="188">
        <f t="shared" si="35"/>
        <v>3.4954947668117187E-2</v>
      </c>
      <c r="Y324" s="238"/>
      <c r="AE324" s="128"/>
      <c r="AF324" s="128"/>
      <c r="AG324" s="128"/>
    </row>
    <row r="325" spans="1:33" x14ac:dyDescent="0.25">
      <c r="A325" t="s">
        <v>516</v>
      </c>
      <c r="B325" t="s">
        <v>209</v>
      </c>
      <c r="C325">
        <f t="shared" si="32"/>
        <v>9694</v>
      </c>
      <c r="D325">
        <v>6173</v>
      </c>
      <c r="E325">
        <v>3521</v>
      </c>
      <c r="F325">
        <v>0</v>
      </c>
      <c r="G325">
        <v>0</v>
      </c>
      <c r="H325">
        <v>94</v>
      </c>
      <c r="I325">
        <v>844</v>
      </c>
      <c r="J325">
        <v>4218</v>
      </c>
      <c r="K325">
        <v>4229</v>
      </c>
      <c r="L325">
        <v>372</v>
      </c>
      <c r="M325">
        <v>0</v>
      </c>
      <c r="N325">
        <v>905</v>
      </c>
      <c r="O325">
        <v>254</v>
      </c>
      <c r="P325">
        <f t="shared" si="33"/>
        <v>5869000</v>
      </c>
      <c r="Q325">
        <v>5031000</v>
      </c>
      <c r="R325">
        <v>838000</v>
      </c>
      <c r="S325">
        <v>252000</v>
      </c>
      <c r="T325" s="128">
        <f t="shared" si="30"/>
        <v>12776835</v>
      </c>
      <c r="U325" s="128">
        <f t="shared" si="34"/>
        <v>3082835</v>
      </c>
      <c r="V325" s="128">
        <f t="shared" si="31"/>
        <v>3082835</v>
      </c>
      <c r="W325" s="128">
        <v>107597</v>
      </c>
      <c r="X325" s="188">
        <f t="shared" si="35"/>
        <v>2.865168173833843E-2</v>
      </c>
      <c r="Y325" s="238"/>
      <c r="AE325" s="128"/>
      <c r="AF325" s="128"/>
      <c r="AG325" s="128"/>
    </row>
    <row r="326" spans="1:33" s="86" customFormat="1" x14ac:dyDescent="0.25">
      <c r="A326" s="86" t="s">
        <v>519</v>
      </c>
      <c r="B326" s="86" t="s">
        <v>279</v>
      </c>
      <c r="C326">
        <f t="shared" si="32"/>
        <v>7753</v>
      </c>
      <c r="D326" s="86">
        <v>6125</v>
      </c>
      <c r="E326" s="86">
        <v>1628</v>
      </c>
      <c r="F326" s="86">
        <v>0</v>
      </c>
      <c r="G326" s="86">
        <v>0</v>
      </c>
      <c r="H326" s="86">
        <v>317</v>
      </c>
      <c r="I326" s="86">
        <v>874</v>
      </c>
      <c r="J326" s="86">
        <v>2940</v>
      </c>
      <c r="K326" s="86">
        <v>3370</v>
      </c>
      <c r="L326" s="86">
        <v>196</v>
      </c>
      <c r="M326" s="86">
        <v>320</v>
      </c>
      <c r="N326" s="86">
        <v>737</v>
      </c>
      <c r="O326" s="86">
        <v>39</v>
      </c>
      <c r="P326">
        <f t="shared" si="33"/>
        <v>5317000</v>
      </c>
      <c r="Q326" s="86">
        <v>4839000</v>
      </c>
      <c r="R326" s="86">
        <v>478000</v>
      </c>
      <c r="S326" s="86">
        <v>186000</v>
      </c>
      <c r="T326" s="243">
        <f t="shared" si="30"/>
        <v>11039475</v>
      </c>
      <c r="U326" s="128">
        <f t="shared" si="34"/>
        <v>3286475</v>
      </c>
      <c r="V326" s="243">
        <f t="shared" si="31"/>
        <v>3286475</v>
      </c>
      <c r="W326" s="243">
        <v>51501</v>
      </c>
      <c r="X326" s="273">
        <f t="shared" si="35"/>
        <v>6.381380944059338E-2</v>
      </c>
      <c r="Y326" s="301"/>
      <c r="AE326" s="243"/>
      <c r="AF326" s="243"/>
      <c r="AG326" s="243"/>
    </row>
    <row r="327" spans="1:33" x14ac:dyDescent="0.25">
      <c r="A327" t="s">
        <v>525</v>
      </c>
      <c r="B327" t="s">
        <v>234</v>
      </c>
      <c r="C327">
        <f t="shared" si="32"/>
        <v>5635</v>
      </c>
      <c r="D327">
        <v>4356</v>
      </c>
      <c r="E327">
        <v>1279</v>
      </c>
      <c r="F327">
        <v>36</v>
      </c>
      <c r="G327">
        <v>19</v>
      </c>
      <c r="H327">
        <v>36</v>
      </c>
      <c r="I327">
        <v>0</v>
      </c>
      <c r="J327">
        <v>2436</v>
      </c>
      <c r="K327">
        <v>3003</v>
      </c>
      <c r="L327">
        <v>330</v>
      </c>
      <c r="M327">
        <v>171</v>
      </c>
      <c r="N327">
        <v>603</v>
      </c>
      <c r="O327">
        <v>126</v>
      </c>
      <c r="P327">
        <f t="shared" si="33"/>
        <v>3462000</v>
      </c>
      <c r="Q327">
        <v>3161000</v>
      </c>
      <c r="R327">
        <v>301000</v>
      </c>
      <c r="S327">
        <v>171000</v>
      </c>
      <c r="T327" s="128">
        <f t="shared" si="30"/>
        <v>7168515</v>
      </c>
      <c r="U327" s="128">
        <f t="shared" si="34"/>
        <v>1533515</v>
      </c>
      <c r="V327" s="128">
        <f t="shared" si="31"/>
        <v>1533515</v>
      </c>
      <c r="W327" s="128">
        <v>56379</v>
      </c>
      <c r="X327" s="188">
        <f t="shared" si="35"/>
        <v>2.7200109970024301E-2</v>
      </c>
      <c r="Y327" s="238"/>
      <c r="AE327" s="128"/>
      <c r="AF327" s="128"/>
      <c r="AG327" s="128"/>
    </row>
    <row r="328" spans="1:33" x14ac:dyDescent="0.25">
      <c r="A328" t="s">
        <v>521</v>
      </c>
      <c r="B328" t="s">
        <v>210</v>
      </c>
      <c r="C328">
        <f t="shared" si="32"/>
        <v>6147</v>
      </c>
      <c r="D328">
        <v>3411</v>
      </c>
      <c r="E328">
        <v>2736</v>
      </c>
      <c r="F328">
        <v>0</v>
      </c>
      <c r="G328">
        <v>50</v>
      </c>
      <c r="H328">
        <v>861</v>
      </c>
      <c r="I328">
        <v>83</v>
      </c>
      <c r="J328">
        <v>3976</v>
      </c>
      <c r="K328">
        <v>2592</v>
      </c>
      <c r="L328">
        <v>273</v>
      </c>
      <c r="M328">
        <v>201</v>
      </c>
      <c r="N328">
        <v>316</v>
      </c>
      <c r="O328">
        <v>143</v>
      </c>
      <c r="P328">
        <f t="shared" si="33"/>
        <v>3631000</v>
      </c>
      <c r="Q328">
        <v>2923000</v>
      </c>
      <c r="R328">
        <v>708000</v>
      </c>
      <c r="S328">
        <v>259000</v>
      </c>
      <c r="T328" s="128">
        <f t="shared" si="30"/>
        <v>8265795</v>
      </c>
      <c r="U328" s="128">
        <f t="shared" si="34"/>
        <v>2118795</v>
      </c>
      <c r="V328" s="128">
        <f t="shared" si="31"/>
        <v>2118795</v>
      </c>
      <c r="W328" s="128">
        <v>93087</v>
      </c>
      <c r="X328" s="188">
        <f t="shared" si="35"/>
        <v>2.2761448967095296E-2</v>
      </c>
      <c r="Y328" s="238"/>
      <c r="AE328" s="128"/>
      <c r="AF328" s="128"/>
      <c r="AG328" s="128"/>
    </row>
    <row r="329" spans="1:33" x14ac:dyDescent="0.25">
      <c r="A329" t="s">
        <v>520</v>
      </c>
      <c r="B329" t="s">
        <v>398</v>
      </c>
      <c r="C329">
        <f t="shared" si="32"/>
        <v>5150</v>
      </c>
      <c r="D329">
        <v>3112</v>
      </c>
      <c r="E329">
        <v>2038</v>
      </c>
      <c r="F329">
        <v>0</v>
      </c>
      <c r="G329">
        <v>0</v>
      </c>
      <c r="H329">
        <v>641</v>
      </c>
      <c r="I329">
        <v>166</v>
      </c>
      <c r="J329">
        <v>2035</v>
      </c>
      <c r="K329">
        <v>2577</v>
      </c>
      <c r="L329">
        <v>214</v>
      </c>
      <c r="M329">
        <v>74</v>
      </c>
      <c r="N329">
        <v>658</v>
      </c>
      <c r="O329">
        <v>119</v>
      </c>
      <c r="P329">
        <f t="shared" si="33"/>
        <v>3310000</v>
      </c>
      <c r="Q329">
        <v>2690000</v>
      </c>
      <c r="R329">
        <v>620000</v>
      </c>
      <c r="S329">
        <v>189000</v>
      </c>
      <c r="T329" s="128">
        <f t="shared" si="30"/>
        <v>7486650</v>
      </c>
      <c r="U329" s="128">
        <f t="shared" si="34"/>
        <v>2336650</v>
      </c>
      <c r="V329" s="128">
        <f t="shared" si="31"/>
        <v>2336650</v>
      </c>
      <c r="W329" s="128">
        <v>53086</v>
      </c>
      <c r="X329" s="188">
        <f t="shared" si="35"/>
        <v>4.4016313152243532E-2</v>
      </c>
      <c r="Y329" s="238"/>
      <c r="AE329" s="128"/>
      <c r="AF329" s="128"/>
      <c r="AG329" s="128"/>
    </row>
    <row r="330" spans="1:33" x14ac:dyDescent="0.25">
      <c r="A330" t="s">
        <v>521</v>
      </c>
      <c r="B330" t="s">
        <v>235</v>
      </c>
      <c r="C330">
        <f t="shared" si="32"/>
        <v>14428</v>
      </c>
      <c r="D330">
        <v>9096</v>
      </c>
      <c r="E330">
        <v>5332</v>
      </c>
      <c r="F330">
        <v>2167</v>
      </c>
      <c r="G330">
        <v>98</v>
      </c>
      <c r="H330">
        <v>96</v>
      </c>
      <c r="I330">
        <v>358</v>
      </c>
      <c r="J330">
        <v>6153</v>
      </c>
      <c r="K330">
        <v>5976</v>
      </c>
      <c r="L330">
        <v>662</v>
      </c>
      <c r="M330">
        <v>730</v>
      </c>
      <c r="N330">
        <v>1399</v>
      </c>
      <c r="O330">
        <v>315</v>
      </c>
      <c r="P330">
        <f t="shared" si="33"/>
        <v>8309000</v>
      </c>
      <c r="Q330">
        <v>7209000</v>
      </c>
      <c r="R330">
        <v>1100000</v>
      </c>
      <c r="S330">
        <v>310000</v>
      </c>
      <c r="T330" s="128">
        <f t="shared" si="30"/>
        <v>17924145</v>
      </c>
      <c r="U330" s="128">
        <f t="shared" si="34"/>
        <v>3496145</v>
      </c>
      <c r="V330" s="128">
        <f t="shared" si="31"/>
        <v>3496145</v>
      </c>
      <c r="W330" s="128">
        <v>156521</v>
      </c>
      <c r="X330" s="188">
        <f t="shared" si="35"/>
        <v>2.2336587422773942E-2</v>
      </c>
      <c r="Y330" s="238"/>
      <c r="AE330" s="128"/>
      <c r="AF330" s="128"/>
      <c r="AG330" s="128"/>
    </row>
    <row r="331" spans="1:33" x14ac:dyDescent="0.25">
      <c r="A331" t="s">
        <v>522</v>
      </c>
      <c r="B331" t="s">
        <v>280</v>
      </c>
      <c r="C331">
        <f t="shared" si="32"/>
        <v>3753</v>
      </c>
      <c r="D331">
        <v>2747</v>
      </c>
      <c r="E331">
        <v>1006</v>
      </c>
      <c r="F331">
        <v>0</v>
      </c>
      <c r="G331">
        <v>0</v>
      </c>
      <c r="H331">
        <v>8</v>
      </c>
      <c r="I331">
        <v>135</v>
      </c>
      <c r="J331">
        <v>1903</v>
      </c>
      <c r="K331">
        <v>2458</v>
      </c>
      <c r="L331">
        <v>200</v>
      </c>
      <c r="M331">
        <v>159</v>
      </c>
      <c r="N331">
        <v>1671</v>
      </c>
      <c r="O331">
        <v>35</v>
      </c>
      <c r="P331">
        <f t="shared" si="33"/>
        <v>2565000</v>
      </c>
      <c r="Q331">
        <v>2287000</v>
      </c>
      <c r="R331">
        <v>278000</v>
      </c>
      <c r="S331">
        <v>246000</v>
      </c>
      <c r="T331" s="128">
        <f t="shared" si="30"/>
        <v>5415915</v>
      </c>
      <c r="U331" s="128">
        <f t="shared" si="34"/>
        <v>1662915</v>
      </c>
      <c r="V331" s="128">
        <f t="shared" si="31"/>
        <v>1662915</v>
      </c>
      <c r="W331" s="128">
        <v>39609</v>
      </c>
      <c r="X331" s="188">
        <f t="shared" si="35"/>
        <v>4.1983261379989395E-2</v>
      </c>
      <c r="Y331" s="238"/>
      <c r="AE331" s="128"/>
      <c r="AF331" s="128"/>
      <c r="AG331" s="128"/>
    </row>
    <row r="332" spans="1:33" x14ac:dyDescent="0.25">
      <c r="A332" t="s">
        <v>519</v>
      </c>
      <c r="B332" t="s">
        <v>236</v>
      </c>
      <c r="C332">
        <f t="shared" si="32"/>
        <v>2799</v>
      </c>
      <c r="D332">
        <v>2115</v>
      </c>
      <c r="E332">
        <v>684</v>
      </c>
      <c r="F332">
        <v>0</v>
      </c>
      <c r="G332">
        <v>0</v>
      </c>
      <c r="H332">
        <v>241</v>
      </c>
      <c r="I332">
        <v>89</v>
      </c>
      <c r="J332">
        <v>1305</v>
      </c>
      <c r="K332">
        <v>1732</v>
      </c>
      <c r="L332">
        <v>160</v>
      </c>
      <c r="M332">
        <v>186</v>
      </c>
      <c r="N332">
        <v>331</v>
      </c>
      <c r="O332">
        <v>6</v>
      </c>
      <c r="P332">
        <f t="shared" si="33"/>
        <v>2099000</v>
      </c>
      <c r="Q332">
        <v>1848000</v>
      </c>
      <c r="R332">
        <v>251000</v>
      </c>
      <c r="S332">
        <v>233000</v>
      </c>
      <c r="T332" s="128">
        <f t="shared" si="30"/>
        <v>4476750</v>
      </c>
      <c r="U332" s="128">
        <f t="shared" si="34"/>
        <v>1677750</v>
      </c>
      <c r="V332" s="128">
        <f t="shared" si="31"/>
        <v>1677750</v>
      </c>
      <c r="W332" s="128">
        <v>34776</v>
      </c>
      <c r="X332" s="188">
        <f t="shared" si="35"/>
        <v>4.8244478951000688E-2</v>
      </c>
      <c r="Y332" s="238"/>
      <c r="AE332" s="128"/>
      <c r="AF332" s="128"/>
      <c r="AG332" s="128"/>
    </row>
    <row r="333" spans="1:33" x14ac:dyDescent="0.25">
      <c r="A333" t="s">
        <v>518</v>
      </c>
      <c r="B333" t="s">
        <v>281</v>
      </c>
      <c r="C333">
        <f t="shared" si="32"/>
        <v>37344</v>
      </c>
      <c r="D333">
        <v>19673</v>
      </c>
      <c r="E333">
        <v>17671</v>
      </c>
      <c r="F333">
        <v>5192</v>
      </c>
      <c r="G333">
        <v>309</v>
      </c>
      <c r="H333">
        <v>2836</v>
      </c>
      <c r="I333">
        <v>1234</v>
      </c>
      <c r="J333">
        <v>22373</v>
      </c>
      <c r="K333">
        <v>23031</v>
      </c>
      <c r="L333">
        <v>2039</v>
      </c>
      <c r="M333">
        <v>1076</v>
      </c>
      <c r="N333">
        <v>6189</v>
      </c>
      <c r="O333">
        <v>1922</v>
      </c>
      <c r="P333">
        <f t="shared" si="33"/>
        <v>22707000</v>
      </c>
      <c r="Q333">
        <v>19337000</v>
      </c>
      <c r="R333">
        <v>3370000</v>
      </c>
      <c r="S333">
        <v>350000</v>
      </c>
      <c r="T333" s="128">
        <f t="shared" si="30"/>
        <v>49676685</v>
      </c>
      <c r="U333" s="128">
        <f t="shared" si="34"/>
        <v>12332685</v>
      </c>
      <c r="V333" s="128">
        <f t="shared" si="31"/>
        <v>12332685</v>
      </c>
      <c r="W333" s="128">
        <v>573096</v>
      </c>
      <c r="X333" s="188">
        <f t="shared" si="35"/>
        <v>2.1519405125842789E-2</v>
      </c>
      <c r="Y333" s="238"/>
      <c r="AE333" s="128"/>
      <c r="AF333" s="128"/>
      <c r="AG333" s="128"/>
    </row>
    <row r="334" spans="1:33" x14ac:dyDescent="0.25">
      <c r="A334" t="s">
        <v>524</v>
      </c>
      <c r="B334" t="s">
        <v>211</v>
      </c>
      <c r="C334">
        <f t="shared" si="32"/>
        <v>7213</v>
      </c>
      <c r="D334">
        <v>3544</v>
      </c>
      <c r="E334">
        <v>3669</v>
      </c>
      <c r="F334">
        <v>759</v>
      </c>
      <c r="G334">
        <v>0</v>
      </c>
      <c r="H334">
        <v>249</v>
      </c>
      <c r="I334">
        <v>350</v>
      </c>
      <c r="J334">
        <v>4255</v>
      </c>
      <c r="K334">
        <v>0</v>
      </c>
      <c r="L334">
        <v>316</v>
      </c>
      <c r="M334">
        <v>334</v>
      </c>
      <c r="N334">
        <v>1059</v>
      </c>
      <c r="O334">
        <v>234</v>
      </c>
      <c r="P334">
        <f t="shared" si="33"/>
        <v>4190000</v>
      </c>
      <c r="Q334">
        <v>3368000</v>
      </c>
      <c r="R334">
        <v>822000</v>
      </c>
      <c r="S334">
        <v>260000</v>
      </c>
      <c r="T334" s="128">
        <f t="shared" si="30"/>
        <v>9547860</v>
      </c>
      <c r="U334" s="128">
        <f t="shared" si="34"/>
        <v>2334860</v>
      </c>
      <c r="V334" s="128">
        <f t="shared" si="31"/>
        <v>2334860</v>
      </c>
      <c r="W334" s="128">
        <v>87674</v>
      </c>
      <c r="X334" s="188">
        <f t="shared" si="35"/>
        <v>2.6631156329128363E-2</v>
      </c>
      <c r="Y334" s="238"/>
      <c r="AE334" s="128"/>
      <c r="AF334" s="128"/>
      <c r="AG334" s="128"/>
    </row>
    <row r="335" spans="1:33" x14ac:dyDescent="0.25">
      <c r="A335" t="s">
        <v>519</v>
      </c>
      <c r="B335" t="s">
        <v>282</v>
      </c>
      <c r="C335">
        <f t="shared" si="32"/>
        <v>3862</v>
      </c>
      <c r="D335">
        <v>2816</v>
      </c>
      <c r="E335">
        <v>1046</v>
      </c>
      <c r="F335">
        <v>6317</v>
      </c>
      <c r="G335">
        <v>192</v>
      </c>
      <c r="H335">
        <v>3294</v>
      </c>
      <c r="I335">
        <v>782</v>
      </c>
      <c r="J335">
        <v>2052</v>
      </c>
      <c r="K335">
        <v>2138</v>
      </c>
      <c r="L335">
        <v>351</v>
      </c>
      <c r="M335">
        <v>130</v>
      </c>
      <c r="N335">
        <v>387</v>
      </c>
      <c r="O335">
        <v>137</v>
      </c>
      <c r="P335">
        <f t="shared" si="33"/>
        <v>3950000</v>
      </c>
      <c r="Q335">
        <v>3643000</v>
      </c>
      <c r="R335">
        <v>307000</v>
      </c>
      <c r="S335">
        <v>179000</v>
      </c>
      <c r="T335" s="128">
        <f t="shared" si="30"/>
        <v>8109585</v>
      </c>
      <c r="U335" s="128">
        <f t="shared" si="34"/>
        <v>4247585</v>
      </c>
      <c r="V335" s="128">
        <f t="shared" si="31"/>
        <v>4247585</v>
      </c>
      <c r="W335" s="128">
        <v>60489</v>
      </c>
      <c r="X335" s="188">
        <f t="shared" si="35"/>
        <v>7.0220783944188195E-2</v>
      </c>
      <c r="Y335" s="238"/>
      <c r="AE335" s="128"/>
      <c r="AF335" s="128"/>
      <c r="AG335" s="128"/>
    </row>
    <row r="336" spans="1:33" x14ac:dyDescent="0.25">
      <c r="A336" t="s">
        <v>517</v>
      </c>
      <c r="B336" t="s">
        <v>434</v>
      </c>
      <c r="C336">
        <f t="shared" si="32"/>
        <v>8145</v>
      </c>
      <c r="D336">
        <v>4738</v>
      </c>
      <c r="E336">
        <v>3407</v>
      </c>
      <c r="F336">
        <v>0</v>
      </c>
      <c r="G336">
        <v>0</v>
      </c>
      <c r="H336">
        <v>3140</v>
      </c>
      <c r="I336">
        <v>443</v>
      </c>
      <c r="J336">
        <v>1272</v>
      </c>
      <c r="K336">
        <v>2612</v>
      </c>
      <c r="L336">
        <v>291</v>
      </c>
      <c r="M336">
        <v>107</v>
      </c>
      <c r="N336">
        <v>1535</v>
      </c>
      <c r="O336">
        <v>60</v>
      </c>
      <c r="P336">
        <f t="shared" si="33"/>
        <v>3719000</v>
      </c>
      <c r="Q336">
        <v>2815000</v>
      </c>
      <c r="R336">
        <v>904000</v>
      </c>
      <c r="S336">
        <v>233000</v>
      </c>
      <c r="T336" s="128">
        <f t="shared" si="30"/>
        <v>8806815</v>
      </c>
      <c r="U336" s="128">
        <f t="shared" si="34"/>
        <v>661815</v>
      </c>
      <c r="V336" s="128">
        <f t="shared" si="31"/>
        <v>661815</v>
      </c>
      <c r="W336" s="128">
        <v>66466</v>
      </c>
      <c r="X336" s="188">
        <f t="shared" si="35"/>
        <v>9.957196160442933E-3</v>
      </c>
      <c r="Y336" s="238"/>
      <c r="AE336" s="128"/>
      <c r="AF336" s="128"/>
      <c r="AG336" s="128"/>
    </row>
    <row r="337" spans="1:33" x14ac:dyDescent="0.25">
      <c r="A337" t="s">
        <v>524</v>
      </c>
      <c r="B337" t="s">
        <v>237</v>
      </c>
      <c r="C337">
        <f t="shared" si="32"/>
        <v>12891</v>
      </c>
      <c r="D337">
        <v>7694</v>
      </c>
      <c r="E337">
        <v>5197</v>
      </c>
      <c r="F337">
        <v>3124</v>
      </c>
      <c r="G337">
        <v>142</v>
      </c>
      <c r="H337">
        <v>373</v>
      </c>
      <c r="I337">
        <v>200</v>
      </c>
      <c r="J337">
        <v>5925</v>
      </c>
      <c r="K337">
        <v>9452</v>
      </c>
      <c r="L337">
        <v>1101</v>
      </c>
      <c r="M337">
        <v>1069</v>
      </c>
      <c r="N337">
        <v>4560</v>
      </c>
      <c r="O337">
        <v>97</v>
      </c>
      <c r="P337">
        <f t="shared" si="33"/>
        <v>12840000</v>
      </c>
      <c r="Q337">
        <v>11222000</v>
      </c>
      <c r="R337">
        <v>1618000</v>
      </c>
      <c r="S337">
        <v>269000</v>
      </c>
      <c r="T337" s="128">
        <f t="shared" si="30"/>
        <v>27542490</v>
      </c>
      <c r="U337" s="128">
        <f t="shared" si="34"/>
        <v>14651490</v>
      </c>
      <c r="V337" s="128">
        <f t="shared" si="31"/>
        <v>14651490</v>
      </c>
      <c r="W337" s="128">
        <v>171645</v>
      </c>
      <c r="X337" s="188">
        <f t="shared" si="35"/>
        <v>8.5359258935593818E-2</v>
      </c>
      <c r="Y337" s="238"/>
      <c r="AE337" s="128"/>
      <c r="AF337" s="128"/>
      <c r="AG337" s="128"/>
    </row>
    <row r="338" spans="1:33" x14ac:dyDescent="0.25">
      <c r="A338" t="s">
        <v>518</v>
      </c>
      <c r="B338" t="s">
        <v>212</v>
      </c>
      <c r="C338">
        <f t="shared" si="32"/>
        <v>12817</v>
      </c>
      <c r="D338">
        <v>7999</v>
      </c>
      <c r="E338">
        <v>4818</v>
      </c>
      <c r="F338">
        <v>1268</v>
      </c>
      <c r="G338">
        <v>2</v>
      </c>
      <c r="H338">
        <v>382</v>
      </c>
      <c r="I338">
        <v>537</v>
      </c>
      <c r="J338">
        <v>4661</v>
      </c>
      <c r="K338">
        <v>3679</v>
      </c>
      <c r="L338">
        <v>484</v>
      </c>
      <c r="M338">
        <v>147</v>
      </c>
      <c r="N338">
        <v>727</v>
      </c>
      <c r="O338">
        <v>186</v>
      </c>
      <c r="P338">
        <f t="shared" si="33"/>
        <v>5536000</v>
      </c>
      <c r="Q338">
        <v>4660000</v>
      </c>
      <c r="R338">
        <v>876000</v>
      </c>
      <c r="S338">
        <v>236000</v>
      </c>
      <c r="T338" s="128">
        <f t="shared" si="30"/>
        <v>12214860</v>
      </c>
      <c r="U338" s="128">
        <f t="shared" si="34"/>
        <v>-602140</v>
      </c>
      <c r="V338" s="128">
        <f t="shared" si="31"/>
        <v>0</v>
      </c>
      <c r="W338" s="128">
        <v>151681</v>
      </c>
      <c r="X338" s="188">
        <f t="shared" si="35"/>
        <v>-3.9697786802565908E-3</v>
      </c>
      <c r="Y338" s="238"/>
      <c r="AE338" s="128"/>
      <c r="AF338" s="128"/>
      <c r="AG338" s="128"/>
    </row>
    <row r="339" spans="1:33" x14ac:dyDescent="0.25">
      <c r="A339" t="s">
        <v>524</v>
      </c>
      <c r="B339" t="s">
        <v>326</v>
      </c>
      <c r="C339">
        <f t="shared" si="32"/>
        <v>36213</v>
      </c>
      <c r="D339">
        <v>21452</v>
      </c>
      <c r="E339">
        <v>14761</v>
      </c>
      <c r="F339">
        <v>2737</v>
      </c>
      <c r="G339">
        <v>3</v>
      </c>
      <c r="H339">
        <v>267</v>
      </c>
      <c r="I339">
        <v>605</v>
      </c>
      <c r="J339">
        <v>6676</v>
      </c>
      <c r="K339">
        <v>15832</v>
      </c>
      <c r="L339">
        <v>1288</v>
      </c>
      <c r="M339">
        <v>447</v>
      </c>
      <c r="N339">
        <v>6904</v>
      </c>
      <c r="O339">
        <v>274</v>
      </c>
      <c r="P339">
        <f t="shared" si="33"/>
        <v>16415000</v>
      </c>
      <c r="Q339">
        <v>14447000</v>
      </c>
      <c r="R339">
        <v>1968000</v>
      </c>
      <c r="S339">
        <v>288000</v>
      </c>
      <c r="T339" s="128">
        <f t="shared" si="30"/>
        <v>35019615</v>
      </c>
      <c r="U339" s="128">
        <f t="shared" si="34"/>
        <v>-1193385</v>
      </c>
      <c r="V339" s="128">
        <f t="shared" si="31"/>
        <v>0</v>
      </c>
      <c r="W339" s="128">
        <v>403762</v>
      </c>
      <c r="X339" s="188">
        <f t="shared" si="35"/>
        <v>-2.9556644756069169E-3</v>
      </c>
      <c r="Y339" s="238"/>
      <c r="AE339" s="128"/>
      <c r="AF339" s="128"/>
      <c r="AG339" s="128"/>
    </row>
    <row r="340" spans="1:33" x14ac:dyDescent="0.25">
      <c r="A340" t="s">
        <v>518</v>
      </c>
      <c r="B340" t="s">
        <v>327</v>
      </c>
      <c r="C340">
        <f t="shared" si="32"/>
        <v>4879</v>
      </c>
      <c r="D340">
        <v>2041</v>
      </c>
      <c r="E340">
        <v>2838</v>
      </c>
      <c r="F340">
        <v>0</v>
      </c>
      <c r="G340">
        <v>0</v>
      </c>
      <c r="H340">
        <v>0</v>
      </c>
      <c r="I340">
        <v>0</v>
      </c>
      <c r="J340">
        <v>1119</v>
      </c>
      <c r="K340">
        <v>820</v>
      </c>
      <c r="L340">
        <v>57</v>
      </c>
      <c r="M340">
        <v>5</v>
      </c>
      <c r="N340">
        <v>294</v>
      </c>
      <c r="O340">
        <v>27</v>
      </c>
      <c r="P340">
        <f t="shared" si="33"/>
        <v>1827000</v>
      </c>
      <c r="Q340">
        <v>1395000</v>
      </c>
      <c r="R340">
        <v>432000</v>
      </c>
      <c r="S340">
        <v>201000</v>
      </c>
      <c r="T340" s="128">
        <f t="shared" si="30"/>
        <v>4303395</v>
      </c>
      <c r="U340" s="128">
        <f t="shared" si="34"/>
        <v>-575605</v>
      </c>
      <c r="V340" s="128">
        <f t="shared" si="31"/>
        <v>0</v>
      </c>
      <c r="W340" s="128">
        <v>23593</v>
      </c>
      <c r="X340" s="188">
        <f t="shared" si="35"/>
        <v>-2.4397278853897343E-2</v>
      </c>
      <c r="Y340" s="238"/>
      <c r="AE340" s="128"/>
      <c r="AF340" s="128"/>
      <c r="AG340" s="128"/>
    </row>
    <row r="341" spans="1:33" x14ac:dyDescent="0.25">
      <c r="A341" t="s">
        <v>519</v>
      </c>
      <c r="B341" t="s">
        <v>328</v>
      </c>
      <c r="C341">
        <f t="shared" si="32"/>
        <v>10090</v>
      </c>
      <c r="D341">
        <v>7177</v>
      </c>
      <c r="E341">
        <v>2913</v>
      </c>
      <c r="F341">
        <v>12</v>
      </c>
      <c r="G341">
        <v>20</v>
      </c>
      <c r="H341">
        <v>372</v>
      </c>
      <c r="I341">
        <v>132</v>
      </c>
      <c r="J341">
        <v>4351</v>
      </c>
      <c r="K341">
        <v>5161</v>
      </c>
      <c r="L341">
        <v>419</v>
      </c>
      <c r="M341">
        <v>289</v>
      </c>
      <c r="N341">
        <v>1854</v>
      </c>
      <c r="O341">
        <v>52</v>
      </c>
      <c r="P341">
        <f t="shared" si="33"/>
        <v>6733000</v>
      </c>
      <c r="Q341">
        <v>5696000</v>
      </c>
      <c r="R341">
        <v>1037000</v>
      </c>
      <c r="S341">
        <v>241000</v>
      </c>
      <c r="T341" s="128">
        <f t="shared" si="30"/>
        <v>14801850</v>
      </c>
      <c r="U341" s="128">
        <f t="shared" si="34"/>
        <v>4711850</v>
      </c>
      <c r="V341" s="128">
        <f t="shared" si="31"/>
        <v>4711850</v>
      </c>
      <c r="W341" s="128">
        <v>124204</v>
      </c>
      <c r="X341" s="188">
        <f t="shared" si="35"/>
        <v>3.7936378860584201E-2</v>
      </c>
      <c r="Y341" s="238"/>
      <c r="AE341" s="128"/>
      <c r="AF341" s="128"/>
      <c r="AG341" s="128"/>
    </row>
    <row r="342" spans="1:33" x14ac:dyDescent="0.25">
      <c r="A342" t="s">
        <v>518</v>
      </c>
      <c r="B342" t="s">
        <v>399</v>
      </c>
      <c r="C342">
        <f t="shared" si="32"/>
        <v>5482</v>
      </c>
      <c r="D342">
        <v>4053</v>
      </c>
      <c r="E342">
        <v>1429</v>
      </c>
      <c r="F342">
        <v>0</v>
      </c>
      <c r="G342">
        <v>0</v>
      </c>
      <c r="H342">
        <v>160</v>
      </c>
      <c r="I342">
        <v>80</v>
      </c>
      <c r="J342">
        <v>2493</v>
      </c>
      <c r="K342">
        <v>2699</v>
      </c>
      <c r="L342">
        <v>195</v>
      </c>
      <c r="M342">
        <v>2</v>
      </c>
      <c r="N342">
        <v>1202</v>
      </c>
      <c r="O342">
        <v>192</v>
      </c>
      <c r="P342">
        <f t="shared" si="33"/>
        <v>3443000</v>
      </c>
      <c r="Q342">
        <v>2950000</v>
      </c>
      <c r="R342">
        <v>493000</v>
      </c>
      <c r="S342">
        <v>281000</v>
      </c>
      <c r="T342" s="128">
        <f t="shared" si="30"/>
        <v>7498080</v>
      </c>
      <c r="U342" s="128">
        <f t="shared" si="34"/>
        <v>2016080</v>
      </c>
      <c r="V342" s="128">
        <f t="shared" si="31"/>
        <v>2016080</v>
      </c>
      <c r="W342" s="128">
        <v>53388</v>
      </c>
      <c r="X342" s="188">
        <f t="shared" si="35"/>
        <v>3.7762793137034539E-2</v>
      </c>
      <c r="Y342" s="238"/>
      <c r="AE342" s="128"/>
      <c r="AF342" s="128"/>
      <c r="AG342" s="128"/>
    </row>
    <row r="343" spans="1:33" x14ac:dyDescent="0.25">
      <c r="A343" t="s">
        <v>523</v>
      </c>
      <c r="B343" t="s">
        <v>213</v>
      </c>
      <c r="C343">
        <f t="shared" si="32"/>
        <v>13725</v>
      </c>
      <c r="D343">
        <v>7301</v>
      </c>
      <c r="E343">
        <v>6424</v>
      </c>
      <c r="F343">
        <v>2656</v>
      </c>
      <c r="G343">
        <v>90</v>
      </c>
      <c r="H343">
        <v>210</v>
      </c>
      <c r="I343">
        <v>306</v>
      </c>
      <c r="J343">
        <v>3777</v>
      </c>
      <c r="K343">
        <v>6164</v>
      </c>
      <c r="L343">
        <v>473</v>
      </c>
      <c r="M343">
        <v>198</v>
      </c>
      <c r="N343">
        <v>1409</v>
      </c>
      <c r="O343">
        <v>198</v>
      </c>
      <c r="P343">
        <f t="shared" si="33"/>
        <v>6264000</v>
      </c>
      <c r="Q343">
        <v>5256000</v>
      </c>
      <c r="R343">
        <v>1008000</v>
      </c>
      <c r="S343">
        <v>240000</v>
      </c>
      <c r="T343" s="128">
        <f t="shared" si="30"/>
        <v>13853160</v>
      </c>
      <c r="U343" s="128">
        <f t="shared" si="34"/>
        <v>128160</v>
      </c>
      <c r="V343" s="128">
        <f t="shared" si="31"/>
        <v>128160</v>
      </c>
      <c r="W343" s="128">
        <v>180866</v>
      </c>
      <c r="X343" s="188">
        <f t="shared" si="35"/>
        <v>7.0859089049351458E-4</v>
      </c>
      <c r="Y343" s="238"/>
      <c r="AE343" s="128"/>
      <c r="AF343" s="128"/>
      <c r="AG343" s="128"/>
    </row>
    <row r="344" spans="1:33" x14ac:dyDescent="0.25">
      <c r="A344" t="s">
        <v>524</v>
      </c>
      <c r="B344" t="s">
        <v>163</v>
      </c>
      <c r="C344">
        <f t="shared" si="32"/>
        <v>5190</v>
      </c>
      <c r="D344">
        <v>2255</v>
      </c>
      <c r="E344">
        <v>2935</v>
      </c>
      <c r="F344">
        <v>0</v>
      </c>
      <c r="G344">
        <v>17</v>
      </c>
      <c r="H344">
        <v>64</v>
      </c>
      <c r="I344">
        <v>95</v>
      </c>
      <c r="J344">
        <v>2904</v>
      </c>
      <c r="K344">
        <v>1816</v>
      </c>
      <c r="L344">
        <v>206</v>
      </c>
      <c r="M344">
        <v>399</v>
      </c>
      <c r="N344">
        <v>944</v>
      </c>
      <c r="O344">
        <v>325</v>
      </c>
      <c r="P344">
        <f t="shared" si="33"/>
        <v>2768000</v>
      </c>
      <c r="Q344">
        <v>2049000</v>
      </c>
      <c r="R344">
        <v>719000</v>
      </c>
      <c r="S344">
        <v>318000</v>
      </c>
      <c r="T344" s="128">
        <f t="shared" si="30"/>
        <v>6642735</v>
      </c>
      <c r="U344" s="128">
        <f t="shared" si="34"/>
        <v>1452735</v>
      </c>
      <c r="V344" s="128">
        <f t="shared" si="31"/>
        <v>1452735</v>
      </c>
      <c r="W344" s="128">
        <v>61625</v>
      </c>
      <c r="X344" s="188">
        <f t="shared" si="35"/>
        <v>2.3573793103448277E-2</v>
      </c>
      <c r="Y344" s="238"/>
      <c r="AE344" s="128"/>
      <c r="AF344" s="128"/>
      <c r="AG344" s="128"/>
    </row>
    <row r="345" spans="1:33" x14ac:dyDescent="0.25">
      <c r="A345" t="s">
        <v>519</v>
      </c>
      <c r="B345" t="s">
        <v>329</v>
      </c>
      <c r="C345">
        <f t="shared" si="32"/>
        <v>10472</v>
      </c>
      <c r="D345">
        <v>5354</v>
      </c>
      <c r="E345">
        <v>5118</v>
      </c>
      <c r="F345">
        <v>192</v>
      </c>
      <c r="G345">
        <v>93</v>
      </c>
      <c r="H345">
        <v>0</v>
      </c>
      <c r="I345">
        <v>293</v>
      </c>
      <c r="J345">
        <v>6630</v>
      </c>
      <c r="K345">
        <v>7291</v>
      </c>
      <c r="L345">
        <v>573</v>
      </c>
      <c r="M345">
        <v>733</v>
      </c>
      <c r="N345">
        <v>875</v>
      </c>
      <c r="O345">
        <v>259</v>
      </c>
      <c r="P345">
        <f t="shared" si="33"/>
        <v>5795000</v>
      </c>
      <c r="Q345">
        <v>4899000</v>
      </c>
      <c r="R345">
        <v>896000</v>
      </c>
      <c r="S345">
        <v>185000</v>
      </c>
      <c r="T345" s="128">
        <f t="shared" si="30"/>
        <v>12746355</v>
      </c>
      <c r="U345" s="128">
        <f t="shared" si="34"/>
        <v>2274355</v>
      </c>
      <c r="V345" s="128">
        <f t="shared" si="31"/>
        <v>2274355</v>
      </c>
      <c r="W345" s="128">
        <v>149355</v>
      </c>
      <c r="X345" s="188">
        <f t="shared" si="35"/>
        <v>1.5227846406213384E-2</v>
      </c>
      <c r="Y345" s="238"/>
      <c r="AA345" s="129"/>
      <c r="AB345" s="129"/>
      <c r="AE345" s="128"/>
      <c r="AF345" s="128"/>
      <c r="AG345" s="128"/>
    </row>
    <row r="346" spans="1:33" x14ac:dyDescent="0.25">
      <c r="A346" t="s">
        <v>521</v>
      </c>
      <c r="B346" t="s">
        <v>164</v>
      </c>
      <c r="C346">
        <f t="shared" si="32"/>
        <v>47047</v>
      </c>
      <c r="D346">
        <v>18630</v>
      </c>
      <c r="E346">
        <v>28417</v>
      </c>
      <c r="F346">
        <v>11382</v>
      </c>
      <c r="G346">
        <v>354</v>
      </c>
      <c r="H346">
        <v>550</v>
      </c>
      <c r="I346">
        <v>447</v>
      </c>
      <c r="J346">
        <v>7479</v>
      </c>
      <c r="K346">
        <v>16250</v>
      </c>
      <c r="L346">
        <v>1676</v>
      </c>
      <c r="M346">
        <v>1119</v>
      </c>
      <c r="N346">
        <v>4453</v>
      </c>
      <c r="O346">
        <v>815</v>
      </c>
      <c r="P346">
        <f t="shared" si="33"/>
        <v>20074000</v>
      </c>
      <c r="Q346">
        <v>16138000</v>
      </c>
      <c r="R346">
        <v>3936000</v>
      </c>
      <c r="S346">
        <v>200000</v>
      </c>
      <c r="T346" s="128">
        <f t="shared" si="30"/>
        <v>45739050</v>
      </c>
      <c r="U346" s="128">
        <f t="shared" si="34"/>
        <v>-1307950</v>
      </c>
      <c r="V346" s="128">
        <f t="shared" si="31"/>
        <v>0</v>
      </c>
      <c r="W346" s="128">
        <v>606287</v>
      </c>
      <c r="X346" s="188">
        <f t="shared" si="35"/>
        <v>-2.1573116362382833E-3</v>
      </c>
      <c r="Y346" s="238"/>
      <c r="AE346" s="128"/>
      <c r="AF346" s="128"/>
      <c r="AG346" s="128"/>
    </row>
    <row r="347" spans="1:33" x14ac:dyDescent="0.25">
      <c r="A347" t="s">
        <v>521</v>
      </c>
      <c r="B347" t="s">
        <v>442</v>
      </c>
      <c r="C347">
        <f t="shared" si="32"/>
        <v>4754985</v>
      </c>
      <c r="D347">
        <f t="shared" ref="D347:I347" si="36">SUM(D2:D346)</f>
        <v>2479535</v>
      </c>
      <c r="E347">
        <f t="shared" si="36"/>
        <v>2275450</v>
      </c>
      <c r="F347">
        <f t="shared" si="36"/>
        <v>1111181</v>
      </c>
      <c r="G347">
        <f t="shared" si="36"/>
        <v>39363</v>
      </c>
      <c r="H347">
        <f t="shared" si="36"/>
        <v>376645</v>
      </c>
      <c r="I347">
        <f t="shared" si="36"/>
        <v>140074</v>
      </c>
      <c r="J347">
        <f t="shared" ref="J347:K347" si="37">SUM(J2:J346)</f>
        <v>1771234</v>
      </c>
      <c r="K347">
        <f t="shared" si="37"/>
        <v>2257304</v>
      </c>
      <c r="L347">
        <f t="shared" ref="L347" si="38">SUM(L2:L346)</f>
        <v>216888</v>
      </c>
      <c r="M347">
        <f t="shared" ref="M347" si="39">SUM(M2:M346)</f>
        <v>115164</v>
      </c>
      <c r="N347">
        <f t="shared" ref="N347:O347" si="40">SUM(N2:N346)</f>
        <v>602918</v>
      </c>
      <c r="O347">
        <f t="shared" si="40"/>
        <v>154103</v>
      </c>
      <c r="P347" s="128">
        <f>SUM(P2:P346)</f>
        <v>2761703000</v>
      </c>
      <c r="Q347" s="128">
        <f>SUM(Q2:Q346)</f>
        <v>2295019000</v>
      </c>
      <c r="R347" s="128">
        <f>SUM(R2:R346)</f>
        <v>466684000</v>
      </c>
      <c r="S347">
        <v>283000</v>
      </c>
      <c r="T347" s="128">
        <f t="shared" si="30"/>
        <v>6150077235</v>
      </c>
      <c r="U347" s="128">
        <f t="shared" si="34"/>
        <v>1395092235</v>
      </c>
      <c r="V347" s="128">
        <f t="shared" si="31"/>
        <v>1395092235</v>
      </c>
      <c r="W347" s="128">
        <f>SUM(W2:W346)</f>
        <v>62208251</v>
      </c>
      <c r="X347" s="188">
        <f t="shared" si="35"/>
        <v>2.2426160719419681E-2</v>
      </c>
      <c r="Y347" s="238"/>
      <c r="AE347" s="128"/>
      <c r="AF347" s="128"/>
      <c r="AG347" s="128"/>
    </row>
    <row r="348" spans="1:33" x14ac:dyDescent="0.25">
      <c r="A348"/>
      <c r="B348"/>
      <c r="C348"/>
      <c r="D348"/>
      <c r="E348"/>
      <c r="F348"/>
      <c r="G348"/>
      <c r="H348"/>
      <c r="I348"/>
      <c r="J348"/>
      <c r="K348"/>
      <c r="L348"/>
      <c r="M348"/>
      <c r="N348"/>
      <c r="O348"/>
      <c r="P348"/>
      <c r="T348" s="128"/>
      <c r="U348" s="128"/>
      <c r="V348" s="128"/>
      <c r="W348" s="128"/>
      <c r="X348" s="128"/>
      <c r="Y348" s="238"/>
      <c r="AE348" s="128"/>
      <c r="AF348" s="128"/>
      <c r="AG348" s="128"/>
    </row>
    <row r="349" spans="1:33" x14ac:dyDescent="0.25">
      <c r="A349"/>
      <c r="B349"/>
      <c r="C349"/>
      <c r="D349"/>
      <c r="E349"/>
      <c r="F349"/>
      <c r="G349"/>
      <c r="H349"/>
      <c r="I349"/>
      <c r="J349"/>
      <c r="K349"/>
      <c r="L349"/>
      <c r="M349"/>
      <c r="N349"/>
      <c r="O349"/>
      <c r="P349"/>
      <c r="T349" s="128"/>
      <c r="U349" s="128"/>
      <c r="V349" s="128"/>
      <c r="W349" s="128"/>
      <c r="X349" s="128"/>
      <c r="Y349" s="238"/>
      <c r="AE349" s="128"/>
      <c r="AF349" s="128"/>
      <c r="AG349" s="128"/>
    </row>
    <row r="350" spans="1:33" x14ac:dyDescent="0.25">
      <c r="A350"/>
      <c r="B350"/>
      <c r="C350"/>
      <c r="D350"/>
      <c r="E350"/>
      <c r="F350"/>
      <c r="G350"/>
      <c r="H350"/>
      <c r="I350"/>
      <c r="J350"/>
      <c r="K350"/>
      <c r="L350"/>
      <c r="M350"/>
      <c r="N350"/>
      <c r="O350"/>
      <c r="P350"/>
      <c r="T350" s="128"/>
      <c r="U350" s="128"/>
      <c r="V350" s="128"/>
      <c r="W350" s="128"/>
      <c r="X350" s="128"/>
      <c r="Y350" s="238"/>
      <c r="AE350" s="128"/>
      <c r="AF350" s="128"/>
      <c r="AG350" s="128"/>
    </row>
    <row r="351" spans="1:33" x14ac:dyDescent="0.25">
      <c r="A351"/>
      <c r="B351"/>
      <c r="C351"/>
      <c r="D351"/>
      <c r="E351"/>
      <c r="F351"/>
      <c r="G351"/>
      <c r="H351"/>
      <c r="I351"/>
      <c r="J351"/>
      <c r="K351"/>
      <c r="L351"/>
      <c r="M351"/>
      <c r="N351"/>
      <c r="O351"/>
      <c r="P351"/>
      <c r="T351" s="128"/>
      <c r="U351" s="128"/>
      <c r="V351" s="128"/>
      <c r="W351" s="128"/>
      <c r="X351" s="128"/>
      <c r="Y351" s="238"/>
      <c r="AE351" s="128"/>
      <c r="AF351" s="128"/>
      <c r="AG351" s="128"/>
    </row>
    <row r="352" spans="1:33" x14ac:dyDescent="0.25">
      <c r="A352"/>
      <c r="B352"/>
      <c r="C352"/>
      <c r="D352"/>
      <c r="E352"/>
      <c r="F352"/>
      <c r="G352"/>
      <c r="H352"/>
      <c r="I352"/>
      <c r="J352"/>
      <c r="K352"/>
      <c r="L352"/>
      <c r="M352"/>
      <c r="N352"/>
      <c r="O352"/>
      <c r="P352"/>
      <c r="T352" s="128"/>
      <c r="U352" s="128"/>
      <c r="V352" s="128"/>
      <c r="W352" s="128"/>
      <c r="X352" s="128"/>
      <c r="Y352" s="238"/>
      <c r="AE352" s="128"/>
      <c r="AF352" s="128"/>
      <c r="AG352" s="128"/>
    </row>
    <row r="353" spans="1:33" x14ac:dyDescent="0.25">
      <c r="A353"/>
      <c r="B353"/>
      <c r="C353"/>
      <c r="D353"/>
      <c r="E353"/>
      <c r="F353"/>
      <c r="G353"/>
      <c r="H353"/>
      <c r="I353"/>
      <c r="J353"/>
      <c r="K353"/>
      <c r="L353"/>
      <c r="M353"/>
      <c r="N353"/>
      <c r="O353"/>
      <c r="P353"/>
      <c r="T353" s="128"/>
      <c r="U353" s="128"/>
      <c r="V353" s="128"/>
      <c r="W353" s="128"/>
      <c r="X353" s="128"/>
      <c r="Y353" s="238"/>
      <c r="AE353" s="128"/>
      <c r="AF353" s="128"/>
      <c r="AG353" s="128"/>
    </row>
    <row r="354" spans="1:33" x14ac:dyDescent="0.25">
      <c r="A354"/>
      <c r="B354"/>
      <c r="C354"/>
      <c r="D354"/>
      <c r="E354"/>
      <c r="F354"/>
      <c r="G354"/>
      <c r="H354"/>
      <c r="I354"/>
      <c r="J354"/>
      <c r="K354"/>
      <c r="L354"/>
      <c r="M354"/>
      <c r="N354"/>
      <c r="O354"/>
      <c r="P354"/>
      <c r="S354" s="129"/>
      <c r="T354" s="128"/>
      <c r="U354" s="128"/>
      <c r="V354" s="128"/>
      <c r="W354" s="128"/>
      <c r="X354" s="128"/>
      <c r="Y354" s="238"/>
      <c r="AA354" s="129"/>
      <c r="AB354" s="129"/>
      <c r="AC354" s="129"/>
      <c r="AD354" s="129"/>
      <c r="AE354" s="128"/>
      <c r="AF354" s="128"/>
      <c r="AG354" s="128"/>
    </row>
    <row r="355" spans="1:33" x14ac:dyDescent="0.25">
      <c r="A355"/>
      <c r="B355"/>
      <c r="C355"/>
      <c r="D355"/>
      <c r="E355"/>
      <c r="F355"/>
      <c r="G355"/>
      <c r="H355"/>
      <c r="I355"/>
      <c r="J355"/>
      <c r="K355"/>
      <c r="L355"/>
      <c r="M355"/>
      <c r="N355"/>
      <c r="O355"/>
      <c r="P355"/>
      <c r="T355"/>
      <c r="U355" s="128"/>
      <c r="V355" s="128"/>
      <c r="W355" s="128"/>
      <c r="X355" s="128"/>
      <c r="Y355" s="128"/>
    </row>
    <row r="356" spans="1:33" x14ac:dyDescent="0.25">
      <c r="A356"/>
      <c r="B356"/>
      <c r="C356"/>
      <c r="D356"/>
      <c r="E356"/>
      <c r="F356"/>
      <c r="G356"/>
      <c r="H356"/>
      <c r="I356"/>
      <c r="J356"/>
      <c r="K356"/>
      <c r="L356"/>
      <c r="M356"/>
      <c r="N356"/>
      <c r="O356"/>
      <c r="Q356" s="128"/>
      <c r="R356" s="95"/>
      <c r="S356" s="94"/>
      <c r="T356" s="155"/>
      <c r="V356" s="128"/>
      <c r="W356" s="128"/>
      <c r="X356" s="128"/>
      <c r="AG356" s="128"/>
    </row>
    <row r="357" spans="1:33" x14ac:dyDescent="0.25">
      <c r="A357"/>
      <c r="B357"/>
      <c r="C357"/>
      <c r="D357"/>
      <c r="E357"/>
      <c r="F357"/>
      <c r="G357"/>
      <c r="H357"/>
      <c r="I357"/>
      <c r="J357"/>
      <c r="K357"/>
      <c r="L357"/>
      <c r="M357"/>
      <c r="N357"/>
      <c r="O357"/>
      <c r="Q357" s="128"/>
      <c r="R357" s="95"/>
      <c r="S357" s="94"/>
      <c r="T357" s="155"/>
    </row>
    <row r="358" spans="1:33" x14ac:dyDescent="0.25">
      <c r="A358"/>
      <c r="B358"/>
      <c r="C358"/>
      <c r="D358"/>
      <c r="E358"/>
      <c r="F358"/>
      <c r="G358"/>
      <c r="H358"/>
      <c r="I358"/>
      <c r="J358"/>
      <c r="K358"/>
      <c r="L358"/>
      <c r="M358"/>
      <c r="N358"/>
      <c r="O358"/>
      <c r="P358"/>
      <c r="T358" s="128"/>
      <c r="U358" s="128"/>
      <c r="V358" s="128"/>
      <c r="W358" s="128"/>
      <c r="X358" s="128"/>
      <c r="AE358" s="128"/>
      <c r="AF358" s="128"/>
      <c r="AG358" s="128"/>
    </row>
    <row r="359" spans="1:33" x14ac:dyDescent="0.25">
      <c r="A359"/>
      <c r="B359"/>
      <c r="C359"/>
      <c r="D359"/>
      <c r="E359"/>
      <c r="F359"/>
      <c r="G359"/>
      <c r="H359"/>
      <c r="I359"/>
      <c r="J359"/>
      <c r="K359"/>
      <c r="L359"/>
      <c r="M359"/>
      <c r="N359"/>
      <c r="O359"/>
      <c r="P359"/>
      <c r="T359" s="128"/>
      <c r="U359" s="128"/>
      <c r="V359" s="128"/>
      <c r="W359" s="128"/>
      <c r="X359" s="128"/>
      <c r="AE359" s="128"/>
      <c r="AF359" s="128"/>
      <c r="AG359" s="128"/>
    </row>
    <row r="360" spans="1:33" x14ac:dyDescent="0.25">
      <c r="A360"/>
      <c r="B360"/>
      <c r="C360"/>
      <c r="D360"/>
      <c r="E360"/>
      <c r="F360"/>
      <c r="G360"/>
      <c r="H360"/>
      <c r="I360"/>
      <c r="J360"/>
      <c r="K360"/>
      <c r="L360"/>
      <c r="M360"/>
      <c r="N360"/>
      <c r="O360"/>
      <c r="P360"/>
      <c r="T360" s="128"/>
      <c r="U360" s="128"/>
      <c r="V360" s="128"/>
      <c r="W360" s="128"/>
      <c r="X360" s="128"/>
      <c r="AE360" s="128"/>
      <c r="AF360" s="128"/>
      <c r="AG360" s="128"/>
    </row>
    <row r="361" spans="1:33" x14ac:dyDescent="0.25">
      <c r="A361"/>
      <c r="B361" s="128"/>
      <c r="C361"/>
      <c r="D361"/>
      <c r="E361"/>
      <c r="F361"/>
      <c r="G361"/>
      <c r="H361"/>
      <c r="I361"/>
      <c r="J361"/>
      <c r="K361"/>
      <c r="L361"/>
      <c r="M361"/>
      <c r="N361"/>
      <c r="O361"/>
      <c r="Q361" s="128"/>
      <c r="R361" s="128"/>
      <c r="S361" s="208"/>
      <c r="T361" s="128"/>
      <c r="Z361" s="128"/>
      <c r="AE361" s="128"/>
      <c r="AF361" s="128"/>
      <c r="AG361" s="128"/>
    </row>
    <row r="362" spans="1:33" x14ac:dyDescent="0.25">
      <c r="A362"/>
      <c r="B362"/>
      <c r="C362"/>
      <c r="D362"/>
      <c r="E362"/>
      <c r="F362"/>
      <c r="G362"/>
      <c r="H362"/>
      <c r="I362"/>
      <c r="J362"/>
      <c r="K362"/>
      <c r="L362"/>
      <c r="M362"/>
      <c r="N362"/>
      <c r="O362" s="128"/>
      <c r="Q362" s="95"/>
      <c r="R362" s="94"/>
      <c r="S362" s="155"/>
      <c r="T362"/>
    </row>
    <row r="363" spans="1:33" x14ac:dyDescent="0.25">
      <c r="A363"/>
      <c r="B363"/>
      <c r="C363"/>
      <c r="D363"/>
      <c r="E363"/>
      <c r="F363"/>
      <c r="G363"/>
      <c r="H363"/>
      <c r="I363"/>
      <c r="J363"/>
      <c r="K363"/>
      <c r="L363"/>
      <c r="M363"/>
      <c r="N363"/>
      <c r="O363"/>
      <c r="P363"/>
      <c r="T363" s="128"/>
      <c r="U363" s="128"/>
      <c r="V363" s="128"/>
      <c r="W363" s="128"/>
      <c r="X363" s="128"/>
      <c r="AE363" s="128"/>
      <c r="AF363" s="128"/>
      <c r="AG363" s="128"/>
    </row>
    <row r="364" spans="1:33" x14ac:dyDescent="0.25">
      <c r="A364"/>
      <c r="B364"/>
      <c r="C364"/>
      <c r="D364"/>
      <c r="E364"/>
      <c r="F364"/>
      <c r="G364"/>
      <c r="H364"/>
      <c r="I364"/>
      <c r="J364"/>
      <c r="K364"/>
      <c r="L364"/>
      <c r="M364"/>
      <c r="N364"/>
      <c r="O364"/>
      <c r="P364"/>
      <c r="T364" s="128"/>
      <c r="U364" s="128"/>
      <c r="V364" s="128"/>
      <c r="W364" s="128"/>
      <c r="X364" s="128"/>
      <c r="AE364" s="128"/>
      <c r="AF364" s="128"/>
      <c r="AG364" s="128"/>
    </row>
    <row r="365" spans="1:33" x14ac:dyDescent="0.25">
      <c r="A365"/>
      <c r="B365"/>
      <c r="C365"/>
      <c r="D365"/>
      <c r="E365"/>
      <c r="F365"/>
      <c r="G365"/>
      <c r="H365"/>
      <c r="I365"/>
      <c r="J365"/>
      <c r="K365"/>
      <c r="L365"/>
      <c r="M365"/>
      <c r="N365"/>
      <c r="O365"/>
      <c r="P365"/>
      <c r="T365" s="128"/>
      <c r="U365" s="128"/>
      <c r="V365" s="128"/>
      <c r="W365" s="128"/>
      <c r="X365" s="128"/>
      <c r="AE365" s="128"/>
      <c r="AF365" s="128"/>
      <c r="AG365" s="128"/>
    </row>
    <row r="366" spans="1:33" x14ac:dyDescent="0.25">
      <c r="A366"/>
      <c r="B366" s="128"/>
      <c r="C366"/>
      <c r="D366"/>
      <c r="E366"/>
      <c r="F366"/>
      <c r="G366"/>
      <c r="H366"/>
      <c r="I366"/>
      <c r="J366"/>
      <c r="K366"/>
      <c r="L366"/>
      <c r="M366"/>
      <c r="N366"/>
      <c r="O366"/>
      <c r="P366"/>
      <c r="S366" s="129"/>
      <c r="T366" s="128"/>
      <c r="Z366" s="128"/>
      <c r="AE366" s="128"/>
      <c r="AF366" s="128"/>
      <c r="AG366" s="128"/>
    </row>
    <row r="367" spans="1:33" x14ac:dyDescent="0.25">
      <c r="A367"/>
      <c r="B367"/>
      <c r="C367"/>
      <c r="D367"/>
      <c r="E367"/>
      <c r="F367"/>
      <c r="G367"/>
      <c r="H367"/>
      <c r="I367"/>
      <c r="J367"/>
      <c r="K367"/>
      <c r="L367"/>
      <c r="M367"/>
      <c r="N367"/>
      <c r="O367" s="128"/>
      <c r="P367"/>
      <c r="Q367" s="95"/>
      <c r="R367" s="94"/>
      <c r="S367" s="129"/>
      <c r="T367"/>
      <c r="AE367" s="128"/>
    </row>
    <row r="368" spans="1:33" x14ac:dyDescent="0.25">
      <c r="A368"/>
      <c r="B368"/>
      <c r="C368"/>
      <c r="D368"/>
      <c r="E368"/>
      <c r="F368"/>
      <c r="G368"/>
      <c r="H368"/>
      <c r="I368"/>
      <c r="J368"/>
      <c r="K368"/>
      <c r="L368"/>
      <c r="M368"/>
      <c r="N368"/>
      <c r="O368"/>
      <c r="P368"/>
      <c r="T368" s="128"/>
      <c r="U368" s="128"/>
      <c r="V368" s="128"/>
      <c r="W368" s="128"/>
      <c r="X368" s="128"/>
      <c r="AE368" s="128"/>
      <c r="AF368" s="128"/>
      <c r="AG368" s="128"/>
    </row>
    <row r="369" spans="1:33" x14ac:dyDescent="0.25">
      <c r="A369"/>
      <c r="B369"/>
      <c r="C369"/>
      <c r="D369"/>
      <c r="E369"/>
      <c r="F369"/>
      <c r="G369"/>
      <c r="H369"/>
      <c r="I369"/>
      <c r="J369"/>
      <c r="K369"/>
      <c r="L369"/>
      <c r="M369"/>
      <c r="N369"/>
      <c r="O369"/>
      <c r="P369"/>
      <c r="T369" s="128"/>
      <c r="U369" s="128"/>
      <c r="V369" s="128"/>
      <c r="W369" s="128"/>
      <c r="X369" s="128"/>
      <c r="AE369" s="128"/>
      <c r="AF369" s="128"/>
      <c r="AG369" s="128"/>
    </row>
    <row r="370" spans="1:33" x14ac:dyDescent="0.25">
      <c r="A370"/>
      <c r="B370"/>
      <c r="C370"/>
      <c r="D370"/>
      <c r="E370"/>
      <c r="F370"/>
      <c r="G370"/>
      <c r="H370"/>
      <c r="I370"/>
      <c r="J370"/>
      <c r="K370"/>
      <c r="L370"/>
      <c r="M370"/>
      <c r="N370"/>
      <c r="O370"/>
      <c r="P370"/>
      <c r="T370" s="128"/>
      <c r="U370" s="128"/>
      <c r="V370" s="128"/>
      <c r="W370" s="128"/>
      <c r="X370" s="128"/>
      <c r="AE370" s="128"/>
      <c r="AF370" s="128"/>
      <c r="AG370" s="128"/>
    </row>
    <row r="371" spans="1:33" x14ac:dyDescent="0.25">
      <c r="A371"/>
      <c r="B371"/>
      <c r="C371"/>
      <c r="D371"/>
      <c r="E371"/>
      <c r="F371"/>
      <c r="G371"/>
      <c r="H371"/>
      <c r="I371"/>
      <c r="J371"/>
      <c r="K371"/>
      <c r="L371"/>
      <c r="M371"/>
      <c r="N371"/>
      <c r="O371"/>
      <c r="P371"/>
      <c r="T371" s="128"/>
      <c r="U371" s="128"/>
      <c r="V371" s="128"/>
      <c r="W371" s="128"/>
      <c r="X371" s="128"/>
      <c r="AE371" s="128"/>
      <c r="AF371" s="128"/>
      <c r="AG371" s="128"/>
    </row>
    <row r="372" spans="1:33" x14ac:dyDescent="0.25">
      <c r="A372"/>
      <c r="B372" s="128"/>
      <c r="C372"/>
      <c r="D372"/>
      <c r="E372"/>
      <c r="F372"/>
      <c r="G372"/>
      <c r="H372"/>
      <c r="I372"/>
      <c r="J372"/>
      <c r="K372"/>
      <c r="L372"/>
      <c r="M372"/>
      <c r="N372"/>
      <c r="O372"/>
      <c r="P372"/>
      <c r="S372" s="129"/>
      <c r="T372" s="128"/>
      <c r="U372" s="128"/>
      <c r="V372" s="128"/>
      <c r="W372" s="128"/>
      <c r="X372" s="128"/>
      <c r="Z372" s="128"/>
      <c r="AE372" s="128"/>
      <c r="AF372" s="128"/>
      <c r="AG372" s="128"/>
    </row>
    <row r="373" spans="1:33" x14ac:dyDescent="0.25">
      <c r="A373"/>
      <c r="B373"/>
      <c r="C373"/>
      <c r="D373"/>
      <c r="E373"/>
      <c r="F373"/>
      <c r="G373"/>
      <c r="H373"/>
      <c r="I373"/>
      <c r="J373"/>
      <c r="K373"/>
      <c r="L373"/>
      <c r="M373"/>
      <c r="N373"/>
      <c r="O373" s="128"/>
      <c r="P373"/>
      <c r="Q373" s="95"/>
      <c r="S373" s="129"/>
      <c r="T373"/>
      <c r="AE373" s="128"/>
    </row>
    <row r="374" spans="1:33" x14ac:dyDescent="0.25">
      <c r="A374"/>
      <c r="B374"/>
      <c r="C374"/>
      <c r="D374"/>
      <c r="E374"/>
      <c r="F374"/>
      <c r="G374"/>
      <c r="H374"/>
      <c r="I374"/>
      <c r="J374"/>
      <c r="K374"/>
      <c r="L374"/>
      <c r="M374"/>
      <c r="N374"/>
      <c r="O374"/>
      <c r="P374"/>
      <c r="T374" s="128"/>
      <c r="U374" s="128"/>
      <c r="V374" s="128"/>
      <c r="W374" s="128"/>
      <c r="X374" s="128"/>
      <c r="AE374" s="128"/>
      <c r="AF374" s="128"/>
      <c r="AG374" s="128"/>
    </row>
    <row r="375" spans="1:33" x14ac:dyDescent="0.25">
      <c r="A375"/>
      <c r="B375"/>
      <c r="C375"/>
      <c r="D375"/>
      <c r="E375"/>
      <c r="F375"/>
      <c r="G375"/>
      <c r="H375"/>
      <c r="I375"/>
      <c r="J375"/>
      <c r="K375"/>
      <c r="L375"/>
      <c r="M375"/>
      <c r="N375"/>
      <c r="O375"/>
      <c r="P375"/>
      <c r="T375" s="128"/>
      <c r="U375" s="128"/>
      <c r="V375" s="128"/>
      <c r="W375" s="128"/>
      <c r="X375" s="128"/>
      <c r="AE375" s="128"/>
      <c r="AF375" s="128"/>
      <c r="AG375" s="128"/>
    </row>
    <row r="376" spans="1:33" x14ac:dyDescent="0.25">
      <c r="A376"/>
      <c r="B376"/>
      <c r="C376"/>
      <c r="D376"/>
      <c r="E376"/>
      <c r="F376"/>
      <c r="G376"/>
      <c r="H376"/>
      <c r="I376"/>
      <c r="J376"/>
      <c r="K376"/>
      <c r="L376"/>
      <c r="M376"/>
      <c r="N376"/>
      <c r="O376"/>
      <c r="P376"/>
      <c r="S376" s="129"/>
      <c r="T376" s="128"/>
      <c r="U376" s="128"/>
      <c r="V376" s="128"/>
      <c r="W376" s="128"/>
      <c r="X376" s="128"/>
      <c r="AE376" s="128"/>
      <c r="AF376" s="128"/>
      <c r="AG376" s="128"/>
    </row>
    <row r="377" spans="1:33" x14ac:dyDescent="0.25">
      <c r="A377"/>
      <c r="B377"/>
      <c r="C377"/>
      <c r="D377"/>
      <c r="E377"/>
      <c r="F377"/>
      <c r="G377"/>
      <c r="H377"/>
      <c r="I377"/>
      <c r="J377"/>
      <c r="K377"/>
      <c r="L377"/>
      <c r="M377"/>
      <c r="N377"/>
      <c r="O377" s="128"/>
      <c r="P377"/>
      <c r="Q377" s="95"/>
      <c r="S377" s="129"/>
      <c r="T377"/>
      <c r="AE377" s="128"/>
    </row>
    <row r="378" spans="1:33" x14ac:dyDescent="0.25">
      <c r="A378"/>
      <c r="B378"/>
      <c r="C378"/>
      <c r="D378"/>
      <c r="E378"/>
      <c r="F378"/>
      <c r="G378"/>
      <c r="H378"/>
      <c r="I378"/>
      <c r="J378"/>
      <c r="K378"/>
      <c r="L378"/>
      <c r="M378"/>
      <c r="N378"/>
      <c r="O378"/>
      <c r="P378"/>
      <c r="T378" s="128"/>
      <c r="U378" s="128"/>
      <c r="V378" s="128"/>
      <c r="W378" s="128"/>
      <c r="X378" s="128"/>
      <c r="AE378" s="128"/>
      <c r="AF378" s="128"/>
      <c r="AG378" s="128"/>
    </row>
    <row r="379" spans="1:33" x14ac:dyDescent="0.25">
      <c r="A379"/>
      <c r="B379"/>
      <c r="C379"/>
      <c r="D379"/>
      <c r="E379"/>
      <c r="F379"/>
      <c r="G379"/>
      <c r="H379"/>
      <c r="I379"/>
      <c r="J379"/>
      <c r="K379"/>
      <c r="L379"/>
      <c r="M379"/>
      <c r="N379"/>
      <c r="O379"/>
      <c r="P379"/>
      <c r="T379" s="128"/>
      <c r="U379" s="128"/>
      <c r="V379" s="128"/>
      <c r="W379" s="128"/>
      <c r="X379" s="128"/>
      <c r="AE379" s="128"/>
      <c r="AF379" s="128"/>
      <c r="AG379" s="128"/>
    </row>
    <row r="380" spans="1:33" x14ac:dyDescent="0.25">
      <c r="A380"/>
      <c r="B380"/>
      <c r="C380"/>
      <c r="D380"/>
      <c r="E380"/>
      <c r="F380"/>
      <c r="G380"/>
      <c r="H380"/>
      <c r="I380"/>
      <c r="J380"/>
      <c r="K380"/>
      <c r="L380"/>
      <c r="M380"/>
      <c r="N380"/>
      <c r="O380"/>
      <c r="P380"/>
      <c r="T380" s="128"/>
      <c r="U380" s="128"/>
      <c r="V380" s="128"/>
      <c r="W380" s="128"/>
      <c r="X380" s="128"/>
      <c r="AE380" s="128"/>
      <c r="AF380" s="128"/>
      <c r="AG380" s="128"/>
    </row>
    <row r="381" spans="1:33" x14ac:dyDescent="0.25">
      <c r="A381"/>
      <c r="B381"/>
      <c r="C381"/>
      <c r="D381"/>
      <c r="E381"/>
      <c r="F381"/>
      <c r="G381"/>
      <c r="H381"/>
      <c r="I381"/>
      <c r="J381"/>
      <c r="K381"/>
      <c r="L381"/>
      <c r="M381"/>
      <c r="N381"/>
      <c r="O381"/>
      <c r="P381"/>
      <c r="T381" s="128"/>
      <c r="U381" s="128"/>
      <c r="V381" s="128"/>
      <c r="W381" s="128"/>
      <c r="X381" s="128"/>
      <c r="AE381" s="128"/>
      <c r="AF381" s="128"/>
      <c r="AG381" s="128"/>
    </row>
    <row r="382" spans="1:33" x14ac:dyDescent="0.25">
      <c r="A382"/>
      <c r="B382"/>
      <c r="C382"/>
      <c r="D382"/>
      <c r="E382"/>
      <c r="F382"/>
      <c r="G382"/>
      <c r="H382"/>
      <c r="I382"/>
      <c r="J382"/>
      <c r="K382"/>
      <c r="L382"/>
      <c r="M382"/>
      <c r="N382"/>
      <c r="O382"/>
      <c r="P382"/>
      <c r="T382" s="128"/>
      <c r="U382" s="128"/>
      <c r="V382" s="128"/>
      <c r="W382" s="128"/>
      <c r="X382" s="128"/>
      <c r="AE382" s="128"/>
      <c r="AF382" s="128"/>
      <c r="AG382" s="128"/>
    </row>
    <row r="383" spans="1:33" x14ac:dyDescent="0.25">
      <c r="A383"/>
      <c r="B383" s="128"/>
      <c r="C383"/>
      <c r="D383"/>
      <c r="E383"/>
      <c r="F383"/>
      <c r="G383"/>
      <c r="H383"/>
      <c r="I383"/>
      <c r="J383"/>
      <c r="K383"/>
      <c r="L383"/>
      <c r="M383"/>
      <c r="N383"/>
      <c r="O383"/>
      <c r="Q383" s="128"/>
      <c r="R383" s="128"/>
      <c r="S383" s="208"/>
      <c r="T383" s="128"/>
      <c r="U383" s="128"/>
      <c r="V383" s="128"/>
      <c r="W383" s="128"/>
      <c r="X383" s="128"/>
      <c r="Z383" s="128"/>
      <c r="AE383" s="128"/>
      <c r="AF383" s="128"/>
      <c r="AG383" s="128"/>
    </row>
    <row r="384" spans="1:33" x14ac:dyDescent="0.25">
      <c r="A384"/>
      <c r="B384" s="181"/>
      <c r="C384" s="181"/>
      <c r="D384" s="181"/>
      <c r="E384" s="181"/>
      <c r="O384" s="128"/>
      <c r="P384"/>
      <c r="S384" s="129"/>
      <c r="T384"/>
      <c r="AE384" s="128"/>
    </row>
    <row r="385" spans="1:33" x14ac:dyDescent="0.25">
      <c r="A385"/>
      <c r="B385"/>
      <c r="C385"/>
      <c r="D385"/>
      <c r="E385"/>
      <c r="F385"/>
      <c r="G385"/>
      <c r="H385"/>
      <c r="I385"/>
      <c r="J385"/>
      <c r="K385"/>
      <c r="L385"/>
      <c r="M385"/>
      <c r="N385"/>
      <c r="O385"/>
      <c r="P385"/>
      <c r="T385" s="128"/>
      <c r="U385" s="128"/>
      <c r="V385" s="128"/>
      <c r="W385" s="128"/>
      <c r="X385" s="128"/>
      <c r="AE385" s="128"/>
      <c r="AF385" s="128"/>
      <c r="AG385" s="128"/>
    </row>
    <row r="386" spans="1:33" x14ac:dyDescent="0.25">
      <c r="A386"/>
      <c r="B386"/>
      <c r="C386"/>
      <c r="D386"/>
      <c r="E386"/>
      <c r="F386"/>
      <c r="G386"/>
      <c r="H386"/>
      <c r="I386"/>
      <c r="J386"/>
      <c r="K386"/>
      <c r="L386"/>
      <c r="M386"/>
      <c r="N386"/>
      <c r="O386"/>
      <c r="P386"/>
      <c r="T386" s="128"/>
      <c r="U386" s="128"/>
      <c r="V386" s="128"/>
      <c r="W386" s="128"/>
      <c r="X386" s="128"/>
      <c r="AE386" s="128"/>
      <c r="AF386" s="128"/>
      <c r="AG386" s="128"/>
    </row>
    <row r="387" spans="1:33" x14ac:dyDescent="0.25">
      <c r="A387" s="181"/>
      <c r="B387"/>
      <c r="C387"/>
      <c r="D387"/>
      <c r="E387"/>
      <c r="F387"/>
      <c r="G387"/>
      <c r="H387"/>
      <c r="I387"/>
      <c r="J387"/>
      <c r="K387"/>
      <c r="L387"/>
      <c r="M387"/>
      <c r="N387"/>
      <c r="O387"/>
      <c r="P387"/>
      <c r="T387" s="128"/>
      <c r="U387" s="128"/>
      <c r="V387" s="128"/>
      <c r="W387" s="128"/>
      <c r="X387" s="128"/>
      <c r="AE387" s="128"/>
      <c r="AF387" s="128"/>
      <c r="AG387" s="128"/>
    </row>
    <row r="388" spans="1:33" x14ac:dyDescent="0.25">
      <c r="A388" s="181"/>
      <c r="B388"/>
      <c r="C388"/>
      <c r="D388"/>
      <c r="E388"/>
      <c r="F388"/>
      <c r="G388"/>
      <c r="H388"/>
      <c r="I388"/>
      <c r="J388"/>
      <c r="K388"/>
      <c r="L388"/>
      <c r="M388"/>
      <c r="N388"/>
      <c r="O388"/>
      <c r="P388"/>
      <c r="S388" s="129"/>
      <c r="T388" s="128"/>
      <c r="U388" s="128"/>
      <c r="V388" s="128"/>
      <c r="W388" s="128"/>
      <c r="X388" s="128"/>
      <c r="AE388" s="128"/>
      <c r="AF388" s="128"/>
      <c r="AG388" s="128"/>
    </row>
    <row r="389" spans="1:33" x14ac:dyDescent="0.25">
      <c r="A389" s="181"/>
      <c r="B389" s="181"/>
      <c r="C389" s="181"/>
      <c r="D389" s="181"/>
      <c r="E389" s="181"/>
      <c r="O389" s="128"/>
      <c r="P389"/>
      <c r="S389" s="129"/>
      <c r="T389"/>
      <c r="AE389" s="128"/>
    </row>
    <row r="390" spans="1:33" x14ac:dyDescent="0.25">
      <c r="A390" s="181"/>
      <c r="B390"/>
      <c r="C390"/>
      <c r="D390"/>
      <c r="E390"/>
      <c r="F390"/>
      <c r="G390"/>
      <c r="H390"/>
      <c r="I390"/>
      <c r="J390"/>
      <c r="K390"/>
      <c r="L390"/>
      <c r="M390"/>
      <c r="N390"/>
      <c r="O390"/>
      <c r="P390"/>
      <c r="T390" s="128"/>
      <c r="U390" s="128"/>
      <c r="V390" s="128"/>
      <c r="W390" s="128"/>
      <c r="X390" s="128"/>
      <c r="AE390" s="128"/>
      <c r="AF390" s="128"/>
      <c r="AG390" s="128"/>
    </row>
    <row r="391" spans="1:33" x14ac:dyDescent="0.25">
      <c r="A391" s="181"/>
      <c r="B391"/>
      <c r="C391"/>
      <c r="D391"/>
      <c r="E391"/>
      <c r="F391"/>
      <c r="G391"/>
      <c r="H391"/>
      <c r="I391"/>
      <c r="J391"/>
      <c r="K391"/>
      <c r="L391"/>
      <c r="M391"/>
      <c r="N391"/>
      <c r="O391"/>
      <c r="P391"/>
      <c r="T391" s="128"/>
      <c r="U391" s="128"/>
      <c r="V391" s="128"/>
      <c r="W391" s="128"/>
      <c r="X391" s="128"/>
      <c r="AE391" s="128"/>
      <c r="AF391" s="128"/>
      <c r="AG391" s="128"/>
    </row>
    <row r="392" spans="1:33" x14ac:dyDescent="0.25">
      <c r="A392" s="181"/>
      <c r="B392"/>
      <c r="C392"/>
      <c r="D392"/>
      <c r="E392"/>
      <c r="F392"/>
      <c r="G392"/>
      <c r="H392"/>
      <c r="I392"/>
      <c r="J392"/>
      <c r="K392"/>
      <c r="L392"/>
      <c r="M392"/>
      <c r="N392"/>
      <c r="O392"/>
      <c r="P392"/>
      <c r="T392" s="128"/>
      <c r="U392" s="128"/>
      <c r="V392" s="128"/>
      <c r="W392" s="128"/>
      <c r="X392" s="128"/>
      <c r="AE392" s="128"/>
      <c r="AF392" s="128"/>
      <c r="AG392" s="128"/>
    </row>
    <row r="393" spans="1:33" x14ac:dyDescent="0.25">
      <c r="A393" s="181"/>
      <c r="B393" s="128"/>
      <c r="C393"/>
      <c r="D393"/>
      <c r="E393"/>
      <c r="F393"/>
      <c r="G393"/>
      <c r="H393"/>
      <c r="I393"/>
      <c r="J393"/>
      <c r="K393"/>
      <c r="L393"/>
      <c r="M393"/>
      <c r="N393"/>
      <c r="O393"/>
      <c r="P393"/>
      <c r="S393" s="129"/>
      <c r="T393" s="128"/>
      <c r="U393" s="128"/>
      <c r="V393" s="128"/>
      <c r="W393" s="128"/>
      <c r="X393" s="128"/>
      <c r="Z393" s="128"/>
      <c r="AE393" s="128"/>
      <c r="AF393" s="128"/>
      <c r="AG393" s="128"/>
    </row>
    <row r="394" spans="1:33" x14ac:dyDescent="0.25">
      <c r="A394" s="181"/>
      <c r="B394" s="181"/>
      <c r="C394" s="181"/>
      <c r="D394" s="181"/>
      <c r="E394" s="181"/>
      <c r="O394" s="128"/>
      <c r="P394"/>
      <c r="S394" s="129"/>
      <c r="T394"/>
      <c r="AE394" s="128"/>
    </row>
    <row r="395" spans="1:33" x14ac:dyDescent="0.25">
      <c r="A395" s="181"/>
      <c r="B395"/>
      <c r="C395"/>
      <c r="D395"/>
      <c r="E395"/>
      <c r="F395"/>
      <c r="G395"/>
      <c r="H395"/>
      <c r="I395"/>
      <c r="J395"/>
      <c r="K395"/>
      <c r="L395"/>
      <c r="M395"/>
      <c r="N395"/>
      <c r="O395"/>
      <c r="P395"/>
      <c r="T395" s="128"/>
      <c r="U395" s="128"/>
      <c r="V395" s="128"/>
      <c r="W395" s="128"/>
      <c r="X395" s="128"/>
      <c r="AE395" s="128"/>
      <c r="AF395" s="128"/>
      <c r="AG395" s="128"/>
    </row>
    <row r="396" spans="1:33" x14ac:dyDescent="0.25">
      <c r="A396" s="181"/>
      <c r="B396"/>
      <c r="C396"/>
      <c r="D396"/>
      <c r="E396"/>
      <c r="F396"/>
      <c r="G396"/>
      <c r="H396"/>
      <c r="I396"/>
      <c r="J396"/>
      <c r="K396"/>
      <c r="L396"/>
      <c r="M396"/>
      <c r="N396"/>
      <c r="O396"/>
      <c r="P396"/>
      <c r="T396" s="128"/>
      <c r="U396" s="128"/>
      <c r="V396" s="128"/>
      <c r="W396" s="128"/>
      <c r="X396" s="128"/>
      <c r="AE396" s="128"/>
      <c r="AF396" s="128"/>
      <c r="AG396" s="128"/>
    </row>
    <row r="397" spans="1:33" x14ac:dyDescent="0.25">
      <c r="A397" s="181"/>
      <c r="B397"/>
      <c r="C397"/>
      <c r="D397"/>
      <c r="E397"/>
      <c r="F397"/>
      <c r="G397"/>
      <c r="H397"/>
      <c r="I397"/>
      <c r="J397"/>
      <c r="K397"/>
      <c r="L397"/>
      <c r="M397"/>
      <c r="N397"/>
      <c r="O397"/>
      <c r="P397"/>
      <c r="S397" s="129"/>
      <c r="T397" s="128"/>
      <c r="U397" s="128"/>
      <c r="V397" s="128"/>
      <c r="W397" s="128"/>
      <c r="X397" s="128"/>
      <c r="AE397" s="128"/>
      <c r="AF397" s="128"/>
      <c r="AG397" s="128"/>
    </row>
    <row r="398" spans="1:33" x14ac:dyDescent="0.25">
      <c r="A398" s="181"/>
      <c r="B398" s="181"/>
      <c r="C398" s="181"/>
      <c r="D398" s="181"/>
      <c r="E398" s="181"/>
      <c r="O398" s="128"/>
      <c r="P398"/>
      <c r="S398" s="129"/>
      <c r="T398"/>
      <c r="AE398" s="128"/>
    </row>
    <row r="399" spans="1:33" x14ac:dyDescent="0.25">
      <c r="A399" s="181"/>
      <c r="B399"/>
      <c r="C399"/>
      <c r="D399"/>
      <c r="E399"/>
      <c r="F399"/>
      <c r="G399"/>
      <c r="H399"/>
      <c r="I399"/>
      <c r="J399"/>
      <c r="K399"/>
      <c r="L399"/>
      <c r="M399"/>
      <c r="N399"/>
      <c r="O399"/>
      <c r="P399"/>
      <c r="T399" s="128"/>
      <c r="U399" s="128"/>
      <c r="V399" s="128"/>
      <c r="W399" s="128"/>
      <c r="X399" s="128"/>
      <c r="AE399" s="128"/>
      <c r="AF399" s="128"/>
      <c r="AG399" s="128"/>
    </row>
    <row r="400" spans="1:33" x14ac:dyDescent="0.25">
      <c r="A400" s="181"/>
      <c r="B400"/>
      <c r="C400"/>
      <c r="D400"/>
      <c r="E400"/>
      <c r="F400"/>
      <c r="G400"/>
      <c r="H400"/>
      <c r="I400"/>
      <c r="J400"/>
      <c r="K400"/>
      <c r="L400"/>
      <c r="M400"/>
      <c r="N400"/>
      <c r="O400"/>
      <c r="P400"/>
      <c r="T400" s="128"/>
      <c r="U400" s="128"/>
      <c r="V400" s="128"/>
      <c r="W400" s="128"/>
      <c r="X400" s="128"/>
      <c r="AE400" s="128"/>
      <c r="AF400" s="128"/>
      <c r="AG400" s="128"/>
    </row>
    <row r="401" spans="1:33" x14ac:dyDescent="0.25">
      <c r="B401"/>
      <c r="C401"/>
      <c r="D401"/>
      <c r="E401"/>
      <c r="F401"/>
      <c r="G401"/>
      <c r="H401"/>
      <c r="I401"/>
      <c r="J401"/>
      <c r="K401"/>
      <c r="L401"/>
      <c r="M401"/>
      <c r="N401"/>
      <c r="O401"/>
      <c r="P401"/>
      <c r="T401" s="128"/>
      <c r="U401" s="128"/>
      <c r="V401" s="128"/>
      <c r="W401" s="128"/>
      <c r="X401" s="128"/>
      <c r="AE401" s="128"/>
      <c r="AF401" s="128"/>
      <c r="AG401" s="128"/>
    </row>
    <row r="402" spans="1:33" x14ac:dyDescent="0.25">
      <c r="B402" s="128"/>
      <c r="C402"/>
      <c r="D402"/>
      <c r="E402"/>
      <c r="F402"/>
      <c r="G402"/>
      <c r="H402"/>
      <c r="I402"/>
      <c r="J402"/>
      <c r="K402"/>
      <c r="L402"/>
      <c r="M402"/>
      <c r="N402"/>
      <c r="O402"/>
      <c r="P402"/>
      <c r="S402" s="129"/>
      <c r="T402" s="128"/>
      <c r="U402" s="128"/>
      <c r="V402" s="128"/>
      <c r="W402" s="128"/>
      <c r="X402" s="128"/>
      <c r="Z402" s="128"/>
      <c r="AE402" s="128"/>
      <c r="AF402" s="128"/>
      <c r="AG402" s="128"/>
    </row>
    <row r="403" spans="1:33" x14ac:dyDescent="0.25">
      <c r="A403" s="181"/>
      <c r="B403" s="181"/>
      <c r="C403" s="181"/>
      <c r="D403" s="181"/>
      <c r="E403" s="181"/>
      <c r="O403" s="128"/>
      <c r="P403"/>
      <c r="S403" s="129"/>
      <c r="T403"/>
      <c r="AE403" s="128"/>
    </row>
    <row r="404" spans="1:33" x14ac:dyDescent="0.25">
      <c r="A404" s="181"/>
      <c r="B404"/>
      <c r="C404"/>
      <c r="D404"/>
      <c r="E404"/>
      <c r="F404"/>
      <c r="G404"/>
      <c r="H404"/>
      <c r="I404"/>
      <c r="J404"/>
      <c r="K404"/>
      <c r="L404"/>
      <c r="M404"/>
      <c r="N404"/>
      <c r="O404"/>
      <c r="P404"/>
      <c r="T404" s="128"/>
      <c r="U404" s="128"/>
      <c r="V404" s="128"/>
      <c r="W404" s="128"/>
      <c r="X404" s="128"/>
      <c r="AE404" s="128"/>
      <c r="AF404" s="128"/>
      <c r="AG404" s="128"/>
    </row>
    <row r="405" spans="1:33" x14ac:dyDescent="0.25">
      <c r="A405" s="181"/>
      <c r="B405"/>
      <c r="C405"/>
      <c r="D405"/>
      <c r="E405"/>
      <c r="F405"/>
      <c r="G405"/>
      <c r="H405"/>
      <c r="I405"/>
      <c r="J405"/>
      <c r="K405"/>
      <c r="L405"/>
      <c r="M405"/>
      <c r="N405"/>
      <c r="O405"/>
      <c r="P405"/>
      <c r="T405" s="128"/>
      <c r="U405" s="128"/>
      <c r="V405" s="128"/>
      <c r="W405" s="128"/>
      <c r="X405" s="128"/>
      <c r="AE405" s="128"/>
      <c r="AF405" s="128"/>
      <c r="AG405" s="128"/>
    </row>
    <row r="406" spans="1:33" x14ac:dyDescent="0.25">
      <c r="A406" s="181"/>
      <c r="B406"/>
      <c r="C406"/>
      <c r="D406"/>
      <c r="E406"/>
      <c r="F406"/>
      <c r="G406"/>
      <c r="H406"/>
      <c r="I406"/>
      <c r="J406"/>
      <c r="K406"/>
      <c r="L406"/>
      <c r="M406"/>
      <c r="N406"/>
      <c r="O406"/>
      <c r="P406"/>
      <c r="T406" s="128"/>
      <c r="U406" s="128"/>
      <c r="V406" s="128"/>
      <c r="W406" s="128"/>
      <c r="X406" s="128"/>
      <c r="AE406" s="128"/>
      <c r="AF406" s="128"/>
      <c r="AG406" s="128"/>
    </row>
    <row r="407" spans="1:33" x14ac:dyDescent="0.25">
      <c r="A407" s="181"/>
      <c r="B407" s="128"/>
      <c r="C407"/>
      <c r="D407"/>
      <c r="E407"/>
      <c r="F407"/>
      <c r="G407"/>
      <c r="H407"/>
      <c r="I407"/>
      <c r="J407"/>
      <c r="K407"/>
      <c r="L407"/>
      <c r="M407"/>
      <c r="N407"/>
      <c r="O407"/>
      <c r="P407"/>
      <c r="S407" s="129"/>
      <c r="T407" s="128"/>
      <c r="U407" s="128"/>
      <c r="V407" s="128"/>
      <c r="W407" s="128"/>
      <c r="X407" s="128"/>
      <c r="Z407" s="128"/>
      <c r="AE407" s="128"/>
      <c r="AF407" s="128"/>
      <c r="AG407" s="128"/>
    </row>
    <row r="408" spans="1:33" x14ac:dyDescent="0.25">
      <c r="O408" s="128"/>
      <c r="P408"/>
      <c r="S408" s="129"/>
      <c r="T408"/>
      <c r="AE408" s="128"/>
    </row>
    <row r="409" spans="1:33" x14ac:dyDescent="0.25">
      <c r="B409"/>
      <c r="C409"/>
      <c r="D409"/>
      <c r="E409"/>
      <c r="F409"/>
      <c r="G409"/>
      <c r="H409"/>
      <c r="I409"/>
      <c r="J409"/>
      <c r="K409"/>
      <c r="L409"/>
      <c r="M409"/>
      <c r="N409"/>
      <c r="O409"/>
      <c r="P409"/>
      <c r="T409" s="128"/>
      <c r="U409" s="128"/>
      <c r="V409" s="128"/>
      <c r="W409" s="128"/>
      <c r="X409" s="128"/>
      <c r="AE409" s="128"/>
      <c r="AF409" s="128"/>
      <c r="AG409" s="128"/>
    </row>
    <row r="410" spans="1:33" x14ac:dyDescent="0.25">
      <c r="A410" s="181"/>
      <c r="B410"/>
      <c r="C410"/>
      <c r="D410"/>
      <c r="E410"/>
      <c r="F410"/>
      <c r="G410"/>
      <c r="H410"/>
      <c r="I410"/>
      <c r="J410"/>
      <c r="K410"/>
      <c r="L410"/>
      <c r="M410"/>
      <c r="N410"/>
      <c r="O410"/>
      <c r="P410"/>
      <c r="T410" s="128"/>
      <c r="U410" s="128"/>
      <c r="V410" s="128"/>
      <c r="W410" s="128"/>
      <c r="X410" s="128"/>
      <c r="AE410" s="128"/>
      <c r="AF410" s="128"/>
      <c r="AG410" s="128"/>
    </row>
    <row r="411" spans="1:33" x14ac:dyDescent="0.25">
      <c r="B411" s="128"/>
      <c r="C411"/>
      <c r="D411"/>
      <c r="E411"/>
      <c r="F411"/>
      <c r="G411"/>
      <c r="H411"/>
      <c r="I411"/>
      <c r="J411"/>
      <c r="K411"/>
      <c r="L411"/>
      <c r="M411"/>
      <c r="N411"/>
      <c r="O411"/>
      <c r="P411"/>
      <c r="T411" s="128"/>
      <c r="U411" s="128"/>
      <c r="V411" s="128"/>
      <c r="W411" s="128"/>
      <c r="X411" s="128"/>
      <c r="Z411" s="128"/>
      <c r="AE411" s="128"/>
      <c r="AF411" s="128"/>
      <c r="AG411" s="128"/>
    </row>
    <row r="412" spans="1:33" x14ac:dyDescent="0.25">
      <c r="O412" s="128"/>
      <c r="P412"/>
      <c r="S412" s="129"/>
      <c r="T412"/>
      <c r="AE412" s="128"/>
    </row>
    <row r="413" spans="1:33" x14ac:dyDescent="0.25">
      <c r="B413"/>
      <c r="C413"/>
      <c r="D413"/>
      <c r="E413"/>
      <c r="F413"/>
      <c r="G413"/>
      <c r="H413"/>
      <c r="I413"/>
      <c r="J413"/>
      <c r="K413"/>
      <c r="L413"/>
      <c r="M413"/>
      <c r="N413"/>
      <c r="O413"/>
      <c r="P413"/>
      <c r="T413" s="128"/>
      <c r="U413" s="128"/>
      <c r="V413" s="128"/>
      <c r="W413" s="128"/>
      <c r="X413" s="128"/>
      <c r="AE413" s="128"/>
      <c r="AF413" s="128"/>
      <c r="AG413" s="128"/>
    </row>
    <row r="414" spans="1:33" x14ac:dyDescent="0.25">
      <c r="B414"/>
      <c r="C414"/>
      <c r="D414"/>
      <c r="E414"/>
      <c r="F414"/>
      <c r="G414"/>
      <c r="H414"/>
      <c r="I414"/>
      <c r="J414"/>
      <c r="K414"/>
      <c r="L414"/>
      <c r="M414"/>
      <c r="N414"/>
      <c r="O414"/>
      <c r="P414"/>
      <c r="T414" s="128"/>
      <c r="U414" s="128"/>
      <c r="V414" s="128"/>
      <c r="W414" s="128"/>
      <c r="X414" s="128"/>
      <c r="AE414" s="128"/>
      <c r="AF414" s="128"/>
      <c r="AG414" s="128"/>
    </row>
    <row r="415" spans="1:33" x14ac:dyDescent="0.25">
      <c r="B415"/>
      <c r="C415"/>
      <c r="D415"/>
      <c r="E415"/>
      <c r="F415"/>
      <c r="G415"/>
      <c r="H415"/>
      <c r="I415"/>
      <c r="J415"/>
      <c r="K415"/>
      <c r="L415"/>
      <c r="M415"/>
      <c r="N415"/>
      <c r="O415"/>
      <c r="P415"/>
      <c r="T415" s="128"/>
      <c r="U415" s="128"/>
      <c r="V415" s="128"/>
      <c r="W415" s="128"/>
      <c r="X415" s="128"/>
      <c r="AE415" s="128"/>
      <c r="AF415" s="128"/>
      <c r="AG415" s="128"/>
    </row>
    <row r="416" spans="1:33" x14ac:dyDescent="0.25">
      <c r="B416"/>
      <c r="C416"/>
      <c r="D416"/>
      <c r="E416"/>
      <c r="F416"/>
      <c r="G416"/>
      <c r="H416"/>
      <c r="I416"/>
      <c r="J416"/>
      <c r="K416"/>
      <c r="L416"/>
      <c r="M416"/>
      <c r="N416"/>
      <c r="O416"/>
      <c r="P416"/>
      <c r="T416" s="128"/>
      <c r="U416" s="128"/>
      <c r="V416" s="128"/>
      <c r="W416" s="128"/>
      <c r="X416" s="128"/>
      <c r="AE416" s="128"/>
      <c r="AF416" s="128"/>
      <c r="AG416" s="128"/>
    </row>
    <row r="417" spans="1:33" x14ac:dyDescent="0.25">
      <c r="B417" s="128"/>
      <c r="C417"/>
      <c r="D417"/>
      <c r="E417"/>
      <c r="F417"/>
      <c r="G417"/>
      <c r="H417"/>
      <c r="I417"/>
      <c r="J417"/>
      <c r="K417"/>
      <c r="L417"/>
      <c r="M417"/>
      <c r="N417"/>
      <c r="O417"/>
      <c r="P417"/>
      <c r="T417" s="128"/>
      <c r="U417" s="128"/>
      <c r="V417" s="128"/>
      <c r="W417" s="128"/>
      <c r="X417" s="128"/>
      <c r="Z417" s="128"/>
      <c r="AE417" s="128"/>
      <c r="AF417" s="128"/>
      <c r="AG417" s="128"/>
    </row>
    <row r="418" spans="1:33" x14ac:dyDescent="0.25">
      <c r="AE418" s="128"/>
    </row>
    <row r="419" spans="1:33" x14ac:dyDescent="0.25">
      <c r="A419"/>
      <c r="B419"/>
      <c r="C419"/>
      <c r="D419"/>
      <c r="E419"/>
      <c r="F419"/>
      <c r="G419"/>
      <c r="H419"/>
      <c r="I419"/>
      <c r="J419"/>
      <c r="K419"/>
      <c r="L419"/>
      <c r="M419"/>
      <c r="N419"/>
      <c r="O419"/>
      <c r="P419"/>
      <c r="T419" s="128"/>
      <c r="U419" s="128"/>
      <c r="V419" s="128"/>
      <c r="W419" s="128"/>
      <c r="X419" s="128"/>
      <c r="AE419" s="128"/>
      <c r="AF419" s="128"/>
      <c r="AG419" s="128"/>
    </row>
    <row r="420" spans="1:33" x14ac:dyDescent="0.25">
      <c r="A420"/>
      <c r="B420"/>
      <c r="C420"/>
      <c r="D420"/>
      <c r="E420"/>
      <c r="F420"/>
      <c r="G420"/>
      <c r="H420"/>
      <c r="I420"/>
      <c r="J420"/>
      <c r="K420"/>
      <c r="L420"/>
      <c r="M420"/>
      <c r="N420"/>
      <c r="O420"/>
      <c r="P420"/>
      <c r="T420" s="128"/>
      <c r="U420" s="128"/>
      <c r="V420" s="128"/>
      <c r="W420" s="128"/>
      <c r="X420" s="128"/>
      <c r="AE420" s="128"/>
      <c r="AF420" s="128"/>
      <c r="AG420" s="128"/>
    </row>
    <row r="421" spans="1:33" x14ac:dyDescent="0.25">
      <c r="A421"/>
      <c r="B421"/>
      <c r="C421"/>
      <c r="D421"/>
      <c r="E421"/>
      <c r="F421"/>
      <c r="G421"/>
      <c r="H421"/>
      <c r="I421"/>
      <c r="J421"/>
      <c r="K421"/>
      <c r="L421"/>
      <c r="M421"/>
      <c r="N421"/>
      <c r="O421"/>
      <c r="P421"/>
      <c r="T421" s="128"/>
      <c r="U421" s="128"/>
      <c r="V421" s="128"/>
      <c r="W421" s="128"/>
      <c r="X421" s="128"/>
      <c r="AE421" s="128"/>
      <c r="AF421" s="128"/>
      <c r="AG421" s="128"/>
    </row>
    <row r="422" spans="1:33" x14ac:dyDescent="0.25">
      <c r="C422"/>
      <c r="D422"/>
      <c r="E422"/>
      <c r="F422"/>
      <c r="G422"/>
      <c r="H422"/>
      <c r="I422"/>
      <c r="J422"/>
      <c r="K422"/>
      <c r="L422"/>
      <c r="M422"/>
      <c r="N422"/>
      <c r="O422"/>
      <c r="P422"/>
      <c r="S422" s="129"/>
      <c r="T422" s="128"/>
      <c r="U422" s="128"/>
      <c r="V422" s="128"/>
      <c r="W422" s="128"/>
      <c r="X422" s="128"/>
      <c r="AE422" s="128"/>
      <c r="AF422" s="128"/>
      <c r="AG422" s="128"/>
    </row>
    <row r="423" spans="1:33" x14ac:dyDescent="0.25">
      <c r="B423"/>
      <c r="C423"/>
      <c r="D423"/>
      <c r="E423"/>
      <c r="F423"/>
      <c r="G423"/>
      <c r="H423"/>
      <c r="I423"/>
      <c r="J423"/>
      <c r="K423"/>
      <c r="L423"/>
      <c r="M423"/>
      <c r="N423"/>
      <c r="O423"/>
      <c r="AE423" s="128"/>
    </row>
    <row r="424" spans="1:33" x14ac:dyDescent="0.25">
      <c r="A424"/>
      <c r="B424"/>
      <c r="C424"/>
      <c r="D424"/>
      <c r="E424"/>
      <c r="F424"/>
      <c r="G424"/>
      <c r="H424"/>
      <c r="I424"/>
      <c r="J424"/>
      <c r="K424"/>
      <c r="L424"/>
      <c r="M424"/>
      <c r="N424"/>
      <c r="O424"/>
      <c r="P424"/>
      <c r="T424" s="128"/>
      <c r="U424" s="128"/>
      <c r="V424" s="128"/>
      <c r="W424" s="128"/>
      <c r="X424" s="128"/>
      <c r="AE424" s="128"/>
      <c r="AF424" s="128"/>
      <c r="AG424" s="128"/>
    </row>
    <row r="426" spans="1:33" x14ac:dyDescent="0.25">
      <c r="A426"/>
      <c r="B426"/>
      <c r="C426"/>
      <c r="D426"/>
      <c r="E426"/>
      <c r="F426"/>
      <c r="G426"/>
      <c r="H426"/>
      <c r="I426"/>
      <c r="J426"/>
      <c r="K426"/>
      <c r="L426"/>
      <c r="M426"/>
      <c r="N426"/>
      <c r="O426"/>
      <c r="P426"/>
      <c r="T426" s="128"/>
      <c r="U426" s="128"/>
      <c r="V426" s="128"/>
      <c r="W426" s="128"/>
      <c r="X426" s="128"/>
      <c r="AE426" s="128"/>
      <c r="AF426" s="128"/>
      <c r="AG426" s="128"/>
    </row>
    <row r="427" spans="1:33" x14ac:dyDescent="0.25">
      <c r="A427"/>
      <c r="B427"/>
      <c r="C427" s="129"/>
      <c r="D427" s="129"/>
      <c r="E427" s="129"/>
      <c r="F427" s="129"/>
      <c r="G427" s="129"/>
      <c r="H427" s="129"/>
      <c r="I427" s="129"/>
      <c r="J427" s="129"/>
      <c r="K427" s="129"/>
      <c r="L427" s="129"/>
      <c r="M427" s="129"/>
      <c r="N427" s="129"/>
      <c r="O427" s="129"/>
      <c r="P427" s="129"/>
      <c r="Q427" s="129"/>
      <c r="R427" s="129"/>
      <c r="S427" s="129"/>
      <c r="T427" s="128"/>
      <c r="U427" s="128"/>
      <c r="V427" s="128"/>
      <c r="W427" s="128"/>
      <c r="X427" s="128"/>
      <c r="AA427" s="129"/>
      <c r="AB427" s="129"/>
      <c r="AC427" s="129"/>
      <c r="AD427" s="129"/>
      <c r="AE427" s="128"/>
      <c r="AF427" s="128"/>
      <c r="AG427" s="128"/>
    </row>
    <row r="429" spans="1:33" x14ac:dyDescent="0.25">
      <c r="A429"/>
      <c r="B429"/>
      <c r="C429"/>
      <c r="D429"/>
      <c r="E429"/>
      <c r="F429"/>
      <c r="G429"/>
      <c r="H429"/>
      <c r="I429"/>
      <c r="J429"/>
      <c r="K429"/>
      <c r="L429"/>
      <c r="M429"/>
      <c r="N429"/>
      <c r="O429"/>
      <c r="P429"/>
      <c r="T429" s="128"/>
      <c r="U429" s="128"/>
      <c r="V429" s="128"/>
      <c r="W429" s="128"/>
      <c r="X429" s="128"/>
      <c r="AE429" s="128"/>
      <c r="AF429" s="128"/>
      <c r="AG429" s="128"/>
    </row>
    <row r="430" spans="1:33" x14ac:dyDescent="0.25">
      <c r="A430"/>
      <c r="B430"/>
      <c r="C430" s="129"/>
      <c r="D430" s="129"/>
      <c r="E430" s="129"/>
      <c r="F430" s="129"/>
      <c r="G430" s="129"/>
      <c r="H430" s="129"/>
      <c r="I430" s="129"/>
      <c r="J430" s="129"/>
      <c r="K430" s="129"/>
      <c r="L430" s="129"/>
      <c r="M430" s="129"/>
      <c r="N430" s="129"/>
      <c r="O430" s="129"/>
      <c r="P430" s="129"/>
      <c r="Q430" s="129"/>
      <c r="R430" s="129"/>
      <c r="T430" s="128"/>
      <c r="U430" s="128"/>
      <c r="V430" s="128"/>
      <c r="W430" s="128"/>
      <c r="X430" s="128"/>
      <c r="AA430" s="129"/>
      <c r="AB430" s="129"/>
      <c r="AC430" s="129"/>
      <c r="AD430" s="129"/>
      <c r="AE430" s="128"/>
      <c r="AF430" s="128"/>
      <c r="AG430" s="128"/>
    </row>
    <row r="432" spans="1:33" x14ac:dyDescent="0.25">
      <c r="A432"/>
      <c r="B432"/>
      <c r="C432"/>
      <c r="D432"/>
      <c r="E432"/>
      <c r="F432"/>
      <c r="G432"/>
      <c r="H432"/>
      <c r="I432"/>
      <c r="J432"/>
      <c r="K432"/>
      <c r="L432"/>
      <c r="M432"/>
      <c r="N432"/>
      <c r="O432"/>
      <c r="P432"/>
      <c r="T432" s="128"/>
      <c r="U432" s="128"/>
      <c r="V432" s="128"/>
      <c r="W432" s="128"/>
      <c r="X432" s="128"/>
      <c r="AE432" s="128"/>
      <c r="AF432" s="128"/>
      <c r="AG432" s="128"/>
    </row>
    <row r="433" spans="1:33" x14ac:dyDescent="0.25">
      <c r="A433"/>
      <c r="B433"/>
      <c r="C433" s="129"/>
      <c r="D433" s="129"/>
      <c r="E433" s="129"/>
      <c r="F433" s="129"/>
      <c r="G433" s="129"/>
      <c r="H433" s="129"/>
      <c r="I433" s="129"/>
      <c r="J433" s="129"/>
      <c r="K433" s="129"/>
      <c r="L433" s="129"/>
      <c r="M433" s="129"/>
      <c r="N433" s="129"/>
      <c r="O433" s="129"/>
      <c r="P433" s="129"/>
      <c r="Q433" s="129"/>
      <c r="R433" s="129"/>
      <c r="T433" s="128"/>
      <c r="U433" s="128"/>
      <c r="V433" s="128"/>
      <c r="W433" s="128"/>
      <c r="X433" s="128"/>
      <c r="AA433" s="129"/>
      <c r="AB433" s="129"/>
      <c r="AC433" s="129"/>
      <c r="AD433" s="129"/>
      <c r="AE433" s="128"/>
      <c r="AF433" s="128"/>
      <c r="AG433" s="128"/>
    </row>
    <row r="435" spans="1:33" x14ac:dyDescent="0.25">
      <c r="A435"/>
      <c r="B435"/>
      <c r="C435"/>
      <c r="D435"/>
      <c r="E435"/>
      <c r="F435"/>
      <c r="G435"/>
      <c r="H435"/>
      <c r="I435"/>
      <c r="J435"/>
      <c r="K435"/>
      <c r="L435"/>
      <c r="M435"/>
      <c r="N435"/>
      <c r="O435"/>
      <c r="P435"/>
      <c r="T435" s="128"/>
      <c r="U435" s="128"/>
      <c r="V435" s="128"/>
      <c r="W435" s="128"/>
      <c r="X435" s="128"/>
      <c r="AE435" s="128"/>
      <c r="AF435" s="128"/>
      <c r="AG435" s="128"/>
    </row>
    <row r="436" spans="1:33" x14ac:dyDescent="0.25">
      <c r="A436"/>
      <c r="B436"/>
      <c r="C436" s="129"/>
      <c r="D436" s="129"/>
      <c r="E436" s="129"/>
      <c r="F436" s="129"/>
      <c r="G436" s="129"/>
      <c r="H436" s="129"/>
      <c r="I436" s="129"/>
      <c r="J436" s="129"/>
      <c r="K436" s="129"/>
      <c r="L436" s="129"/>
      <c r="M436" s="129"/>
      <c r="N436" s="129"/>
      <c r="O436" s="129"/>
      <c r="P436" s="129"/>
      <c r="Q436" s="129"/>
      <c r="R436" s="129"/>
      <c r="T436" s="128"/>
      <c r="U436" s="128"/>
      <c r="V436" s="128"/>
      <c r="W436" s="128"/>
      <c r="X436" s="128"/>
      <c r="AA436" s="129"/>
      <c r="AB436" s="129"/>
      <c r="AC436" s="129"/>
      <c r="AD436" s="129"/>
      <c r="AE436" s="128"/>
      <c r="AF436" s="128"/>
      <c r="AG436" s="128"/>
    </row>
    <row r="438" spans="1:33" x14ac:dyDescent="0.25">
      <c r="AF438" s="128"/>
    </row>
  </sheetData>
  <sheetProtection algorithmName="SHA-512" hashValue="3hBJo/bWHySWwpyuansbbngU6NDGkE8RaT24DK84GEr89EQb+HB+NWJ9AkonIVFUinFXQ857GftwDoeXRKBWbQ==" saltValue="pSxBHxWuIWtkLH5snGdM5Q==" spinCount="100000" sheet="1" objects="1" scenarios="1"/>
  <sortState xmlns:xlrd2="http://schemas.microsoft.com/office/spreadsheetml/2017/richdata2" ref="B2:O353">
    <sortCondition ref="B2:B353"/>
  </sortState>
  <pageMargins left="0.7" right="0.7" top="0.75" bottom="0.75" header="0.3" footer="0.3"/>
  <pageSetup paperSize="9" orientation="portrait" r:id="rId1"/>
  <ignoredErrors>
    <ignoredError sqref="S89"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19EA9-FF2E-4165-9D45-5DD3AD2CCD02}">
  <dimension ref="A1:AB385"/>
  <sheetViews>
    <sheetView workbookViewId="0">
      <pane xSplit="2" ySplit="1" topLeftCell="C338" activePane="bottomRight" state="frozen"/>
      <selection pane="topRight" activeCell="C1" sqref="C1"/>
      <selection pane="bottomLeft" activeCell="A2" sqref="A2"/>
      <selection pane="bottomRight" activeCell="T2" sqref="T2"/>
    </sheetView>
  </sheetViews>
  <sheetFormatPr defaultRowHeight="12.5" x14ac:dyDescent="0.25"/>
  <cols>
    <col min="1" max="1" width="10.6328125" bestFit="1" customWidth="1"/>
    <col min="2" max="2" width="28.08984375" bestFit="1" customWidth="1"/>
    <col min="3" max="3" width="24" bestFit="1" customWidth="1"/>
    <col min="4" max="4" width="32.453125" bestFit="1" customWidth="1"/>
    <col min="5" max="5" width="36.08984375" bestFit="1" customWidth="1"/>
    <col min="6" max="6" width="17.36328125" bestFit="1" customWidth="1"/>
    <col min="7" max="7" width="17.453125" bestFit="1" customWidth="1"/>
    <col min="8" max="8" width="17.90625" bestFit="1" customWidth="1"/>
    <col min="9" max="9" width="19.1796875" bestFit="1" customWidth="1"/>
    <col min="10" max="10" width="12.6328125" bestFit="1" customWidth="1"/>
    <col min="11" max="11" width="37.08984375" bestFit="1" customWidth="1"/>
    <col min="12" max="12" width="27.90625" bestFit="1" customWidth="1"/>
    <col min="13" max="13" width="21.6328125" bestFit="1" customWidth="1"/>
    <col min="14" max="14" width="24.453125" bestFit="1" customWidth="1"/>
    <col min="15" max="15" width="15.1796875" bestFit="1" customWidth="1"/>
    <col min="16" max="16" width="33.36328125" style="128" bestFit="1" customWidth="1"/>
    <col min="17" max="18" width="37" style="128" bestFit="1" customWidth="1"/>
    <col min="19" max="19" width="36.453125" style="128" bestFit="1" customWidth="1"/>
    <col min="20" max="21" width="32.453125" bestFit="1" customWidth="1"/>
    <col min="22" max="22" width="28.6328125" style="128" bestFit="1" customWidth="1"/>
    <col min="23" max="23" width="32.453125" bestFit="1" customWidth="1"/>
    <col min="24" max="24" width="28.54296875" bestFit="1" customWidth="1"/>
    <col min="25" max="25" width="12.90625" bestFit="1" customWidth="1"/>
    <col min="28" max="28" width="28.08984375" bestFit="1" customWidth="1"/>
    <col min="29" max="29" width="23" bestFit="1" customWidth="1"/>
    <col min="30" max="30" width="28.08984375" bestFit="1" customWidth="1"/>
    <col min="31" max="31" width="12" bestFit="1" customWidth="1"/>
  </cols>
  <sheetData>
    <row r="1" spans="1:23" x14ac:dyDescent="0.25">
      <c r="A1" t="s">
        <v>554</v>
      </c>
      <c r="B1" t="s">
        <v>530</v>
      </c>
      <c r="C1" t="s">
        <v>624</v>
      </c>
      <c r="D1" t="s">
        <v>625</v>
      </c>
      <c r="E1" t="s">
        <v>626</v>
      </c>
      <c r="F1" t="s">
        <v>627</v>
      </c>
      <c r="G1" t="s">
        <v>628</v>
      </c>
      <c r="H1" t="s">
        <v>629</v>
      </c>
      <c r="I1" t="s">
        <v>630</v>
      </c>
      <c r="J1" t="s">
        <v>631</v>
      </c>
      <c r="K1" t="s">
        <v>632</v>
      </c>
      <c r="L1" t="s">
        <v>633</v>
      </c>
      <c r="M1" t="s">
        <v>634</v>
      </c>
      <c r="N1" t="s">
        <v>635</v>
      </c>
      <c r="O1" t="s">
        <v>636</v>
      </c>
      <c r="P1" s="128" t="s">
        <v>750</v>
      </c>
      <c r="Q1" s="128" t="s">
        <v>752</v>
      </c>
      <c r="R1" s="128" t="s">
        <v>751</v>
      </c>
      <c r="S1" s="128" t="s">
        <v>749</v>
      </c>
      <c r="T1" t="s">
        <v>747</v>
      </c>
      <c r="U1" t="s">
        <v>642</v>
      </c>
      <c r="V1" s="128" t="s">
        <v>907</v>
      </c>
      <c r="W1" t="s">
        <v>908</v>
      </c>
    </row>
    <row r="2" spans="1:23" x14ac:dyDescent="0.25">
      <c r="A2" t="s">
        <v>516</v>
      </c>
      <c r="B2" t="s">
        <v>106</v>
      </c>
      <c r="C2" s="128">
        <f>SUM(D2:E2)</f>
        <v>4517</v>
      </c>
      <c r="D2" s="128">
        <v>3399</v>
      </c>
      <c r="E2" s="128">
        <v>1118</v>
      </c>
      <c r="F2" s="128">
        <v>0</v>
      </c>
      <c r="G2" s="128">
        <v>0</v>
      </c>
      <c r="H2" s="128">
        <v>1785</v>
      </c>
      <c r="I2" s="128">
        <v>0</v>
      </c>
      <c r="J2" s="128">
        <v>2051</v>
      </c>
      <c r="K2" s="128">
        <v>2590</v>
      </c>
      <c r="L2" s="128">
        <v>337</v>
      </c>
      <c r="M2" s="128">
        <v>130</v>
      </c>
      <c r="N2" s="128">
        <v>557</v>
      </c>
      <c r="O2" s="128">
        <v>25</v>
      </c>
      <c r="P2" s="128">
        <v>2857</v>
      </c>
      <c r="Q2" s="128">
        <f>P2*1.079</f>
        <v>3082.703</v>
      </c>
      <c r="R2" s="128">
        <v>384</v>
      </c>
      <c r="S2" s="128">
        <f>SUM(P2,R2,R2)*0.1809%*1000000</f>
        <v>6557625</v>
      </c>
      <c r="T2" s="128">
        <f>SUM(S2,-C2*1000)</f>
        <v>2040625</v>
      </c>
      <c r="U2" s="128">
        <f>IF(T2&lt;0,0,T2)</f>
        <v>2040625</v>
      </c>
      <c r="V2" s="128">
        <v>63282</v>
      </c>
      <c r="W2" s="188">
        <f>T2/(V2*1000)</f>
        <v>3.2246531399134033E-2</v>
      </c>
    </row>
    <row r="3" spans="1:23" x14ac:dyDescent="0.25">
      <c r="A3" t="s">
        <v>518</v>
      </c>
      <c r="B3" t="s">
        <v>238</v>
      </c>
      <c r="C3" s="128">
        <f t="shared" ref="C3:C62" si="0">SUM(D3:E3)</f>
        <v>10293</v>
      </c>
      <c r="D3" s="128">
        <v>5693</v>
      </c>
      <c r="E3" s="128">
        <v>4600</v>
      </c>
      <c r="F3" s="128">
        <v>0</v>
      </c>
      <c r="G3" s="128">
        <v>0</v>
      </c>
      <c r="H3" s="128">
        <v>746</v>
      </c>
      <c r="I3" s="128">
        <v>279</v>
      </c>
      <c r="J3" s="128">
        <v>2759</v>
      </c>
      <c r="K3" s="128">
        <v>3639</v>
      </c>
      <c r="L3" s="128">
        <v>337</v>
      </c>
      <c r="M3" s="128">
        <v>539</v>
      </c>
      <c r="N3" s="128">
        <v>2515</v>
      </c>
      <c r="O3" s="128">
        <v>391</v>
      </c>
      <c r="P3" s="128">
        <v>4811</v>
      </c>
      <c r="Q3" s="128">
        <f>P3*1.072</f>
        <v>5157.3920000000007</v>
      </c>
      <c r="R3" s="128">
        <v>1004</v>
      </c>
      <c r="S3" s="128">
        <f t="shared" ref="S3:S66" si="1">SUM(P3,R3,R3)*0.1809%*1000000</f>
        <v>12335571</v>
      </c>
      <c r="T3" s="128">
        <f t="shared" ref="T3:T63" si="2">SUM(S3,-C3*1000)</f>
        <v>2042571</v>
      </c>
      <c r="U3" s="128">
        <f t="shared" ref="U3:U63" si="3">IF(T3&lt;0,0,T3)</f>
        <v>2042571</v>
      </c>
      <c r="V3" s="128">
        <v>108385</v>
      </c>
      <c r="W3" s="188">
        <f t="shared" ref="W3:W63" si="4">T3/(V3*1000)</f>
        <v>1.8845513678091987E-2</v>
      </c>
    </row>
    <row r="4" spans="1:23" x14ac:dyDescent="0.25">
      <c r="A4" t="s">
        <v>519</v>
      </c>
      <c r="B4" t="s">
        <v>165</v>
      </c>
      <c r="C4" s="128">
        <f t="shared" si="0"/>
        <v>5073</v>
      </c>
      <c r="D4" s="128">
        <v>3449</v>
      </c>
      <c r="E4" s="128">
        <v>1624</v>
      </c>
      <c r="F4" s="128">
        <v>0</v>
      </c>
      <c r="G4" s="128">
        <v>0</v>
      </c>
      <c r="H4" s="128">
        <v>188</v>
      </c>
      <c r="I4" s="128">
        <v>244</v>
      </c>
      <c r="J4" s="128">
        <v>1928</v>
      </c>
      <c r="K4" s="128">
        <v>1431</v>
      </c>
      <c r="L4" s="128">
        <v>292</v>
      </c>
      <c r="M4" s="128">
        <v>270</v>
      </c>
      <c r="N4" s="128">
        <v>412</v>
      </c>
      <c r="O4" s="128">
        <v>145</v>
      </c>
      <c r="P4" s="128">
        <v>2590</v>
      </c>
      <c r="Q4" s="128">
        <f>P4*1.08</f>
        <v>2797.2000000000003</v>
      </c>
      <c r="R4" s="128">
        <v>512</v>
      </c>
      <c r="S4" s="128">
        <f t="shared" si="1"/>
        <v>6537726</v>
      </c>
      <c r="T4" s="128">
        <f t="shared" si="2"/>
        <v>1464726</v>
      </c>
      <c r="U4" s="128">
        <f t="shared" si="3"/>
        <v>1464726</v>
      </c>
      <c r="V4" s="128">
        <v>63650</v>
      </c>
      <c r="W4" s="188">
        <f t="shared" si="4"/>
        <v>2.3012191673212883E-2</v>
      </c>
    </row>
    <row r="5" spans="1:23" x14ac:dyDescent="0.25">
      <c r="A5" t="s">
        <v>520</v>
      </c>
      <c r="B5" t="s">
        <v>127</v>
      </c>
      <c r="C5" s="128">
        <f t="shared" si="0"/>
        <v>6037</v>
      </c>
      <c r="D5" s="128">
        <v>3926</v>
      </c>
      <c r="E5" s="128">
        <v>2111</v>
      </c>
      <c r="F5" s="128">
        <v>0</v>
      </c>
      <c r="G5" s="128">
        <v>0</v>
      </c>
      <c r="H5" s="128">
        <v>6</v>
      </c>
      <c r="I5" s="128">
        <v>46</v>
      </c>
      <c r="J5" s="128">
        <v>2039</v>
      </c>
      <c r="K5" s="128">
        <v>3918</v>
      </c>
      <c r="L5" s="128">
        <v>335</v>
      </c>
      <c r="M5" s="128">
        <v>0</v>
      </c>
      <c r="N5" s="128">
        <v>394</v>
      </c>
      <c r="O5" s="128">
        <v>62</v>
      </c>
      <c r="P5" s="128">
        <v>2243</v>
      </c>
      <c r="Q5" s="128">
        <f>P5*1.08</f>
        <v>2422.44</v>
      </c>
      <c r="R5" s="128">
        <v>415</v>
      </c>
      <c r="S5" s="128">
        <f t="shared" si="1"/>
        <v>5559057</v>
      </c>
      <c r="T5" s="128">
        <f t="shared" si="2"/>
        <v>-477943</v>
      </c>
      <c r="U5" s="128">
        <f t="shared" si="3"/>
        <v>0</v>
      </c>
      <c r="V5" s="128">
        <v>83306</v>
      </c>
      <c r="W5" s="188">
        <f t="shared" si="4"/>
        <v>-5.7371978008786883E-3</v>
      </c>
    </row>
    <row r="6" spans="1:23" x14ac:dyDescent="0.25">
      <c r="A6" t="s">
        <v>521</v>
      </c>
      <c r="B6" t="s">
        <v>283</v>
      </c>
      <c r="C6" s="128">
        <f t="shared" si="0"/>
        <v>4739</v>
      </c>
      <c r="D6" s="128">
        <v>1395</v>
      </c>
      <c r="E6" s="128">
        <v>3344</v>
      </c>
      <c r="F6" s="128">
        <v>0</v>
      </c>
      <c r="G6" s="128">
        <v>0</v>
      </c>
      <c r="H6" s="128">
        <v>32</v>
      </c>
      <c r="I6" s="128">
        <v>91</v>
      </c>
      <c r="J6" s="128">
        <v>1520</v>
      </c>
      <c r="K6" s="128">
        <v>2818</v>
      </c>
      <c r="L6" s="128">
        <v>174</v>
      </c>
      <c r="M6" s="128">
        <v>522</v>
      </c>
      <c r="N6" s="128">
        <v>917</v>
      </c>
      <c r="O6" s="128">
        <v>103</v>
      </c>
      <c r="P6" s="128">
        <v>1970</v>
      </c>
      <c r="Q6" s="128">
        <f>P6*1.083</f>
        <v>2133.5099999999998</v>
      </c>
      <c r="R6" s="128">
        <v>514</v>
      </c>
      <c r="S6" s="128">
        <f t="shared" si="1"/>
        <v>5423382</v>
      </c>
      <c r="T6" s="128">
        <f t="shared" si="2"/>
        <v>684382</v>
      </c>
      <c r="U6" s="128">
        <f t="shared" si="3"/>
        <v>684382</v>
      </c>
      <c r="V6" s="128">
        <v>53626</v>
      </c>
      <c r="W6" s="188">
        <f t="shared" si="4"/>
        <v>1.2762130309924291E-2</v>
      </c>
    </row>
    <row r="7" spans="1:23" x14ac:dyDescent="0.25">
      <c r="A7" t="s">
        <v>521</v>
      </c>
      <c r="B7" t="s">
        <v>284</v>
      </c>
      <c r="C7" s="128">
        <f t="shared" si="0"/>
        <v>6936</v>
      </c>
      <c r="D7" s="128">
        <v>4297</v>
      </c>
      <c r="E7" s="128">
        <v>2639</v>
      </c>
      <c r="F7" s="128">
        <v>0</v>
      </c>
      <c r="G7" s="128">
        <v>0</v>
      </c>
      <c r="H7" s="128">
        <v>0</v>
      </c>
      <c r="I7" s="128">
        <v>0</v>
      </c>
      <c r="J7" s="128">
        <v>2983</v>
      </c>
      <c r="K7" s="128">
        <v>3884</v>
      </c>
      <c r="L7" s="128">
        <v>332</v>
      </c>
      <c r="M7" s="128">
        <v>207</v>
      </c>
      <c r="N7" s="128">
        <v>392</v>
      </c>
      <c r="O7" s="128">
        <v>95</v>
      </c>
      <c r="P7" s="128">
        <v>3265</v>
      </c>
      <c r="Q7" s="128">
        <f>P7*1.083</f>
        <v>3535.9949999999999</v>
      </c>
      <c r="R7" s="128">
        <v>466</v>
      </c>
      <c r="S7" s="128">
        <f t="shared" si="1"/>
        <v>7592373</v>
      </c>
      <c r="T7" s="128">
        <f t="shared" si="2"/>
        <v>656373</v>
      </c>
      <c r="U7" s="128">
        <f t="shared" si="3"/>
        <v>656373</v>
      </c>
      <c r="V7" s="128">
        <v>58529</v>
      </c>
      <c r="W7" s="188">
        <f t="shared" si="4"/>
        <v>1.1214491961249979E-2</v>
      </c>
    </row>
    <row r="8" spans="1:23" x14ac:dyDescent="0.25">
      <c r="A8" t="s">
        <v>518</v>
      </c>
      <c r="B8" t="s">
        <v>239</v>
      </c>
      <c r="C8" s="128">
        <f t="shared" si="0"/>
        <v>23485</v>
      </c>
      <c r="D8" s="128">
        <v>10100</v>
      </c>
      <c r="E8" s="128">
        <v>13385</v>
      </c>
      <c r="F8" s="128">
        <v>8423</v>
      </c>
      <c r="G8" s="128">
        <v>0</v>
      </c>
      <c r="H8" s="128">
        <v>2</v>
      </c>
      <c r="I8" s="128">
        <v>181</v>
      </c>
      <c r="J8" s="128">
        <v>8495</v>
      </c>
      <c r="K8" s="128">
        <v>13326</v>
      </c>
      <c r="L8" s="128">
        <v>1110</v>
      </c>
      <c r="M8" s="128">
        <v>146</v>
      </c>
      <c r="N8" s="128">
        <v>2085</v>
      </c>
      <c r="O8" s="128">
        <v>468</v>
      </c>
      <c r="P8" s="128">
        <v>12823</v>
      </c>
      <c r="Q8" s="128">
        <f>P8*1.072</f>
        <v>13746.256000000001</v>
      </c>
      <c r="R8" s="128">
        <v>3147</v>
      </c>
      <c r="S8" s="128">
        <f t="shared" si="1"/>
        <v>34582653</v>
      </c>
      <c r="T8" s="128">
        <f t="shared" si="2"/>
        <v>11097653</v>
      </c>
      <c r="U8" s="128">
        <f t="shared" si="3"/>
        <v>11097653</v>
      </c>
      <c r="V8" s="128">
        <v>392539</v>
      </c>
      <c r="W8" s="188">
        <f t="shared" si="4"/>
        <v>2.8271466019936874E-2</v>
      </c>
    </row>
    <row r="9" spans="1:23" x14ac:dyDescent="0.25">
      <c r="A9" t="s">
        <v>522</v>
      </c>
      <c r="B9" t="s">
        <v>141</v>
      </c>
      <c r="C9" s="128">
        <f t="shared" si="0"/>
        <v>23986</v>
      </c>
      <c r="D9" s="128">
        <v>10499</v>
      </c>
      <c r="E9" s="128">
        <v>13487</v>
      </c>
      <c r="F9" s="128">
        <v>2170</v>
      </c>
      <c r="G9" s="128">
        <v>0</v>
      </c>
      <c r="H9" s="128">
        <v>399</v>
      </c>
      <c r="I9" s="128">
        <v>125</v>
      </c>
      <c r="J9" s="128">
        <v>10336</v>
      </c>
      <c r="K9" s="128">
        <v>8244</v>
      </c>
      <c r="L9" s="128">
        <v>749</v>
      </c>
      <c r="M9" s="128">
        <v>418</v>
      </c>
      <c r="N9" s="128">
        <v>1761</v>
      </c>
      <c r="O9" s="128">
        <v>254</v>
      </c>
      <c r="P9" s="128">
        <v>6071</v>
      </c>
      <c r="Q9" s="128">
        <f>P9*1.083</f>
        <v>6574.893</v>
      </c>
      <c r="R9" s="128">
        <v>1873</v>
      </c>
      <c r="S9" s="128">
        <f t="shared" si="1"/>
        <v>17758953</v>
      </c>
      <c r="T9" s="128">
        <f t="shared" si="2"/>
        <v>-6227047</v>
      </c>
      <c r="U9" s="128">
        <f t="shared" si="3"/>
        <v>0</v>
      </c>
      <c r="V9" s="128">
        <v>304951</v>
      </c>
      <c r="W9" s="188">
        <f t="shared" si="4"/>
        <v>-2.0419828103531386E-2</v>
      </c>
    </row>
    <row r="10" spans="1:23" x14ac:dyDescent="0.25">
      <c r="A10" t="s">
        <v>523</v>
      </c>
      <c r="B10" t="s">
        <v>429</v>
      </c>
      <c r="C10" s="128">
        <f t="shared" si="0"/>
        <v>47631</v>
      </c>
      <c r="D10" s="128">
        <v>27400</v>
      </c>
      <c r="E10" s="128">
        <v>20231</v>
      </c>
      <c r="F10" s="128">
        <v>0</v>
      </c>
      <c r="G10" s="128">
        <v>26</v>
      </c>
      <c r="H10" s="128">
        <v>1077</v>
      </c>
      <c r="I10" s="128">
        <v>70</v>
      </c>
      <c r="J10" s="128">
        <v>15755</v>
      </c>
      <c r="K10" s="128">
        <v>32492</v>
      </c>
      <c r="L10" s="128">
        <v>2363</v>
      </c>
      <c r="M10" s="128">
        <v>0</v>
      </c>
      <c r="N10" s="128">
        <v>10623</v>
      </c>
      <c r="O10" s="128">
        <v>835</v>
      </c>
      <c r="P10" s="128">
        <v>21743</v>
      </c>
      <c r="Q10" s="128">
        <f>P10*1.09</f>
        <v>23699.870000000003</v>
      </c>
      <c r="R10" s="128">
        <v>3600</v>
      </c>
      <c r="S10" s="128">
        <f t="shared" si="1"/>
        <v>52357887.000000007</v>
      </c>
      <c r="T10" s="128">
        <f t="shared" si="2"/>
        <v>4726887.0000000075</v>
      </c>
      <c r="U10" s="128">
        <f t="shared" si="3"/>
        <v>4726887.0000000075</v>
      </c>
      <c r="V10" s="128">
        <v>881518</v>
      </c>
      <c r="W10" s="188">
        <f t="shared" si="4"/>
        <v>5.3622126831216234E-3</v>
      </c>
    </row>
    <row r="11" spans="1:23" x14ac:dyDescent="0.25">
      <c r="A11" t="s">
        <v>521</v>
      </c>
      <c r="B11" t="s">
        <v>285</v>
      </c>
      <c r="C11" s="128">
        <f t="shared" si="0"/>
        <v>21215</v>
      </c>
      <c r="D11" s="128">
        <v>13263</v>
      </c>
      <c r="E11" s="128">
        <v>7952</v>
      </c>
      <c r="F11" s="128">
        <v>1384</v>
      </c>
      <c r="G11" s="128">
        <v>203</v>
      </c>
      <c r="H11" s="128">
        <v>100</v>
      </c>
      <c r="I11" s="128">
        <v>319</v>
      </c>
      <c r="J11" s="128">
        <v>12130</v>
      </c>
      <c r="K11" s="128">
        <v>13100</v>
      </c>
      <c r="L11" s="128">
        <v>1414</v>
      </c>
      <c r="M11" s="128">
        <v>825</v>
      </c>
      <c r="N11" s="128">
        <v>1928</v>
      </c>
      <c r="O11" s="128">
        <v>296</v>
      </c>
      <c r="P11" s="128">
        <v>12894</v>
      </c>
      <c r="Q11" s="128">
        <f>P11*1.083</f>
        <v>13964.201999999999</v>
      </c>
      <c r="R11" s="128">
        <v>2294</v>
      </c>
      <c r="S11" s="128">
        <f t="shared" si="1"/>
        <v>31624938</v>
      </c>
      <c r="T11" s="128">
        <f t="shared" si="2"/>
        <v>10409938</v>
      </c>
      <c r="U11" s="128">
        <f t="shared" si="3"/>
        <v>10409938</v>
      </c>
      <c r="V11" s="128">
        <v>309162</v>
      </c>
      <c r="W11" s="188">
        <f t="shared" si="4"/>
        <v>3.3671466739120588E-2</v>
      </c>
    </row>
    <row r="12" spans="1:23" x14ac:dyDescent="0.25">
      <c r="A12" t="s">
        <v>517</v>
      </c>
      <c r="B12" t="s">
        <v>343</v>
      </c>
      <c r="C12" s="128">
        <f t="shared" si="0"/>
        <v>2510</v>
      </c>
      <c r="D12" s="128">
        <v>1752</v>
      </c>
      <c r="E12" s="128">
        <v>758</v>
      </c>
      <c r="F12" s="128">
        <v>0</v>
      </c>
      <c r="G12" s="128">
        <v>0</v>
      </c>
      <c r="H12" s="128">
        <v>271</v>
      </c>
      <c r="I12" s="128">
        <v>0</v>
      </c>
      <c r="J12" s="128">
        <v>1398</v>
      </c>
      <c r="K12" s="128">
        <v>1043</v>
      </c>
      <c r="L12" s="128">
        <v>179</v>
      </c>
      <c r="M12" s="128">
        <v>22</v>
      </c>
      <c r="N12" s="128">
        <v>371</v>
      </c>
      <c r="O12" s="128">
        <v>102</v>
      </c>
      <c r="P12" s="128">
        <v>1359</v>
      </c>
      <c r="Q12" s="128">
        <f>P12*1.079</f>
        <v>1466.3609999999999</v>
      </c>
      <c r="R12" s="128">
        <v>303</v>
      </c>
      <c r="S12" s="128">
        <f t="shared" si="1"/>
        <v>3554685</v>
      </c>
      <c r="T12" s="128">
        <f t="shared" si="2"/>
        <v>1044685</v>
      </c>
      <c r="U12" s="128">
        <f t="shared" si="3"/>
        <v>1044685</v>
      </c>
      <c r="V12" s="128">
        <v>22150</v>
      </c>
      <c r="W12" s="188">
        <f t="shared" si="4"/>
        <v>4.716410835214447E-2</v>
      </c>
    </row>
    <row r="13" spans="1:23" x14ac:dyDescent="0.25">
      <c r="A13" t="s">
        <v>517</v>
      </c>
      <c r="B13" t="s">
        <v>598</v>
      </c>
      <c r="C13" s="128">
        <f t="shared" si="0"/>
        <v>9576</v>
      </c>
      <c r="D13" s="128">
        <v>6507</v>
      </c>
      <c r="E13" s="128">
        <v>3069</v>
      </c>
      <c r="F13" s="128">
        <v>0</v>
      </c>
      <c r="G13" s="128">
        <v>78</v>
      </c>
      <c r="H13" s="128">
        <v>147</v>
      </c>
      <c r="I13" s="128">
        <v>0</v>
      </c>
      <c r="J13" s="128">
        <v>5261</v>
      </c>
      <c r="K13" s="128">
        <v>5629</v>
      </c>
      <c r="L13" s="128">
        <v>910</v>
      </c>
      <c r="M13" s="128">
        <v>879</v>
      </c>
      <c r="N13" s="128">
        <v>1368</v>
      </c>
      <c r="O13" s="128">
        <v>255</v>
      </c>
      <c r="P13" s="128">
        <v>6033</v>
      </c>
      <c r="Q13" s="128">
        <f>P13*1.079</f>
        <v>6509.607</v>
      </c>
      <c r="R13" s="128">
        <v>1068</v>
      </c>
      <c r="S13" s="128">
        <f t="shared" si="1"/>
        <v>14777721</v>
      </c>
      <c r="T13" s="128">
        <f t="shared" si="2"/>
        <v>5201721</v>
      </c>
      <c r="U13" s="128">
        <f t="shared" si="3"/>
        <v>5201721</v>
      </c>
      <c r="V13" s="128">
        <v>124531</v>
      </c>
      <c r="W13" s="188">
        <f t="shared" si="4"/>
        <v>4.1770490881788469E-2</v>
      </c>
    </row>
    <row r="14" spans="1:23" x14ac:dyDescent="0.25">
      <c r="A14" t="s">
        <v>520</v>
      </c>
      <c r="B14" t="s">
        <v>128</v>
      </c>
      <c r="C14" s="128">
        <f t="shared" si="0"/>
        <v>1537</v>
      </c>
      <c r="D14" s="128">
        <v>1016</v>
      </c>
      <c r="E14" s="128">
        <v>521</v>
      </c>
      <c r="F14" s="128">
        <v>0</v>
      </c>
      <c r="G14" s="128">
        <v>0</v>
      </c>
      <c r="H14" s="128">
        <v>4584</v>
      </c>
      <c r="I14" s="128">
        <v>0</v>
      </c>
      <c r="J14" s="128">
        <v>802</v>
      </c>
      <c r="K14" s="128">
        <v>1226</v>
      </c>
      <c r="L14" s="128">
        <v>61</v>
      </c>
      <c r="M14" s="128">
        <v>45</v>
      </c>
      <c r="N14" s="128">
        <v>220</v>
      </c>
      <c r="O14" s="128">
        <v>87</v>
      </c>
      <c r="P14" s="128">
        <v>980</v>
      </c>
      <c r="Q14" s="128">
        <f>P14*1.08</f>
        <v>1058.4000000000001</v>
      </c>
      <c r="R14" s="128">
        <v>168</v>
      </c>
      <c r="S14" s="128">
        <f t="shared" si="1"/>
        <v>2380644</v>
      </c>
      <c r="T14" s="128">
        <f t="shared" si="2"/>
        <v>843644</v>
      </c>
      <c r="U14" s="128">
        <f t="shared" si="3"/>
        <v>843644</v>
      </c>
      <c r="V14" s="128">
        <v>22262</v>
      </c>
      <c r="W14" s="188">
        <f t="shared" si="4"/>
        <v>3.7896145898841077E-2</v>
      </c>
    </row>
    <row r="15" spans="1:23" x14ac:dyDescent="0.25">
      <c r="A15" t="s">
        <v>524</v>
      </c>
      <c r="B15" t="s">
        <v>214</v>
      </c>
      <c r="C15" s="128">
        <f t="shared" si="0"/>
        <v>49718</v>
      </c>
      <c r="D15" s="128">
        <v>27549</v>
      </c>
      <c r="E15" s="128">
        <v>22169</v>
      </c>
      <c r="F15" s="128">
        <v>3198</v>
      </c>
      <c r="G15" s="128">
        <v>44</v>
      </c>
      <c r="H15" s="128">
        <v>0</v>
      </c>
      <c r="I15" s="128">
        <v>1039</v>
      </c>
      <c r="J15" s="128">
        <v>13684</v>
      </c>
      <c r="K15" s="128">
        <v>21237</v>
      </c>
      <c r="L15" s="128">
        <v>2429</v>
      </c>
      <c r="M15" s="128">
        <v>4153</v>
      </c>
      <c r="N15" s="128">
        <v>4028</v>
      </c>
      <c r="O15" s="128">
        <v>1408</v>
      </c>
      <c r="P15" s="128">
        <v>20996</v>
      </c>
      <c r="Q15" s="128">
        <f>P15*1.08</f>
        <v>22675.68</v>
      </c>
      <c r="R15" s="128">
        <v>3690</v>
      </c>
      <c r="S15" s="128">
        <f t="shared" si="1"/>
        <v>51332184.000000007</v>
      </c>
      <c r="T15" s="128">
        <f t="shared" si="2"/>
        <v>1614184.0000000075</v>
      </c>
      <c r="U15" s="128">
        <f t="shared" si="3"/>
        <v>1614184.0000000075</v>
      </c>
      <c r="V15" s="128">
        <v>537625</v>
      </c>
      <c r="W15" s="188">
        <f t="shared" si="4"/>
        <v>3.0024347826087096E-3</v>
      </c>
    </row>
    <row r="16" spans="1:23" x14ac:dyDescent="0.25">
      <c r="A16" t="s">
        <v>518</v>
      </c>
      <c r="B16" t="s">
        <v>240</v>
      </c>
      <c r="C16" s="128">
        <f t="shared" si="0"/>
        <v>23665</v>
      </c>
      <c r="D16" s="128">
        <v>12192</v>
      </c>
      <c r="E16" s="128">
        <v>11473</v>
      </c>
      <c r="F16" s="128">
        <v>3172</v>
      </c>
      <c r="G16" s="128">
        <v>83</v>
      </c>
      <c r="H16" s="128">
        <v>1762</v>
      </c>
      <c r="I16" s="128">
        <v>0</v>
      </c>
      <c r="J16" s="128">
        <v>8945</v>
      </c>
      <c r="K16" s="128">
        <v>9978</v>
      </c>
      <c r="L16" s="128">
        <v>1423</v>
      </c>
      <c r="M16" s="128">
        <v>4086</v>
      </c>
      <c r="N16" s="128">
        <v>1861</v>
      </c>
      <c r="O16" s="128">
        <v>892</v>
      </c>
      <c r="P16" s="128">
        <v>17728</v>
      </c>
      <c r="Q16" s="128">
        <f>P16*1.072</f>
        <v>19004.416000000001</v>
      </c>
      <c r="R16" s="128">
        <v>2551</v>
      </c>
      <c r="S16" s="128">
        <f t="shared" si="1"/>
        <v>41299470</v>
      </c>
      <c r="T16" s="128">
        <f t="shared" si="2"/>
        <v>17634470</v>
      </c>
      <c r="U16" s="128">
        <f t="shared" si="3"/>
        <v>17634470</v>
      </c>
      <c r="V16" s="128">
        <v>253450</v>
      </c>
      <c r="W16" s="188">
        <f t="shared" si="4"/>
        <v>6.9577707634641939E-2</v>
      </c>
    </row>
    <row r="17" spans="1:23" x14ac:dyDescent="0.25">
      <c r="A17" t="s">
        <v>518</v>
      </c>
      <c r="B17" t="s">
        <v>241</v>
      </c>
      <c r="C17" s="128">
        <f t="shared" si="0"/>
        <v>218453</v>
      </c>
      <c r="D17" s="128">
        <v>81718</v>
      </c>
      <c r="E17" s="128">
        <v>136735</v>
      </c>
      <c r="F17" s="128">
        <v>259403</v>
      </c>
      <c r="G17" s="128">
        <v>0</v>
      </c>
      <c r="H17" s="128">
        <v>120000</v>
      </c>
      <c r="I17" s="128">
        <v>10303</v>
      </c>
      <c r="J17" s="128">
        <v>80508</v>
      </c>
      <c r="K17" s="128">
        <v>174564</v>
      </c>
      <c r="L17" s="128">
        <v>13742</v>
      </c>
      <c r="M17" s="128">
        <v>6274</v>
      </c>
      <c r="N17" s="128">
        <v>53420</v>
      </c>
      <c r="O17" s="128">
        <v>67600</v>
      </c>
      <c r="P17" s="128">
        <v>183436</v>
      </c>
      <c r="Q17" s="128">
        <f>P17*1.072</f>
        <v>196643.39200000002</v>
      </c>
      <c r="R17" s="128">
        <v>41901</v>
      </c>
      <c r="S17" s="128">
        <f t="shared" si="1"/>
        <v>483433542</v>
      </c>
      <c r="T17" s="128">
        <f t="shared" si="2"/>
        <v>264980542</v>
      </c>
      <c r="U17" s="128">
        <f t="shared" si="3"/>
        <v>264980542</v>
      </c>
      <c r="V17" s="128">
        <v>5762273</v>
      </c>
      <c r="W17" s="188">
        <f t="shared" si="4"/>
        <v>4.5985419642561191E-2</v>
      </c>
    </row>
    <row r="18" spans="1:23" x14ac:dyDescent="0.25">
      <c r="A18" t="s">
        <v>519</v>
      </c>
      <c r="B18" t="s">
        <v>166</v>
      </c>
      <c r="C18" s="128">
        <f t="shared" si="0"/>
        <v>54578</v>
      </c>
      <c r="D18" s="128">
        <v>26136</v>
      </c>
      <c r="E18" s="128">
        <v>28442</v>
      </c>
      <c r="F18" s="128">
        <v>308</v>
      </c>
      <c r="G18" s="128">
        <v>0</v>
      </c>
      <c r="H18" s="128">
        <v>2183</v>
      </c>
      <c r="I18" s="128">
        <v>1188</v>
      </c>
      <c r="J18" s="128">
        <v>12424</v>
      </c>
      <c r="K18" s="128">
        <v>21260</v>
      </c>
      <c r="L18" s="128">
        <v>2273</v>
      </c>
      <c r="M18" s="128">
        <v>1617</v>
      </c>
      <c r="N18" s="128">
        <v>4728</v>
      </c>
      <c r="O18" s="128">
        <v>1174</v>
      </c>
      <c r="P18" s="128">
        <v>19084</v>
      </c>
      <c r="Q18" s="128">
        <f>P18*1.08</f>
        <v>20610.72</v>
      </c>
      <c r="R18" s="128">
        <v>4170</v>
      </c>
      <c r="S18" s="128">
        <f t="shared" si="1"/>
        <v>49610016</v>
      </c>
      <c r="T18" s="128">
        <f t="shared" si="2"/>
        <v>-4967984</v>
      </c>
      <c r="U18" s="128">
        <f t="shared" si="3"/>
        <v>0</v>
      </c>
      <c r="V18" s="128">
        <v>580638</v>
      </c>
      <c r="W18" s="188">
        <f t="shared" si="4"/>
        <v>-8.5560779694060663E-3</v>
      </c>
    </row>
    <row r="19" spans="1:23" x14ac:dyDescent="0.25">
      <c r="A19" t="s">
        <v>519</v>
      </c>
      <c r="B19" t="s">
        <v>167</v>
      </c>
      <c r="C19" s="128">
        <f t="shared" si="0"/>
        <v>54327</v>
      </c>
      <c r="D19" s="128">
        <v>25621</v>
      </c>
      <c r="E19" s="128">
        <v>28706</v>
      </c>
      <c r="F19" s="128">
        <v>0</v>
      </c>
      <c r="G19" s="128">
        <v>0</v>
      </c>
      <c r="H19" s="128">
        <v>470</v>
      </c>
      <c r="I19" s="128">
        <v>54</v>
      </c>
      <c r="J19" s="128">
        <v>17161</v>
      </c>
      <c r="K19" s="128">
        <v>17554</v>
      </c>
      <c r="L19" s="128">
        <v>2099</v>
      </c>
      <c r="M19" s="128">
        <v>0</v>
      </c>
      <c r="N19" s="128">
        <v>4037</v>
      </c>
      <c r="O19" s="128">
        <v>2318</v>
      </c>
      <c r="P19" s="128">
        <v>16299</v>
      </c>
      <c r="Q19" s="128">
        <f>P19*1.08</f>
        <v>17602.920000000002</v>
      </c>
      <c r="R19" s="128">
        <v>3512</v>
      </c>
      <c r="S19" s="128">
        <f t="shared" si="1"/>
        <v>42191307</v>
      </c>
      <c r="T19" s="128">
        <f t="shared" si="2"/>
        <v>-12135693</v>
      </c>
      <c r="U19" s="128">
        <f t="shared" si="3"/>
        <v>0</v>
      </c>
      <c r="V19" s="128">
        <v>721414</v>
      </c>
      <c r="W19" s="188">
        <f t="shared" si="4"/>
        <v>-1.6822092446223666E-2</v>
      </c>
    </row>
    <row r="20" spans="1:23" x14ac:dyDescent="0.25">
      <c r="A20" t="s">
        <v>516</v>
      </c>
      <c r="B20" t="s">
        <v>107</v>
      </c>
      <c r="C20" s="128">
        <f t="shared" si="0"/>
        <v>20053</v>
      </c>
      <c r="D20" s="128">
        <v>11127</v>
      </c>
      <c r="E20" s="128">
        <v>8926</v>
      </c>
      <c r="F20" s="128">
        <v>1415</v>
      </c>
      <c r="G20" s="128">
        <v>0</v>
      </c>
      <c r="H20" s="128">
        <v>710</v>
      </c>
      <c r="I20" s="128">
        <v>0</v>
      </c>
      <c r="J20" s="128">
        <v>4392</v>
      </c>
      <c r="K20" s="128">
        <v>6896</v>
      </c>
      <c r="L20" s="128">
        <v>717</v>
      </c>
      <c r="M20" s="128">
        <v>561</v>
      </c>
      <c r="N20" s="128">
        <v>1638</v>
      </c>
      <c r="O20" s="128">
        <v>351</v>
      </c>
      <c r="P20" s="128">
        <v>6186</v>
      </c>
      <c r="Q20" s="128">
        <f>P20*1.079</f>
        <v>6674.6939999999995</v>
      </c>
      <c r="R20" s="128">
        <v>1209</v>
      </c>
      <c r="S20" s="128">
        <f t="shared" si="1"/>
        <v>15564636</v>
      </c>
      <c r="T20" s="128">
        <f t="shared" si="2"/>
        <v>-4488364</v>
      </c>
      <c r="U20" s="128">
        <f t="shared" si="3"/>
        <v>0</v>
      </c>
      <c r="V20" s="128">
        <v>289945</v>
      </c>
      <c r="W20" s="188">
        <f t="shared" si="4"/>
        <v>-1.548005311352153E-2</v>
      </c>
    </row>
    <row r="21" spans="1:23" x14ac:dyDescent="0.25">
      <c r="A21" t="s">
        <v>517</v>
      </c>
      <c r="B21" t="s">
        <v>344</v>
      </c>
      <c r="C21" s="128">
        <f t="shared" si="0"/>
        <v>4251</v>
      </c>
      <c r="D21" s="128">
        <v>2515</v>
      </c>
      <c r="E21" s="128">
        <v>1736</v>
      </c>
      <c r="F21" s="128">
        <v>0</v>
      </c>
      <c r="G21" s="128">
        <v>0</v>
      </c>
      <c r="H21" s="128">
        <v>506</v>
      </c>
      <c r="I21" s="128">
        <v>123</v>
      </c>
      <c r="J21" s="128">
        <v>2043</v>
      </c>
      <c r="K21" s="128">
        <v>1215</v>
      </c>
      <c r="L21" s="128">
        <v>272</v>
      </c>
      <c r="M21" s="128">
        <v>0</v>
      </c>
      <c r="N21" s="128">
        <v>668</v>
      </c>
      <c r="O21" s="128">
        <v>70</v>
      </c>
      <c r="P21" s="128">
        <v>2107</v>
      </c>
      <c r="Q21" s="128">
        <f>P21*1.079</f>
        <v>2273.453</v>
      </c>
      <c r="R21" s="128">
        <v>457</v>
      </c>
      <c r="S21" s="128">
        <f t="shared" si="1"/>
        <v>5464989</v>
      </c>
      <c r="T21" s="128">
        <f t="shared" si="2"/>
        <v>1213989</v>
      </c>
      <c r="U21" s="128">
        <f t="shared" si="3"/>
        <v>1213989</v>
      </c>
      <c r="V21" s="128">
        <v>40973</v>
      </c>
      <c r="W21" s="188">
        <f t="shared" si="4"/>
        <v>2.9628999585092623E-2</v>
      </c>
    </row>
    <row r="22" spans="1:23" x14ac:dyDescent="0.25">
      <c r="A22" t="s">
        <v>517</v>
      </c>
      <c r="B22" t="s">
        <v>345</v>
      </c>
      <c r="C22" s="128">
        <f t="shared" si="0"/>
        <v>1589</v>
      </c>
      <c r="D22" s="128">
        <v>923</v>
      </c>
      <c r="E22" s="128">
        <v>666</v>
      </c>
      <c r="F22" s="128">
        <v>0</v>
      </c>
      <c r="G22" s="128">
        <v>0</v>
      </c>
      <c r="H22" s="128">
        <v>381</v>
      </c>
      <c r="I22" s="128">
        <v>39</v>
      </c>
      <c r="J22" s="128">
        <v>609</v>
      </c>
      <c r="K22" s="128">
        <v>796</v>
      </c>
      <c r="L22" s="128">
        <v>96</v>
      </c>
      <c r="M22" s="128">
        <v>0</v>
      </c>
      <c r="N22" s="128">
        <v>300</v>
      </c>
      <c r="O22" s="128">
        <v>138</v>
      </c>
      <c r="P22" s="128">
        <v>866</v>
      </c>
      <c r="Q22" s="128">
        <f>P22*1.079</f>
        <v>934.41399999999999</v>
      </c>
      <c r="R22" s="128">
        <v>273</v>
      </c>
      <c r="S22" s="128">
        <f t="shared" si="1"/>
        <v>2554308.0000000005</v>
      </c>
      <c r="T22" s="128">
        <f t="shared" si="2"/>
        <v>965308.00000000047</v>
      </c>
      <c r="U22" s="128">
        <f t="shared" si="3"/>
        <v>965308.00000000047</v>
      </c>
      <c r="V22" s="128">
        <v>17984</v>
      </c>
      <c r="W22" s="188">
        <f t="shared" si="4"/>
        <v>5.3675934163701096E-2</v>
      </c>
    </row>
    <row r="23" spans="1:23" x14ac:dyDescent="0.25">
      <c r="A23" t="s">
        <v>524</v>
      </c>
      <c r="B23" t="s">
        <v>215</v>
      </c>
      <c r="C23" s="128">
        <f t="shared" si="0"/>
        <v>5961</v>
      </c>
      <c r="D23" s="128">
        <v>4208</v>
      </c>
      <c r="E23" s="128">
        <v>1753</v>
      </c>
      <c r="F23" s="128">
        <v>0</v>
      </c>
      <c r="G23" s="128">
        <v>0</v>
      </c>
      <c r="H23" s="128">
        <v>150</v>
      </c>
      <c r="I23" s="128">
        <v>99</v>
      </c>
      <c r="J23" s="128">
        <v>2823</v>
      </c>
      <c r="K23" s="128">
        <v>3846</v>
      </c>
      <c r="L23" s="128">
        <v>311</v>
      </c>
      <c r="M23" s="128">
        <v>465</v>
      </c>
      <c r="N23" s="128">
        <v>349</v>
      </c>
      <c r="O23" s="128">
        <v>114</v>
      </c>
      <c r="P23" s="128">
        <v>4053</v>
      </c>
      <c r="Q23" s="128">
        <f>P23*1.08</f>
        <v>4377.2400000000007</v>
      </c>
      <c r="R23" s="128">
        <v>452</v>
      </c>
      <c r="S23" s="128">
        <f t="shared" si="1"/>
        <v>8967213.0000000019</v>
      </c>
      <c r="T23" s="128">
        <f t="shared" si="2"/>
        <v>3006213.0000000019</v>
      </c>
      <c r="U23" s="128">
        <f t="shared" si="3"/>
        <v>3006213.0000000019</v>
      </c>
      <c r="V23" s="128">
        <v>60045</v>
      </c>
      <c r="W23" s="188">
        <f t="shared" si="4"/>
        <v>5.0066000499625313E-2</v>
      </c>
    </row>
    <row r="24" spans="1:23" x14ac:dyDescent="0.25">
      <c r="A24" t="s">
        <v>521</v>
      </c>
      <c r="B24" t="s">
        <v>286</v>
      </c>
      <c r="C24" s="128">
        <f t="shared" si="0"/>
        <v>10484</v>
      </c>
      <c r="D24" s="128">
        <v>6990</v>
      </c>
      <c r="E24" s="128">
        <v>3494</v>
      </c>
      <c r="F24" s="128">
        <v>0</v>
      </c>
      <c r="G24" s="128">
        <v>0</v>
      </c>
      <c r="H24" s="128">
        <v>25</v>
      </c>
      <c r="I24" s="128">
        <v>289</v>
      </c>
      <c r="J24" s="128">
        <v>3121</v>
      </c>
      <c r="K24" s="128">
        <v>6008</v>
      </c>
      <c r="L24" s="128">
        <v>593</v>
      </c>
      <c r="M24" s="128">
        <v>530</v>
      </c>
      <c r="N24" s="128">
        <v>610</v>
      </c>
      <c r="O24" s="128">
        <v>183</v>
      </c>
      <c r="P24" s="128">
        <v>6121</v>
      </c>
      <c r="Q24" s="128">
        <f>P24*1.083</f>
        <v>6629.0429999999997</v>
      </c>
      <c r="R24" s="128">
        <v>1141</v>
      </c>
      <c r="S24" s="128">
        <f t="shared" si="1"/>
        <v>15201027</v>
      </c>
      <c r="T24" s="128">
        <f t="shared" si="2"/>
        <v>4717027</v>
      </c>
      <c r="U24" s="128">
        <f t="shared" si="3"/>
        <v>4717027</v>
      </c>
      <c r="V24" s="128">
        <v>117875</v>
      </c>
      <c r="W24" s="188">
        <f t="shared" si="4"/>
        <v>4.001719618239661E-2</v>
      </c>
    </row>
    <row r="25" spans="1:23" x14ac:dyDescent="0.25">
      <c r="A25" t="s">
        <v>519</v>
      </c>
      <c r="B25" t="s">
        <v>168</v>
      </c>
      <c r="C25" s="128">
        <f t="shared" si="0"/>
        <v>13486</v>
      </c>
      <c r="D25" s="128">
        <v>7052</v>
      </c>
      <c r="E25" s="128">
        <v>6434</v>
      </c>
      <c r="F25" s="128">
        <v>48</v>
      </c>
      <c r="G25" s="128">
        <v>0</v>
      </c>
      <c r="H25" s="128">
        <v>1535</v>
      </c>
      <c r="I25" s="128">
        <v>333</v>
      </c>
      <c r="J25" s="128">
        <v>4819</v>
      </c>
      <c r="K25" s="128">
        <v>6429</v>
      </c>
      <c r="L25" s="128">
        <v>1073</v>
      </c>
      <c r="M25" s="128">
        <v>923</v>
      </c>
      <c r="N25" s="128">
        <v>2319</v>
      </c>
      <c r="O25" s="128">
        <v>1206</v>
      </c>
      <c r="P25" s="128">
        <v>7111</v>
      </c>
      <c r="Q25" s="128">
        <f>P25*1.08</f>
        <v>7679.88</v>
      </c>
      <c r="R25" s="128">
        <v>2107</v>
      </c>
      <c r="S25" s="128">
        <f t="shared" si="1"/>
        <v>20486925</v>
      </c>
      <c r="T25" s="128">
        <f t="shared" si="2"/>
        <v>7000925</v>
      </c>
      <c r="U25" s="128">
        <f t="shared" si="3"/>
        <v>7000925</v>
      </c>
      <c r="V25" s="128">
        <v>140533</v>
      </c>
      <c r="W25" s="188">
        <f t="shared" si="4"/>
        <v>4.9816946909266864E-2</v>
      </c>
    </row>
    <row r="26" spans="1:23" x14ac:dyDescent="0.25">
      <c r="A26" t="s">
        <v>526</v>
      </c>
      <c r="B26" t="s">
        <v>400</v>
      </c>
      <c r="C26" s="128">
        <f t="shared" si="0"/>
        <v>4869</v>
      </c>
      <c r="D26" s="128">
        <v>2604</v>
      </c>
      <c r="E26" s="128">
        <v>2265</v>
      </c>
      <c r="F26" s="128">
        <v>0</v>
      </c>
      <c r="G26" s="128">
        <v>23</v>
      </c>
      <c r="H26" s="128">
        <v>27</v>
      </c>
      <c r="I26" s="128">
        <v>116</v>
      </c>
      <c r="J26" s="128">
        <v>1937</v>
      </c>
      <c r="K26" s="128">
        <v>2034</v>
      </c>
      <c r="L26" s="128">
        <v>196</v>
      </c>
      <c r="M26" s="128">
        <v>52</v>
      </c>
      <c r="N26" s="128">
        <v>383</v>
      </c>
      <c r="O26" s="128">
        <v>27</v>
      </c>
      <c r="P26" s="128">
        <v>1664</v>
      </c>
      <c r="Q26" s="128">
        <f>P26*1.086</f>
        <v>1807.104</v>
      </c>
      <c r="R26" s="128">
        <v>399</v>
      </c>
      <c r="S26" s="128">
        <f t="shared" si="1"/>
        <v>4453758.0000000009</v>
      </c>
      <c r="T26" s="128">
        <f t="shared" si="2"/>
        <v>-415241.99999999907</v>
      </c>
      <c r="U26" s="128">
        <f t="shared" si="3"/>
        <v>0</v>
      </c>
      <c r="V26" s="128">
        <v>39542</v>
      </c>
      <c r="W26" s="188">
        <f t="shared" si="4"/>
        <v>-1.0501289767841765E-2</v>
      </c>
    </row>
    <row r="27" spans="1:23" x14ac:dyDescent="0.25">
      <c r="A27" t="s">
        <v>526</v>
      </c>
      <c r="B27" t="s">
        <v>599</v>
      </c>
      <c r="C27" s="128">
        <f t="shared" si="0"/>
        <v>7354</v>
      </c>
      <c r="D27" s="128">
        <v>5603</v>
      </c>
      <c r="E27" s="128">
        <v>1751</v>
      </c>
      <c r="F27" s="128">
        <v>0</v>
      </c>
      <c r="G27" s="128">
        <v>0</v>
      </c>
      <c r="H27" s="128">
        <v>128</v>
      </c>
      <c r="I27" s="128">
        <v>0</v>
      </c>
      <c r="J27" s="128">
        <v>4837</v>
      </c>
      <c r="K27" s="128">
        <v>4281</v>
      </c>
      <c r="L27" s="128">
        <v>459</v>
      </c>
      <c r="M27" s="128">
        <v>110</v>
      </c>
      <c r="N27" s="128">
        <v>554</v>
      </c>
      <c r="O27" s="128">
        <v>50</v>
      </c>
      <c r="P27" s="128">
        <v>3740</v>
      </c>
      <c r="Q27" s="128">
        <f>P27*1.086</f>
        <v>4061.6400000000003</v>
      </c>
      <c r="R27" s="128">
        <v>417</v>
      </c>
      <c r="S27" s="128">
        <f t="shared" si="1"/>
        <v>8274366.0000000009</v>
      </c>
      <c r="T27" s="128">
        <f t="shared" si="2"/>
        <v>920366.00000000093</v>
      </c>
      <c r="U27" s="128">
        <f t="shared" si="3"/>
        <v>920366.00000000093</v>
      </c>
      <c r="V27" s="128">
        <v>85632</v>
      </c>
      <c r="W27" s="188">
        <f t="shared" si="4"/>
        <v>1.0747921337817649E-2</v>
      </c>
    </row>
    <row r="28" spans="1:23" x14ac:dyDescent="0.25">
      <c r="A28" t="s">
        <v>526</v>
      </c>
      <c r="B28" t="s">
        <v>401</v>
      </c>
      <c r="C28" s="128">
        <f t="shared" si="0"/>
        <v>3394</v>
      </c>
      <c r="D28" s="128">
        <v>2410</v>
      </c>
      <c r="E28" s="128">
        <v>984</v>
      </c>
      <c r="F28" s="128">
        <v>0</v>
      </c>
      <c r="G28" s="128">
        <v>0</v>
      </c>
      <c r="H28" s="128">
        <v>827</v>
      </c>
      <c r="I28" s="128">
        <v>72</v>
      </c>
      <c r="J28" s="128">
        <v>703</v>
      </c>
      <c r="K28" s="128">
        <v>994</v>
      </c>
      <c r="L28" s="128">
        <v>138</v>
      </c>
      <c r="M28" s="128">
        <v>51</v>
      </c>
      <c r="N28" s="128">
        <v>326</v>
      </c>
      <c r="O28" s="128">
        <v>64</v>
      </c>
      <c r="P28" s="128">
        <v>1338</v>
      </c>
      <c r="Q28" s="128">
        <f>P28*1.086</f>
        <v>1453.0680000000002</v>
      </c>
      <c r="R28" s="128">
        <v>178</v>
      </c>
      <c r="S28" s="128">
        <f t="shared" si="1"/>
        <v>3064446</v>
      </c>
      <c r="T28" s="128">
        <f t="shared" si="2"/>
        <v>-329554</v>
      </c>
      <c r="U28" s="128">
        <f t="shared" si="3"/>
        <v>0</v>
      </c>
      <c r="V28" s="128">
        <v>32483</v>
      </c>
      <c r="W28" s="188">
        <f t="shared" si="4"/>
        <v>-1.0145429917187452E-2</v>
      </c>
    </row>
    <row r="29" spans="1:23" x14ac:dyDescent="0.25">
      <c r="A29" t="s">
        <v>519</v>
      </c>
      <c r="B29" t="s">
        <v>527</v>
      </c>
      <c r="C29" s="128">
        <f t="shared" si="0"/>
        <v>6132</v>
      </c>
      <c r="D29" s="128">
        <v>4080</v>
      </c>
      <c r="E29" s="128">
        <v>2052</v>
      </c>
      <c r="F29" s="128">
        <v>0</v>
      </c>
      <c r="G29" s="128">
        <v>46</v>
      </c>
      <c r="H29" s="128">
        <v>610</v>
      </c>
      <c r="I29" s="128">
        <v>0</v>
      </c>
      <c r="J29" s="128">
        <v>3930</v>
      </c>
      <c r="K29" s="128">
        <v>4279</v>
      </c>
      <c r="L29" s="128">
        <v>414</v>
      </c>
      <c r="M29" s="128">
        <v>75</v>
      </c>
      <c r="N29" s="128">
        <v>708</v>
      </c>
      <c r="O29" s="128">
        <v>175</v>
      </c>
      <c r="P29" s="128">
        <v>4031</v>
      </c>
      <c r="Q29" s="128">
        <f>P29*1.08</f>
        <v>4353.4800000000005</v>
      </c>
      <c r="R29" s="128">
        <v>551</v>
      </c>
      <c r="S29" s="128">
        <f t="shared" si="1"/>
        <v>9285597.0000000019</v>
      </c>
      <c r="T29" s="128">
        <f t="shared" si="2"/>
        <v>3153597.0000000019</v>
      </c>
      <c r="U29" s="128">
        <f t="shared" si="3"/>
        <v>3153597.0000000019</v>
      </c>
      <c r="V29" s="128">
        <v>116931</v>
      </c>
      <c r="W29" s="188">
        <f t="shared" si="4"/>
        <v>2.6969725735690293E-2</v>
      </c>
    </row>
    <row r="30" spans="1:23" x14ac:dyDescent="0.25">
      <c r="A30" t="s">
        <v>517</v>
      </c>
      <c r="B30" t="s">
        <v>346</v>
      </c>
      <c r="C30" s="128">
        <f t="shared" si="0"/>
        <v>3807</v>
      </c>
      <c r="D30" s="128">
        <v>2443</v>
      </c>
      <c r="E30" s="128">
        <v>1364</v>
      </c>
      <c r="F30" s="128">
        <v>0</v>
      </c>
      <c r="G30" s="128">
        <v>0</v>
      </c>
      <c r="H30" s="128">
        <v>951</v>
      </c>
      <c r="I30" s="128">
        <v>31</v>
      </c>
      <c r="J30" s="128">
        <v>1869</v>
      </c>
      <c r="K30" s="128">
        <v>1483</v>
      </c>
      <c r="L30" s="128">
        <v>519</v>
      </c>
      <c r="M30" s="128">
        <v>14</v>
      </c>
      <c r="N30" s="128">
        <v>527</v>
      </c>
      <c r="O30" s="128">
        <v>49</v>
      </c>
      <c r="P30" s="128">
        <v>2434</v>
      </c>
      <c r="Q30" s="128">
        <f>P30*1.079</f>
        <v>2626.2860000000001</v>
      </c>
      <c r="R30" s="128">
        <v>502</v>
      </c>
      <c r="S30" s="128">
        <f t="shared" si="1"/>
        <v>6219342</v>
      </c>
      <c r="T30" s="128">
        <f t="shared" si="2"/>
        <v>2412342</v>
      </c>
      <c r="U30" s="128">
        <f t="shared" si="3"/>
        <v>2412342</v>
      </c>
      <c r="V30" s="128">
        <v>48059</v>
      </c>
      <c r="W30" s="188">
        <f t="shared" si="4"/>
        <v>5.0195426454982414E-2</v>
      </c>
    </row>
    <row r="31" spans="1:23" x14ac:dyDescent="0.25">
      <c r="A31" t="s">
        <v>526</v>
      </c>
      <c r="B31" t="s">
        <v>436</v>
      </c>
      <c r="C31" s="128">
        <f t="shared" si="0"/>
        <v>2301</v>
      </c>
      <c r="D31" s="128">
        <v>1526</v>
      </c>
      <c r="E31" s="128">
        <v>775</v>
      </c>
      <c r="F31" s="128">
        <v>0</v>
      </c>
      <c r="G31" s="128">
        <v>0</v>
      </c>
      <c r="H31" s="128">
        <v>518</v>
      </c>
      <c r="I31" s="128">
        <v>7</v>
      </c>
      <c r="J31" s="128">
        <v>1373</v>
      </c>
      <c r="K31" s="128">
        <v>1236</v>
      </c>
      <c r="L31" s="128">
        <v>241</v>
      </c>
      <c r="M31" s="128">
        <v>15</v>
      </c>
      <c r="N31" s="128">
        <v>1</v>
      </c>
      <c r="O31" s="128">
        <v>28</v>
      </c>
      <c r="P31" s="128">
        <v>1349</v>
      </c>
      <c r="Q31" s="128">
        <f>P31*1.086</f>
        <v>1465.0140000000001</v>
      </c>
      <c r="R31" s="128">
        <v>214</v>
      </c>
      <c r="S31" s="128">
        <f t="shared" si="1"/>
        <v>3214593.0000000005</v>
      </c>
      <c r="T31" s="128">
        <f t="shared" si="2"/>
        <v>913593.00000000047</v>
      </c>
      <c r="U31" s="128">
        <f t="shared" si="3"/>
        <v>913593.00000000047</v>
      </c>
      <c r="V31" s="128">
        <v>37454</v>
      </c>
      <c r="W31" s="188">
        <f t="shared" si="4"/>
        <v>2.4392401345650676E-2</v>
      </c>
    </row>
    <row r="32" spans="1:23" x14ac:dyDescent="0.25">
      <c r="A32" t="s">
        <v>518</v>
      </c>
      <c r="B32" t="s">
        <v>437</v>
      </c>
      <c r="C32" s="128">
        <f t="shared" si="0"/>
        <v>9648</v>
      </c>
      <c r="D32" s="128">
        <v>6872</v>
      </c>
      <c r="E32" s="128">
        <v>2776</v>
      </c>
      <c r="F32" s="128">
        <v>4156</v>
      </c>
      <c r="G32" s="128">
        <v>0</v>
      </c>
      <c r="H32" s="128">
        <v>4006</v>
      </c>
      <c r="I32" s="128">
        <v>0</v>
      </c>
      <c r="J32" s="128">
        <v>4171</v>
      </c>
      <c r="K32" s="128">
        <v>4997</v>
      </c>
      <c r="L32" s="128">
        <v>394</v>
      </c>
      <c r="M32" s="128">
        <v>482</v>
      </c>
      <c r="N32" s="128">
        <v>650</v>
      </c>
      <c r="O32" s="128">
        <v>32</v>
      </c>
      <c r="P32" s="128">
        <v>6812</v>
      </c>
      <c r="Q32" s="128">
        <f>P32*1.072</f>
        <v>7302.4640000000009</v>
      </c>
      <c r="R32" s="128">
        <v>750</v>
      </c>
      <c r="S32" s="128">
        <f t="shared" si="1"/>
        <v>15036408</v>
      </c>
      <c r="T32" s="128">
        <f t="shared" si="2"/>
        <v>5388408</v>
      </c>
      <c r="U32" s="128">
        <f t="shared" si="3"/>
        <v>5388408</v>
      </c>
      <c r="V32" s="128">
        <v>82284</v>
      </c>
      <c r="W32" s="188">
        <f t="shared" si="4"/>
        <v>6.5485489281026682E-2</v>
      </c>
    </row>
    <row r="33" spans="1:23" x14ac:dyDescent="0.25">
      <c r="A33" t="s">
        <v>517</v>
      </c>
      <c r="B33" t="s">
        <v>347</v>
      </c>
      <c r="C33" s="128">
        <f t="shared" si="0"/>
        <v>16042</v>
      </c>
      <c r="D33" s="128">
        <v>7550</v>
      </c>
      <c r="E33" s="128">
        <v>8492</v>
      </c>
      <c r="F33" s="128">
        <v>0</v>
      </c>
      <c r="G33" s="128">
        <v>0</v>
      </c>
      <c r="H33" s="128">
        <v>446</v>
      </c>
      <c r="I33" s="128">
        <v>157</v>
      </c>
      <c r="J33" s="128">
        <v>12860</v>
      </c>
      <c r="K33" s="128">
        <v>9370</v>
      </c>
      <c r="L33" s="128">
        <v>1374</v>
      </c>
      <c r="M33" s="128">
        <v>0</v>
      </c>
      <c r="N33" s="128">
        <v>0</v>
      </c>
      <c r="O33" s="128">
        <v>0</v>
      </c>
      <c r="P33" s="128">
        <v>7109</v>
      </c>
      <c r="Q33" s="128">
        <f>P33*1.079</f>
        <v>7670.6109999999999</v>
      </c>
      <c r="R33" s="128">
        <v>1748</v>
      </c>
      <c r="S33" s="128">
        <f t="shared" si="1"/>
        <v>19184445</v>
      </c>
      <c r="T33" s="128">
        <f t="shared" si="2"/>
        <v>3142445</v>
      </c>
      <c r="U33" s="128">
        <f t="shared" si="3"/>
        <v>3142445</v>
      </c>
      <c r="V33" s="128">
        <v>298827</v>
      </c>
      <c r="W33" s="188">
        <f t="shared" si="4"/>
        <v>1.0515933968483437E-2</v>
      </c>
    </row>
    <row r="34" spans="1:23" x14ac:dyDescent="0.25">
      <c r="A34" t="s">
        <v>519</v>
      </c>
      <c r="B34" t="s">
        <v>169</v>
      </c>
      <c r="C34" s="128">
        <f t="shared" si="0"/>
        <v>9338</v>
      </c>
      <c r="D34" s="128">
        <v>8014</v>
      </c>
      <c r="E34" s="128">
        <v>1324</v>
      </c>
      <c r="F34" s="128">
        <v>0</v>
      </c>
      <c r="G34" s="128">
        <v>0</v>
      </c>
      <c r="H34" s="128">
        <v>355</v>
      </c>
      <c r="I34" s="128">
        <v>174</v>
      </c>
      <c r="J34" s="128">
        <v>7141</v>
      </c>
      <c r="K34" s="128">
        <v>3249</v>
      </c>
      <c r="L34" s="128">
        <v>516</v>
      </c>
      <c r="M34" s="128">
        <v>270</v>
      </c>
      <c r="N34" s="128">
        <v>853</v>
      </c>
      <c r="O34" s="128">
        <v>186</v>
      </c>
      <c r="P34" s="128">
        <v>4627</v>
      </c>
      <c r="Q34" s="128">
        <f>P34*1.08</f>
        <v>4997.1600000000008</v>
      </c>
      <c r="R34" s="128">
        <v>1075</v>
      </c>
      <c r="S34" s="128">
        <f t="shared" si="1"/>
        <v>12259593</v>
      </c>
      <c r="T34" s="128">
        <f t="shared" si="2"/>
        <v>2921593</v>
      </c>
      <c r="U34" s="128">
        <f t="shared" si="3"/>
        <v>2921593</v>
      </c>
      <c r="V34" s="128">
        <v>112976</v>
      </c>
      <c r="W34" s="188">
        <f t="shared" si="4"/>
        <v>2.5860297762356606E-2</v>
      </c>
    </row>
    <row r="35" spans="1:23" x14ac:dyDescent="0.25">
      <c r="A35" t="s">
        <v>517</v>
      </c>
      <c r="B35" t="s">
        <v>348</v>
      </c>
      <c r="C35" s="128">
        <f t="shared" si="0"/>
        <v>7532</v>
      </c>
      <c r="D35" s="128">
        <v>4658</v>
      </c>
      <c r="E35" s="128">
        <v>2874</v>
      </c>
      <c r="F35" s="128">
        <v>0</v>
      </c>
      <c r="G35" s="128">
        <v>0</v>
      </c>
      <c r="H35" s="128">
        <v>94</v>
      </c>
      <c r="I35" s="128">
        <v>26</v>
      </c>
      <c r="J35" s="128">
        <v>2502</v>
      </c>
      <c r="K35" s="128">
        <v>3081</v>
      </c>
      <c r="L35" s="128">
        <v>462</v>
      </c>
      <c r="M35" s="128">
        <v>84</v>
      </c>
      <c r="N35" s="128">
        <v>1348</v>
      </c>
      <c r="O35" s="128">
        <v>190</v>
      </c>
      <c r="P35" s="128">
        <v>3906</v>
      </c>
      <c r="Q35" s="128">
        <f>P35*1.079</f>
        <v>4214.5739999999996</v>
      </c>
      <c r="R35" s="128">
        <v>610</v>
      </c>
      <c r="S35" s="128">
        <f t="shared" si="1"/>
        <v>9272934.0000000019</v>
      </c>
      <c r="T35" s="128">
        <f t="shared" si="2"/>
        <v>1740934.0000000019</v>
      </c>
      <c r="U35" s="128">
        <f t="shared" si="3"/>
        <v>1740934.0000000019</v>
      </c>
      <c r="V35" s="128">
        <v>85377</v>
      </c>
      <c r="W35" s="188">
        <f t="shared" si="4"/>
        <v>2.0391135785984539E-2</v>
      </c>
    </row>
    <row r="36" spans="1:23" x14ac:dyDescent="0.25">
      <c r="A36" t="s">
        <v>517</v>
      </c>
      <c r="B36" t="s">
        <v>349</v>
      </c>
      <c r="C36" s="128">
        <f t="shared" si="0"/>
        <v>6100</v>
      </c>
      <c r="D36" s="128">
        <v>3623</v>
      </c>
      <c r="E36" s="128">
        <v>2477</v>
      </c>
      <c r="F36" s="128">
        <v>0</v>
      </c>
      <c r="G36" s="128">
        <v>0</v>
      </c>
      <c r="H36" s="128">
        <v>80</v>
      </c>
      <c r="I36" s="128">
        <v>66</v>
      </c>
      <c r="J36" s="128">
        <v>2480</v>
      </c>
      <c r="K36" s="128">
        <v>4234</v>
      </c>
      <c r="L36" s="128">
        <v>411</v>
      </c>
      <c r="M36" s="128">
        <v>4</v>
      </c>
      <c r="N36" s="128">
        <v>975</v>
      </c>
      <c r="O36" s="128">
        <v>737</v>
      </c>
      <c r="P36" s="128">
        <v>3852</v>
      </c>
      <c r="Q36" s="128">
        <f>P36*1.079</f>
        <v>4156.308</v>
      </c>
      <c r="R36" s="128">
        <v>704</v>
      </c>
      <c r="S36" s="128">
        <f t="shared" si="1"/>
        <v>9515340</v>
      </c>
      <c r="T36" s="128">
        <f t="shared" si="2"/>
        <v>3415340</v>
      </c>
      <c r="U36" s="128">
        <f t="shared" si="3"/>
        <v>3415340</v>
      </c>
      <c r="V36" s="128">
        <v>81256</v>
      </c>
      <c r="W36" s="188">
        <f t="shared" si="4"/>
        <v>4.2031849955695581E-2</v>
      </c>
    </row>
    <row r="37" spans="1:23" x14ac:dyDescent="0.25">
      <c r="A37" t="s">
        <v>519</v>
      </c>
      <c r="B37" t="s">
        <v>170</v>
      </c>
      <c r="C37" s="128">
        <f t="shared" si="0"/>
        <v>7622</v>
      </c>
      <c r="D37" s="128">
        <v>4591</v>
      </c>
      <c r="E37" s="128">
        <v>3031</v>
      </c>
      <c r="F37" s="128">
        <v>0</v>
      </c>
      <c r="G37" s="128">
        <v>0</v>
      </c>
      <c r="H37" s="128">
        <v>227</v>
      </c>
      <c r="I37" s="128">
        <v>287</v>
      </c>
      <c r="J37" s="128">
        <v>2554</v>
      </c>
      <c r="K37" s="128">
        <v>2473</v>
      </c>
      <c r="L37" s="128">
        <v>390</v>
      </c>
      <c r="M37" s="128">
        <v>51</v>
      </c>
      <c r="N37" s="128">
        <v>450</v>
      </c>
      <c r="O37" s="128">
        <v>187</v>
      </c>
      <c r="P37" s="128">
        <v>3026</v>
      </c>
      <c r="Q37" s="128">
        <f>P37*1.08</f>
        <v>3268.0800000000004</v>
      </c>
      <c r="R37" s="128">
        <v>360</v>
      </c>
      <c r="S37" s="128">
        <f t="shared" si="1"/>
        <v>6776514.0000000009</v>
      </c>
      <c r="T37" s="128">
        <f t="shared" si="2"/>
        <v>-845485.99999999907</v>
      </c>
      <c r="U37" s="128">
        <f t="shared" si="3"/>
        <v>0</v>
      </c>
      <c r="V37" s="128">
        <v>66730</v>
      </c>
      <c r="W37" s="188">
        <f t="shared" si="4"/>
        <v>-1.2670253259403552E-2</v>
      </c>
    </row>
    <row r="38" spans="1:23" x14ac:dyDescent="0.25">
      <c r="A38" t="s">
        <v>518</v>
      </c>
      <c r="B38" t="s">
        <v>243</v>
      </c>
      <c r="C38" s="128">
        <f t="shared" si="0"/>
        <v>9415</v>
      </c>
      <c r="D38" s="128">
        <v>4767</v>
      </c>
      <c r="E38" s="128">
        <v>4648</v>
      </c>
      <c r="F38" s="128">
        <v>1221</v>
      </c>
      <c r="G38" s="128">
        <v>0</v>
      </c>
      <c r="H38" s="128">
        <v>157</v>
      </c>
      <c r="I38" s="128">
        <v>363</v>
      </c>
      <c r="J38" s="128">
        <v>4142</v>
      </c>
      <c r="K38" s="128">
        <v>5201</v>
      </c>
      <c r="L38" s="128">
        <v>540</v>
      </c>
      <c r="M38" s="128">
        <v>288</v>
      </c>
      <c r="N38" s="128">
        <v>520</v>
      </c>
      <c r="O38" s="128">
        <v>939</v>
      </c>
      <c r="P38" s="128">
        <v>4660</v>
      </c>
      <c r="Q38" s="128">
        <f>P38*1.072</f>
        <v>4995.5200000000004</v>
      </c>
      <c r="R38" s="128">
        <v>1025</v>
      </c>
      <c r="S38" s="128">
        <f t="shared" si="1"/>
        <v>12138390.000000002</v>
      </c>
      <c r="T38" s="128">
        <f t="shared" si="2"/>
        <v>2723390.0000000019</v>
      </c>
      <c r="U38" s="128">
        <f t="shared" si="3"/>
        <v>2723390.0000000019</v>
      </c>
      <c r="V38" s="128">
        <v>131945</v>
      </c>
      <c r="W38" s="188">
        <f t="shared" si="4"/>
        <v>2.0640342566978678E-2</v>
      </c>
    </row>
    <row r="39" spans="1:23" x14ac:dyDescent="0.25">
      <c r="A39" t="s">
        <v>517</v>
      </c>
      <c r="B39" t="s">
        <v>350</v>
      </c>
      <c r="C39" s="128">
        <f t="shared" si="0"/>
        <v>4466</v>
      </c>
      <c r="D39" s="128">
        <v>2474</v>
      </c>
      <c r="E39" s="128">
        <v>1992</v>
      </c>
      <c r="F39" s="128">
        <v>0</v>
      </c>
      <c r="G39" s="128">
        <v>75</v>
      </c>
      <c r="H39" s="128">
        <v>1177</v>
      </c>
      <c r="I39" s="128">
        <v>0</v>
      </c>
      <c r="J39" s="128">
        <v>2001</v>
      </c>
      <c r="K39" s="128">
        <v>1277</v>
      </c>
      <c r="L39" s="128">
        <v>289</v>
      </c>
      <c r="M39" s="128">
        <v>0</v>
      </c>
      <c r="N39" s="128">
        <v>735</v>
      </c>
      <c r="O39" s="128">
        <v>101</v>
      </c>
      <c r="P39" s="128">
        <v>2668</v>
      </c>
      <c r="Q39" s="128">
        <f>P39*1.079</f>
        <v>2878.7719999999999</v>
      </c>
      <c r="R39" s="128">
        <v>660</v>
      </c>
      <c r="S39" s="128">
        <f t="shared" si="1"/>
        <v>7214292</v>
      </c>
      <c r="T39" s="128">
        <f t="shared" si="2"/>
        <v>2748292</v>
      </c>
      <c r="U39" s="128">
        <f t="shared" si="3"/>
        <v>2748292</v>
      </c>
      <c r="V39" s="128">
        <v>51692</v>
      </c>
      <c r="W39" s="188">
        <f t="shared" si="4"/>
        <v>5.3166679563568832E-2</v>
      </c>
    </row>
    <row r="40" spans="1:23" x14ac:dyDescent="0.25">
      <c r="A40" t="s">
        <v>518</v>
      </c>
      <c r="B40" t="s">
        <v>244</v>
      </c>
      <c r="C40" s="128">
        <f t="shared" si="0"/>
        <v>4412</v>
      </c>
      <c r="D40" s="128">
        <v>3585</v>
      </c>
      <c r="E40" s="128">
        <v>827</v>
      </c>
      <c r="F40" s="128">
        <v>0</v>
      </c>
      <c r="G40" s="128">
        <v>0</v>
      </c>
      <c r="H40" s="128">
        <v>22</v>
      </c>
      <c r="I40" s="128">
        <v>2</v>
      </c>
      <c r="J40" s="128">
        <v>1165</v>
      </c>
      <c r="K40" s="128">
        <v>1277</v>
      </c>
      <c r="L40" s="128">
        <v>178</v>
      </c>
      <c r="M40" s="128">
        <v>201</v>
      </c>
      <c r="N40" s="128">
        <v>914</v>
      </c>
      <c r="O40" s="128">
        <v>64</v>
      </c>
      <c r="P40" s="128">
        <v>3286</v>
      </c>
      <c r="Q40" s="128">
        <f>P40*1.072</f>
        <v>3522.5920000000001</v>
      </c>
      <c r="R40" s="128">
        <v>121</v>
      </c>
      <c r="S40" s="128">
        <f t="shared" si="1"/>
        <v>6382152.0000000009</v>
      </c>
      <c r="T40" s="128">
        <f t="shared" si="2"/>
        <v>1970152.0000000009</v>
      </c>
      <c r="U40" s="128">
        <f t="shared" si="3"/>
        <v>1970152.0000000009</v>
      </c>
      <c r="V40" s="128">
        <v>34367</v>
      </c>
      <c r="W40" s="188">
        <f t="shared" si="4"/>
        <v>5.7326854249716327E-2</v>
      </c>
    </row>
    <row r="41" spans="1:23" x14ac:dyDescent="0.25">
      <c r="A41" t="s">
        <v>518</v>
      </c>
      <c r="B41" t="s">
        <v>245</v>
      </c>
      <c r="C41" s="128">
        <f t="shared" si="0"/>
        <v>10430</v>
      </c>
      <c r="D41" s="128">
        <v>8628</v>
      </c>
      <c r="E41" s="128">
        <v>1802</v>
      </c>
      <c r="F41" s="128">
        <v>1788</v>
      </c>
      <c r="G41" s="128">
        <v>0</v>
      </c>
      <c r="H41" s="128">
        <v>1472</v>
      </c>
      <c r="I41" s="128">
        <v>1</v>
      </c>
      <c r="J41" s="128">
        <v>3023</v>
      </c>
      <c r="K41" s="128">
        <v>3349</v>
      </c>
      <c r="L41" s="128">
        <v>348</v>
      </c>
      <c r="M41" s="128">
        <v>303</v>
      </c>
      <c r="N41" s="128">
        <v>726</v>
      </c>
      <c r="O41" s="128">
        <v>54</v>
      </c>
      <c r="P41" s="128">
        <v>7446</v>
      </c>
      <c r="Q41" s="128">
        <f>P41*1.072</f>
        <v>7982.1120000000001</v>
      </c>
      <c r="R41" s="128">
        <v>340</v>
      </c>
      <c r="S41" s="128">
        <f t="shared" si="1"/>
        <v>14699934</v>
      </c>
      <c r="T41" s="128">
        <f t="shared" si="2"/>
        <v>4269934</v>
      </c>
      <c r="U41" s="128">
        <f t="shared" si="3"/>
        <v>4269934</v>
      </c>
      <c r="V41" s="128">
        <v>53920</v>
      </c>
      <c r="W41" s="188">
        <f t="shared" si="4"/>
        <v>7.9190170623145401E-2</v>
      </c>
    </row>
    <row r="42" spans="1:23" x14ac:dyDescent="0.25">
      <c r="A42" t="s">
        <v>521</v>
      </c>
      <c r="B42" t="s">
        <v>287</v>
      </c>
      <c r="C42" s="128">
        <f t="shared" si="0"/>
        <v>9477</v>
      </c>
      <c r="D42" s="128">
        <v>6439</v>
      </c>
      <c r="E42" s="128">
        <v>3038</v>
      </c>
      <c r="F42" s="128">
        <v>0</v>
      </c>
      <c r="G42" s="128">
        <v>0</v>
      </c>
      <c r="H42" s="128">
        <v>1063</v>
      </c>
      <c r="I42" s="128">
        <v>0</v>
      </c>
      <c r="J42" s="128">
        <v>4810</v>
      </c>
      <c r="K42" s="128">
        <v>4603</v>
      </c>
      <c r="L42" s="128">
        <v>382</v>
      </c>
      <c r="M42" s="128">
        <v>455</v>
      </c>
      <c r="N42" s="128">
        <v>1864</v>
      </c>
      <c r="O42" s="128">
        <v>158</v>
      </c>
      <c r="P42" s="128">
        <v>4900</v>
      </c>
      <c r="Q42" s="128">
        <f>P42*1.083</f>
        <v>5306.7</v>
      </c>
      <c r="R42" s="128">
        <v>722</v>
      </c>
      <c r="S42" s="128">
        <f t="shared" si="1"/>
        <v>11476296</v>
      </c>
      <c r="T42" s="128">
        <f t="shared" si="2"/>
        <v>1999296</v>
      </c>
      <c r="U42" s="128">
        <f t="shared" si="3"/>
        <v>1999296</v>
      </c>
      <c r="V42" s="128">
        <v>86972</v>
      </c>
      <c r="W42" s="188">
        <f t="shared" si="4"/>
        <v>2.2987812169433842E-2</v>
      </c>
    </row>
    <row r="43" spans="1:23" x14ac:dyDescent="0.25">
      <c r="A43" t="s">
        <v>517</v>
      </c>
      <c r="B43" t="s">
        <v>351</v>
      </c>
      <c r="C43" s="128">
        <f t="shared" si="0"/>
        <v>2851</v>
      </c>
      <c r="D43" s="128">
        <v>1823</v>
      </c>
      <c r="E43" s="128">
        <v>1028</v>
      </c>
      <c r="F43" s="128">
        <v>0</v>
      </c>
      <c r="G43" s="128">
        <v>0</v>
      </c>
      <c r="H43" s="128">
        <v>30</v>
      </c>
      <c r="I43" s="128">
        <v>0</v>
      </c>
      <c r="J43" s="128">
        <v>1076</v>
      </c>
      <c r="K43" s="128">
        <v>840</v>
      </c>
      <c r="L43" s="128">
        <v>129</v>
      </c>
      <c r="M43" s="128">
        <v>102</v>
      </c>
      <c r="N43" s="128">
        <v>345</v>
      </c>
      <c r="O43" s="128">
        <v>118</v>
      </c>
      <c r="P43" s="128">
        <v>1227</v>
      </c>
      <c r="Q43" s="128">
        <f>P43*1.079</f>
        <v>1323.933</v>
      </c>
      <c r="R43" s="128">
        <v>251</v>
      </c>
      <c r="S43" s="128">
        <f t="shared" si="1"/>
        <v>3127761</v>
      </c>
      <c r="T43" s="128">
        <f t="shared" si="2"/>
        <v>276761</v>
      </c>
      <c r="U43" s="128">
        <f t="shared" si="3"/>
        <v>276761</v>
      </c>
      <c r="V43" s="128">
        <v>31938</v>
      </c>
      <c r="W43" s="188">
        <f t="shared" si="4"/>
        <v>8.6655707934122361E-3</v>
      </c>
    </row>
    <row r="44" spans="1:23" x14ac:dyDescent="0.25">
      <c r="A44" t="s">
        <v>516</v>
      </c>
      <c r="B44" t="s">
        <v>108</v>
      </c>
      <c r="C44" s="128">
        <f t="shared" si="0"/>
        <v>6340</v>
      </c>
      <c r="D44" s="128">
        <v>4786</v>
      </c>
      <c r="E44" s="128">
        <v>1554</v>
      </c>
      <c r="F44" s="128">
        <v>0</v>
      </c>
      <c r="G44" s="128">
        <v>0</v>
      </c>
      <c r="H44" s="128">
        <v>1566</v>
      </c>
      <c r="I44" s="128">
        <v>0</v>
      </c>
      <c r="J44" s="128">
        <v>3108</v>
      </c>
      <c r="K44" s="128">
        <v>2399</v>
      </c>
      <c r="L44" s="128">
        <v>329</v>
      </c>
      <c r="M44" s="128">
        <v>158</v>
      </c>
      <c r="N44" s="128">
        <v>443</v>
      </c>
      <c r="O44" s="128">
        <v>27</v>
      </c>
      <c r="P44" s="128">
        <v>2320</v>
      </c>
      <c r="Q44" s="128">
        <f>P44*1.079</f>
        <v>2503.2799999999997</v>
      </c>
      <c r="R44" s="128">
        <v>430</v>
      </c>
      <c r="S44" s="128">
        <f t="shared" si="1"/>
        <v>5752620</v>
      </c>
      <c r="T44" s="128">
        <f t="shared" si="2"/>
        <v>-587380</v>
      </c>
      <c r="U44" s="128">
        <f t="shared" si="3"/>
        <v>0</v>
      </c>
      <c r="V44" s="128">
        <v>69704</v>
      </c>
      <c r="W44" s="188">
        <f t="shared" si="4"/>
        <v>-8.4267760817169739E-3</v>
      </c>
    </row>
    <row r="45" spans="1:23" x14ac:dyDescent="0.25">
      <c r="A45" t="s">
        <v>522</v>
      </c>
      <c r="B45" t="s">
        <v>142</v>
      </c>
      <c r="C45" s="128">
        <f t="shared" si="0"/>
        <v>7275</v>
      </c>
      <c r="D45" s="128">
        <v>4850</v>
      </c>
      <c r="E45" s="128">
        <v>2425</v>
      </c>
      <c r="F45" s="128">
        <v>0</v>
      </c>
      <c r="G45" s="128">
        <v>0</v>
      </c>
      <c r="H45" s="128">
        <v>0</v>
      </c>
      <c r="I45" s="128">
        <v>169</v>
      </c>
      <c r="J45" s="128">
        <v>1813</v>
      </c>
      <c r="K45" s="128">
        <v>2009</v>
      </c>
      <c r="L45" s="128">
        <v>184</v>
      </c>
      <c r="M45" s="128">
        <v>122</v>
      </c>
      <c r="N45" s="128">
        <v>450</v>
      </c>
      <c r="O45" s="128">
        <v>87</v>
      </c>
      <c r="P45" s="128">
        <v>2563</v>
      </c>
      <c r="Q45" s="128">
        <f>P45*1.083</f>
        <v>2775.7289999999998</v>
      </c>
      <c r="R45" s="128">
        <v>349</v>
      </c>
      <c r="S45" s="128">
        <f t="shared" si="1"/>
        <v>5899149</v>
      </c>
      <c r="T45" s="128">
        <f t="shared" si="2"/>
        <v>-1375851</v>
      </c>
      <c r="U45" s="128">
        <f t="shared" si="3"/>
        <v>0</v>
      </c>
      <c r="V45" s="128">
        <v>66017</v>
      </c>
      <c r="W45" s="188">
        <f t="shared" si="4"/>
        <v>-2.0840859172637352E-2</v>
      </c>
    </row>
    <row r="46" spans="1:23" x14ac:dyDescent="0.25">
      <c r="A46" t="s">
        <v>528</v>
      </c>
      <c r="B46" t="s">
        <v>330</v>
      </c>
      <c r="C46" s="128">
        <f t="shared" si="0"/>
        <v>8340</v>
      </c>
      <c r="D46" s="128">
        <v>2880</v>
      </c>
      <c r="E46" s="128">
        <v>5460</v>
      </c>
      <c r="F46" s="128">
        <v>0</v>
      </c>
      <c r="G46" s="128">
        <v>0</v>
      </c>
      <c r="H46" s="128">
        <v>30</v>
      </c>
      <c r="I46" s="128">
        <v>135</v>
      </c>
      <c r="J46" s="128">
        <v>1762</v>
      </c>
      <c r="K46" s="128">
        <v>3037</v>
      </c>
      <c r="L46" s="128">
        <v>298</v>
      </c>
      <c r="M46" s="128">
        <v>324</v>
      </c>
      <c r="N46" s="128">
        <v>372</v>
      </c>
      <c r="O46" s="128">
        <v>181</v>
      </c>
      <c r="P46" s="128">
        <v>2238</v>
      </c>
      <c r="Q46" s="128">
        <f>P46*1.08</f>
        <v>2417.04</v>
      </c>
      <c r="R46" s="128">
        <v>1172</v>
      </c>
      <c r="S46" s="128">
        <f t="shared" si="1"/>
        <v>8288838</v>
      </c>
      <c r="T46" s="128">
        <f t="shared" si="2"/>
        <v>-51162</v>
      </c>
      <c r="U46" s="128">
        <f t="shared" si="3"/>
        <v>0</v>
      </c>
      <c r="V46" s="128">
        <v>56154</v>
      </c>
      <c r="W46" s="188">
        <f t="shared" si="4"/>
        <v>-9.1110161342023723E-4</v>
      </c>
    </row>
    <row r="47" spans="1:23" x14ac:dyDescent="0.25">
      <c r="A47" t="s">
        <v>517</v>
      </c>
      <c r="B47" t="s">
        <v>353</v>
      </c>
      <c r="C47" s="129">
        <v>8310.2524856462678</v>
      </c>
      <c r="D47" s="129">
        <v>5048.8640246464083</v>
      </c>
      <c r="E47" s="129">
        <v>3261.3884609998599</v>
      </c>
      <c r="F47" s="129">
        <v>325</v>
      </c>
      <c r="G47" s="129">
        <v>0</v>
      </c>
      <c r="H47" s="129">
        <v>47.172244783643748</v>
      </c>
      <c r="I47" s="129">
        <v>46.451617420529338</v>
      </c>
      <c r="J47" s="129">
        <v>3461.4110068617842</v>
      </c>
      <c r="K47" s="129">
        <v>3245.302618680857</v>
      </c>
      <c r="L47" s="129">
        <v>475.12925360593755</v>
      </c>
      <c r="M47" s="129">
        <v>187</v>
      </c>
      <c r="N47" s="129">
        <v>1075.3014983895812</v>
      </c>
      <c r="O47" s="129">
        <v>156.08626242823135</v>
      </c>
      <c r="P47" s="128">
        <v>4006.8206133594736</v>
      </c>
      <c r="Q47" s="128">
        <v>4253.6814975493626</v>
      </c>
      <c r="R47" s="128">
        <v>712.60257666993414</v>
      </c>
      <c r="S47" s="128">
        <f t="shared" si="1"/>
        <v>9826534.6119591091</v>
      </c>
      <c r="T47">
        <v>1962853.4658123506</v>
      </c>
      <c r="U47">
        <v>1962853.4658123506</v>
      </c>
      <c r="V47" s="128">
        <v>98047.814311721042</v>
      </c>
      <c r="W47">
        <v>2.0019349534624996E-2</v>
      </c>
    </row>
    <row r="48" spans="1:23" x14ac:dyDescent="0.25">
      <c r="A48" t="s">
        <v>517</v>
      </c>
      <c r="B48" t="s">
        <v>354</v>
      </c>
      <c r="C48" s="128">
        <f t="shared" si="0"/>
        <v>36893</v>
      </c>
      <c r="D48" s="128">
        <v>19010</v>
      </c>
      <c r="E48" s="128">
        <v>17883</v>
      </c>
      <c r="F48" s="128">
        <v>8353</v>
      </c>
      <c r="G48" s="128">
        <v>1005</v>
      </c>
      <c r="H48" s="128">
        <v>950</v>
      </c>
      <c r="I48" s="128">
        <v>0</v>
      </c>
      <c r="J48" s="128">
        <v>21123</v>
      </c>
      <c r="K48" s="128">
        <v>25058</v>
      </c>
      <c r="L48" s="128">
        <v>2483</v>
      </c>
      <c r="M48" s="128">
        <v>0</v>
      </c>
      <c r="N48" s="128">
        <v>5783</v>
      </c>
      <c r="O48" s="128">
        <v>7944</v>
      </c>
      <c r="P48" s="128">
        <v>24804</v>
      </c>
      <c r="Q48" s="128">
        <f>P48*1.079</f>
        <v>26763.516</v>
      </c>
      <c r="R48" s="128">
        <v>4675</v>
      </c>
      <c r="S48" s="128">
        <f t="shared" si="1"/>
        <v>61784586.000000007</v>
      </c>
      <c r="T48" s="128">
        <f t="shared" si="2"/>
        <v>24891586.000000007</v>
      </c>
      <c r="U48" s="128">
        <f t="shared" si="3"/>
        <v>24891586.000000007</v>
      </c>
      <c r="V48" s="128">
        <v>678709</v>
      </c>
      <c r="W48" s="188">
        <f t="shared" si="4"/>
        <v>3.6674901909360284E-2</v>
      </c>
    </row>
    <row r="49" spans="1:23" x14ac:dyDescent="0.25">
      <c r="A49" t="s">
        <v>521</v>
      </c>
      <c r="B49" t="s">
        <v>288</v>
      </c>
      <c r="C49" s="128">
        <f t="shared" si="0"/>
        <v>3272</v>
      </c>
      <c r="D49" s="128">
        <v>2479</v>
      </c>
      <c r="E49" s="128">
        <v>793</v>
      </c>
      <c r="F49" s="128">
        <v>0</v>
      </c>
      <c r="G49" s="128">
        <v>0</v>
      </c>
      <c r="H49" s="128">
        <v>279</v>
      </c>
      <c r="I49" s="128">
        <v>198</v>
      </c>
      <c r="J49" s="128">
        <v>1955</v>
      </c>
      <c r="K49" s="128">
        <v>1513</v>
      </c>
      <c r="L49" s="128">
        <v>245</v>
      </c>
      <c r="M49" s="128">
        <v>84</v>
      </c>
      <c r="N49" s="128">
        <v>506</v>
      </c>
      <c r="O49" s="128">
        <v>87</v>
      </c>
      <c r="P49" s="128">
        <v>2064</v>
      </c>
      <c r="Q49" s="128">
        <f>P49*1.083</f>
        <v>2235.3119999999999</v>
      </c>
      <c r="R49" s="128">
        <v>374</v>
      </c>
      <c r="S49" s="128">
        <f t="shared" si="1"/>
        <v>5086908</v>
      </c>
      <c r="T49" s="128">
        <f t="shared" si="2"/>
        <v>1814908</v>
      </c>
      <c r="U49" s="128">
        <f t="shared" si="3"/>
        <v>1814908</v>
      </c>
      <c r="V49" s="128">
        <v>44105</v>
      </c>
      <c r="W49" s="188">
        <f t="shared" si="4"/>
        <v>4.114971091712958E-2</v>
      </c>
    </row>
    <row r="50" spans="1:23" x14ac:dyDescent="0.25">
      <c r="A50" t="s">
        <v>519</v>
      </c>
      <c r="B50" t="s">
        <v>171</v>
      </c>
      <c r="C50" s="128">
        <f t="shared" si="0"/>
        <v>7775</v>
      </c>
      <c r="D50" s="128">
        <v>5250</v>
      </c>
      <c r="E50" s="128">
        <v>2525</v>
      </c>
      <c r="F50" s="128">
        <v>0</v>
      </c>
      <c r="G50" s="128">
        <v>0</v>
      </c>
      <c r="H50" s="128">
        <v>0</v>
      </c>
      <c r="I50" s="128">
        <v>450</v>
      </c>
      <c r="J50" s="128">
        <v>4740</v>
      </c>
      <c r="K50" s="128">
        <v>4679</v>
      </c>
      <c r="L50" s="128">
        <v>396</v>
      </c>
      <c r="M50" s="128">
        <v>137</v>
      </c>
      <c r="N50" s="128">
        <v>1183</v>
      </c>
      <c r="O50" s="128">
        <v>108</v>
      </c>
      <c r="P50" s="128">
        <v>4411</v>
      </c>
      <c r="Q50" s="128">
        <f>P50*1.08</f>
        <v>4763.88</v>
      </c>
      <c r="R50" s="128">
        <v>802</v>
      </c>
      <c r="S50" s="128">
        <f t="shared" si="1"/>
        <v>10881135</v>
      </c>
      <c r="T50" s="128">
        <f t="shared" si="2"/>
        <v>3106135</v>
      </c>
      <c r="U50" s="128">
        <f t="shared" si="3"/>
        <v>3106135</v>
      </c>
      <c r="V50" s="128">
        <v>82486</v>
      </c>
      <c r="W50" s="188">
        <f t="shared" si="4"/>
        <v>3.7656511407996508E-2</v>
      </c>
    </row>
    <row r="51" spans="1:23" x14ac:dyDescent="0.25">
      <c r="A51" t="s">
        <v>519</v>
      </c>
      <c r="B51" t="s">
        <v>172</v>
      </c>
      <c r="C51" s="128">
        <f t="shared" si="0"/>
        <v>5743</v>
      </c>
      <c r="D51" s="128">
        <v>3790</v>
      </c>
      <c r="E51" s="128">
        <v>1953</v>
      </c>
      <c r="F51" s="128">
        <v>0</v>
      </c>
      <c r="G51" s="128">
        <v>44</v>
      </c>
      <c r="H51" s="128">
        <v>966</v>
      </c>
      <c r="I51" s="128">
        <v>0</v>
      </c>
      <c r="J51" s="128">
        <v>2490</v>
      </c>
      <c r="K51" s="128">
        <v>1466</v>
      </c>
      <c r="L51" s="128">
        <v>248</v>
      </c>
      <c r="M51" s="128">
        <v>109</v>
      </c>
      <c r="N51" s="128">
        <v>457</v>
      </c>
      <c r="O51" s="128">
        <v>109</v>
      </c>
      <c r="P51" s="128">
        <v>2469</v>
      </c>
      <c r="Q51" s="128">
        <f>P51*1.08</f>
        <v>2666.52</v>
      </c>
      <c r="R51" s="128">
        <v>366</v>
      </c>
      <c r="S51" s="128">
        <f t="shared" si="1"/>
        <v>5790609</v>
      </c>
      <c r="T51" s="128">
        <f t="shared" si="2"/>
        <v>47609</v>
      </c>
      <c r="U51" s="128">
        <f t="shared" si="3"/>
        <v>47609</v>
      </c>
      <c r="V51" s="128">
        <v>51756</v>
      </c>
      <c r="W51" s="188">
        <f t="shared" si="4"/>
        <v>9.1987402426771771E-4</v>
      </c>
    </row>
    <row r="52" spans="1:23" x14ac:dyDescent="0.25">
      <c r="A52" t="s">
        <v>526</v>
      </c>
      <c r="B52" t="s">
        <v>402</v>
      </c>
      <c r="C52" s="128">
        <f t="shared" si="0"/>
        <v>6153</v>
      </c>
      <c r="D52" s="128">
        <v>4452</v>
      </c>
      <c r="E52" s="128">
        <v>1701</v>
      </c>
      <c r="F52" s="128">
        <v>0</v>
      </c>
      <c r="G52" s="128">
        <v>0</v>
      </c>
      <c r="H52" s="128">
        <v>72</v>
      </c>
      <c r="I52" s="128">
        <v>344</v>
      </c>
      <c r="J52" s="128">
        <v>3624</v>
      </c>
      <c r="K52" s="128">
        <v>3583</v>
      </c>
      <c r="L52" s="128">
        <v>246</v>
      </c>
      <c r="M52" s="128">
        <v>60</v>
      </c>
      <c r="N52" s="128">
        <v>450</v>
      </c>
      <c r="O52" s="128">
        <v>92</v>
      </c>
      <c r="P52" s="128">
        <v>2331</v>
      </c>
      <c r="Q52" s="128">
        <f>P52*1.086</f>
        <v>2531.4660000000003</v>
      </c>
      <c r="R52" s="128">
        <v>380</v>
      </c>
      <c r="S52" s="128">
        <f t="shared" si="1"/>
        <v>5591619.0000000009</v>
      </c>
      <c r="T52" s="128">
        <f t="shared" si="2"/>
        <v>-561380.99999999907</v>
      </c>
      <c r="U52" s="128">
        <f t="shared" si="3"/>
        <v>0</v>
      </c>
      <c r="V52" s="128">
        <v>100525</v>
      </c>
      <c r="W52" s="188">
        <f t="shared" si="4"/>
        <v>-5.5844914200447555E-3</v>
      </c>
    </row>
    <row r="53" spans="1:23" x14ac:dyDescent="0.25">
      <c r="A53" t="s">
        <v>524</v>
      </c>
      <c r="B53" t="s">
        <v>216</v>
      </c>
      <c r="C53" s="128">
        <f t="shared" si="0"/>
        <v>5492</v>
      </c>
      <c r="D53" s="128">
        <v>3637</v>
      </c>
      <c r="E53" s="128">
        <v>1855</v>
      </c>
      <c r="F53" s="128">
        <v>0</v>
      </c>
      <c r="G53" s="128">
        <v>0</v>
      </c>
      <c r="H53" s="128">
        <v>149</v>
      </c>
      <c r="I53" s="128">
        <v>86</v>
      </c>
      <c r="J53" s="128">
        <v>1502</v>
      </c>
      <c r="K53" s="128">
        <v>1817</v>
      </c>
      <c r="L53" s="128">
        <v>210</v>
      </c>
      <c r="M53" s="128">
        <v>0</v>
      </c>
      <c r="N53" s="128">
        <v>1104</v>
      </c>
      <c r="O53" s="128">
        <v>110</v>
      </c>
      <c r="P53" s="128">
        <v>2403</v>
      </c>
      <c r="Q53" s="128">
        <f>P53*1.08</f>
        <v>2595.2400000000002</v>
      </c>
      <c r="R53" s="128">
        <v>343</v>
      </c>
      <c r="S53" s="128">
        <f t="shared" si="1"/>
        <v>5588001</v>
      </c>
      <c r="T53" s="128">
        <f t="shared" si="2"/>
        <v>96001</v>
      </c>
      <c r="U53" s="128">
        <f t="shared" si="3"/>
        <v>96001</v>
      </c>
      <c r="V53" s="128">
        <v>31648</v>
      </c>
      <c r="W53" s="188">
        <f t="shared" si="4"/>
        <v>3.033398634984833E-3</v>
      </c>
    </row>
    <row r="54" spans="1:23" x14ac:dyDescent="0.25">
      <c r="A54" t="s">
        <v>524</v>
      </c>
      <c r="B54" t="s">
        <v>217</v>
      </c>
      <c r="C54" s="128">
        <f t="shared" si="0"/>
        <v>4292</v>
      </c>
      <c r="D54" s="128">
        <v>2481</v>
      </c>
      <c r="E54" s="128">
        <v>1811</v>
      </c>
      <c r="F54" s="128">
        <v>0</v>
      </c>
      <c r="G54" s="128">
        <v>86</v>
      </c>
      <c r="H54" s="128">
        <v>8</v>
      </c>
      <c r="I54" s="128">
        <v>0</v>
      </c>
      <c r="J54" s="128">
        <v>1501</v>
      </c>
      <c r="K54" s="128">
        <v>1951</v>
      </c>
      <c r="L54" s="128">
        <v>294</v>
      </c>
      <c r="M54" s="128">
        <v>382</v>
      </c>
      <c r="N54" s="128">
        <v>593</v>
      </c>
      <c r="O54" s="128">
        <v>299</v>
      </c>
      <c r="P54" s="128">
        <v>2622</v>
      </c>
      <c r="Q54" s="128">
        <f>P54*1.08</f>
        <v>2831.76</v>
      </c>
      <c r="R54" s="128">
        <v>577</v>
      </c>
      <c r="S54" s="128">
        <f t="shared" si="1"/>
        <v>6830784</v>
      </c>
      <c r="T54" s="128">
        <f t="shared" si="2"/>
        <v>2538784</v>
      </c>
      <c r="U54" s="128">
        <f t="shared" si="3"/>
        <v>2538784</v>
      </c>
      <c r="V54" s="128">
        <v>55685</v>
      </c>
      <c r="W54" s="188">
        <f t="shared" si="4"/>
        <v>4.5591882912813145E-2</v>
      </c>
    </row>
    <row r="55" spans="1:23" x14ac:dyDescent="0.25">
      <c r="A55" t="s">
        <v>519</v>
      </c>
      <c r="B55" t="s">
        <v>173</v>
      </c>
      <c r="C55" s="128">
        <f t="shared" si="0"/>
        <v>7196</v>
      </c>
      <c r="D55" s="128">
        <v>5082</v>
      </c>
      <c r="E55" s="128">
        <v>2114</v>
      </c>
      <c r="F55" s="128">
        <v>0</v>
      </c>
      <c r="G55" s="128">
        <v>0</v>
      </c>
      <c r="H55" s="128">
        <v>240</v>
      </c>
      <c r="I55" s="128">
        <v>184</v>
      </c>
      <c r="J55" s="128">
        <v>2844</v>
      </c>
      <c r="K55" s="128">
        <v>2982</v>
      </c>
      <c r="L55" s="128">
        <v>335</v>
      </c>
      <c r="M55" s="128">
        <v>171</v>
      </c>
      <c r="N55" s="128">
        <v>1105</v>
      </c>
      <c r="O55" s="128">
        <v>145</v>
      </c>
      <c r="P55" s="128">
        <v>3400</v>
      </c>
      <c r="Q55" s="128">
        <f>P55*1.08</f>
        <v>3672.0000000000005</v>
      </c>
      <c r="R55" s="128">
        <v>493</v>
      </c>
      <c r="S55" s="128">
        <f t="shared" si="1"/>
        <v>7934274</v>
      </c>
      <c r="T55" s="128">
        <f t="shared" si="2"/>
        <v>738274</v>
      </c>
      <c r="U55" s="128">
        <f t="shared" si="3"/>
        <v>738274</v>
      </c>
      <c r="V55" s="128">
        <v>62363</v>
      </c>
      <c r="W55" s="188">
        <f t="shared" si="4"/>
        <v>1.1838333627311065E-2</v>
      </c>
    </row>
    <row r="56" spans="1:23" x14ac:dyDescent="0.25">
      <c r="A56" t="s">
        <v>521</v>
      </c>
      <c r="B56" t="s">
        <v>289</v>
      </c>
      <c r="C56" s="128">
        <f t="shared" si="0"/>
        <v>12039</v>
      </c>
      <c r="D56" s="128">
        <v>7205</v>
      </c>
      <c r="E56" s="128">
        <v>4834</v>
      </c>
      <c r="F56" s="128">
        <v>0</v>
      </c>
      <c r="G56" s="128">
        <v>288</v>
      </c>
      <c r="H56" s="128">
        <v>72</v>
      </c>
      <c r="I56" s="128">
        <v>305</v>
      </c>
      <c r="J56" s="128">
        <v>4071</v>
      </c>
      <c r="K56" s="128">
        <v>7906</v>
      </c>
      <c r="L56" s="128">
        <v>707</v>
      </c>
      <c r="M56" s="128">
        <v>0</v>
      </c>
      <c r="N56" s="128">
        <v>779</v>
      </c>
      <c r="O56" s="128">
        <v>111</v>
      </c>
      <c r="P56" s="128">
        <v>7127</v>
      </c>
      <c r="Q56" s="128">
        <f>P56*1.083</f>
        <v>7718.5410000000002</v>
      </c>
      <c r="R56" s="128">
        <v>1071</v>
      </c>
      <c r="S56" s="128">
        <f t="shared" si="1"/>
        <v>16767621.000000002</v>
      </c>
      <c r="T56" s="128">
        <f t="shared" si="2"/>
        <v>4728621.0000000019</v>
      </c>
      <c r="U56" s="128">
        <f t="shared" si="3"/>
        <v>4728621.0000000019</v>
      </c>
      <c r="V56" s="128">
        <v>217048</v>
      </c>
      <c r="W56" s="188">
        <f t="shared" si="4"/>
        <v>2.178606114776456E-2</v>
      </c>
    </row>
    <row r="57" spans="1:23" x14ac:dyDescent="0.25">
      <c r="A57" t="s">
        <v>518</v>
      </c>
      <c r="B57" s="177" t="s">
        <v>246</v>
      </c>
      <c r="C57" s="128">
        <f t="shared" si="0"/>
        <v>6705</v>
      </c>
      <c r="D57" s="128">
        <v>4895</v>
      </c>
      <c r="E57" s="128">
        <v>1810</v>
      </c>
      <c r="F57" s="128">
        <v>0</v>
      </c>
      <c r="G57" s="128">
        <v>0</v>
      </c>
      <c r="H57" s="128">
        <v>1140</v>
      </c>
      <c r="I57" s="128">
        <v>87</v>
      </c>
      <c r="J57" s="128">
        <v>3474</v>
      </c>
      <c r="K57" s="128">
        <v>4307</v>
      </c>
      <c r="L57" s="128">
        <v>502</v>
      </c>
      <c r="M57" s="128">
        <v>180</v>
      </c>
      <c r="N57" s="128">
        <v>1170</v>
      </c>
      <c r="O57" s="128">
        <v>82</v>
      </c>
      <c r="P57" s="128">
        <v>5458</v>
      </c>
      <c r="Q57" s="128">
        <f>P57*1.072</f>
        <v>5850.9760000000006</v>
      </c>
      <c r="R57" s="128">
        <v>486</v>
      </c>
      <c r="S57" s="128">
        <f t="shared" si="1"/>
        <v>11631870.000000002</v>
      </c>
      <c r="T57" s="128">
        <f t="shared" si="2"/>
        <v>4926870.0000000019</v>
      </c>
      <c r="U57" s="128">
        <f t="shared" si="3"/>
        <v>4926870.0000000019</v>
      </c>
      <c r="V57" s="128">
        <v>71399</v>
      </c>
      <c r="W57" s="188">
        <f t="shared" si="4"/>
        <v>6.9004747965657809E-2</v>
      </c>
    </row>
    <row r="58" spans="1:23" x14ac:dyDescent="0.25">
      <c r="A58" t="s">
        <v>516</v>
      </c>
      <c r="B58" t="s">
        <v>109</v>
      </c>
      <c r="C58" s="128">
        <f t="shared" si="0"/>
        <v>8992</v>
      </c>
      <c r="D58" s="128">
        <v>6012</v>
      </c>
      <c r="E58" s="128">
        <v>2980</v>
      </c>
      <c r="F58" s="128">
        <v>0</v>
      </c>
      <c r="G58" s="128">
        <v>237</v>
      </c>
      <c r="H58" s="128">
        <v>1919</v>
      </c>
      <c r="I58" s="128">
        <v>0</v>
      </c>
      <c r="J58" s="128">
        <v>3484</v>
      </c>
      <c r="K58" s="128">
        <v>4408</v>
      </c>
      <c r="L58" s="128">
        <v>445</v>
      </c>
      <c r="M58" s="128">
        <v>437</v>
      </c>
      <c r="N58" s="128">
        <v>965</v>
      </c>
      <c r="O58" s="128">
        <v>155</v>
      </c>
      <c r="P58" s="128">
        <v>3193</v>
      </c>
      <c r="Q58" s="128">
        <f>P58*1.079</f>
        <v>3445.2469999999998</v>
      </c>
      <c r="R58" s="128">
        <v>877</v>
      </c>
      <c r="S58" s="128">
        <f t="shared" si="1"/>
        <v>8949123</v>
      </c>
      <c r="T58" s="128">
        <f t="shared" si="2"/>
        <v>-42877</v>
      </c>
      <c r="U58" s="128">
        <f t="shared" si="3"/>
        <v>0</v>
      </c>
      <c r="V58" s="128">
        <v>107588</v>
      </c>
      <c r="W58" s="188">
        <f t="shared" si="4"/>
        <v>-3.9852957578912147E-4</v>
      </c>
    </row>
    <row r="59" spans="1:23" x14ac:dyDescent="0.25">
      <c r="A59" t="s">
        <v>517</v>
      </c>
      <c r="B59" t="s">
        <v>355</v>
      </c>
      <c r="C59" s="128">
        <f t="shared" si="0"/>
        <v>5388</v>
      </c>
      <c r="D59" s="128">
        <v>4471</v>
      </c>
      <c r="E59" s="128">
        <v>917</v>
      </c>
      <c r="F59" s="128">
        <v>0</v>
      </c>
      <c r="G59" s="128">
        <v>0</v>
      </c>
      <c r="H59" s="128">
        <v>225</v>
      </c>
      <c r="I59" s="128">
        <v>33</v>
      </c>
      <c r="J59" s="128">
        <v>2082</v>
      </c>
      <c r="K59" s="128">
        <v>2521</v>
      </c>
      <c r="L59" s="128">
        <v>250</v>
      </c>
      <c r="M59" s="128">
        <v>53</v>
      </c>
      <c r="N59" s="128">
        <v>485</v>
      </c>
      <c r="O59" s="128">
        <v>186</v>
      </c>
      <c r="P59" s="128">
        <v>2419</v>
      </c>
      <c r="Q59" s="128">
        <f>P59*1.079</f>
        <v>2610.1010000000001</v>
      </c>
      <c r="R59" s="128">
        <v>534</v>
      </c>
      <c r="S59" s="128">
        <f t="shared" si="1"/>
        <v>6307983</v>
      </c>
      <c r="T59" s="128">
        <f t="shared" si="2"/>
        <v>919983</v>
      </c>
      <c r="U59" s="128">
        <f t="shared" si="3"/>
        <v>919983</v>
      </c>
      <c r="V59" s="128">
        <v>65459</v>
      </c>
      <c r="W59" s="188">
        <f t="shared" si="4"/>
        <v>1.4054339357460395E-2</v>
      </c>
    </row>
    <row r="60" spans="1:23" x14ac:dyDescent="0.25">
      <c r="A60" t="s">
        <v>519</v>
      </c>
      <c r="B60" t="s">
        <v>174</v>
      </c>
      <c r="C60" s="128">
        <f t="shared" si="0"/>
        <v>7460</v>
      </c>
      <c r="D60" s="128">
        <v>4340</v>
      </c>
      <c r="E60" s="128">
        <v>3120</v>
      </c>
      <c r="F60" s="128">
        <v>387</v>
      </c>
      <c r="G60" s="128">
        <v>0</v>
      </c>
      <c r="H60" s="128">
        <v>24</v>
      </c>
      <c r="I60" s="128">
        <v>96</v>
      </c>
      <c r="J60" s="128">
        <v>3425</v>
      </c>
      <c r="K60" s="128">
        <v>3203</v>
      </c>
      <c r="L60" s="128">
        <v>269</v>
      </c>
      <c r="M60" s="128">
        <v>0</v>
      </c>
      <c r="N60" s="128">
        <v>795</v>
      </c>
      <c r="O60" s="128">
        <v>219</v>
      </c>
      <c r="P60" s="128">
        <v>2983</v>
      </c>
      <c r="Q60" s="128">
        <f>P60*1.08</f>
        <v>3221.6400000000003</v>
      </c>
      <c r="R60" s="128">
        <v>532</v>
      </c>
      <c r="S60" s="128">
        <f t="shared" si="1"/>
        <v>7321023</v>
      </c>
      <c r="T60" s="128">
        <f t="shared" si="2"/>
        <v>-138977</v>
      </c>
      <c r="U60" s="128">
        <f t="shared" si="3"/>
        <v>0</v>
      </c>
      <c r="V60" s="128">
        <v>81020</v>
      </c>
      <c r="W60" s="188">
        <f t="shared" si="4"/>
        <v>-1.715341890891138E-3</v>
      </c>
    </row>
    <row r="61" spans="1:23" x14ac:dyDescent="0.25">
      <c r="A61" t="s">
        <v>522</v>
      </c>
      <c r="B61" t="s">
        <v>143</v>
      </c>
      <c r="C61" s="128">
        <f t="shared" si="0"/>
        <v>6514</v>
      </c>
      <c r="D61" s="128">
        <v>4166</v>
      </c>
      <c r="E61" s="128">
        <v>2348</v>
      </c>
      <c r="F61" s="128">
        <v>0</v>
      </c>
      <c r="G61" s="128">
        <v>0</v>
      </c>
      <c r="H61" s="128">
        <v>190</v>
      </c>
      <c r="I61" s="128">
        <v>132</v>
      </c>
      <c r="J61" s="128">
        <v>1465</v>
      </c>
      <c r="K61" s="128">
        <v>2720</v>
      </c>
      <c r="L61" s="128">
        <v>375</v>
      </c>
      <c r="M61" s="128">
        <v>275</v>
      </c>
      <c r="N61" s="128">
        <v>1064</v>
      </c>
      <c r="O61" s="128">
        <v>242</v>
      </c>
      <c r="P61" s="128">
        <v>3550</v>
      </c>
      <c r="Q61" s="128">
        <f>P61*1.083</f>
        <v>3844.65</v>
      </c>
      <c r="R61" s="128">
        <v>650</v>
      </c>
      <c r="S61" s="128">
        <f t="shared" si="1"/>
        <v>8773650</v>
      </c>
      <c r="T61" s="128">
        <f t="shared" si="2"/>
        <v>2259650</v>
      </c>
      <c r="U61" s="128">
        <f t="shared" si="3"/>
        <v>2259650</v>
      </c>
      <c r="V61" s="128">
        <v>67799</v>
      </c>
      <c r="W61" s="188">
        <f t="shared" si="4"/>
        <v>3.3328662664641073E-2</v>
      </c>
    </row>
    <row r="62" spans="1:23" x14ac:dyDescent="0.25">
      <c r="A62" t="s">
        <v>520</v>
      </c>
      <c r="B62" t="s">
        <v>129</v>
      </c>
      <c r="C62" s="128">
        <f t="shared" si="0"/>
        <v>3939</v>
      </c>
      <c r="D62" s="128">
        <v>2919</v>
      </c>
      <c r="E62" s="128">
        <v>1020</v>
      </c>
      <c r="F62" s="128">
        <v>0</v>
      </c>
      <c r="G62" s="128">
        <v>0</v>
      </c>
      <c r="H62" s="128">
        <v>20</v>
      </c>
      <c r="I62" s="128">
        <v>0</v>
      </c>
      <c r="J62" s="128">
        <v>1544</v>
      </c>
      <c r="K62" s="128">
        <v>1897</v>
      </c>
      <c r="L62" s="128">
        <v>179</v>
      </c>
      <c r="M62" s="128">
        <v>0</v>
      </c>
      <c r="N62" s="128">
        <v>321</v>
      </c>
      <c r="O62" s="128">
        <v>40</v>
      </c>
      <c r="P62" s="128">
        <v>1494</v>
      </c>
      <c r="Q62" s="128">
        <f>P62*1.08</f>
        <v>1613.5200000000002</v>
      </c>
      <c r="R62" s="128">
        <v>251</v>
      </c>
      <c r="S62" s="128">
        <f t="shared" si="1"/>
        <v>3610764</v>
      </c>
      <c r="T62" s="128">
        <f t="shared" si="2"/>
        <v>-328236</v>
      </c>
      <c r="U62" s="128">
        <f t="shared" si="3"/>
        <v>0</v>
      </c>
      <c r="V62" s="128">
        <v>52595</v>
      </c>
      <c r="W62" s="188">
        <f t="shared" si="4"/>
        <v>-6.2408213708527423E-3</v>
      </c>
    </row>
    <row r="63" spans="1:23" x14ac:dyDescent="0.25">
      <c r="A63" t="s">
        <v>524</v>
      </c>
      <c r="B63" t="s">
        <v>218</v>
      </c>
      <c r="C63" s="128">
        <f t="shared" ref="C63:C123" si="5">SUM(D63:E63)</f>
        <v>12279</v>
      </c>
      <c r="D63" s="128">
        <v>8537</v>
      </c>
      <c r="E63" s="128">
        <v>3742</v>
      </c>
      <c r="F63" s="128">
        <v>0</v>
      </c>
      <c r="G63" s="128">
        <v>0</v>
      </c>
      <c r="H63" s="128">
        <v>215</v>
      </c>
      <c r="I63" s="128">
        <v>405</v>
      </c>
      <c r="J63" s="128">
        <v>4582</v>
      </c>
      <c r="K63" s="128">
        <v>4163</v>
      </c>
      <c r="L63" s="128">
        <v>558</v>
      </c>
      <c r="M63" s="128">
        <v>490</v>
      </c>
      <c r="N63" s="128">
        <v>1091</v>
      </c>
      <c r="O63" s="128">
        <v>162</v>
      </c>
      <c r="P63" s="128">
        <v>8028</v>
      </c>
      <c r="Q63" s="128">
        <f>P63*1.08</f>
        <v>8670.24</v>
      </c>
      <c r="R63" s="128">
        <v>760</v>
      </c>
      <c r="S63" s="128">
        <f t="shared" si="1"/>
        <v>17272332.000000004</v>
      </c>
      <c r="T63" s="128">
        <f t="shared" si="2"/>
        <v>4993332.0000000037</v>
      </c>
      <c r="U63" s="128">
        <f t="shared" si="3"/>
        <v>4993332.0000000037</v>
      </c>
      <c r="V63" s="128">
        <v>107298</v>
      </c>
      <c r="W63" s="188">
        <f t="shared" si="4"/>
        <v>4.6537046356875278E-2</v>
      </c>
    </row>
    <row r="64" spans="1:23" x14ac:dyDescent="0.25">
      <c r="A64" t="s">
        <v>520</v>
      </c>
      <c r="B64" t="s">
        <v>529</v>
      </c>
      <c r="C64" s="128">
        <f t="shared" si="5"/>
        <v>11400</v>
      </c>
      <c r="D64" s="128">
        <v>9688</v>
      </c>
      <c r="E64" s="128">
        <v>1712</v>
      </c>
      <c r="F64" s="128">
        <v>0</v>
      </c>
      <c r="G64" s="128">
        <v>0</v>
      </c>
      <c r="H64" s="128">
        <v>2250</v>
      </c>
      <c r="I64" s="128">
        <v>70</v>
      </c>
      <c r="J64" s="128">
        <v>5076</v>
      </c>
      <c r="K64" s="128">
        <v>5876</v>
      </c>
      <c r="L64" s="128">
        <v>672</v>
      </c>
      <c r="M64" s="128">
        <v>497</v>
      </c>
      <c r="N64" s="128">
        <v>1116</v>
      </c>
      <c r="O64" s="128">
        <v>658</v>
      </c>
      <c r="P64" s="128">
        <v>5655</v>
      </c>
      <c r="Q64" s="128">
        <f>P64*1.08</f>
        <v>6107.4000000000005</v>
      </c>
      <c r="R64" s="128">
        <v>1029</v>
      </c>
      <c r="S64" s="128">
        <f t="shared" si="1"/>
        <v>13952817.000000002</v>
      </c>
      <c r="T64" s="128">
        <f t="shared" ref="T64:T125" si="6">SUM(S64,-C64*1000)</f>
        <v>2552817.0000000019</v>
      </c>
      <c r="U64" s="128">
        <f t="shared" ref="U64:U125" si="7">IF(T64&lt;0,0,T64)</f>
        <v>2552817.0000000019</v>
      </c>
      <c r="V64" s="128">
        <v>131223</v>
      </c>
      <c r="W64" s="188">
        <f t="shared" ref="W64:W126" si="8">T64/(V64*1000)</f>
        <v>1.9454036258887558E-2</v>
      </c>
    </row>
    <row r="65" spans="1:23" x14ac:dyDescent="0.25">
      <c r="A65" t="s">
        <v>524</v>
      </c>
      <c r="B65" t="s">
        <v>219</v>
      </c>
      <c r="C65" s="128">
        <f t="shared" si="5"/>
        <v>9090</v>
      </c>
      <c r="D65" s="128">
        <v>5940</v>
      </c>
      <c r="E65" s="128">
        <v>3150</v>
      </c>
      <c r="F65" s="128">
        <v>6</v>
      </c>
      <c r="G65" s="128">
        <v>110</v>
      </c>
      <c r="H65" s="128">
        <v>763</v>
      </c>
      <c r="I65" s="128">
        <v>256</v>
      </c>
      <c r="J65" s="128">
        <v>4990</v>
      </c>
      <c r="K65" s="128">
        <v>5792</v>
      </c>
      <c r="L65" s="128">
        <v>445</v>
      </c>
      <c r="M65" s="128">
        <v>60</v>
      </c>
      <c r="N65" s="128">
        <v>2005</v>
      </c>
      <c r="O65" s="128">
        <v>268</v>
      </c>
      <c r="P65" s="128">
        <v>7118</v>
      </c>
      <c r="Q65" s="128">
        <f>P65*1.08</f>
        <v>7687.4400000000005</v>
      </c>
      <c r="R65" s="128">
        <v>979</v>
      </c>
      <c r="S65" s="128">
        <f t="shared" si="1"/>
        <v>16418484</v>
      </c>
      <c r="T65" s="128">
        <f t="shared" si="6"/>
        <v>7328484</v>
      </c>
      <c r="U65" s="128">
        <f t="shared" si="7"/>
        <v>7328484</v>
      </c>
      <c r="V65" s="128">
        <v>91784</v>
      </c>
      <c r="W65" s="188">
        <f t="shared" si="8"/>
        <v>7.9844896714024227E-2</v>
      </c>
    </row>
    <row r="66" spans="1:23" x14ac:dyDescent="0.25">
      <c r="A66" t="s">
        <v>516</v>
      </c>
      <c r="B66" t="s">
        <v>117</v>
      </c>
      <c r="C66" s="128">
        <f t="shared" si="5"/>
        <v>4424</v>
      </c>
      <c r="D66" s="128">
        <v>3100</v>
      </c>
      <c r="E66" s="128">
        <v>1324</v>
      </c>
      <c r="F66" s="128">
        <v>0</v>
      </c>
      <c r="G66" s="128">
        <v>0</v>
      </c>
      <c r="H66" s="128">
        <v>514</v>
      </c>
      <c r="I66" s="128">
        <v>0</v>
      </c>
      <c r="J66" s="128">
        <v>2631</v>
      </c>
      <c r="K66" s="128">
        <v>1974</v>
      </c>
      <c r="L66" s="128">
        <v>303</v>
      </c>
      <c r="M66" s="128">
        <v>284</v>
      </c>
      <c r="N66" s="128">
        <v>614</v>
      </c>
      <c r="O66" s="128">
        <v>72</v>
      </c>
      <c r="P66" s="128">
        <v>2752</v>
      </c>
      <c r="Q66" s="128">
        <f>P66*1.079</f>
        <v>2969.4079999999999</v>
      </c>
      <c r="R66" s="128">
        <v>468</v>
      </c>
      <c r="S66" s="128">
        <f t="shared" si="1"/>
        <v>6671592</v>
      </c>
      <c r="T66" s="128">
        <f t="shared" si="6"/>
        <v>2247592</v>
      </c>
      <c r="U66" s="128">
        <f t="shared" si="7"/>
        <v>2247592</v>
      </c>
      <c r="V66" s="128">
        <v>52620</v>
      </c>
      <c r="W66" s="188">
        <f t="shared" si="8"/>
        <v>4.2713645001900419E-2</v>
      </c>
    </row>
    <row r="67" spans="1:23" x14ac:dyDescent="0.25">
      <c r="A67" t="s">
        <v>521</v>
      </c>
      <c r="B67" t="s">
        <v>290</v>
      </c>
      <c r="C67" s="128">
        <f t="shared" si="5"/>
        <v>27860</v>
      </c>
      <c r="D67" s="128">
        <v>14337</v>
      </c>
      <c r="E67" s="128">
        <v>13523</v>
      </c>
      <c r="F67" s="128">
        <v>1682</v>
      </c>
      <c r="G67" s="128">
        <v>0</v>
      </c>
      <c r="H67" s="128">
        <v>948</v>
      </c>
      <c r="I67" s="128">
        <v>237</v>
      </c>
      <c r="J67" s="128">
        <v>11879</v>
      </c>
      <c r="K67" s="128">
        <v>15220</v>
      </c>
      <c r="L67" s="128">
        <v>1247</v>
      </c>
      <c r="M67" s="128">
        <v>0</v>
      </c>
      <c r="N67" s="128">
        <v>3550</v>
      </c>
      <c r="O67" s="128">
        <v>2694</v>
      </c>
      <c r="P67" s="128">
        <v>12291</v>
      </c>
      <c r="Q67" s="128">
        <f>P67*1.083</f>
        <v>13311.153</v>
      </c>
      <c r="R67" s="128">
        <v>2743</v>
      </c>
      <c r="S67" s="128">
        <f t="shared" ref="S67:S130" si="9">SUM(P67,R67,R67)*0.1809%*1000000</f>
        <v>32158593.000000004</v>
      </c>
      <c r="T67" s="128">
        <f t="shared" si="6"/>
        <v>4298593.0000000037</v>
      </c>
      <c r="U67" s="128">
        <f t="shared" si="7"/>
        <v>4298593.0000000037</v>
      </c>
      <c r="V67" s="128">
        <v>383107</v>
      </c>
      <c r="W67" s="188">
        <f t="shared" si="8"/>
        <v>1.1220345751970087E-2</v>
      </c>
    </row>
    <row r="68" spans="1:23" x14ac:dyDescent="0.25">
      <c r="A68" t="s">
        <v>518</v>
      </c>
      <c r="B68" t="s">
        <v>247</v>
      </c>
      <c r="C68" s="128">
        <f t="shared" si="5"/>
        <v>14379</v>
      </c>
      <c r="D68" s="128">
        <v>6479</v>
      </c>
      <c r="E68" s="128">
        <v>7900</v>
      </c>
      <c r="F68" s="128">
        <v>63</v>
      </c>
      <c r="G68" s="128">
        <v>0</v>
      </c>
      <c r="H68" s="128">
        <v>1487</v>
      </c>
      <c r="I68" s="128">
        <v>0</v>
      </c>
      <c r="J68" s="128">
        <v>3936</v>
      </c>
      <c r="K68" s="128">
        <v>10578</v>
      </c>
      <c r="L68" s="128">
        <v>875</v>
      </c>
      <c r="M68" s="128">
        <v>362</v>
      </c>
      <c r="N68" s="128">
        <v>1038</v>
      </c>
      <c r="O68" s="128">
        <v>104</v>
      </c>
      <c r="P68" s="128">
        <v>4767</v>
      </c>
      <c r="Q68" s="128">
        <f>P68*1.072</f>
        <v>5110.2240000000002</v>
      </c>
      <c r="R68" s="128">
        <v>1212</v>
      </c>
      <c r="S68" s="128">
        <f t="shared" si="9"/>
        <v>13008519</v>
      </c>
      <c r="T68" s="128">
        <f t="shared" si="6"/>
        <v>-1370481</v>
      </c>
      <c r="U68" s="128">
        <f t="shared" si="7"/>
        <v>0</v>
      </c>
      <c r="V68" s="128">
        <v>196826</v>
      </c>
      <c r="W68" s="188">
        <f t="shared" si="8"/>
        <v>-6.9629063233515899E-3</v>
      </c>
    </row>
    <row r="69" spans="1:23" x14ac:dyDescent="0.25">
      <c r="A69" t="s">
        <v>517</v>
      </c>
      <c r="B69" t="s">
        <v>357</v>
      </c>
      <c r="C69" s="128">
        <f t="shared" si="5"/>
        <v>8415</v>
      </c>
      <c r="D69" s="128">
        <v>5462</v>
      </c>
      <c r="E69" s="128">
        <v>2953</v>
      </c>
      <c r="F69" s="128">
        <v>283</v>
      </c>
      <c r="G69" s="128">
        <v>0</v>
      </c>
      <c r="H69" s="128">
        <v>335</v>
      </c>
      <c r="I69" s="128">
        <v>248</v>
      </c>
      <c r="J69" s="128">
        <v>4024</v>
      </c>
      <c r="K69" s="128">
        <v>2616</v>
      </c>
      <c r="L69" s="128">
        <v>360</v>
      </c>
      <c r="M69" s="128">
        <v>75</v>
      </c>
      <c r="N69" s="128">
        <v>1209</v>
      </c>
      <c r="O69" s="128">
        <v>292</v>
      </c>
      <c r="P69" s="128">
        <v>3942</v>
      </c>
      <c r="Q69" s="128">
        <f>P69*1.079</f>
        <v>4253.4179999999997</v>
      </c>
      <c r="R69" s="128">
        <v>839</v>
      </c>
      <c r="S69" s="128">
        <f t="shared" si="9"/>
        <v>10166580</v>
      </c>
      <c r="T69" s="128">
        <f t="shared" si="6"/>
        <v>1751580</v>
      </c>
      <c r="U69" s="128">
        <f t="shared" si="7"/>
        <v>1751580</v>
      </c>
      <c r="V69" s="128">
        <v>99527</v>
      </c>
      <c r="W69" s="188">
        <f t="shared" si="8"/>
        <v>1.7599043475639776E-2</v>
      </c>
    </row>
    <row r="70" spans="1:23" x14ac:dyDescent="0.25">
      <c r="A70" t="s">
        <v>522</v>
      </c>
      <c r="B70" t="s">
        <v>144</v>
      </c>
      <c r="C70" s="128">
        <f t="shared" si="5"/>
        <v>27893</v>
      </c>
      <c r="D70" s="128">
        <v>14850</v>
      </c>
      <c r="E70" s="128">
        <v>13043</v>
      </c>
      <c r="F70" s="128">
        <v>3682</v>
      </c>
      <c r="G70" s="128">
        <v>355</v>
      </c>
      <c r="H70" s="128">
        <v>238</v>
      </c>
      <c r="I70" s="128">
        <v>336</v>
      </c>
      <c r="J70" s="128">
        <v>8402</v>
      </c>
      <c r="K70" s="128">
        <v>14195</v>
      </c>
      <c r="L70" s="128">
        <v>1265</v>
      </c>
      <c r="M70" s="128">
        <v>158</v>
      </c>
      <c r="N70" s="128">
        <v>3205</v>
      </c>
      <c r="O70" s="128">
        <v>1971</v>
      </c>
      <c r="P70" s="128">
        <v>10291</v>
      </c>
      <c r="Q70" s="128">
        <f>P70*1.083</f>
        <v>11145.153</v>
      </c>
      <c r="R70" s="128">
        <v>2003</v>
      </c>
      <c r="S70" s="128">
        <f t="shared" si="9"/>
        <v>25863273</v>
      </c>
      <c r="T70" s="128">
        <f t="shared" si="6"/>
        <v>-2029727</v>
      </c>
      <c r="U70" s="128">
        <f t="shared" si="7"/>
        <v>0</v>
      </c>
      <c r="V70" s="128">
        <v>355379</v>
      </c>
      <c r="W70" s="188">
        <f t="shared" si="8"/>
        <v>-5.7114432760517649E-3</v>
      </c>
    </row>
    <row r="71" spans="1:23" x14ac:dyDescent="0.25">
      <c r="A71" t="s">
        <v>518</v>
      </c>
      <c r="B71" t="s">
        <v>248</v>
      </c>
      <c r="C71" s="128">
        <f t="shared" si="5"/>
        <v>7150</v>
      </c>
      <c r="D71" s="128">
        <v>4200</v>
      </c>
      <c r="E71" s="128">
        <v>2950</v>
      </c>
      <c r="F71" s="128">
        <v>778</v>
      </c>
      <c r="G71" s="128">
        <v>0</v>
      </c>
      <c r="H71" s="128">
        <v>560</v>
      </c>
      <c r="I71" s="128">
        <v>65</v>
      </c>
      <c r="J71" s="128">
        <v>3287</v>
      </c>
      <c r="K71" s="128">
        <v>4419</v>
      </c>
      <c r="L71" s="128">
        <v>356</v>
      </c>
      <c r="M71" s="128">
        <v>3</v>
      </c>
      <c r="N71" s="128">
        <v>992</v>
      </c>
      <c r="O71" s="128">
        <v>113</v>
      </c>
      <c r="P71" s="128">
        <v>4765</v>
      </c>
      <c r="Q71" s="128">
        <f>P71*1.072</f>
        <v>5108.08</v>
      </c>
      <c r="R71" s="128">
        <v>665</v>
      </c>
      <c r="S71" s="128">
        <f t="shared" si="9"/>
        <v>11025855</v>
      </c>
      <c r="T71" s="128">
        <f t="shared" si="6"/>
        <v>3875855</v>
      </c>
      <c r="U71" s="128">
        <f t="shared" si="7"/>
        <v>3875855</v>
      </c>
      <c r="V71" s="128">
        <v>100196</v>
      </c>
      <c r="W71" s="188">
        <f t="shared" si="8"/>
        <v>3.8682731845582657E-2</v>
      </c>
    </row>
    <row r="72" spans="1:23" x14ac:dyDescent="0.25">
      <c r="A72" t="s">
        <v>518</v>
      </c>
      <c r="B72" t="s">
        <v>867</v>
      </c>
      <c r="C72" s="128">
        <v>18163</v>
      </c>
      <c r="D72" s="128">
        <v>9938</v>
      </c>
      <c r="E72" s="128">
        <v>8225</v>
      </c>
      <c r="F72" s="128">
        <v>254</v>
      </c>
      <c r="G72" s="128">
        <v>0</v>
      </c>
      <c r="H72" s="128">
        <v>89</v>
      </c>
      <c r="I72" s="128">
        <v>0</v>
      </c>
      <c r="J72" s="128">
        <v>10399</v>
      </c>
      <c r="K72" s="128">
        <v>9629</v>
      </c>
      <c r="L72" s="128">
        <v>916</v>
      </c>
      <c r="M72" s="128">
        <v>410</v>
      </c>
      <c r="N72" s="128">
        <v>2018</v>
      </c>
      <c r="O72" s="128">
        <v>221</v>
      </c>
      <c r="P72" s="128">
        <v>9551</v>
      </c>
      <c r="Q72" s="128">
        <v>10238.672</v>
      </c>
      <c r="R72" s="128">
        <v>1652</v>
      </c>
      <c r="S72" s="128">
        <f t="shared" si="9"/>
        <v>23254695</v>
      </c>
      <c r="T72" s="128">
        <v>6335693.6480000019</v>
      </c>
      <c r="U72" s="128">
        <v>6335693.6480000019</v>
      </c>
      <c r="V72" s="128">
        <v>236097</v>
      </c>
      <c r="W72" s="188">
        <v>2.6835129832229982E-2</v>
      </c>
    </row>
    <row r="73" spans="1:23" x14ac:dyDescent="0.25">
      <c r="A73" t="s">
        <v>522</v>
      </c>
      <c r="B73" t="s">
        <v>145</v>
      </c>
      <c r="C73" s="128">
        <f t="shared" si="5"/>
        <v>6723</v>
      </c>
      <c r="D73" s="128">
        <v>4012</v>
      </c>
      <c r="E73" s="128">
        <v>2711</v>
      </c>
      <c r="F73" s="128">
        <v>0</v>
      </c>
      <c r="G73" s="128">
        <v>102</v>
      </c>
      <c r="H73" s="128">
        <v>488</v>
      </c>
      <c r="I73" s="128">
        <v>0</v>
      </c>
      <c r="J73" s="128">
        <v>3121</v>
      </c>
      <c r="K73" s="128">
        <v>1457</v>
      </c>
      <c r="L73" s="128">
        <v>340</v>
      </c>
      <c r="M73" s="128">
        <v>0</v>
      </c>
      <c r="N73" s="128">
        <v>570</v>
      </c>
      <c r="O73" s="128">
        <v>146</v>
      </c>
      <c r="P73" s="128">
        <v>2925</v>
      </c>
      <c r="Q73" s="128">
        <f>P73*1.083</f>
        <v>3167.7750000000001</v>
      </c>
      <c r="R73" s="128">
        <v>742</v>
      </c>
      <c r="S73" s="128">
        <f t="shared" si="9"/>
        <v>7975881</v>
      </c>
      <c r="T73" s="128">
        <f t="shared" si="6"/>
        <v>1252881</v>
      </c>
      <c r="U73" s="128">
        <f t="shared" si="7"/>
        <v>1252881</v>
      </c>
      <c r="V73" s="128">
        <v>61105</v>
      </c>
      <c r="W73" s="188">
        <f t="shared" si="8"/>
        <v>2.0503739464855578E-2</v>
      </c>
    </row>
    <row r="74" spans="1:23" x14ac:dyDescent="0.25">
      <c r="A74" t="s">
        <v>519</v>
      </c>
      <c r="B74" t="s">
        <v>175</v>
      </c>
      <c r="C74" s="128">
        <f t="shared" si="5"/>
        <v>2152</v>
      </c>
      <c r="D74" s="128">
        <v>1684</v>
      </c>
      <c r="E74" s="128">
        <v>468</v>
      </c>
      <c r="F74" s="128">
        <v>578</v>
      </c>
      <c r="G74" s="128">
        <v>0</v>
      </c>
      <c r="H74" s="128">
        <v>373</v>
      </c>
      <c r="I74" s="128">
        <v>103</v>
      </c>
      <c r="J74" s="128">
        <v>1231</v>
      </c>
      <c r="K74" s="128">
        <v>1513</v>
      </c>
      <c r="L74" s="128">
        <v>135</v>
      </c>
      <c r="M74" s="128">
        <v>66</v>
      </c>
      <c r="N74" s="128">
        <v>330</v>
      </c>
      <c r="O74" s="128">
        <v>27</v>
      </c>
      <c r="P74" s="128">
        <v>1111</v>
      </c>
      <c r="Q74" s="128">
        <f>P74*1.08</f>
        <v>1199.8800000000001</v>
      </c>
      <c r="R74" s="128">
        <v>139</v>
      </c>
      <c r="S74" s="128">
        <f t="shared" si="9"/>
        <v>2512701.0000000005</v>
      </c>
      <c r="T74" s="128">
        <f t="shared" si="6"/>
        <v>360701.00000000047</v>
      </c>
      <c r="U74" s="128">
        <f t="shared" si="7"/>
        <v>360701.00000000047</v>
      </c>
      <c r="V74" s="128">
        <v>33948</v>
      </c>
      <c r="W74" s="188">
        <f t="shared" si="8"/>
        <v>1.062510309885709E-2</v>
      </c>
    </row>
    <row r="75" spans="1:23" x14ac:dyDescent="0.25">
      <c r="A75" t="s">
        <v>519</v>
      </c>
      <c r="B75" t="s">
        <v>176</v>
      </c>
      <c r="C75" s="128">
        <f t="shared" si="5"/>
        <v>13206</v>
      </c>
      <c r="D75" s="128">
        <v>7384</v>
      </c>
      <c r="E75" s="128">
        <v>5822</v>
      </c>
      <c r="F75" s="128">
        <v>3233</v>
      </c>
      <c r="G75" s="128">
        <v>0</v>
      </c>
      <c r="H75" s="128">
        <v>73</v>
      </c>
      <c r="I75" s="128">
        <v>717</v>
      </c>
      <c r="J75" s="128">
        <v>5965</v>
      </c>
      <c r="K75" s="128">
        <v>7825</v>
      </c>
      <c r="L75" s="128">
        <v>1009</v>
      </c>
      <c r="M75" s="128">
        <v>0</v>
      </c>
      <c r="N75" s="128">
        <v>1684</v>
      </c>
      <c r="O75" s="128">
        <v>609</v>
      </c>
      <c r="P75" s="128">
        <v>5797</v>
      </c>
      <c r="Q75" s="128">
        <f>P75*1.08</f>
        <v>6260.76</v>
      </c>
      <c r="R75" s="128">
        <v>1215</v>
      </c>
      <c r="S75" s="128">
        <f t="shared" si="9"/>
        <v>14882643</v>
      </c>
      <c r="T75" s="128">
        <f t="shared" si="6"/>
        <v>1676643</v>
      </c>
      <c r="U75" s="128">
        <f t="shared" si="7"/>
        <v>1676643</v>
      </c>
      <c r="V75" s="128">
        <v>231025</v>
      </c>
      <c r="W75" s="188">
        <f t="shared" si="8"/>
        <v>7.2574093712801649E-3</v>
      </c>
    </row>
    <row r="76" spans="1:23" x14ac:dyDescent="0.25">
      <c r="A76" t="s">
        <v>517</v>
      </c>
      <c r="B76" t="s">
        <v>358</v>
      </c>
      <c r="C76" s="128">
        <f t="shared" si="5"/>
        <v>5998</v>
      </c>
      <c r="D76" s="128">
        <v>4119</v>
      </c>
      <c r="E76" s="128">
        <v>1879</v>
      </c>
      <c r="F76" s="128">
        <v>0</v>
      </c>
      <c r="G76" s="128">
        <v>0</v>
      </c>
      <c r="H76" s="128">
        <v>0</v>
      </c>
      <c r="I76" s="128">
        <v>0</v>
      </c>
      <c r="J76" s="128">
        <v>2001</v>
      </c>
      <c r="K76" s="128">
        <v>3741</v>
      </c>
      <c r="L76" s="128">
        <v>313</v>
      </c>
      <c r="M76" s="128">
        <v>134</v>
      </c>
      <c r="N76" s="128">
        <v>814</v>
      </c>
      <c r="O76" s="128">
        <v>68</v>
      </c>
      <c r="P76" s="128">
        <v>2949</v>
      </c>
      <c r="Q76" s="128">
        <f>P76*1.079</f>
        <v>3181.971</v>
      </c>
      <c r="R76" s="128">
        <v>501</v>
      </c>
      <c r="S76" s="128">
        <f t="shared" si="9"/>
        <v>7147359.0000000009</v>
      </c>
      <c r="T76" s="128">
        <f t="shared" si="6"/>
        <v>1149359.0000000009</v>
      </c>
      <c r="U76" s="128">
        <f t="shared" si="7"/>
        <v>1149359.0000000009</v>
      </c>
      <c r="V76" s="128">
        <v>64186</v>
      </c>
      <c r="W76" s="188">
        <f t="shared" si="8"/>
        <v>1.7906693048328311E-2</v>
      </c>
    </row>
    <row r="77" spans="1:23" x14ac:dyDescent="0.25">
      <c r="A77" t="s">
        <v>521</v>
      </c>
      <c r="B77" t="s">
        <v>291</v>
      </c>
      <c r="C77" s="128">
        <f t="shared" si="5"/>
        <v>25064</v>
      </c>
      <c r="D77" s="128">
        <v>12663</v>
      </c>
      <c r="E77" s="128">
        <v>12401</v>
      </c>
      <c r="F77" s="128">
        <v>5760</v>
      </c>
      <c r="G77" s="128">
        <v>492</v>
      </c>
      <c r="H77" s="128">
        <v>0</v>
      </c>
      <c r="I77" s="128">
        <v>692</v>
      </c>
      <c r="J77" s="128">
        <v>12855</v>
      </c>
      <c r="K77" s="128">
        <v>15817</v>
      </c>
      <c r="L77" s="128">
        <v>1681</v>
      </c>
      <c r="M77" s="128">
        <v>2428</v>
      </c>
      <c r="N77" s="128">
        <v>3129</v>
      </c>
      <c r="O77" s="128">
        <v>1105</v>
      </c>
      <c r="P77" s="128">
        <v>11356</v>
      </c>
      <c r="Q77" s="128">
        <f>P77*1.083</f>
        <v>12298.547999999999</v>
      </c>
      <c r="R77" s="128">
        <v>2970</v>
      </c>
      <c r="S77" s="128">
        <f t="shared" si="9"/>
        <v>31288464</v>
      </c>
      <c r="T77" s="128">
        <f t="shared" si="6"/>
        <v>6224464</v>
      </c>
      <c r="U77" s="128">
        <f t="shared" si="7"/>
        <v>6224464</v>
      </c>
      <c r="V77" s="128">
        <v>510346</v>
      </c>
      <c r="W77" s="188">
        <f t="shared" si="8"/>
        <v>1.2196556845747787E-2</v>
      </c>
    </row>
    <row r="78" spans="1:23" x14ac:dyDescent="0.25">
      <c r="A78" t="s">
        <v>518</v>
      </c>
      <c r="B78" t="s">
        <v>249</v>
      </c>
      <c r="C78" s="128">
        <f t="shared" si="5"/>
        <v>2676</v>
      </c>
      <c r="D78" s="128">
        <v>2036</v>
      </c>
      <c r="E78" s="128">
        <v>640</v>
      </c>
      <c r="F78" s="128">
        <v>0</v>
      </c>
      <c r="G78" s="128">
        <v>0</v>
      </c>
      <c r="H78" s="128">
        <v>30</v>
      </c>
      <c r="I78" s="128">
        <v>0</v>
      </c>
      <c r="J78" s="128">
        <v>1458</v>
      </c>
      <c r="K78" s="128">
        <v>3024</v>
      </c>
      <c r="L78" s="128">
        <v>253</v>
      </c>
      <c r="M78" s="128">
        <v>35</v>
      </c>
      <c r="N78" s="128">
        <v>367</v>
      </c>
      <c r="O78" s="128">
        <v>69</v>
      </c>
      <c r="P78" s="128">
        <v>2283</v>
      </c>
      <c r="Q78" s="128">
        <f>P78*1.072</f>
        <v>2447.3760000000002</v>
      </c>
      <c r="R78" s="128">
        <v>296</v>
      </c>
      <c r="S78" s="128">
        <f t="shared" si="9"/>
        <v>5200875</v>
      </c>
      <c r="T78" s="128">
        <f t="shared" si="6"/>
        <v>2524875</v>
      </c>
      <c r="U78" s="128">
        <f t="shared" si="7"/>
        <v>2524875</v>
      </c>
      <c r="V78" s="128">
        <v>51553</v>
      </c>
      <c r="W78" s="188">
        <f t="shared" si="8"/>
        <v>4.897629623882218E-2</v>
      </c>
    </row>
    <row r="79" spans="1:23" x14ac:dyDescent="0.25">
      <c r="A79" t="s">
        <v>517</v>
      </c>
      <c r="B79" t="s">
        <v>359</v>
      </c>
      <c r="C79" s="128">
        <f t="shared" si="5"/>
        <v>4570</v>
      </c>
      <c r="D79" s="128">
        <v>3354</v>
      </c>
      <c r="E79" s="128">
        <v>1216</v>
      </c>
      <c r="F79" s="128">
        <v>0</v>
      </c>
      <c r="G79" s="128">
        <v>0</v>
      </c>
      <c r="H79" s="128">
        <v>117</v>
      </c>
      <c r="I79" s="128">
        <v>0</v>
      </c>
      <c r="J79" s="128">
        <v>2799</v>
      </c>
      <c r="K79" s="128">
        <v>2677</v>
      </c>
      <c r="L79" s="128">
        <v>316</v>
      </c>
      <c r="M79" s="128">
        <v>111</v>
      </c>
      <c r="N79" s="128">
        <v>775</v>
      </c>
      <c r="O79" s="128">
        <v>120</v>
      </c>
      <c r="P79" s="128">
        <v>3079</v>
      </c>
      <c r="Q79" s="128">
        <f>P79*1.079</f>
        <v>3322.241</v>
      </c>
      <c r="R79" s="128">
        <v>478</v>
      </c>
      <c r="S79" s="128">
        <f t="shared" si="9"/>
        <v>7299315</v>
      </c>
      <c r="T79" s="128">
        <f t="shared" si="6"/>
        <v>2729315</v>
      </c>
      <c r="U79" s="128">
        <f t="shared" si="7"/>
        <v>2729315</v>
      </c>
      <c r="V79" s="128">
        <v>55141</v>
      </c>
      <c r="W79" s="188">
        <f t="shared" si="8"/>
        <v>4.9497016738905712E-2</v>
      </c>
    </row>
    <row r="80" spans="1:23" x14ac:dyDescent="0.25">
      <c r="A80" t="s">
        <v>523</v>
      </c>
      <c r="B80" t="s">
        <v>430</v>
      </c>
      <c r="C80" s="128">
        <f t="shared" si="5"/>
        <v>10226</v>
      </c>
      <c r="D80" s="128">
        <v>6098</v>
      </c>
      <c r="E80" s="128">
        <v>4128</v>
      </c>
      <c r="F80" s="128">
        <v>1</v>
      </c>
      <c r="G80" s="128">
        <v>0</v>
      </c>
      <c r="H80" s="128">
        <v>1275</v>
      </c>
      <c r="I80" s="128">
        <v>193</v>
      </c>
      <c r="J80" s="128">
        <v>2520</v>
      </c>
      <c r="K80" s="128">
        <v>4722</v>
      </c>
      <c r="L80" s="128">
        <v>383</v>
      </c>
      <c r="M80" s="128">
        <v>398</v>
      </c>
      <c r="N80" s="128">
        <v>1247</v>
      </c>
      <c r="O80" s="128">
        <v>142</v>
      </c>
      <c r="P80" s="128">
        <v>3982</v>
      </c>
      <c r="Q80" s="128">
        <f>P80*1.09</f>
        <v>4340.38</v>
      </c>
      <c r="R80" s="128">
        <v>1111</v>
      </c>
      <c r="S80" s="128">
        <f t="shared" si="9"/>
        <v>11223036</v>
      </c>
      <c r="T80" s="128">
        <f t="shared" si="6"/>
        <v>997036</v>
      </c>
      <c r="U80" s="128">
        <f t="shared" si="7"/>
        <v>997036</v>
      </c>
      <c r="V80" s="128">
        <v>103468</v>
      </c>
      <c r="W80" s="188">
        <f t="shared" si="8"/>
        <v>9.63617736884834E-3</v>
      </c>
    </row>
    <row r="81" spans="1:23" x14ac:dyDescent="0.25">
      <c r="A81" t="s">
        <v>519</v>
      </c>
      <c r="B81" t="s">
        <v>177</v>
      </c>
      <c r="C81" s="128">
        <f t="shared" si="5"/>
        <v>3447</v>
      </c>
      <c r="D81" s="128">
        <v>2351</v>
      </c>
      <c r="E81" s="128">
        <v>1096</v>
      </c>
      <c r="F81" s="128">
        <v>0</v>
      </c>
      <c r="G81" s="128">
        <v>0</v>
      </c>
      <c r="H81" s="128">
        <v>0</v>
      </c>
      <c r="I81" s="128">
        <v>205</v>
      </c>
      <c r="J81" s="128">
        <v>1937</v>
      </c>
      <c r="K81" s="128">
        <v>1527</v>
      </c>
      <c r="L81" s="128">
        <v>233</v>
      </c>
      <c r="M81" s="128">
        <v>26</v>
      </c>
      <c r="N81" s="128">
        <v>473</v>
      </c>
      <c r="O81" s="128">
        <v>108</v>
      </c>
      <c r="P81" s="128">
        <v>2006</v>
      </c>
      <c r="Q81" s="128">
        <f>P81*1.08</f>
        <v>2166.48</v>
      </c>
      <c r="R81" s="128">
        <v>364</v>
      </c>
      <c r="S81" s="128">
        <f t="shared" si="9"/>
        <v>4945806</v>
      </c>
      <c r="T81" s="128">
        <f t="shared" si="6"/>
        <v>1498806</v>
      </c>
      <c r="U81" s="128">
        <f t="shared" si="7"/>
        <v>1498806</v>
      </c>
      <c r="V81" s="128">
        <v>44568</v>
      </c>
      <c r="W81" s="188">
        <f t="shared" si="8"/>
        <v>3.3629644588045238E-2</v>
      </c>
    </row>
    <row r="82" spans="1:23" x14ac:dyDescent="0.25">
      <c r="A82" t="s">
        <v>519</v>
      </c>
      <c r="B82" t="s">
        <v>178</v>
      </c>
      <c r="C82" s="128">
        <f t="shared" si="5"/>
        <v>6309</v>
      </c>
      <c r="D82" s="128">
        <v>3927</v>
      </c>
      <c r="E82" s="128">
        <v>2382</v>
      </c>
      <c r="F82" s="128">
        <v>0</v>
      </c>
      <c r="G82" s="128">
        <v>0</v>
      </c>
      <c r="H82" s="128">
        <v>172</v>
      </c>
      <c r="I82" s="128">
        <v>324</v>
      </c>
      <c r="J82" s="128">
        <v>2524</v>
      </c>
      <c r="K82" s="128">
        <v>2682</v>
      </c>
      <c r="L82" s="128">
        <v>289</v>
      </c>
      <c r="M82" s="128">
        <v>57</v>
      </c>
      <c r="N82" s="128">
        <v>766</v>
      </c>
      <c r="O82" s="128">
        <v>129</v>
      </c>
      <c r="P82" s="128">
        <v>2570</v>
      </c>
      <c r="Q82" s="128">
        <f>P82*1.08</f>
        <v>2775.6000000000004</v>
      </c>
      <c r="R82" s="128">
        <v>766</v>
      </c>
      <c r="S82" s="128">
        <f t="shared" si="9"/>
        <v>7420518</v>
      </c>
      <c r="T82" s="128">
        <f t="shared" si="6"/>
        <v>1111518</v>
      </c>
      <c r="U82" s="128">
        <f t="shared" si="7"/>
        <v>1111518</v>
      </c>
      <c r="V82" s="128">
        <v>61671</v>
      </c>
      <c r="W82" s="188">
        <f t="shared" si="8"/>
        <v>1.8023349710560879E-2</v>
      </c>
    </row>
    <row r="83" spans="1:23" x14ac:dyDescent="0.25">
      <c r="A83" t="s">
        <v>526</v>
      </c>
      <c r="B83" t="s">
        <v>403</v>
      </c>
      <c r="C83" s="128">
        <f t="shared" si="5"/>
        <v>6780</v>
      </c>
      <c r="D83" s="128">
        <v>4374</v>
      </c>
      <c r="E83" s="128">
        <v>2406</v>
      </c>
      <c r="F83" s="128">
        <v>0</v>
      </c>
      <c r="G83" s="128">
        <v>0</v>
      </c>
      <c r="H83" s="128">
        <v>342</v>
      </c>
      <c r="I83" s="128">
        <v>175</v>
      </c>
      <c r="J83" s="128">
        <v>4209</v>
      </c>
      <c r="K83" s="128">
        <v>2859</v>
      </c>
      <c r="L83" s="128">
        <v>523</v>
      </c>
      <c r="M83" s="128">
        <v>51</v>
      </c>
      <c r="N83" s="128">
        <v>717</v>
      </c>
      <c r="O83" s="128">
        <v>128</v>
      </c>
      <c r="P83" s="128">
        <v>3361</v>
      </c>
      <c r="Q83" s="128">
        <f>P83*1.086</f>
        <v>3650.0460000000003</v>
      </c>
      <c r="R83" s="128">
        <v>603</v>
      </c>
      <c r="S83" s="128">
        <f t="shared" si="9"/>
        <v>8261703.0000000009</v>
      </c>
      <c r="T83" s="128">
        <f t="shared" si="6"/>
        <v>1481703.0000000009</v>
      </c>
      <c r="U83" s="128">
        <f t="shared" si="7"/>
        <v>1481703.0000000009</v>
      </c>
      <c r="V83" s="128">
        <v>75912</v>
      </c>
      <c r="W83" s="188">
        <f t="shared" si="8"/>
        <v>1.9518692696806842E-2</v>
      </c>
    </row>
    <row r="84" spans="1:23" x14ac:dyDescent="0.25">
      <c r="A84" t="s">
        <v>518</v>
      </c>
      <c r="B84" t="s">
        <v>250</v>
      </c>
      <c r="C84" s="128">
        <f t="shared" si="5"/>
        <v>6240</v>
      </c>
      <c r="D84" s="128">
        <v>4226</v>
      </c>
      <c r="E84" s="128">
        <v>2014</v>
      </c>
      <c r="F84" s="128">
        <v>148</v>
      </c>
      <c r="G84" s="128">
        <v>0</v>
      </c>
      <c r="H84" s="128">
        <v>1029</v>
      </c>
      <c r="I84" s="128">
        <v>133</v>
      </c>
      <c r="J84" s="128">
        <v>3498</v>
      </c>
      <c r="K84" s="128">
        <v>4717</v>
      </c>
      <c r="L84" s="128">
        <v>315</v>
      </c>
      <c r="M84" s="128">
        <v>98</v>
      </c>
      <c r="N84" s="128">
        <v>956</v>
      </c>
      <c r="O84" s="128">
        <v>1274</v>
      </c>
      <c r="P84" s="128">
        <v>4603</v>
      </c>
      <c r="Q84" s="128">
        <f>P84*1.072</f>
        <v>4934.4160000000002</v>
      </c>
      <c r="R84" s="128">
        <v>674</v>
      </c>
      <c r="S84" s="128">
        <f t="shared" si="9"/>
        <v>10765359</v>
      </c>
      <c r="T84" s="128">
        <f t="shared" si="6"/>
        <v>4525359</v>
      </c>
      <c r="U84" s="128">
        <f t="shared" si="7"/>
        <v>4525359</v>
      </c>
      <c r="V84" s="128">
        <v>80572</v>
      </c>
      <c r="W84" s="188">
        <f t="shared" si="8"/>
        <v>5.6165404855284713E-2</v>
      </c>
    </row>
    <row r="85" spans="1:23" x14ac:dyDescent="0.25">
      <c r="A85" t="s">
        <v>519</v>
      </c>
      <c r="B85" t="s">
        <v>179</v>
      </c>
      <c r="C85" s="128">
        <f t="shared" si="5"/>
        <v>25631</v>
      </c>
      <c r="D85" s="128">
        <v>14450</v>
      </c>
      <c r="E85" s="128">
        <v>11181</v>
      </c>
      <c r="F85" s="128">
        <v>1482</v>
      </c>
      <c r="G85" s="128">
        <v>0</v>
      </c>
      <c r="H85" s="128">
        <v>2197</v>
      </c>
      <c r="I85" s="128">
        <v>368</v>
      </c>
      <c r="J85" s="128">
        <v>10951</v>
      </c>
      <c r="K85" s="128">
        <v>10914</v>
      </c>
      <c r="L85" s="128">
        <v>2005</v>
      </c>
      <c r="M85" s="128">
        <v>1178</v>
      </c>
      <c r="N85" s="128">
        <v>3471</v>
      </c>
      <c r="O85" s="128">
        <v>1082</v>
      </c>
      <c r="P85" s="128">
        <v>13640</v>
      </c>
      <c r="Q85" s="128">
        <f>P85*1.08</f>
        <v>14731.2</v>
      </c>
      <c r="R85" s="128">
        <v>3223</v>
      </c>
      <c r="S85" s="128">
        <f t="shared" si="9"/>
        <v>36335574</v>
      </c>
      <c r="T85" s="128">
        <f t="shared" si="6"/>
        <v>10704574</v>
      </c>
      <c r="U85" s="128">
        <f t="shared" si="7"/>
        <v>10704574</v>
      </c>
      <c r="V85" s="128">
        <v>381126</v>
      </c>
      <c r="W85" s="188">
        <f t="shared" si="8"/>
        <v>2.8086706233634021E-2</v>
      </c>
    </row>
    <row r="86" spans="1:23" x14ac:dyDescent="0.25">
      <c r="A86" t="s">
        <v>524</v>
      </c>
      <c r="B86" t="s">
        <v>220</v>
      </c>
      <c r="C86" s="128">
        <f t="shared" si="5"/>
        <v>2370</v>
      </c>
      <c r="D86" s="128">
        <v>1746</v>
      </c>
      <c r="E86" s="128">
        <v>624</v>
      </c>
      <c r="F86" s="128">
        <v>0</v>
      </c>
      <c r="G86" s="128">
        <v>0</v>
      </c>
      <c r="H86" s="128">
        <v>105</v>
      </c>
      <c r="I86" s="128">
        <v>72</v>
      </c>
      <c r="J86" s="128">
        <v>880</v>
      </c>
      <c r="K86" s="128">
        <v>1205</v>
      </c>
      <c r="L86" s="128">
        <v>125</v>
      </c>
      <c r="M86" s="128">
        <v>15</v>
      </c>
      <c r="N86" s="128">
        <v>758</v>
      </c>
      <c r="O86" s="128">
        <v>77</v>
      </c>
      <c r="P86" s="128">
        <v>1489</v>
      </c>
      <c r="Q86" s="128">
        <f>P86*1.08</f>
        <v>1608.1200000000001</v>
      </c>
      <c r="R86" s="128">
        <v>189</v>
      </c>
      <c r="S86" s="128">
        <f t="shared" si="9"/>
        <v>3377403</v>
      </c>
      <c r="T86" s="128">
        <f t="shared" si="6"/>
        <v>1007403</v>
      </c>
      <c r="U86" s="128">
        <f t="shared" si="7"/>
        <v>1007403</v>
      </c>
      <c r="V86" s="128">
        <v>26981</v>
      </c>
      <c r="W86" s="188">
        <f t="shared" si="8"/>
        <v>3.7337496756977132E-2</v>
      </c>
    </row>
    <row r="87" spans="1:23" x14ac:dyDescent="0.25">
      <c r="A87" t="s">
        <v>525</v>
      </c>
      <c r="B87" t="s">
        <v>754</v>
      </c>
      <c r="C87" s="128">
        <v>17029</v>
      </c>
      <c r="D87" s="128">
        <v>6732</v>
      </c>
      <c r="E87" s="128">
        <v>10297</v>
      </c>
      <c r="F87" s="128">
        <v>0</v>
      </c>
      <c r="G87" s="128">
        <v>311</v>
      </c>
      <c r="H87" s="128">
        <v>112</v>
      </c>
      <c r="I87" s="128">
        <v>392</v>
      </c>
      <c r="J87" s="128">
        <v>6076</v>
      </c>
      <c r="K87" s="128">
        <v>5384</v>
      </c>
      <c r="L87" s="128">
        <v>432</v>
      </c>
      <c r="M87" s="128">
        <v>335</v>
      </c>
      <c r="N87" s="128">
        <v>3235</v>
      </c>
      <c r="O87" s="128">
        <v>245</v>
      </c>
      <c r="P87" s="128">
        <v>4514</v>
      </c>
      <c r="Q87" s="128">
        <v>3180</v>
      </c>
      <c r="R87" s="128">
        <v>1334</v>
      </c>
      <c r="S87" s="128">
        <f t="shared" si="9"/>
        <v>12992238</v>
      </c>
      <c r="T87" s="128">
        <v>-6192656.0000000019</v>
      </c>
      <c r="U87" s="128">
        <v>0</v>
      </c>
      <c r="V87" s="128">
        <v>232152</v>
      </c>
      <c r="W87" s="188">
        <v>-2.6675006030531728E-2</v>
      </c>
    </row>
    <row r="88" spans="1:23" x14ac:dyDescent="0.25">
      <c r="A88" t="s">
        <v>517</v>
      </c>
      <c r="B88" t="s">
        <v>360</v>
      </c>
      <c r="C88" s="128">
        <f t="shared" si="5"/>
        <v>3999</v>
      </c>
      <c r="D88" s="128">
        <v>2523</v>
      </c>
      <c r="E88" s="128">
        <v>1476</v>
      </c>
      <c r="F88" s="128">
        <v>0</v>
      </c>
      <c r="G88" s="128">
        <v>0</v>
      </c>
      <c r="H88" s="128">
        <v>460</v>
      </c>
      <c r="I88" s="128">
        <v>84</v>
      </c>
      <c r="J88" s="128">
        <v>2156</v>
      </c>
      <c r="K88" s="128">
        <v>1108</v>
      </c>
      <c r="L88" s="128">
        <v>187</v>
      </c>
      <c r="M88" s="128">
        <v>0</v>
      </c>
      <c r="N88" s="128">
        <v>633</v>
      </c>
      <c r="O88" s="128">
        <v>200</v>
      </c>
      <c r="P88" s="128">
        <v>2686</v>
      </c>
      <c r="Q88" s="128">
        <f>P88*1.079</f>
        <v>2898.194</v>
      </c>
      <c r="R88" s="128">
        <v>498</v>
      </c>
      <c r="S88" s="128">
        <f t="shared" si="9"/>
        <v>6660738</v>
      </c>
      <c r="T88" s="128">
        <f t="shared" si="6"/>
        <v>2661738</v>
      </c>
      <c r="U88" s="128">
        <f t="shared" si="7"/>
        <v>2661738</v>
      </c>
      <c r="V88" s="128">
        <v>45403</v>
      </c>
      <c r="W88" s="188">
        <f t="shared" si="8"/>
        <v>5.8624716428429841E-2</v>
      </c>
    </row>
    <row r="89" spans="1:23" x14ac:dyDescent="0.25">
      <c r="A89" t="s">
        <v>526</v>
      </c>
      <c r="B89" t="s">
        <v>404</v>
      </c>
      <c r="C89" s="128">
        <f t="shared" si="5"/>
        <v>5427</v>
      </c>
      <c r="D89" s="128">
        <v>4386</v>
      </c>
      <c r="E89" s="128">
        <v>1041</v>
      </c>
      <c r="F89" s="128">
        <v>0</v>
      </c>
      <c r="G89" s="128">
        <v>0</v>
      </c>
      <c r="H89" s="128">
        <v>599</v>
      </c>
      <c r="I89" s="128">
        <v>165</v>
      </c>
      <c r="J89" s="128">
        <v>3356</v>
      </c>
      <c r="K89" s="128">
        <v>3031</v>
      </c>
      <c r="L89" s="128">
        <v>306</v>
      </c>
      <c r="M89" s="128">
        <v>97</v>
      </c>
      <c r="N89" s="128">
        <v>665</v>
      </c>
      <c r="O89" s="128">
        <v>34</v>
      </c>
      <c r="P89" s="128">
        <v>3145</v>
      </c>
      <c r="Q89" s="128">
        <f>P89*1.086</f>
        <v>3415.4700000000003</v>
      </c>
      <c r="R89" s="128">
        <v>393</v>
      </c>
      <c r="S89" s="128">
        <f t="shared" si="9"/>
        <v>7111179</v>
      </c>
      <c r="T89" s="128">
        <f t="shared" si="6"/>
        <v>1684179</v>
      </c>
      <c r="U89" s="128">
        <f t="shared" si="7"/>
        <v>1684179</v>
      </c>
      <c r="V89" s="128">
        <v>58521</v>
      </c>
      <c r="W89" s="188">
        <f t="shared" si="8"/>
        <v>2.8779053673040449E-2</v>
      </c>
    </row>
    <row r="90" spans="1:23" x14ac:dyDescent="0.25">
      <c r="A90" t="s">
        <v>517</v>
      </c>
      <c r="B90" t="s">
        <v>361</v>
      </c>
      <c r="C90" s="128">
        <f t="shared" si="5"/>
        <v>77192</v>
      </c>
      <c r="D90" s="128">
        <v>36299</v>
      </c>
      <c r="E90" s="128">
        <v>40893</v>
      </c>
      <c r="F90" s="128">
        <v>15223</v>
      </c>
      <c r="G90" s="128">
        <v>787</v>
      </c>
      <c r="H90" s="128">
        <v>2838</v>
      </c>
      <c r="I90" s="128">
        <v>1028</v>
      </c>
      <c r="J90" s="128">
        <v>19901</v>
      </c>
      <c r="K90" s="128">
        <v>27531</v>
      </c>
      <c r="L90" s="128">
        <v>2603</v>
      </c>
      <c r="M90" s="128">
        <v>648</v>
      </c>
      <c r="N90" s="128">
        <v>7190</v>
      </c>
      <c r="O90" s="128">
        <v>2397</v>
      </c>
      <c r="P90" s="128">
        <v>30406</v>
      </c>
      <c r="Q90" s="128">
        <f>P90*1.079</f>
        <v>32808.074000000001</v>
      </c>
      <c r="R90" s="128">
        <v>8251</v>
      </c>
      <c r="S90" s="128">
        <f t="shared" si="9"/>
        <v>84856572</v>
      </c>
      <c r="T90" s="128">
        <f t="shared" si="6"/>
        <v>7664572</v>
      </c>
      <c r="U90" s="128">
        <f t="shared" si="7"/>
        <v>7664572</v>
      </c>
      <c r="V90" s="128">
        <v>915847</v>
      </c>
      <c r="W90" s="188">
        <f t="shared" si="8"/>
        <v>8.3688345324055211E-3</v>
      </c>
    </row>
    <row r="91" spans="1:23" x14ac:dyDescent="0.25">
      <c r="A91" t="s">
        <v>519</v>
      </c>
      <c r="B91" s="86" t="s">
        <v>180</v>
      </c>
      <c r="C91" s="128">
        <f t="shared" si="5"/>
        <v>4063</v>
      </c>
      <c r="D91" s="128">
        <v>2623</v>
      </c>
      <c r="E91" s="128">
        <v>1440</v>
      </c>
      <c r="F91" s="128">
        <v>35</v>
      </c>
      <c r="G91" s="128">
        <v>0</v>
      </c>
      <c r="H91" s="128">
        <v>307</v>
      </c>
      <c r="I91" s="128">
        <v>54</v>
      </c>
      <c r="J91" s="128">
        <v>2230</v>
      </c>
      <c r="K91" s="128">
        <v>2199</v>
      </c>
      <c r="L91" s="128">
        <v>305</v>
      </c>
      <c r="M91" s="128">
        <v>498</v>
      </c>
      <c r="N91" s="128">
        <v>552</v>
      </c>
      <c r="O91" s="128">
        <v>149</v>
      </c>
      <c r="P91" s="128">
        <v>2472</v>
      </c>
      <c r="Q91" s="128">
        <f>P91*1.08</f>
        <v>2669.76</v>
      </c>
      <c r="R91" s="128">
        <v>485</v>
      </c>
      <c r="S91" s="128">
        <f t="shared" si="9"/>
        <v>6226578</v>
      </c>
      <c r="T91" s="128">
        <f t="shared" si="6"/>
        <v>2163578</v>
      </c>
      <c r="U91" s="128">
        <f t="shared" si="7"/>
        <v>2163578</v>
      </c>
      <c r="V91" s="128">
        <v>54095</v>
      </c>
      <c r="W91" s="188">
        <f t="shared" si="8"/>
        <v>3.9995896108697665E-2</v>
      </c>
    </row>
    <row r="92" spans="1:23" x14ac:dyDescent="0.25">
      <c r="A92" t="s">
        <v>516</v>
      </c>
      <c r="B92" t="s">
        <v>110</v>
      </c>
      <c r="C92" s="128">
        <f t="shared" si="5"/>
        <v>27938</v>
      </c>
      <c r="D92" s="128">
        <v>16491</v>
      </c>
      <c r="E92" s="128">
        <v>11447</v>
      </c>
      <c r="F92" s="128">
        <v>4194</v>
      </c>
      <c r="G92" s="128">
        <v>0</v>
      </c>
      <c r="H92" s="128">
        <v>583</v>
      </c>
      <c r="I92" s="128">
        <v>318</v>
      </c>
      <c r="J92" s="128">
        <v>10216</v>
      </c>
      <c r="K92" s="128">
        <v>13777</v>
      </c>
      <c r="L92" s="128">
        <v>1143</v>
      </c>
      <c r="M92" s="128">
        <v>743</v>
      </c>
      <c r="N92" s="128">
        <v>2991</v>
      </c>
      <c r="O92" s="128">
        <v>546</v>
      </c>
      <c r="P92" s="128">
        <v>8505</v>
      </c>
      <c r="Q92" s="128">
        <f>P92*1.079</f>
        <v>9176.8950000000004</v>
      </c>
      <c r="R92" s="128">
        <v>1934</v>
      </c>
      <c r="S92" s="128">
        <f t="shared" si="9"/>
        <v>22382757</v>
      </c>
      <c r="T92" s="128">
        <f t="shared" si="6"/>
        <v>-5555243</v>
      </c>
      <c r="U92" s="128">
        <f t="shared" si="7"/>
        <v>0</v>
      </c>
      <c r="V92" s="128">
        <v>424863</v>
      </c>
      <c r="W92" s="188">
        <f t="shared" si="8"/>
        <v>-1.3075374885551343E-2</v>
      </c>
    </row>
    <row r="93" spans="1:23" x14ac:dyDescent="0.25">
      <c r="A93" t="s">
        <v>518</v>
      </c>
      <c r="B93" t="s">
        <v>251</v>
      </c>
      <c r="C93" s="128">
        <f t="shared" si="5"/>
        <v>4316</v>
      </c>
      <c r="D93" s="128">
        <v>1967</v>
      </c>
      <c r="E93" s="128">
        <v>2349</v>
      </c>
      <c r="F93" s="128">
        <v>153</v>
      </c>
      <c r="G93" s="128">
        <v>0</v>
      </c>
      <c r="H93" s="128">
        <v>651</v>
      </c>
      <c r="I93" s="128">
        <v>2</v>
      </c>
      <c r="J93" s="128">
        <v>1765</v>
      </c>
      <c r="K93" s="128">
        <v>3147</v>
      </c>
      <c r="L93" s="128">
        <v>219</v>
      </c>
      <c r="M93" s="128">
        <v>238</v>
      </c>
      <c r="N93" s="128">
        <v>414</v>
      </c>
      <c r="O93" s="128">
        <v>635</v>
      </c>
      <c r="P93" s="128">
        <v>1921</v>
      </c>
      <c r="Q93" s="128">
        <f>P93*1.072</f>
        <v>2059.3119999999999</v>
      </c>
      <c r="R93" s="128">
        <v>407</v>
      </c>
      <c r="S93" s="128">
        <f t="shared" si="9"/>
        <v>4947615</v>
      </c>
      <c r="T93" s="128">
        <f t="shared" si="6"/>
        <v>631615</v>
      </c>
      <c r="U93" s="128">
        <f t="shared" si="7"/>
        <v>631615</v>
      </c>
      <c r="V93" s="128">
        <v>53615</v>
      </c>
      <c r="W93" s="188">
        <f t="shared" si="8"/>
        <v>1.1780565140352514E-2</v>
      </c>
    </row>
    <row r="94" spans="1:23" x14ac:dyDescent="0.25">
      <c r="A94" t="s">
        <v>522</v>
      </c>
      <c r="B94" t="s">
        <v>146</v>
      </c>
      <c r="C94" s="128">
        <f t="shared" si="5"/>
        <v>51370</v>
      </c>
      <c r="D94" s="128">
        <v>22320</v>
      </c>
      <c r="E94" s="128">
        <v>29050</v>
      </c>
      <c r="F94" s="128">
        <v>4696</v>
      </c>
      <c r="G94" s="128">
        <v>0</v>
      </c>
      <c r="H94" s="128">
        <v>600</v>
      </c>
      <c r="I94" s="128">
        <v>1067</v>
      </c>
      <c r="J94" s="128">
        <v>20463</v>
      </c>
      <c r="K94" s="128">
        <v>18645</v>
      </c>
      <c r="L94" s="128">
        <v>2034</v>
      </c>
      <c r="M94" s="128">
        <v>555</v>
      </c>
      <c r="N94" s="128">
        <v>3525</v>
      </c>
      <c r="O94" s="128">
        <v>295</v>
      </c>
      <c r="P94" s="128">
        <v>14362</v>
      </c>
      <c r="Q94" s="128">
        <f>P94*1.083</f>
        <v>15554.046</v>
      </c>
      <c r="R94" s="128">
        <v>3539</v>
      </c>
      <c r="S94" s="128">
        <f t="shared" si="9"/>
        <v>38784960</v>
      </c>
      <c r="T94" s="128">
        <f t="shared" si="6"/>
        <v>-12585040</v>
      </c>
      <c r="U94" s="128">
        <f t="shared" si="7"/>
        <v>0</v>
      </c>
      <c r="V94" s="128">
        <v>710674</v>
      </c>
      <c r="W94" s="188">
        <f t="shared" si="8"/>
        <v>-1.7708597753681717E-2</v>
      </c>
    </row>
    <row r="95" spans="1:23" x14ac:dyDescent="0.25">
      <c r="A95" t="s">
        <v>519</v>
      </c>
      <c r="B95" t="s">
        <v>181</v>
      </c>
      <c r="C95" s="128">
        <f t="shared" si="5"/>
        <v>6047</v>
      </c>
      <c r="D95" s="128">
        <v>4490</v>
      </c>
      <c r="E95" s="128">
        <v>1557</v>
      </c>
      <c r="F95" s="128">
        <v>0</v>
      </c>
      <c r="G95" s="128">
        <v>0</v>
      </c>
      <c r="H95" s="128">
        <v>1091</v>
      </c>
      <c r="I95" s="128">
        <v>-686</v>
      </c>
      <c r="J95" s="128">
        <v>2846</v>
      </c>
      <c r="K95" s="128">
        <v>4180</v>
      </c>
      <c r="L95" s="128">
        <v>404</v>
      </c>
      <c r="M95" s="128">
        <v>792</v>
      </c>
      <c r="N95" s="128">
        <v>707</v>
      </c>
      <c r="O95" s="128">
        <v>163</v>
      </c>
      <c r="P95" s="128">
        <v>4516</v>
      </c>
      <c r="Q95" s="128">
        <f>P95*1.08</f>
        <v>4877.2800000000007</v>
      </c>
      <c r="R95" s="128">
        <v>688</v>
      </c>
      <c r="S95" s="128">
        <f t="shared" si="9"/>
        <v>10658628</v>
      </c>
      <c r="T95" s="128">
        <f t="shared" si="6"/>
        <v>4611628</v>
      </c>
      <c r="U95" s="128">
        <f t="shared" si="7"/>
        <v>4611628</v>
      </c>
      <c r="V95" s="128">
        <v>80153</v>
      </c>
      <c r="W95" s="188">
        <f t="shared" si="8"/>
        <v>5.7535313712524794E-2</v>
      </c>
    </row>
    <row r="96" spans="1:23" x14ac:dyDescent="0.25">
      <c r="A96" t="s">
        <v>519</v>
      </c>
      <c r="B96" t="s">
        <v>182</v>
      </c>
      <c r="C96" s="128">
        <f t="shared" si="5"/>
        <v>8704</v>
      </c>
      <c r="D96" s="128">
        <v>5403</v>
      </c>
      <c r="E96" s="128">
        <v>3301</v>
      </c>
      <c r="F96" s="128">
        <v>0</v>
      </c>
      <c r="G96" s="128">
        <v>0</v>
      </c>
      <c r="H96" s="128">
        <v>1969</v>
      </c>
      <c r="I96" s="128">
        <v>57</v>
      </c>
      <c r="J96" s="128">
        <v>2937</v>
      </c>
      <c r="K96" s="128">
        <v>2083</v>
      </c>
      <c r="L96" s="128">
        <v>474</v>
      </c>
      <c r="M96" s="128">
        <v>398</v>
      </c>
      <c r="N96" s="128">
        <v>771</v>
      </c>
      <c r="O96" s="128">
        <v>54</v>
      </c>
      <c r="P96" s="128">
        <v>3509</v>
      </c>
      <c r="Q96" s="128">
        <f>P96*1.08</f>
        <v>3789.7200000000003</v>
      </c>
      <c r="R96" s="128">
        <v>712</v>
      </c>
      <c r="S96" s="128">
        <f t="shared" si="9"/>
        <v>8923797</v>
      </c>
      <c r="T96" s="128">
        <f t="shared" si="6"/>
        <v>219797</v>
      </c>
      <c r="U96" s="128">
        <f t="shared" si="7"/>
        <v>219797</v>
      </c>
      <c r="V96" s="128">
        <v>76989</v>
      </c>
      <c r="W96" s="188">
        <f t="shared" si="8"/>
        <v>2.8549143384119808E-3</v>
      </c>
    </row>
    <row r="97" spans="1:23" x14ac:dyDescent="0.25">
      <c r="A97" t="s">
        <v>517</v>
      </c>
      <c r="B97" t="s">
        <v>362</v>
      </c>
      <c r="C97" s="128">
        <f t="shared" si="5"/>
        <v>8750</v>
      </c>
      <c r="D97" s="128">
        <v>5145</v>
      </c>
      <c r="E97" s="128">
        <v>3605</v>
      </c>
      <c r="F97" s="128">
        <v>1122</v>
      </c>
      <c r="G97" s="128">
        <v>0</v>
      </c>
      <c r="H97" s="128">
        <v>0</v>
      </c>
      <c r="I97" s="128">
        <v>237</v>
      </c>
      <c r="J97" s="128">
        <v>4064</v>
      </c>
      <c r="K97" s="128">
        <v>6453</v>
      </c>
      <c r="L97" s="128">
        <v>617</v>
      </c>
      <c r="M97" s="128">
        <v>92</v>
      </c>
      <c r="N97" s="128">
        <v>899</v>
      </c>
      <c r="O97" s="128">
        <v>2212</v>
      </c>
      <c r="P97" s="128">
        <v>5081</v>
      </c>
      <c r="Q97" s="128">
        <f>P97*1.079</f>
        <v>5482.3989999999994</v>
      </c>
      <c r="R97" s="128">
        <v>1138</v>
      </c>
      <c r="S97" s="128">
        <f t="shared" si="9"/>
        <v>13308813</v>
      </c>
      <c r="T97" s="128">
        <f t="shared" si="6"/>
        <v>4558813</v>
      </c>
      <c r="U97" s="128">
        <f t="shared" si="7"/>
        <v>4558813</v>
      </c>
      <c r="V97" s="128">
        <v>124064</v>
      </c>
      <c r="W97" s="188">
        <f t="shared" si="8"/>
        <v>3.6745655468145476E-2</v>
      </c>
    </row>
    <row r="98" spans="1:23" x14ac:dyDescent="0.25">
      <c r="A98" t="s">
        <v>517</v>
      </c>
      <c r="B98" t="s">
        <v>363</v>
      </c>
      <c r="C98" s="128">
        <f t="shared" si="5"/>
        <v>6686</v>
      </c>
      <c r="D98" s="128">
        <v>2887</v>
      </c>
      <c r="E98" s="128">
        <v>3799</v>
      </c>
      <c r="F98" s="128">
        <v>0</v>
      </c>
      <c r="G98" s="128">
        <v>0</v>
      </c>
      <c r="H98" s="128">
        <v>38</v>
      </c>
      <c r="I98" s="128">
        <v>90</v>
      </c>
      <c r="J98" s="128">
        <v>2330</v>
      </c>
      <c r="K98" s="128">
        <v>2234</v>
      </c>
      <c r="L98" s="128">
        <v>225</v>
      </c>
      <c r="M98" s="128">
        <v>48</v>
      </c>
      <c r="N98" s="128">
        <v>405</v>
      </c>
      <c r="O98" s="128">
        <v>22</v>
      </c>
      <c r="P98" s="128">
        <v>2309</v>
      </c>
      <c r="Q98" s="128">
        <f>P98*1.079</f>
        <v>2491.4110000000001</v>
      </c>
      <c r="R98" s="128">
        <v>609</v>
      </c>
      <c r="S98" s="128">
        <f t="shared" si="9"/>
        <v>6380343</v>
      </c>
      <c r="T98" s="128">
        <f t="shared" si="6"/>
        <v>-305657</v>
      </c>
      <c r="U98" s="128">
        <f t="shared" si="7"/>
        <v>0</v>
      </c>
      <c r="V98" s="128">
        <v>52336</v>
      </c>
      <c r="W98" s="188">
        <f t="shared" si="8"/>
        <v>-5.8402820238459188E-3</v>
      </c>
    </row>
    <row r="99" spans="1:23" x14ac:dyDescent="0.25">
      <c r="A99" t="s">
        <v>517</v>
      </c>
      <c r="B99" t="s">
        <v>364</v>
      </c>
      <c r="C99" s="128">
        <f t="shared" si="5"/>
        <v>5944</v>
      </c>
      <c r="D99" s="128">
        <v>4115</v>
      </c>
      <c r="E99" s="128">
        <v>1829</v>
      </c>
      <c r="F99" s="128">
        <v>398</v>
      </c>
      <c r="G99" s="128">
        <v>0</v>
      </c>
      <c r="H99" s="128">
        <v>470</v>
      </c>
      <c r="I99" s="128">
        <v>324</v>
      </c>
      <c r="J99" s="128">
        <v>4023</v>
      </c>
      <c r="K99" s="128">
        <v>4234</v>
      </c>
      <c r="L99" s="128">
        <v>511</v>
      </c>
      <c r="M99" s="128">
        <v>0</v>
      </c>
      <c r="N99" s="128">
        <v>835</v>
      </c>
      <c r="O99" s="128">
        <v>61</v>
      </c>
      <c r="P99" s="128">
        <v>4905</v>
      </c>
      <c r="Q99" s="128">
        <f>P99*1.079</f>
        <v>5292.4949999999999</v>
      </c>
      <c r="R99" s="128">
        <v>619</v>
      </c>
      <c r="S99" s="128">
        <f t="shared" si="9"/>
        <v>11112687.000000002</v>
      </c>
      <c r="T99" s="128">
        <f t="shared" si="6"/>
        <v>5168687.0000000019</v>
      </c>
      <c r="U99" s="128">
        <f t="shared" si="7"/>
        <v>5168687.0000000019</v>
      </c>
      <c r="V99" s="128">
        <v>113244</v>
      </c>
      <c r="W99" s="188">
        <f t="shared" si="8"/>
        <v>4.5642038430292131E-2</v>
      </c>
    </row>
    <row r="100" spans="1:23" x14ac:dyDescent="0.25">
      <c r="A100" t="s">
        <v>517</v>
      </c>
      <c r="B100" t="s">
        <v>365</v>
      </c>
      <c r="C100" s="128">
        <f t="shared" si="5"/>
        <v>8882</v>
      </c>
      <c r="D100" s="128">
        <v>5813</v>
      </c>
      <c r="E100" s="128">
        <v>3069</v>
      </c>
      <c r="F100" s="128">
        <v>0</v>
      </c>
      <c r="G100" s="128">
        <v>0</v>
      </c>
      <c r="H100" s="128">
        <v>151</v>
      </c>
      <c r="I100" s="128">
        <v>224</v>
      </c>
      <c r="J100" s="128">
        <v>2503</v>
      </c>
      <c r="K100" s="128">
        <v>3034</v>
      </c>
      <c r="L100" s="128">
        <v>352</v>
      </c>
      <c r="M100" s="128">
        <v>0</v>
      </c>
      <c r="N100" s="128">
        <v>996</v>
      </c>
      <c r="O100" s="128">
        <v>248</v>
      </c>
      <c r="P100" s="128">
        <v>3652</v>
      </c>
      <c r="Q100" s="128">
        <f>P100*1.079</f>
        <v>3940.5079999999998</v>
      </c>
      <c r="R100" s="128">
        <v>669</v>
      </c>
      <c r="S100" s="128">
        <f t="shared" si="9"/>
        <v>9026910</v>
      </c>
      <c r="T100" s="128">
        <f t="shared" si="6"/>
        <v>144910</v>
      </c>
      <c r="U100" s="128">
        <f t="shared" si="7"/>
        <v>144910</v>
      </c>
      <c r="V100" s="128">
        <v>76648</v>
      </c>
      <c r="W100" s="188">
        <f t="shared" si="8"/>
        <v>1.8905907525310511E-3</v>
      </c>
    </row>
    <row r="101" spans="1:23" x14ac:dyDescent="0.25">
      <c r="A101" t="s">
        <v>526</v>
      </c>
      <c r="B101" t="s">
        <v>405</v>
      </c>
      <c r="C101" s="128">
        <f t="shared" si="5"/>
        <v>3126</v>
      </c>
      <c r="D101" s="128">
        <v>2063</v>
      </c>
      <c r="E101" s="128">
        <v>1063</v>
      </c>
      <c r="F101" s="128">
        <v>0</v>
      </c>
      <c r="G101" s="128">
        <v>0</v>
      </c>
      <c r="H101" s="128">
        <v>1548</v>
      </c>
      <c r="I101" s="128">
        <v>86</v>
      </c>
      <c r="J101" s="128">
        <v>1931</v>
      </c>
      <c r="K101" s="128">
        <v>1238</v>
      </c>
      <c r="L101" s="128">
        <v>175</v>
      </c>
      <c r="M101" s="128">
        <v>45</v>
      </c>
      <c r="N101" s="128">
        <v>300</v>
      </c>
      <c r="O101" s="128">
        <v>100</v>
      </c>
      <c r="P101" s="128">
        <v>1916</v>
      </c>
      <c r="Q101" s="128">
        <f>P101*1.086</f>
        <v>2080.7760000000003</v>
      </c>
      <c r="R101" s="128">
        <v>348</v>
      </c>
      <c r="S101" s="128">
        <f t="shared" si="9"/>
        <v>4725108.0000000009</v>
      </c>
      <c r="T101" s="128">
        <f t="shared" si="6"/>
        <v>1599108.0000000009</v>
      </c>
      <c r="U101" s="128">
        <f t="shared" si="7"/>
        <v>1599108.0000000009</v>
      </c>
      <c r="V101" s="128">
        <v>47970</v>
      </c>
      <c r="W101" s="188">
        <f t="shared" si="8"/>
        <v>3.3335584740462811E-2</v>
      </c>
    </row>
    <row r="102" spans="1:23" x14ac:dyDescent="0.25">
      <c r="A102" t="s">
        <v>517</v>
      </c>
      <c r="B102" t="s">
        <v>366</v>
      </c>
      <c r="C102" s="128">
        <f t="shared" si="5"/>
        <v>7643</v>
      </c>
      <c r="D102" s="128">
        <v>3518</v>
      </c>
      <c r="E102" s="128">
        <v>4125</v>
      </c>
      <c r="F102" s="128">
        <v>0</v>
      </c>
      <c r="G102" s="128">
        <v>0</v>
      </c>
      <c r="H102" s="128">
        <v>0</v>
      </c>
      <c r="I102" s="128">
        <v>498</v>
      </c>
      <c r="J102" s="128">
        <v>1300</v>
      </c>
      <c r="K102" s="128">
        <v>2280</v>
      </c>
      <c r="L102" s="128">
        <v>256</v>
      </c>
      <c r="M102" s="128">
        <v>0</v>
      </c>
      <c r="N102" s="128">
        <v>618</v>
      </c>
      <c r="O102" s="128">
        <v>122</v>
      </c>
      <c r="P102" s="128">
        <v>2917</v>
      </c>
      <c r="Q102" s="128">
        <f>P102*1.079</f>
        <v>3147.4429999999998</v>
      </c>
      <c r="R102" s="128">
        <v>873</v>
      </c>
      <c r="S102" s="128">
        <f t="shared" si="9"/>
        <v>8435367.0000000019</v>
      </c>
      <c r="T102" s="128">
        <f t="shared" si="6"/>
        <v>792367.00000000186</v>
      </c>
      <c r="U102" s="128">
        <f t="shared" si="7"/>
        <v>792367.00000000186</v>
      </c>
      <c r="V102" s="128">
        <v>68912</v>
      </c>
      <c r="W102" s="188">
        <f t="shared" si="8"/>
        <v>1.1498244137450689E-2</v>
      </c>
    </row>
    <row r="103" spans="1:23" x14ac:dyDescent="0.25">
      <c r="A103" t="s">
        <v>521</v>
      </c>
      <c r="B103" t="s">
        <v>292</v>
      </c>
      <c r="C103" s="128">
        <f t="shared" si="5"/>
        <v>9742</v>
      </c>
      <c r="D103" s="128">
        <v>7372</v>
      </c>
      <c r="E103" s="128">
        <v>2370</v>
      </c>
      <c r="F103" s="128">
        <v>12</v>
      </c>
      <c r="G103" s="128">
        <v>238</v>
      </c>
      <c r="H103" s="128">
        <v>3106</v>
      </c>
      <c r="I103" s="128">
        <v>334</v>
      </c>
      <c r="J103" s="128">
        <v>5932</v>
      </c>
      <c r="K103" s="128">
        <v>5881</v>
      </c>
      <c r="L103" s="128">
        <v>462</v>
      </c>
      <c r="M103" s="128">
        <v>997</v>
      </c>
      <c r="N103" s="128">
        <v>1406</v>
      </c>
      <c r="O103" s="128">
        <v>322</v>
      </c>
      <c r="P103" s="128">
        <v>6023</v>
      </c>
      <c r="Q103" s="128">
        <f>P103*1.083</f>
        <v>6522.9089999999997</v>
      </c>
      <c r="R103" s="128">
        <v>1176</v>
      </c>
      <c r="S103" s="128">
        <f t="shared" si="9"/>
        <v>15150375</v>
      </c>
      <c r="T103" s="128">
        <f t="shared" si="6"/>
        <v>5408375</v>
      </c>
      <c r="U103" s="128">
        <f t="shared" si="7"/>
        <v>5408375</v>
      </c>
      <c r="V103" s="128">
        <v>126744</v>
      </c>
      <c r="W103" s="188">
        <f t="shared" si="8"/>
        <v>4.2671645206084706E-2</v>
      </c>
    </row>
    <row r="104" spans="1:23" x14ac:dyDescent="0.25">
      <c r="A104" t="s">
        <v>528</v>
      </c>
      <c r="B104" t="s">
        <v>331</v>
      </c>
      <c r="C104" s="128">
        <f t="shared" si="5"/>
        <v>10598</v>
      </c>
      <c r="D104" s="128">
        <v>5957</v>
      </c>
      <c r="E104" s="128">
        <v>4641</v>
      </c>
      <c r="F104" s="128">
        <v>3874</v>
      </c>
      <c r="G104" s="128">
        <v>0</v>
      </c>
      <c r="H104" s="128">
        <v>417</v>
      </c>
      <c r="I104" s="128">
        <v>390</v>
      </c>
      <c r="J104" s="128">
        <v>4019</v>
      </c>
      <c r="K104" s="128">
        <v>4156</v>
      </c>
      <c r="L104" s="128">
        <v>54</v>
      </c>
      <c r="M104" s="128">
        <v>500</v>
      </c>
      <c r="N104" s="128">
        <v>1512</v>
      </c>
      <c r="O104" s="128">
        <v>81</v>
      </c>
      <c r="P104" s="128">
        <v>4172</v>
      </c>
      <c r="Q104" s="128">
        <f>P104*1.08</f>
        <v>4505.76</v>
      </c>
      <c r="R104" s="128">
        <v>1158</v>
      </c>
      <c r="S104" s="128">
        <f t="shared" si="9"/>
        <v>11736792.000000002</v>
      </c>
      <c r="T104" s="128">
        <f t="shared" si="6"/>
        <v>1138792.0000000019</v>
      </c>
      <c r="U104" s="128">
        <f t="shared" si="7"/>
        <v>1138792.0000000019</v>
      </c>
      <c r="V104" s="128">
        <v>127848</v>
      </c>
      <c r="W104" s="188">
        <f t="shared" si="8"/>
        <v>8.9073900256554806E-3</v>
      </c>
    </row>
    <row r="105" spans="1:23" x14ac:dyDescent="0.25">
      <c r="A105" t="s">
        <v>517</v>
      </c>
      <c r="B105" s="86" t="s">
        <v>367</v>
      </c>
      <c r="C105" s="128">
        <f t="shared" si="5"/>
        <v>6152</v>
      </c>
      <c r="D105" s="128">
        <v>4262</v>
      </c>
      <c r="E105" s="128">
        <v>1890</v>
      </c>
      <c r="F105" s="128">
        <v>0</v>
      </c>
      <c r="G105" s="128">
        <v>270</v>
      </c>
      <c r="H105" s="128">
        <v>65</v>
      </c>
      <c r="I105" s="128">
        <v>75</v>
      </c>
      <c r="J105" s="128">
        <v>2191</v>
      </c>
      <c r="K105" s="128">
        <v>2322</v>
      </c>
      <c r="L105" s="128">
        <v>253</v>
      </c>
      <c r="M105" s="128">
        <v>0</v>
      </c>
      <c r="N105" s="128">
        <v>867</v>
      </c>
      <c r="O105" s="128">
        <v>222</v>
      </c>
      <c r="P105" s="128">
        <v>3043</v>
      </c>
      <c r="Q105" s="128">
        <f>P105*1.079</f>
        <v>3283.3969999999999</v>
      </c>
      <c r="R105" s="128">
        <v>368</v>
      </c>
      <c r="S105" s="128">
        <f t="shared" si="9"/>
        <v>6836211.0000000009</v>
      </c>
      <c r="T105" s="128">
        <f t="shared" si="6"/>
        <v>684211.00000000093</v>
      </c>
      <c r="U105" s="128">
        <f t="shared" si="7"/>
        <v>684211.00000000093</v>
      </c>
      <c r="V105" s="128">
        <v>59678</v>
      </c>
      <c r="W105" s="188">
        <f t="shared" si="8"/>
        <v>1.1465045745500869E-2</v>
      </c>
    </row>
    <row r="106" spans="1:23" x14ac:dyDescent="0.25">
      <c r="A106" t="s">
        <v>518</v>
      </c>
      <c r="B106" t="s">
        <v>490</v>
      </c>
      <c r="C106" s="128">
        <f t="shared" si="5"/>
        <v>10905</v>
      </c>
      <c r="D106" s="128">
        <v>8539</v>
      </c>
      <c r="E106" s="128">
        <v>2366</v>
      </c>
      <c r="F106" s="128">
        <v>2167</v>
      </c>
      <c r="G106" s="128">
        <v>0</v>
      </c>
      <c r="H106" s="128">
        <v>228</v>
      </c>
      <c r="I106" s="128">
        <v>204</v>
      </c>
      <c r="J106" s="128">
        <v>5771</v>
      </c>
      <c r="K106" s="128">
        <v>6709</v>
      </c>
      <c r="L106" s="128">
        <v>685</v>
      </c>
      <c r="M106" s="128">
        <v>669</v>
      </c>
      <c r="N106" s="128">
        <v>1429</v>
      </c>
      <c r="O106" s="128">
        <v>1308</v>
      </c>
      <c r="P106" s="128">
        <v>11619</v>
      </c>
      <c r="Q106" s="128">
        <f>P106*1.072</f>
        <v>12455.568000000001</v>
      </c>
      <c r="R106" s="128">
        <v>944</v>
      </c>
      <c r="S106" s="128">
        <f t="shared" si="9"/>
        <v>24434163</v>
      </c>
      <c r="T106" s="128">
        <f t="shared" si="6"/>
        <v>13529163</v>
      </c>
      <c r="U106" s="128">
        <f t="shared" si="7"/>
        <v>13529163</v>
      </c>
      <c r="V106" s="128">
        <v>136996</v>
      </c>
      <c r="W106" s="188">
        <f t="shared" si="8"/>
        <v>9.8755897982422847E-2</v>
      </c>
    </row>
    <row r="107" spans="1:23" x14ac:dyDescent="0.25">
      <c r="A107" t="s">
        <v>521</v>
      </c>
      <c r="B107" t="s">
        <v>293</v>
      </c>
      <c r="C107" s="128">
        <f t="shared" si="5"/>
        <v>9912</v>
      </c>
      <c r="D107" s="128">
        <v>4732</v>
      </c>
      <c r="E107" s="128">
        <v>5180</v>
      </c>
      <c r="F107" s="128">
        <v>1734</v>
      </c>
      <c r="G107" s="128">
        <v>140</v>
      </c>
      <c r="H107" s="128">
        <v>0</v>
      </c>
      <c r="I107" s="128">
        <v>182</v>
      </c>
      <c r="J107" s="128">
        <v>4016</v>
      </c>
      <c r="K107" s="128">
        <v>4820</v>
      </c>
      <c r="L107" s="128">
        <v>430</v>
      </c>
      <c r="M107" s="128">
        <v>132</v>
      </c>
      <c r="N107" s="128">
        <v>1076</v>
      </c>
      <c r="O107" s="128">
        <v>2098</v>
      </c>
      <c r="P107" s="128">
        <v>3776</v>
      </c>
      <c r="Q107" s="128">
        <f>P107*1.083</f>
        <v>4089.4079999999999</v>
      </c>
      <c r="R107" s="128">
        <v>947</v>
      </c>
      <c r="S107" s="128">
        <f t="shared" si="9"/>
        <v>10257030</v>
      </c>
      <c r="T107" s="128">
        <f t="shared" si="6"/>
        <v>345030</v>
      </c>
      <c r="U107" s="128">
        <f t="shared" si="7"/>
        <v>345030</v>
      </c>
      <c r="V107" s="128">
        <v>139521</v>
      </c>
      <c r="W107" s="188">
        <f t="shared" si="8"/>
        <v>2.4729610596254327E-3</v>
      </c>
    </row>
    <row r="108" spans="1:23" x14ac:dyDescent="0.25">
      <c r="A108" t="s">
        <v>521</v>
      </c>
      <c r="B108" t="s">
        <v>294</v>
      </c>
      <c r="C108" s="128">
        <f t="shared" si="5"/>
        <v>16004</v>
      </c>
      <c r="D108" s="128">
        <v>8297</v>
      </c>
      <c r="E108" s="128">
        <v>7707</v>
      </c>
      <c r="F108" s="128">
        <v>3836</v>
      </c>
      <c r="G108" s="128">
        <v>0</v>
      </c>
      <c r="H108" s="128">
        <v>2</v>
      </c>
      <c r="I108" s="128">
        <v>251</v>
      </c>
      <c r="J108" s="128">
        <v>18853</v>
      </c>
      <c r="K108" s="128">
        <v>10060</v>
      </c>
      <c r="L108" s="128">
        <v>878</v>
      </c>
      <c r="M108" s="128">
        <v>0</v>
      </c>
      <c r="N108" s="128">
        <v>1486</v>
      </c>
      <c r="O108" s="128">
        <v>282</v>
      </c>
      <c r="P108" s="128">
        <v>7351</v>
      </c>
      <c r="Q108" s="128">
        <f>P108*1.083</f>
        <v>7961.1329999999998</v>
      </c>
      <c r="R108" s="128">
        <v>1515</v>
      </c>
      <c r="S108" s="128">
        <f t="shared" si="9"/>
        <v>18779229</v>
      </c>
      <c r="T108" s="128">
        <f t="shared" si="6"/>
        <v>2775229</v>
      </c>
      <c r="U108" s="128">
        <f t="shared" si="7"/>
        <v>2775229</v>
      </c>
      <c r="V108" s="128">
        <v>279655</v>
      </c>
      <c r="W108" s="188">
        <f t="shared" si="8"/>
        <v>9.9237596324042131E-3</v>
      </c>
    </row>
    <row r="109" spans="1:23" x14ac:dyDescent="0.25">
      <c r="A109" t="s">
        <v>525</v>
      </c>
      <c r="B109" t="s">
        <v>121</v>
      </c>
      <c r="C109" s="128">
        <f t="shared" si="5"/>
        <v>94505</v>
      </c>
      <c r="D109" s="128">
        <v>46750</v>
      </c>
      <c r="E109" s="128">
        <v>47755</v>
      </c>
      <c r="F109" s="128">
        <v>13430</v>
      </c>
      <c r="G109" s="128">
        <v>0</v>
      </c>
      <c r="H109" s="128">
        <v>2276</v>
      </c>
      <c r="I109" s="128">
        <v>1225</v>
      </c>
      <c r="J109" s="128">
        <v>18274</v>
      </c>
      <c r="K109" s="128">
        <v>33237</v>
      </c>
      <c r="L109" s="128">
        <v>2456</v>
      </c>
      <c r="M109" s="128">
        <v>1454</v>
      </c>
      <c r="N109" s="128">
        <v>12934</v>
      </c>
      <c r="O109" s="128">
        <v>8399</v>
      </c>
      <c r="P109" s="128">
        <v>23865</v>
      </c>
      <c r="Q109" s="128">
        <f>P109*1.108</f>
        <v>26442.420000000002</v>
      </c>
      <c r="R109" s="128">
        <v>5679</v>
      </c>
      <c r="S109" s="128">
        <f t="shared" si="9"/>
        <v>63718407</v>
      </c>
      <c r="T109" s="128">
        <f t="shared" si="6"/>
        <v>-30786593</v>
      </c>
      <c r="U109" s="128">
        <f t="shared" si="7"/>
        <v>0</v>
      </c>
      <c r="V109" s="128">
        <v>1014719</v>
      </c>
      <c r="W109" s="188">
        <f t="shared" si="8"/>
        <v>-3.0340018271068147E-2</v>
      </c>
    </row>
    <row r="110" spans="1:23" x14ac:dyDescent="0.25">
      <c r="A110" t="s">
        <v>526</v>
      </c>
      <c r="B110" t="s">
        <v>406</v>
      </c>
      <c r="C110" s="128">
        <f t="shared" si="5"/>
        <v>3919</v>
      </c>
      <c r="D110" s="128">
        <v>2624</v>
      </c>
      <c r="E110" s="128">
        <v>1295</v>
      </c>
      <c r="F110" s="128">
        <v>0</v>
      </c>
      <c r="G110" s="128">
        <v>0</v>
      </c>
      <c r="H110" s="128">
        <v>1305</v>
      </c>
      <c r="I110" s="128">
        <v>5</v>
      </c>
      <c r="J110" s="128">
        <v>2050</v>
      </c>
      <c r="K110" s="128">
        <v>1295</v>
      </c>
      <c r="L110" s="128">
        <v>200</v>
      </c>
      <c r="M110" s="128">
        <v>20</v>
      </c>
      <c r="N110" s="128">
        <v>214</v>
      </c>
      <c r="O110" s="128">
        <v>68</v>
      </c>
      <c r="P110" s="128">
        <v>1677</v>
      </c>
      <c r="Q110" s="128">
        <f>P110*1.086</f>
        <v>1821.2220000000002</v>
      </c>
      <c r="R110" s="128">
        <v>229</v>
      </c>
      <c r="S110" s="128">
        <f t="shared" si="9"/>
        <v>3862215</v>
      </c>
      <c r="T110" s="128">
        <f t="shared" si="6"/>
        <v>-56785</v>
      </c>
      <c r="U110" s="128">
        <f t="shared" si="7"/>
        <v>0</v>
      </c>
      <c r="V110" s="128">
        <v>35868</v>
      </c>
      <c r="W110" s="188">
        <f t="shared" si="8"/>
        <v>-1.5831660533065686E-3</v>
      </c>
    </row>
    <row r="111" spans="1:23" x14ac:dyDescent="0.25">
      <c r="A111" t="s">
        <v>522</v>
      </c>
      <c r="B111" s="86" t="s">
        <v>147</v>
      </c>
      <c r="C111" s="128">
        <f t="shared" si="5"/>
        <v>6950</v>
      </c>
      <c r="D111" s="128">
        <v>4023</v>
      </c>
      <c r="E111" s="128">
        <v>2927</v>
      </c>
      <c r="F111" s="128">
        <v>0</v>
      </c>
      <c r="G111" s="128">
        <v>90</v>
      </c>
      <c r="H111" s="128">
        <v>199</v>
      </c>
      <c r="I111" s="128">
        <v>140</v>
      </c>
      <c r="J111" s="128">
        <v>3642</v>
      </c>
      <c r="K111" s="128">
        <v>2382</v>
      </c>
      <c r="L111" s="128">
        <v>298</v>
      </c>
      <c r="M111" s="128">
        <v>42</v>
      </c>
      <c r="N111" s="128">
        <v>621</v>
      </c>
      <c r="O111" s="128">
        <v>56</v>
      </c>
      <c r="P111" s="128">
        <v>2526</v>
      </c>
      <c r="Q111" s="128">
        <f>P111*1.083</f>
        <v>2735.6579999999999</v>
      </c>
      <c r="R111" s="128">
        <v>534</v>
      </c>
      <c r="S111" s="128">
        <f t="shared" si="9"/>
        <v>6501546</v>
      </c>
      <c r="T111" s="128">
        <f t="shared" si="6"/>
        <v>-448454</v>
      </c>
      <c r="U111" s="128">
        <f t="shared" si="7"/>
        <v>0</v>
      </c>
      <c r="V111" s="128">
        <v>59845</v>
      </c>
      <c r="W111" s="188">
        <f t="shared" si="8"/>
        <v>-7.4935917787618015E-3</v>
      </c>
    </row>
    <row r="112" spans="1:23" x14ac:dyDescent="0.25">
      <c r="A112" t="s">
        <v>518</v>
      </c>
      <c r="B112" t="s">
        <v>252</v>
      </c>
      <c r="C112" s="128">
        <f t="shared" si="5"/>
        <v>44247</v>
      </c>
      <c r="D112" s="128">
        <v>24629</v>
      </c>
      <c r="E112" s="128">
        <v>19618</v>
      </c>
      <c r="F112" s="128">
        <v>1405</v>
      </c>
      <c r="G112" s="128">
        <v>965</v>
      </c>
      <c r="H112" s="128">
        <v>1901</v>
      </c>
      <c r="I112" s="128">
        <v>720</v>
      </c>
      <c r="J112" s="128">
        <v>12325</v>
      </c>
      <c r="K112" s="128">
        <v>26324</v>
      </c>
      <c r="L112" s="128">
        <v>2443</v>
      </c>
      <c r="M112" s="128">
        <v>982</v>
      </c>
      <c r="N112" s="128">
        <v>5943</v>
      </c>
      <c r="O112" s="128">
        <v>21247</v>
      </c>
      <c r="P112" s="128">
        <v>27484</v>
      </c>
      <c r="Q112" s="128">
        <f>P112*1.072</f>
        <v>29462.848000000002</v>
      </c>
      <c r="R112" s="128">
        <v>3871</v>
      </c>
      <c r="S112" s="128">
        <f t="shared" si="9"/>
        <v>63723834</v>
      </c>
      <c r="T112" s="128">
        <f t="shared" si="6"/>
        <v>19476834</v>
      </c>
      <c r="U112" s="128">
        <f t="shared" si="7"/>
        <v>19476834</v>
      </c>
      <c r="V112" s="128">
        <v>582245</v>
      </c>
      <c r="W112" s="188">
        <f t="shared" si="8"/>
        <v>3.3451268795781842E-2</v>
      </c>
    </row>
    <row r="113" spans="1:23" x14ac:dyDescent="0.25">
      <c r="A113" t="s">
        <v>518</v>
      </c>
      <c r="B113" t="s">
        <v>253</v>
      </c>
      <c r="C113" s="128">
        <f t="shared" si="5"/>
        <v>78294</v>
      </c>
      <c r="D113" s="128">
        <v>19126</v>
      </c>
      <c r="E113" s="128">
        <v>59168</v>
      </c>
      <c r="F113" s="128">
        <v>3314</v>
      </c>
      <c r="G113" s="128">
        <v>892</v>
      </c>
      <c r="H113" s="128">
        <v>12781</v>
      </c>
      <c r="I113" s="128">
        <v>733</v>
      </c>
      <c r="J113" s="128">
        <v>10100</v>
      </c>
      <c r="K113" s="128">
        <v>19377</v>
      </c>
      <c r="L113" s="128">
        <v>2551</v>
      </c>
      <c r="M113" s="128">
        <v>751</v>
      </c>
      <c r="N113" s="128">
        <v>10004</v>
      </c>
      <c r="O113" s="128">
        <v>655</v>
      </c>
      <c r="P113" s="128">
        <v>21825</v>
      </c>
      <c r="Q113" s="128">
        <f>P113*1.072</f>
        <v>23396.400000000001</v>
      </c>
      <c r="R113" s="128">
        <v>11407</v>
      </c>
      <c r="S113" s="128">
        <f t="shared" si="9"/>
        <v>80751951</v>
      </c>
      <c r="T113" s="128">
        <f t="shared" si="6"/>
        <v>2457951</v>
      </c>
      <c r="U113" s="128">
        <f t="shared" si="7"/>
        <v>2457951</v>
      </c>
      <c r="V113" s="128">
        <v>459070</v>
      </c>
      <c r="W113" s="188">
        <f t="shared" si="8"/>
        <v>5.3541965277626507E-3</v>
      </c>
    </row>
    <row r="114" spans="1:23" x14ac:dyDescent="0.25">
      <c r="A114" t="s">
        <v>517</v>
      </c>
      <c r="B114" t="s">
        <v>370</v>
      </c>
      <c r="C114" s="128">
        <f t="shared" si="5"/>
        <v>7361</v>
      </c>
      <c r="D114" s="128">
        <v>3828</v>
      </c>
      <c r="E114" s="128">
        <v>3533</v>
      </c>
      <c r="F114" s="128">
        <v>0</v>
      </c>
      <c r="G114" s="128">
        <v>0</v>
      </c>
      <c r="H114" s="128">
        <v>534</v>
      </c>
      <c r="I114" s="128">
        <v>0</v>
      </c>
      <c r="J114" s="128">
        <v>2942</v>
      </c>
      <c r="K114" s="128">
        <v>3960</v>
      </c>
      <c r="L114" s="128">
        <v>325</v>
      </c>
      <c r="M114" s="128">
        <v>30</v>
      </c>
      <c r="N114" s="128">
        <v>514</v>
      </c>
      <c r="O114" s="128">
        <v>125</v>
      </c>
      <c r="P114" s="128">
        <v>3436</v>
      </c>
      <c r="Q114" s="128">
        <f>P114*1.079</f>
        <v>3707.444</v>
      </c>
      <c r="R114" s="128">
        <v>860</v>
      </c>
      <c r="S114" s="128">
        <f t="shared" si="9"/>
        <v>9327204</v>
      </c>
      <c r="T114" s="128">
        <f t="shared" si="6"/>
        <v>1966204</v>
      </c>
      <c r="U114" s="128">
        <f t="shared" si="7"/>
        <v>1966204</v>
      </c>
      <c r="V114" s="128">
        <v>81662</v>
      </c>
      <c r="W114" s="188">
        <f t="shared" si="8"/>
        <v>2.4077343195121354E-2</v>
      </c>
    </row>
    <row r="115" spans="1:23" x14ac:dyDescent="0.25">
      <c r="A115" t="s">
        <v>522</v>
      </c>
      <c r="B115" t="s">
        <v>148</v>
      </c>
      <c r="C115" s="128">
        <f t="shared" si="5"/>
        <v>14610</v>
      </c>
      <c r="D115" s="128">
        <v>6612</v>
      </c>
      <c r="E115" s="128">
        <v>7998</v>
      </c>
      <c r="F115" s="128">
        <v>1452</v>
      </c>
      <c r="G115" s="128">
        <v>252</v>
      </c>
      <c r="H115" s="128">
        <v>1598</v>
      </c>
      <c r="I115" s="128">
        <v>201</v>
      </c>
      <c r="J115" s="128">
        <v>7187</v>
      </c>
      <c r="K115" s="128">
        <v>5470</v>
      </c>
      <c r="L115" s="128">
        <v>780</v>
      </c>
      <c r="M115" s="128">
        <v>491</v>
      </c>
      <c r="N115" s="128">
        <v>1650</v>
      </c>
      <c r="O115" s="128">
        <v>238</v>
      </c>
      <c r="P115" s="128">
        <v>5453</v>
      </c>
      <c r="Q115" s="128">
        <f>P115*1.083</f>
        <v>5905.5990000000002</v>
      </c>
      <c r="R115" s="128">
        <v>1414</v>
      </c>
      <c r="S115" s="128">
        <f t="shared" si="9"/>
        <v>14980329.000000002</v>
      </c>
      <c r="T115" s="128">
        <f t="shared" si="6"/>
        <v>370329.00000000186</v>
      </c>
      <c r="U115" s="128">
        <f t="shared" si="7"/>
        <v>370329.00000000186</v>
      </c>
      <c r="V115" s="128">
        <v>177341</v>
      </c>
      <c r="W115" s="188">
        <f t="shared" si="8"/>
        <v>2.0882311479015112E-3</v>
      </c>
    </row>
    <row r="116" spans="1:23" x14ac:dyDescent="0.25">
      <c r="A116" t="s">
        <v>519</v>
      </c>
      <c r="B116" t="s">
        <v>183</v>
      </c>
      <c r="C116" s="128">
        <f t="shared" si="5"/>
        <v>11022</v>
      </c>
      <c r="D116" s="128">
        <v>6398</v>
      </c>
      <c r="E116" s="128">
        <v>4624</v>
      </c>
      <c r="F116" s="128">
        <v>2040</v>
      </c>
      <c r="G116" s="128">
        <v>0</v>
      </c>
      <c r="H116" s="128">
        <v>472</v>
      </c>
      <c r="I116" s="128">
        <v>330</v>
      </c>
      <c r="J116" s="128">
        <v>3567</v>
      </c>
      <c r="K116" s="128">
        <v>4307</v>
      </c>
      <c r="L116" s="128">
        <v>711</v>
      </c>
      <c r="M116" s="128">
        <v>892</v>
      </c>
      <c r="N116" s="128">
        <v>851</v>
      </c>
      <c r="O116" s="128">
        <v>688</v>
      </c>
      <c r="P116" s="128">
        <v>5440</v>
      </c>
      <c r="Q116" s="128">
        <f>P116*1.08</f>
        <v>5875.2000000000007</v>
      </c>
      <c r="R116" s="128">
        <v>989</v>
      </c>
      <c r="S116" s="128">
        <f t="shared" si="9"/>
        <v>13419162</v>
      </c>
      <c r="T116" s="128">
        <f t="shared" si="6"/>
        <v>2397162</v>
      </c>
      <c r="U116" s="128">
        <f t="shared" si="7"/>
        <v>2397162</v>
      </c>
      <c r="V116" s="128">
        <v>156303</v>
      </c>
      <c r="W116" s="188">
        <f t="shared" si="8"/>
        <v>1.5336634613539088E-2</v>
      </c>
    </row>
    <row r="117" spans="1:23" x14ac:dyDescent="0.25">
      <c r="A117" t="s">
        <v>521</v>
      </c>
      <c r="B117" t="s">
        <v>295</v>
      </c>
      <c r="C117" s="128">
        <f t="shared" si="5"/>
        <v>3729</v>
      </c>
      <c r="D117" s="128">
        <v>2252</v>
      </c>
      <c r="E117" s="128">
        <v>1477</v>
      </c>
      <c r="F117" s="128">
        <v>0</v>
      </c>
      <c r="G117" s="128">
        <v>70</v>
      </c>
      <c r="H117" s="128">
        <v>0</v>
      </c>
      <c r="I117" s="128">
        <v>75</v>
      </c>
      <c r="J117" s="128">
        <v>1821</v>
      </c>
      <c r="K117" s="128">
        <v>2086</v>
      </c>
      <c r="L117" s="128">
        <v>236</v>
      </c>
      <c r="M117" s="128">
        <v>382</v>
      </c>
      <c r="N117" s="128">
        <v>607</v>
      </c>
      <c r="O117" s="128">
        <v>38</v>
      </c>
      <c r="P117" s="128">
        <v>1877</v>
      </c>
      <c r="Q117" s="128">
        <f>P117*1.083</f>
        <v>2032.7909999999999</v>
      </c>
      <c r="R117" s="128">
        <v>401</v>
      </c>
      <c r="S117" s="128">
        <f t="shared" si="9"/>
        <v>4846311</v>
      </c>
      <c r="T117" s="128">
        <f t="shared" si="6"/>
        <v>1117311</v>
      </c>
      <c r="U117" s="128">
        <f t="shared" si="7"/>
        <v>1117311</v>
      </c>
      <c r="V117" s="128">
        <v>40679</v>
      </c>
      <c r="W117" s="188">
        <f t="shared" si="8"/>
        <v>2.7466530642346172E-2</v>
      </c>
    </row>
    <row r="118" spans="1:23" x14ac:dyDescent="0.25">
      <c r="A118" t="s">
        <v>520</v>
      </c>
      <c r="B118" t="s">
        <v>130</v>
      </c>
      <c r="C118" s="128">
        <f t="shared" si="5"/>
        <v>3822</v>
      </c>
      <c r="D118" s="128">
        <v>1688</v>
      </c>
      <c r="E118" s="128">
        <v>2134</v>
      </c>
      <c r="F118" s="128">
        <v>735</v>
      </c>
      <c r="G118" s="128">
        <v>0</v>
      </c>
      <c r="H118" s="128">
        <v>192</v>
      </c>
      <c r="I118" s="128">
        <v>55</v>
      </c>
      <c r="J118" s="128">
        <v>1560</v>
      </c>
      <c r="K118" s="128">
        <v>1785</v>
      </c>
      <c r="L118" s="128">
        <v>194</v>
      </c>
      <c r="M118" s="128">
        <v>89</v>
      </c>
      <c r="N118" s="128">
        <v>246</v>
      </c>
      <c r="O118" s="128">
        <v>391</v>
      </c>
      <c r="P118" s="128">
        <v>1321</v>
      </c>
      <c r="Q118" s="128">
        <f>P118*1.08</f>
        <v>1426.68</v>
      </c>
      <c r="R118" s="128">
        <v>400</v>
      </c>
      <c r="S118" s="128">
        <f t="shared" si="9"/>
        <v>3836889</v>
      </c>
      <c r="T118" s="128">
        <f t="shared" si="6"/>
        <v>14889</v>
      </c>
      <c r="U118" s="128">
        <f t="shared" si="7"/>
        <v>14889</v>
      </c>
      <c r="V118" s="128">
        <v>54657</v>
      </c>
      <c r="W118" s="188">
        <f t="shared" si="8"/>
        <v>2.7240792579175587E-4</v>
      </c>
    </row>
    <row r="119" spans="1:23" x14ac:dyDescent="0.25">
      <c r="A119" t="s">
        <v>522</v>
      </c>
      <c r="B119" t="s">
        <v>184</v>
      </c>
      <c r="C119" s="128">
        <f t="shared" si="5"/>
        <v>3063</v>
      </c>
      <c r="D119" s="128">
        <v>2346</v>
      </c>
      <c r="E119" s="128">
        <v>717</v>
      </c>
      <c r="F119" s="128">
        <v>0</v>
      </c>
      <c r="G119" s="128">
        <v>0</v>
      </c>
      <c r="H119" s="128">
        <v>229</v>
      </c>
      <c r="I119" s="128">
        <v>75</v>
      </c>
      <c r="J119" s="128">
        <v>1102</v>
      </c>
      <c r="K119" s="128">
        <v>1236</v>
      </c>
      <c r="L119" s="128">
        <v>164</v>
      </c>
      <c r="M119" s="128">
        <v>268</v>
      </c>
      <c r="N119" s="128">
        <v>1131</v>
      </c>
      <c r="O119" s="128">
        <v>17</v>
      </c>
      <c r="P119" s="128">
        <v>1544</v>
      </c>
      <c r="Q119" s="128">
        <f>P119*1.083</f>
        <v>1672.152</v>
      </c>
      <c r="R119" s="128">
        <v>139</v>
      </c>
      <c r="S119" s="128">
        <f t="shared" si="9"/>
        <v>3295998</v>
      </c>
      <c r="T119" s="128">
        <f t="shared" si="6"/>
        <v>232998</v>
      </c>
      <c r="U119" s="128">
        <f t="shared" si="7"/>
        <v>232998</v>
      </c>
      <c r="V119" s="128">
        <v>27625</v>
      </c>
      <c r="W119" s="188">
        <f t="shared" si="8"/>
        <v>8.4343167420814474E-3</v>
      </c>
    </row>
    <row r="120" spans="1:23" x14ac:dyDescent="0.25">
      <c r="A120" t="s">
        <v>518</v>
      </c>
      <c r="B120" t="s">
        <v>254</v>
      </c>
      <c r="C120" s="128">
        <f t="shared" si="5"/>
        <v>6024</v>
      </c>
      <c r="D120" s="128">
        <v>4661</v>
      </c>
      <c r="E120" s="128">
        <v>1363</v>
      </c>
      <c r="F120" s="128">
        <v>0</v>
      </c>
      <c r="G120" s="128">
        <v>0</v>
      </c>
      <c r="H120" s="128">
        <v>0</v>
      </c>
      <c r="I120" s="128">
        <v>229</v>
      </c>
      <c r="J120" s="128">
        <v>3352</v>
      </c>
      <c r="K120" s="128">
        <v>5868</v>
      </c>
      <c r="L120" s="128">
        <v>577</v>
      </c>
      <c r="M120" s="128">
        <v>225</v>
      </c>
      <c r="N120" s="128">
        <v>442</v>
      </c>
      <c r="O120" s="128">
        <v>493</v>
      </c>
      <c r="P120" s="128">
        <v>4963</v>
      </c>
      <c r="Q120" s="128">
        <f>P120*1.072</f>
        <v>5320.3360000000002</v>
      </c>
      <c r="R120" s="128">
        <v>492</v>
      </c>
      <c r="S120" s="128">
        <f t="shared" si="9"/>
        <v>10758123.000000002</v>
      </c>
      <c r="T120" s="128">
        <f t="shared" si="6"/>
        <v>4734123.0000000019</v>
      </c>
      <c r="U120" s="128">
        <f t="shared" si="7"/>
        <v>4734123.0000000019</v>
      </c>
      <c r="V120" s="128">
        <v>101525</v>
      </c>
      <c r="W120" s="188">
        <f t="shared" si="8"/>
        <v>4.6630120659935992E-2</v>
      </c>
    </row>
    <row r="121" spans="1:23" x14ac:dyDescent="0.25">
      <c r="A121" t="s">
        <v>518</v>
      </c>
      <c r="B121" t="s">
        <v>255</v>
      </c>
      <c r="C121" s="128">
        <f t="shared" si="5"/>
        <v>6699</v>
      </c>
      <c r="D121" s="128">
        <v>5256</v>
      </c>
      <c r="E121" s="128">
        <v>1443</v>
      </c>
      <c r="F121" s="128">
        <v>700</v>
      </c>
      <c r="G121" s="128">
        <v>0</v>
      </c>
      <c r="H121" s="128">
        <v>0</v>
      </c>
      <c r="I121" s="128">
        <v>74</v>
      </c>
      <c r="J121" s="128">
        <v>2982</v>
      </c>
      <c r="K121" s="128">
        <v>3938</v>
      </c>
      <c r="L121" s="128">
        <v>365</v>
      </c>
      <c r="M121" s="128">
        <v>412</v>
      </c>
      <c r="N121" s="128">
        <v>232</v>
      </c>
      <c r="O121" s="128">
        <v>59</v>
      </c>
      <c r="P121" s="128">
        <v>6501</v>
      </c>
      <c r="Q121" s="128">
        <f>P121*1.072</f>
        <v>6969.0720000000001</v>
      </c>
      <c r="R121" s="128">
        <v>340</v>
      </c>
      <c r="S121" s="128">
        <f t="shared" si="9"/>
        <v>12990429</v>
      </c>
      <c r="T121" s="128">
        <f t="shared" si="6"/>
        <v>6291429</v>
      </c>
      <c r="U121" s="128">
        <f t="shared" si="7"/>
        <v>6291429</v>
      </c>
      <c r="V121" s="128">
        <v>58384</v>
      </c>
      <c r="W121" s="188">
        <f t="shared" si="8"/>
        <v>0.10775947177308852</v>
      </c>
    </row>
    <row r="122" spans="1:23" x14ac:dyDescent="0.25">
      <c r="A122" t="s">
        <v>519</v>
      </c>
      <c r="B122" s="86" t="s">
        <v>185</v>
      </c>
      <c r="C122" s="128">
        <f t="shared" si="5"/>
        <v>4928</v>
      </c>
      <c r="D122" s="128">
        <v>3543</v>
      </c>
      <c r="E122" s="128">
        <v>1385</v>
      </c>
      <c r="F122" s="128">
        <v>0</v>
      </c>
      <c r="G122" s="128">
        <v>0</v>
      </c>
      <c r="H122" s="128">
        <v>225</v>
      </c>
      <c r="I122" s="128">
        <v>11</v>
      </c>
      <c r="J122" s="128">
        <v>1447</v>
      </c>
      <c r="K122" s="128">
        <v>1846</v>
      </c>
      <c r="L122" s="128">
        <v>153</v>
      </c>
      <c r="M122" s="128">
        <v>292</v>
      </c>
      <c r="N122" s="128">
        <v>403</v>
      </c>
      <c r="O122" s="128">
        <v>287</v>
      </c>
      <c r="P122" s="128">
        <v>2243</v>
      </c>
      <c r="Q122" s="128">
        <f>P122*1.08</f>
        <v>2422.44</v>
      </c>
      <c r="R122" s="128">
        <v>283</v>
      </c>
      <c r="S122" s="128">
        <f t="shared" si="9"/>
        <v>5081481</v>
      </c>
      <c r="T122" s="128">
        <f t="shared" si="6"/>
        <v>153481</v>
      </c>
      <c r="U122" s="128">
        <f t="shared" si="7"/>
        <v>153481</v>
      </c>
      <c r="V122" s="128">
        <v>46863</v>
      </c>
      <c r="W122" s="188">
        <f t="shared" si="8"/>
        <v>3.2750997588716045E-3</v>
      </c>
    </row>
    <row r="123" spans="1:23" x14ac:dyDescent="0.25">
      <c r="A123" t="s">
        <v>520</v>
      </c>
      <c r="B123" t="s">
        <v>131</v>
      </c>
      <c r="C123" s="128">
        <f t="shared" si="5"/>
        <v>14457</v>
      </c>
      <c r="D123" s="128">
        <v>7065</v>
      </c>
      <c r="E123" s="128">
        <v>7392</v>
      </c>
      <c r="F123" s="128">
        <v>2373</v>
      </c>
      <c r="G123" s="128">
        <v>0</v>
      </c>
      <c r="H123" s="128">
        <v>151</v>
      </c>
      <c r="I123" s="128">
        <v>136</v>
      </c>
      <c r="J123" s="128">
        <v>6083</v>
      </c>
      <c r="K123" s="128">
        <v>6526</v>
      </c>
      <c r="L123" s="128">
        <v>706</v>
      </c>
      <c r="M123" s="128">
        <v>213</v>
      </c>
      <c r="N123" s="128">
        <v>1623</v>
      </c>
      <c r="O123" s="128">
        <v>263</v>
      </c>
      <c r="P123" s="128">
        <v>5198</v>
      </c>
      <c r="Q123" s="128">
        <f>P123*1.08</f>
        <v>5613.84</v>
      </c>
      <c r="R123" s="128">
        <v>1206</v>
      </c>
      <c r="S123" s="128">
        <f t="shared" si="9"/>
        <v>13766490.000000002</v>
      </c>
      <c r="T123" s="128">
        <f t="shared" si="6"/>
        <v>-690509.99999999814</v>
      </c>
      <c r="U123" s="128">
        <f t="shared" si="7"/>
        <v>0</v>
      </c>
      <c r="V123" s="128">
        <v>159965</v>
      </c>
      <c r="W123" s="188">
        <f t="shared" si="8"/>
        <v>-4.3166317631981883E-3</v>
      </c>
    </row>
    <row r="124" spans="1:23" x14ac:dyDescent="0.25">
      <c r="A124" t="s">
        <v>526</v>
      </c>
      <c r="B124" t="s">
        <v>407</v>
      </c>
      <c r="C124" s="128">
        <f t="shared" ref="C124:C186" si="10">SUM(D124:E124)</f>
        <v>25952</v>
      </c>
      <c r="D124" s="128">
        <v>13949</v>
      </c>
      <c r="E124" s="128">
        <v>12003</v>
      </c>
      <c r="F124" s="128">
        <v>2069</v>
      </c>
      <c r="G124" s="128">
        <v>45</v>
      </c>
      <c r="H124" s="128">
        <v>317</v>
      </c>
      <c r="I124" s="128">
        <v>841</v>
      </c>
      <c r="J124" s="128">
        <v>8646</v>
      </c>
      <c r="K124" s="128">
        <v>11294</v>
      </c>
      <c r="L124" s="128">
        <v>1204</v>
      </c>
      <c r="M124" s="128">
        <v>421</v>
      </c>
      <c r="N124" s="128">
        <v>1511</v>
      </c>
      <c r="O124" s="128">
        <v>429</v>
      </c>
      <c r="P124" s="128">
        <v>6869</v>
      </c>
      <c r="Q124" s="128">
        <f>P124*1.086</f>
        <v>7459.7340000000004</v>
      </c>
      <c r="R124" s="128">
        <v>2166</v>
      </c>
      <c r="S124" s="128">
        <f t="shared" si="9"/>
        <v>20262609</v>
      </c>
      <c r="T124" s="128">
        <f t="shared" si="6"/>
        <v>-5689391</v>
      </c>
      <c r="U124" s="128">
        <f t="shared" si="7"/>
        <v>0</v>
      </c>
      <c r="V124" s="128">
        <v>398913</v>
      </c>
      <c r="W124" s="188">
        <f t="shared" si="8"/>
        <v>-1.4262235123949332E-2</v>
      </c>
    </row>
    <row r="125" spans="1:23" x14ac:dyDescent="0.25">
      <c r="A125" t="s">
        <v>517</v>
      </c>
      <c r="B125" t="s">
        <v>371</v>
      </c>
      <c r="C125" s="128">
        <f t="shared" si="10"/>
        <v>3787</v>
      </c>
      <c r="D125" s="128">
        <v>2595</v>
      </c>
      <c r="E125" s="128">
        <v>1192</v>
      </c>
      <c r="F125" s="128">
        <v>0</v>
      </c>
      <c r="G125" s="128">
        <v>0</v>
      </c>
      <c r="H125" s="128">
        <v>175</v>
      </c>
      <c r="I125" s="128">
        <v>0</v>
      </c>
      <c r="J125" s="128">
        <v>2012</v>
      </c>
      <c r="K125" s="128">
        <v>1415</v>
      </c>
      <c r="L125" s="128">
        <v>177</v>
      </c>
      <c r="M125" s="128">
        <v>2</v>
      </c>
      <c r="N125" s="128">
        <v>471</v>
      </c>
      <c r="O125" s="128">
        <v>55</v>
      </c>
      <c r="P125" s="128">
        <v>2424</v>
      </c>
      <c r="Q125" s="128">
        <f>P125*1.079</f>
        <v>2615.4960000000001</v>
      </c>
      <c r="R125" s="128">
        <v>411</v>
      </c>
      <c r="S125" s="128">
        <f t="shared" si="9"/>
        <v>5872014</v>
      </c>
      <c r="T125" s="128">
        <f t="shared" si="6"/>
        <v>2085014</v>
      </c>
      <c r="U125" s="128">
        <f t="shared" si="7"/>
        <v>2085014</v>
      </c>
      <c r="V125" s="128">
        <v>34363</v>
      </c>
      <c r="W125" s="188">
        <f t="shared" si="8"/>
        <v>6.0676134214125661E-2</v>
      </c>
    </row>
    <row r="126" spans="1:23" x14ac:dyDescent="0.25">
      <c r="A126" t="s">
        <v>518</v>
      </c>
      <c r="B126" t="s">
        <v>257</v>
      </c>
      <c r="C126" s="128">
        <f t="shared" si="10"/>
        <v>4804</v>
      </c>
      <c r="D126" s="128">
        <v>3901</v>
      </c>
      <c r="E126" s="128">
        <v>903</v>
      </c>
      <c r="F126" s="128">
        <v>0</v>
      </c>
      <c r="G126" s="128">
        <v>0</v>
      </c>
      <c r="H126" s="128">
        <v>40</v>
      </c>
      <c r="I126" s="128">
        <v>0</v>
      </c>
      <c r="J126" s="128">
        <v>2043</v>
      </c>
      <c r="K126" s="128">
        <v>3133</v>
      </c>
      <c r="L126" s="128">
        <v>255</v>
      </c>
      <c r="M126" s="128">
        <v>151</v>
      </c>
      <c r="N126" s="128">
        <v>1917</v>
      </c>
      <c r="O126" s="128">
        <v>64</v>
      </c>
      <c r="P126" s="128">
        <v>3891</v>
      </c>
      <c r="Q126" s="128">
        <f>P126*1.072</f>
        <v>4171.152</v>
      </c>
      <c r="R126" s="128">
        <v>360</v>
      </c>
      <c r="S126" s="128">
        <f t="shared" si="9"/>
        <v>8341299.0000000009</v>
      </c>
      <c r="T126" s="128">
        <f t="shared" ref="T126:T188" si="11">SUM(S126,-C126*1000)</f>
        <v>3537299.0000000009</v>
      </c>
      <c r="U126" s="128">
        <f t="shared" ref="U126:U188" si="12">IF(T126&lt;0,0,T126)</f>
        <v>3537299.0000000009</v>
      </c>
      <c r="V126" s="128">
        <v>58530</v>
      </c>
      <c r="W126" s="188">
        <f t="shared" si="8"/>
        <v>6.043565692807109E-2</v>
      </c>
    </row>
    <row r="127" spans="1:23" x14ac:dyDescent="0.25">
      <c r="A127" t="s">
        <v>522</v>
      </c>
      <c r="B127" t="s">
        <v>149</v>
      </c>
      <c r="C127" s="128">
        <f t="shared" si="10"/>
        <v>9941</v>
      </c>
      <c r="D127" s="128">
        <v>6431</v>
      </c>
      <c r="E127" s="128">
        <v>3510</v>
      </c>
      <c r="F127" s="128">
        <v>0</v>
      </c>
      <c r="G127" s="128">
        <v>0</v>
      </c>
      <c r="H127" s="128">
        <v>510</v>
      </c>
      <c r="I127" s="128">
        <v>279</v>
      </c>
      <c r="J127" s="128">
        <v>4368</v>
      </c>
      <c r="K127" s="128">
        <v>3577</v>
      </c>
      <c r="L127" s="128">
        <v>366</v>
      </c>
      <c r="M127" s="128">
        <v>419</v>
      </c>
      <c r="N127" s="128">
        <v>662</v>
      </c>
      <c r="O127" s="128">
        <v>174</v>
      </c>
      <c r="P127" s="128">
        <v>3857</v>
      </c>
      <c r="Q127" s="128">
        <f>P127*1.083</f>
        <v>4177.1309999999994</v>
      </c>
      <c r="R127" s="128">
        <v>683</v>
      </c>
      <c r="S127" s="128">
        <f t="shared" si="9"/>
        <v>9448407</v>
      </c>
      <c r="T127" s="128">
        <f t="shared" si="11"/>
        <v>-492593</v>
      </c>
      <c r="U127" s="128">
        <f t="shared" si="12"/>
        <v>0</v>
      </c>
      <c r="V127" s="128">
        <v>94760</v>
      </c>
      <c r="W127" s="188">
        <f t="shared" ref="W127:W189" si="13">T127/(V127*1000)</f>
        <v>-5.1983220768256648E-3</v>
      </c>
    </row>
    <row r="128" spans="1:23" x14ac:dyDescent="0.25">
      <c r="A128" t="s">
        <v>521</v>
      </c>
      <c r="B128" t="s">
        <v>296</v>
      </c>
      <c r="C128" s="128">
        <f t="shared" si="10"/>
        <v>5570</v>
      </c>
      <c r="D128" s="128">
        <v>3900</v>
      </c>
      <c r="E128" s="128">
        <v>1670</v>
      </c>
      <c r="F128" s="128">
        <v>0</v>
      </c>
      <c r="G128" s="128">
        <v>0</v>
      </c>
      <c r="H128" s="128">
        <v>544</v>
      </c>
      <c r="I128" s="128">
        <v>251</v>
      </c>
      <c r="J128" s="128">
        <v>2923</v>
      </c>
      <c r="K128" s="128">
        <v>4157</v>
      </c>
      <c r="L128" s="128">
        <v>470</v>
      </c>
      <c r="M128" s="128">
        <v>76</v>
      </c>
      <c r="N128" s="128">
        <v>215</v>
      </c>
      <c r="O128" s="128">
        <v>108</v>
      </c>
      <c r="P128" s="128">
        <v>4199</v>
      </c>
      <c r="Q128" s="128">
        <f>P128*1.083</f>
        <v>4547.5169999999998</v>
      </c>
      <c r="R128" s="128">
        <v>538</v>
      </c>
      <c r="S128" s="128">
        <f t="shared" si="9"/>
        <v>9542475</v>
      </c>
      <c r="T128" s="128">
        <f t="shared" si="11"/>
        <v>3972475</v>
      </c>
      <c r="U128" s="128">
        <f t="shared" si="12"/>
        <v>3972475</v>
      </c>
      <c r="V128" s="128">
        <v>121033</v>
      </c>
      <c r="W128" s="188">
        <f t="shared" si="13"/>
        <v>3.2821420604298004E-2</v>
      </c>
    </row>
    <row r="129" spans="1:23" x14ac:dyDescent="0.25">
      <c r="A129" t="s">
        <v>517</v>
      </c>
      <c r="B129" t="s">
        <v>372</v>
      </c>
      <c r="C129" s="128">
        <f t="shared" si="10"/>
        <v>23225</v>
      </c>
      <c r="D129" s="128">
        <v>19671</v>
      </c>
      <c r="E129" s="128">
        <v>3554</v>
      </c>
      <c r="F129" s="128">
        <v>-11</v>
      </c>
      <c r="G129" s="128">
        <v>0</v>
      </c>
      <c r="H129" s="128">
        <v>102</v>
      </c>
      <c r="I129" s="128">
        <v>722</v>
      </c>
      <c r="J129" s="128">
        <v>8910</v>
      </c>
      <c r="K129" s="128">
        <v>10746</v>
      </c>
      <c r="L129" s="128">
        <v>1466</v>
      </c>
      <c r="M129" s="128">
        <v>0</v>
      </c>
      <c r="N129" s="128">
        <v>3122</v>
      </c>
      <c r="O129" s="128">
        <v>219</v>
      </c>
      <c r="P129" s="128">
        <v>9486</v>
      </c>
      <c r="Q129" s="128">
        <f>P129*1.079</f>
        <v>10235.394</v>
      </c>
      <c r="R129" s="128">
        <v>2122</v>
      </c>
      <c r="S129" s="128">
        <f t="shared" si="9"/>
        <v>24837570</v>
      </c>
      <c r="T129" s="128">
        <f t="shared" si="11"/>
        <v>1612570</v>
      </c>
      <c r="U129" s="128">
        <f t="shared" si="12"/>
        <v>1612570</v>
      </c>
      <c r="V129" s="128">
        <v>341002</v>
      </c>
      <c r="W129" s="188">
        <f t="shared" si="13"/>
        <v>4.7289165459440119E-3</v>
      </c>
    </row>
    <row r="130" spans="1:23" x14ac:dyDescent="0.25">
      <c r="A130" t="s">
        <v>521</v>
      </c>
      <c r="B130" t="s">
        <v>297</v>
      </c>
      <c r="C130" s="128">
        <f t="shared" si="10"/>
        <v>5558</v>
      </c>
      <c r="D130" s="128">
        <v>3941</v>
      </c>
      <c r="E130" s="128">
        <v>1617</v>
      </c>
      <c r="F130" s="128">
        <v>0</v>
      </c>
      <c r="G130" s="128">
        <v>0</v>
      </c>
      <c r="H130" s="128">
        <v>0</v>
      </c>
      <c r="I130" s="128">
        <v>175</v>
      </c>
      <c r="J130" s="128">
        <v>2343</v>
      </c>
      <c r="K130" s="128">
        <v>3936</v>
      </c>
      <c r="L130" s="128">
        <v>460</v>
      </c>
      <c r="M130" s="128">
        <v>308</v>
      </c>
      <c r="N130" s="128">
        <v>671</v>
      </c>
      <c r="O130" s="128">
        <v>137</v>
      </c>
      <c r="P130" s="128">
        <v>3467</v>
      </c>
      <c r="Q130" s="128">
        <f>P130*1.083</f>
        <v>3754.761</v>
      </c>
      <c r="R130" s="128">
        <v>363</v>
      </c>
      <c r="S130" s="128">
        <f t="shared" si="9"/>
        <v>7585137</v>
      </c>
      <c r="T130" s="128">
        <f t="shared" si="11"/>
        <v>2027137</v>
      </c>
      <c r="U130" s="128">
        <f t="shared" si="12"/>
        <v>2027137</v>
      </c>
      <c r="V130" s="128">
        <v>86491</v>
      </c>
      <c r="W130" s="188">
        <f t="shared" si="13"/>
        <v>2.3437548415442069E-2</v>
      </c>
    </row>
    <row r="131" spans="1:23" x14ac:dyDescent="0.25">
      <c r="A131" t="s">
        <v>522</v>
      </c>
      <c r="B131" t="s">
        <v>444</v>
      </c>
      <c r="C131" s="128">
        <f t="shared" si="10"/>
        <v>24370</v>
      </c>
      <c r="D131" s="128">
        <v>11091</v>
      </c>
      <c r="E131" s="128">
        <v>13279</v>
      </c>
      <c r="F131" s="128">
        <v>1799</v>
      </c>
      <c r="G131" s="128">
        <v>250</v>
      </c>
      <c r="H131" s="128">
        <v>143</v>
      </c>
      <c r="I131" s="128">
        <v>525</v>
      </c>
      <c r="J131" s="128">
        <v>9994</v>
      </c>
      <c r="K131" s="128">
        <v>8027</v>
      </c>
      <c r="L131" s="128">
        <v>903</v>
      </c>
      <c r="M131" s="128">
        <v>523</v>
      </c>
      <c r="N131" s="128">
        <v>1900</v>
      </c>
      <c r="O131" s="128">
        <v>1275</v>
      </c>
      <c r="P131" s="128">
        <v>7700</v>
      </c>
      <c r="Q131" s="128">
        <f>P131*1.083</f>
        <v>8339.1</v>
      </c>
      <c r="R131" s="128">
        <v>2000</v>
      </c>
      <c r="S131" s="128">
        <f t="shared" ref="S131:S194" si="14">SUM(P131,R131,R131)*0.1809%*1000000</f>
        <v>21165300.000000004</v>
      </c>
      <c r="T131" s="128">
        <f t="shared" si="11"/>
        <v>-3204699.9999999963</v>
      </c>
      <c r="U131" s="128">
        <f t="shared" si="12"/>
        <v>0</v>
      </c>
      <c r="V131" s="128">
        <v>309290</v>
      </c>
      <c r="W131" s="188">
        <f t="shared" si="13"/>
        <v>-1.0361473051181727E-2</v>
      </c>
    </row>
    <row r="132" spans="1:23" x14ac:dyDescent="0.25">
      <c r="A132" t="s">
        <v>525</v>
      </c>
      <c r="B132" t="s">
        <v>600</v>
      </c>
      <c r="C132" s="128">
        <f t="shared" si="10"/>
        <v>21768</v>
      </c>
      <c r="D132" s="128">
        <v>6983</v>
      </c>
      <c r="E132" s="128">
        <v>14785</v>
      </c>
      <c r="F132" s="128">
        <v>0</v>
      </c>
      <c r="G132" s="128">
        <v>0</v>
      </c>
      <c r="H132" s="128">
        <v>578</v>
      </c>
      <c r="I132" s="128">
        <v>5</v>
      </c>
      <c r="J132" s="128">
        <v>5224</v>
      </c>
      <c r="K132" s="128">
        <v>5954</v>
      </c>
      <c r="L132" s="128">
        <v>683</v>
      </c>
      <c r="M132" s="128">
        <v>716</v>
      </c>
      <c r="N132" s="128">
        <v>1357</v>
      </c>
      <c r="O132" s="128">
        <v>41</v>
      </c>
      <c r="P132" s="128">
        <v>3744</v>
      </c>
      <c r="Q132" s="128">
        <f>P132*1.108</f>
        <v>4148.3520000000008</v>
      </c>
      <c r="R132" s="128">
        <v>1921</v>
      </c>
      <c r="S132" s="128">
        <f t="shared" si="14"/>
        <v>13723074</v>
      </c>
      <c r="T132" s="128">
        <f t="shared" si="11"/>
        <v>-8044926</v>
      </c>
      <c r="U132" s="128">
        <f t="shared" si="12"/>
        <v>0</v>
      </c>
      <c r="V132" s="128">
        <v>162179</v>
      </c>
      <c r="W132" s="188">
        <f t="shared" si="13"/>
        <v>-4.9605226324000024E-2</v>
      </c>
    </row>
    <row r="133" spans="1:23" x14ac:dyDescent="0.25">
      <c r="A133" t="s">
        <v>519</v>
      </c>
      <c r="B133" t="s">
        <v>186</v>
      </c>
      <c r="C133" s="128">
        <f t="shared" si="10"/>
        <v>4776</v>
      </c>
      <c r="D133" s="128">
        <v>3495</v>
      </c>
      <c r="E133" s="128">
        <v>1281</v>
      </c>
      <c r="F133" s="128">
        <v>0</v>
      </c>
      <c r="G133" s="128">
        <v>53</v>
      </c>
      <c r="H133" s="128">
        <v>0</v>
      </c>
      <c r="I133" s="128">
        <v>146</v>
      </c>
      <c r="J133" s="128">
        <v>1251</v>
      </c>
      <c r="K133" s="128">
        <v>1480</v>
      </c>
      <c r="L133" s="128">
        <v>260</v>
      </c>
      <c r="M133" s="128">
        <v>76</v>
      </c>
      <c r="N133" s="128">
        <v>424</v>
      </c>
      <c r="O133" s="128">
        <v>39</v>
      </c>
      <c r="P133" s="128">
        <v>2153</v>
      </c>
      <c r="Q133" s="128">
        <f>P133*1.08</f>
        <v>2325.2400000000002</v>
      </c>
      <c r="R133" s="128">
        <v>229</v>
      </c>
      <c r="S133" s="128">
        <f t="shared" si="14"/>
        <v>4723299</v>
      </c>
      <c r="T133" s="128">
        <f t="shared" si="11"/>
        <v>-52701</v>
      </c>
      <c r="U133" s="128">
        <f t="shared" si="12"/>
        <v>0</v>
      </c>
      <c r="V133" s="128">
        <v>42957</v>
      </c>
      <c r="W133" s="188">
        <f t="shared" si="13"/>
        <v>-1.226831482645436E-3</v>
      </c>
    </row>
    <row r="134" spans="1:23" x14ac:dyDescent="0.25">
      <c r="A134" t="s">
        <v>517</v>
      </c>
      <c r="B134" t="s">
        <v>373</v>
      </c>
      <c r="C134" s="128">
        <f t="shared" si="10"/>
        <v>9253</v>
      </c>
      <c r="D134" s="128">
        <v>6379</v>
      </c>
      <c r="E134" s="128">
        <v>2874</v>
      </c>
      <c r="F134" s="128">
        <v>66</v>
      </c>
      <c r="G134" s="128">
        <v>0</v>
      </c>
      <c r="H134" s="128">
        <v>91</v>
      </c>
      <c r="I134" s="128">
        <v>300</v>
      </c>
      <c r="J134" s="128">
        <v>4226</v>
      </c>
      <c r="K134" s="128">
        <v>3593</v>
      </c>
      <c r="L134" s="128">
        <v>447</v>
      </c>
      <c r="M134" s="128">
        <v>160</v>
      </c>
      <c r="N134" s="128">
        <v>1100</v>
      </c>
      <c r="O134" s="128">
        <v>161</v>
      </c>
      <c r="P134" s="128">
        <v>5533</v>
      </c>
      <c r="Q134" s="128">
        <f>P134*1.079</f>
        <v>5970.107</v>
      </c>
      <c r="R134" s="128">
        <v>824</v>
      </c>
      <c r="S134" s="128">
        <f t="shared" si="14"/>
        <v>12990429</v>
      </c>
      <c r="T134" s="128">
        <f t="shared" si="11"/>
        <v>3737429</v>
      </c>
      <c r="U134" s="128">
        <f t="shared" si="12"/>
        <v>3737429</v>
      </c>
      <c r="V134" s="128">
        <v>110177</v>
      </c>
      <c r="W134" s="188">
        <f t="shared" si="13"/>
        <v>3.3922043620719385E-2</v>
      </c>
    </row>
    <row r="135" spans="1:23" x14ac:dyDescent="0.25">
      <c r="A135" t="s">
        <v>521</v>
      </c>
      <c r="B135" t="s">
        <v>298</v>
      </c>
      <c r="C135" s="128">
        <f t="shared" si="10"/>
        <v>4328</v>
      </c>
      <c r="D135" s="128">
        <v>3058</v>
      </c>
      <c r="E135" s="128">
        <v>1270</v>
      </c>
      <c r="F135" s="128">
        <v>0</v>
      </c>
      <c r="G135" s="128">
        <v>0</v>
      </c>
      <c r="H135" s="128">
        <v>0</v>
      </c>
      <c r="I135" s="128">
        <v>0</v>
      </c>
      <c r="J135" s="128">
        <v>2384</v>
      </c>
      <c r="K135" s="128">
        <v>3099</v>
      </c>
      <c r="L135" s="128">
        <v>298</v>
      </c>
      <c r="M135" s="128">
        <v>81</v>
      </c>
      <c r="N135" s="128">
        <v>352</v>
      </c>
      <c r="O135" s="128">
        <v>85</v>
      </c>
      <c r="P135" s="128">
        <v>2914</v>
      </c>
      <c r="Q135" s="128">
        <f>P135*1.083</f>
        <v>3155.8620000000001</v>
      </c>
      <c r="R135" s="128">
        <v>426</v>
      </c>
      <c r="S135" s="128">
        <f t="shared" si="14"/>
        <v>6812694.0000000009</v>
      </c>
      <c r="T135" s="128">
        <f t="shared" si="11"/>
        <v>2484694.0000000009</v>
      </c>
      <c r="U135" s="128">
        <f t="shared" si="12"/>
        <v>2484694.0000000009</v>
      </c>
      <c r="V135" s="128">
        <v>54359</v>
      </c>
      <c r="W135" s="188">
        <f t="shared" si="13"/>
        <v>4.570897183539066E-2</v>
      </c>
    </row>
    <row r="136" spans="1:23" x14ac:dyDescent="0.25">
      <c r="A136" t="s">
        <v>517</v>
      </c>
      <c r="B136" t="s">
        <v>374</v>
      </c>
      <c r="C136" s="128">
        <f t="shared" si="10"/>
        <v>3828</v>
      </c>
      <c r="D136" s="128">
        <v>2588</v>
      </c>
      <c r="E136" s="128">
        <v>1240</v>
      </c>
      <c r="F136" s="128">
        <v>0</v>
      </c>
      <c r="G136" s="128">
        <v>0</v>
      </c>
      <c r="H136" s="128">
        <v>1338</v>
      </c>
      <c r="I136" s="128">
        <v>0</v>
      </c>
      <c r="J136" s="128">
        <v>1463</v>
      </c>
      <c r="K136" s="128">
        <v>1156</v>
      </c>
      <c r="L136" s="128">
        <v>191</v>
      </c>
      <c r="M136" s="128">
        <v>0</v>
      </c>
      <c r="N136" s="128">
        <v>678</v>
      </c>
      <c r="O136" s="128">
        <v>455</v>
      </c>
      <c r="P136" s="128">
        <v>2135</v>
      </c>
      <c r="Q136" s="128">
        <f>P136*1.079</f>
        <v>2303.665</v>
      </c>
      <c r="R136" s="128">
        <v>436</v>
      </c>
      <c r="S136" s="128">
        <f t="shared" si="14"/>
        <v>5439663</v>
      </c>
      <c r="T136" s="128">
        <f t="shared" si="11"/>
        <v>1611663</v>
      </c>
      <c r="U136" s="128">
        <f t="shared" si="12"/>
        <v>1611663</v>
      </c>
      <c r="V136" s="128">
        <v>38433</v>
      </c>
      <c r="W136" s="188">
        <f t="shared" si="13"/>
        <v>4.1934353290141287E-2</v>
      </c>
    </row>
    <row r="137" spans="1:23" x14ac:dyDescent="0.25">
      <c r="A137" t="s">
        <v>518</v>
      </c>
      <c r="B137" t="s">
        <v>258</v>
      </c>
      <c r="C137" s="128">
        <f t="shared" si="10"/>
        <v>22530</v>
      </c>
      <c r="D137" s="128">
        <v>12305</v>
      </c>
      <c r="E137" s="128">
        <v>10225</v>
      </c>
      <c r="F137" s="128">
        <v>4435</v>
      </c>
      <c r="G137" s="128">
        <v>0</v>
      </c>
      <c r="H137" s="128">
        <v>0</v>
      </c>
      <c r="I137" s="128">
        <v>510</v>
      </c>
      <c r="J137" s="128">
        <v>7950</v>
      </c>
      <c r="K137" s="128">
        <v>11194</v>
      </c>
      <c r="L137" s="128">
        <v>1265</v>
      </c>
      <c r="M137" s="128">
        <v>0</v>
      </c>
      <c r="N137" s="128">
        <v>2656</v>
      </c>
      <c r="O137" s="128">
        <v>1852</v>
      </c>
      <c r="P137" s="128">
        <v>14265</v>
      </c>
      <c r="Q137" s="128">
        <f>P137*1.072</f>
        <v>15292.080000000002</v>
      </c>
      <c r="R137" s="128">
        <v>2467</v>
      </c>
      <c r="S137" s="128">
        <f t="shared" si="14"/>
        <v>34730991</v>
      </c>
      <c r="T137" s="128">
        <f t="shared" si="11"/>
        <v>12200991</v>
      </c>
      <c r="U137" s="128">
        <f t="shared" si="12"/>
        <v>12200991</v>
      </c>
      <c r="V137" s="128">
        <v>258222</v>
      </c>
      <c r="W137" s="188">
        <f t="shared" si="13"/>
        <v>4.7250005808955088E-2</v>
      </c>
    </row>
    <row r="138" spans="1:23" x14ac:dyDescent="0.25">
      <c r="A138" t="s">
        <v>521</v>
      </c>
      <c r="B138" t="s">
        <v>601</v>
      </c>
      <c r="C138" s="128">
        <f t="shared" si="10"/>
        <v>17206</v>
      </c>
      <c r="D138" s="128">
        <v>9854</v>
      </c>
      <c r="E138" s="128">
        <v>7352</v>
      </c>
      <c r="F138" s="128">
        <v>0</v>
      </c>
      <c r="G138" s="128">
        <v>133</v>
      </c>
      <c r="H138" s="128">
        <v>134</v>
      </c>
      <c r="I138" s="128">
        <v>740</v>
      </c>
      <c r="J138" s="128">
        <v>8174</v>
      </c>
      <c r="K138" s="128">
        <v>8501</v>
      </c>
      <c r="L138" s="128">
        <v>1050</v>
      </c>
      <c r="M138" s="128">
        <v>1262</v>
      </c>
      <c r="N138" s="128">
        <v>2799</v>
      </c>
      <c r="O138" s="128">
        <v>422</v>
      </c>
      <c r="P138" s="128">
        <v>10069</v>
      </c>
      <c r="Q138" s="128">
        <f>P138*1.083</f>
        <v>10904.726999999999</v>
      </c>
      <c r="R138" s="128">
        <v>1790</v>
      </c>
      <c r="S138" s="128">
        <f t="shared" si="14"/>
        <v>24691041.000000004</v>
      </c>
      <c r="T138" s="128">
        <f t="shared" si="11"/>
        <v>7485041.0000000037</v>
      </c>
      <c r="U138" s="128">
        <f t="shared" si="12"/>
        <v>7485041.0000000037</v>
      </c>
      <c r="V138" s="128">
        <v>190153</v>
      </c>
      <c r="W138" s="188">
        <f t="shared" si="13"/>
        <v>3.9363254852671288E-2</v>
      </c>
    </row>
    <row r="139" spans="1:23" x14ac:dyDescent="0.25">
      <c r="A139" t="s">
        <v>522</v>
      </c>
      <c r="B139" t="s">
        <v>150</v>
      </c>
      <c r="C139" s="128">
        <f t="shared" si="10"/>
        <v>8674</v>
      </c>
      <c r="D139" s="128">
        <v>5232</v>
      </c>
      <c r="E139" s="128">
        <v>3442</v>
      </c>
      <c r="F139" s="128">
        <v>0</v>
      </c>
      <c r="G139" s="128">
        <v>36</v>
      </c>
      <c r="H139" s="128">
        <v>494</v>
      </c>
      <c r="I139" s="128">
        <v>0</v>
      </c>
      <c r="J139" s="128">
        <v>4560</v>
      </c>
      <c r="K139" s="128">
        <v>3169</v>
      </c>
      <c r="L139" s="128">
        <v>395</v>
      </c>
      <c r="M139" s="128">
        <v>229</v>
      </c>
      <c r="N139" s="128">
        <v>856</v>
      </c>
      <c r="O139" s="128">
        <v>384</v>
      </c>
      <c r="P139" s="128">
        <v>3705</v>
      </c>
      <c r="Q139" s="128">
        <f>P139*1.083</f>
        <v>4012.5149999999999</v>
      </c>
      <c r="R139" s="128">
        <v>865</v>
      </c>
      <c r="S139" s="128">
        <f t="shared" si="14"/>
        <v>9831915</v>
      </c>
      <c r="T139" s="128">
        <f t="shared" si="11"/>
        <v>1157915</v>
      </c>
      <c r="U139" s="128">
        <f t="shared" si="12"/>
        <v>1157915</v>
      </c>
      <c r="V139" s="128">
        <v>81415</v>
      </c>
      <c r="W139" s="188">
        <f t="shared" si="13"/>
        <v>1.4222379168457901E-2</v>
      </c>
    </row>
    <row r="140" spans="1:23" x14ac:dyDescent="0.25">
      <c r="A140" t="s">
        <v>518</v>
      </c>
      <c r="B140" t="s">
        <v>259</v>
      </c>
      <c r="C140" s="128">
        <f t="shared" si="10"/>
        <v>11042</v>
      </c>
      <c r="D140" s="128">
        <v>5506</v>
      </c>
      <c r="E140" s="128">
        <v>5536</v>
      </c>
      <c r="F140" s="128">
        <v>0</v>
      </c>
      <c r="G140" s="128">
        <v>0</v>
      </c>
      <c r="H140" s="128">
        <v>313</v>
      </c>
      <c r="I140" s="128">
        <v>0</v>
      </c>
      <c r="J140" s="128">
        <v>3865</v>
      </c>
      <c r="K140" s="128">
        <v>6140</v>
      </c>
      <c r="L140" s="128">
        <v>559</v>
      </c>
      <c r="M140" s="128">
        <v>337</v>
      </c>
      <c r="N140" s="128">
        <v>1218</v>
      </c>
      <c r="O140" s="128">
        <v>271</v>
      </c>
      <c r="P140" s="128">
        <v>4495</v>
      </c>
      <c r="Q140" s="128">
        <f>P140*1.072</f>
        <v>4818.6400000000003</v>
      </c>
      <c r="R140" s="128">
        <v>1775</v>
      </c>
      <c r="S140" s="128">
        <f t="shared" si="14"/>
        <v>14553405</v>
      </c>
      <c r="T140" s="128">
        <f t="shared" si="11"/>
        <v>3511405</v>
      </c>
      <c r="U140" s="128">
        <f t="shared" si="12"/>
        <v>3511405</v>
      </c>
      <c r="V140" s="128">
        <v>107385</v>
      </c>
      <c r="W140" s="188">
        <f t="shared" si="13"/>
        <v>3.2699213111700889E-2</v>
      </c>
    </row>
    <row r="141" spans="1:23" x14ac:dyDescent="0.25">
      <c r="A141" t="s">
        <v>516</v>
      </c>
      <c r="B141" t="s">
        <v>111</v>
      </c>
      <c r="C141" s="128">
        <f t="shared" si="10"/>
        <v>16480</v>
      </c>
      <c r="D141" s="128">
        <v>9754</v>
      </c>
      <c r="E141" s="128">
        <v>6726</v>
      </c>
      <c r="F141" s="128">
        <v>2747</v>
      </c>
      <c r="G141" s="128">
        <v>250</v>
      </c>
      <c r="H141" s="128">
        <v>127</v>
      </c>
      <c r="I141" s="128">
        <v>0</v>
      </c>
      <c r="J141" s="128">
        <v>4550</v>
      </c>
      <c r="K141" s="128">
        <v>6392</v>
      </c>
      <c r="L141" s="128">
        <v>619</v>
      </c>
      <c r="M141" s="128">
        <v>910</v>
      </c>
      <c r="N141" s="128">
        <v>947</v>
      </c>
      <c r="O141" s="128">
        <v>206</v>
      </c>
      <c r="P141" s="128">
        <v>4607</v>
      </c>
      <c r="Q141" s="128">
        <f>P141*1.079</f>
        <v>4970.9529999999995</v>
      </c>
      <c r="R141" s="128">
        <v>1095</v>
      </c>
      <c r="S141" s="128">
        <f t="shared" si="14"/>
        <v>12295773</v>
      </c>
      <c r="T141" s="128">
        <f t="shared" si="11"/>
        <v>-4184227</v>
      </c>
      <c r="U141" s="128">
        <f t="shared" si="12"/>
        <v>0</v>
      </c>
      <c r="V141" s="128">
        <v>188430</v>
      </c>
      <c r="W141" s="188">
        <f t="shared" si="13"/>
        <v>-2.2205736878416388E-2</v>
      </c>
    </row>
    <row r="142" spans="1:23" x14ac:dyDescent="0.25">
      <c r="A142" t="s">
        <v>518</v>
      </c>
      <c r="B142" t="s">
        <v>260</v>
      </c>
      <c r="C142" s="128">
        <f t="shared" si="10"/>
        <v>11967</v>
      </c>
      <c r="D142" s="128">
        <v>7673</v>
      </c>
      <c r="E142" s="128">
        <v>4294</v>
      </c>
      <c r="F142" s="128">
        <v>3956</v>
      </c>
      <c r="G142" s="128">
        <v>0</v>
      </c>
      <c r="H142" s="128">
        <v>434</v>
      </c>
      <c r="I142" s="128">
        <v>1232</v>
      </c>
      <c r="J142" s="128">
        <v>5692</v>
      </c>
      <c r="K142" s="128">
        <v>10179</v>
      </c>
      <c r="L142" s="128">
        <v>914</v>
      </c>
      <c r="M142" s="128">
        <v>275</v>
      </c>
      <c r="N142" s="128">
        <v>847</v>
      </c>
      <c r="O142" s="128">
        <v>327</v>
      </c>
      <c r="P142" s="128">
        <v>7704</v>
      </c>
      <c r="Q142" s="128">
        <f>P142*1.072</f>
        <v>8258.6880000000001</v>
      </c>
      <c r="R142" s="128">
        <v>1440</v>
      </c>
      <c r="S142" s="128">
        <f t="shared" si="14"/>
        <v>19146456</v>
      </c>
      <c r="T142" s="128">
        <f t="shared" si="11"/>
        <v>7179456</v>
      </c>
      <c r="U142" s="128">
        <f t="shared" si="12"/>
        <v>7179456</v>
      </c>
      <c r="V142" s="128">
        <v>242258</v>
      </c>
      <c r="W142" s="188">
        <f t="shared" si="13"/>
        <v>2.9635578598023595E-2</v>
      </c>
    </row>
    <row r="143" spans="1:23" x14ac:dyDescent="0.25">
      <c r="A143" t="s">
        <v>526</v>
      </c>
      <c r="B143" t="s">
        <v>408</v>
      </c>
      <c r="C143" s="128">
        <f t="shared" si="10"/>
        <v>11812</v>
      </c>
      <c r="D143" s="128">
        <v>7319</v>
      </c>
      <c r="E143" s="128">
        <v>4493</v>
      </c>
      <c r="F143" s="128">
        <v>0</v>
      </c>
      <c r="G143" s="128">
        <v>0</v>
      </c>
      <c r="H143" s="128">
        <v>3015</v>
      </c>
      <c r="I143" s="128">
        <v>87</v>
      </c>
      <c r="J143" s="128">
        <v>4223</v>
      </c>
      <c r="K143" s="128">
        <v>3454</v>
      </c>
      <c r="L143" s="128">
        <v>451</v>
      </c>
      <c r="M143" s="128">
        <v>18</v>
      </c>
      <c r="N143" s="128">
        <v>1450</v>
      </c>
      <c r="O143" s="128">
        <v>16</v>
      </c>
      <c r="P143" s="128">
        <v>4651</v>
      </c>
      <c r="Q143" s="128">
        <f>P143*1.086</f>
        <v>5050.9860000000008</v>
      </c>
      <c r="R143" s="128">
        <v>1160</v>
      </c>
      <c r="S143" s="128">
        <f t="shared" si="14"/>
        <v>12610539.000000002</v>
      </c>
      <c r="T143" s="128">
        <f t="shared" si="11"/>
        <v>798539.00000000186</v>
      </c>
      <c r="U143" s="128">
        <f t="shared" si="12"/>
        <v>798539.00000000186</v>
      </c>
      <c r="V143" s="128">
        <v>107635</v>
      </c>
      <c r="W143" s="188">
        <f t="shared" si="13"/>
        <v>7.4189529428160157E-3</v>
      </c>
    </row>
    <row r="144" spans="1:23" x14ac:dyDescent="0.25">
      <c r="A144" t="s">
        <v>524</v>
      </c>
      <c r="B144" t="s">
        <v>221</v>
      </c>
      <c r="C144" s="128">
        <f t="shared" si="10"/>
        <v>12904</v>
      </c>
      <c r="D144" s="128">
        <v>7939</v>
      </c>
      <c r="E144" s="128">
        <v>4965</v>
      </c>
      <c r="F144" s="128">
        <v>0</v>
      </c>
      <c r="G144" s="128">
        <v>0</v>
      </c>
      <c r="H144" s="128">
        <v>216</v>
      </c>
      <c r="I144" s="128">
        <v>180</v>
      </c>
      <c r="J144" s="128">
        <v>3212</v>
      </c>
      <c r="K144" s="128">
        <v>5760</v>
      </c>
      <c r="L144" s="128">
        <v>570</v>
      </c>
      <c r="M144" s="128">
        <v>165</v>
      </c>
      <c r="N144" s="128">
        <v>826</v>
      </c>
      <c r="O144" s="128">
        <v>403</v>
      </c>
      <c r="P144" s="128">
        <v>7107</v>
      </c>
      <c r="Q144" s="128">
        <f>P144*1.08</f>
        <v>7675.56</v>
      </c>
      <c r="R144" s="128">
        <v>969</v>
      </c>
      <c r="S144" s="128">
        <f t="shared" si="14"/>
        <v>16362404.999999998</v>
      </c>
      <c r="T144" s="128">
        <f t="shared" si="11"/>
        <v>3458404.9999999981</v>
      </c>
      <c r="U144" s="128">
        <f t="shared" si="12"/>
        <v>3458404.9999999981</v>
      </c>
      <c r="V144" s="128">
        <v>119865</v>
      </c>
      <c r="W144" s="188">
        <f t="shared" si="13"/>
        <v>2.8852500729987886E-2</v>
      </c>
    </row>
    <row r="145" spans="1:23" x14ac:dyDescent="0.25">
      <c r="A145" t="s">
        <v>518</v>
      </c>
      <c r="B145" t="s">
        <v>261</v>
      </c>
      <c r="C145" s="128">
        <f t="shared" si="10"/>
        <v>4872</v>
      </c>
      <c r="D145" s="128">
        <v>3493</v>
      </c>
      <c r="E145" s="128">
        <v>1379</v>
      </c>
      <c r="F145" s="128">
        <v>5</v>
      </c>
      <c r="G145" s="128">
        <v>121</v>
      </c>
      <c r="H145" s="128">
        <v>65</v>
      </c>
      <c r="I145" s="128">
        <v>0</v>
      </c>
      <c r="J145" s="128">
        <v>4380</v>
      </c>
      <c r="K145" s="128">
        <v>5585</v>
      </c>
      <c r="L145" s="128">
        <v>541</v>
      </c>
      <c r="M145" s="128">
        <v>333</v>
      </c>
      <c r="N145" s="128">
        <v>376</v>
      </c>
      <c r="O145" s="128">
        <v>114</v>
      </c>
      <c r="P145" s="128">
        <v>6288</v>
      </c>
      <c r="Q145" s="128">
        <f>P145*1.072</f>
        <v>6740.7360000000008</v>
      </c>
      <c r="R145" s="128">
        <v>558</v>
      </c>
      <c r="S145" s="128">
        <f t="shared" si="14"/>
        <v>13393836</v>
      </c>
      <c r="T145" s="128">
        <f t="shared" si="11"/>
        <v>8521836</v>
      </c>
      <c r="U145" s="128">
        <f t="shared" si="12"/>
        <v>8521836</v>
      </c>
      <c r="V145" s="128">
        <v>95669</v>
      </c>
      <c r="W145" s="188">
        <f t="shared" si="13"/>
        <v>8.9076252495583735E-2</v>
      </c>
    </row>
    <row r="146" spans="1:23" x14ac:dyDescent="0.25">
      <c r="A146" t="s">
        <v>528</v>
      </c>
      <c r="B146" t="s">
        <v>332</v>
      </c>
      <c r="C146" s="128">
        <f t="shared" si="10"/>
        <v>4965</v>
      </c>
      <c r="D146" s="128">
        <v>3226</v>
      </c>
      <c r="E146" s="128">
        <v>1739</v>
      </c>
      <c r="F146" s="128">
        <v>760</v>
      </c>
      <c r="G146" s="128">
        <v>0</v>
      </c>
      <c r="H146" s="128">
        <v>330</v>
      </c>
      <c r="I146" s="128">
        <v>315</v>
      </c>
      <c r="J146" s="128">
        <v>3475</v>
      </c>
      <c r="K146" s="128">
        <v>3548</v>
      </c>
      <c r="L146" s="128">
        <v>275</v>
      </c>
      <c r="M146" s="128">
        <v>115</v>
      </c>
      <c r="N146" s="128">
        <v>823</v>
      </c>
      <c r="O146" s="128">
        <v>113</v>
      </c>
      <c r="P146" s="128">
        <v>2803</v>
      </c>
      <c r="Q146" s="128">
        <f>P146*1.08</f>
        <v>3027.2400000000002</v>
      </c>
      <c r="R146" s="128">
        <v>485</v>
      </c>
      <c r="S146" s="128">
        <f t="shared" si="14"/>
        <v>6825357</v>
      </c>
      <c r="T146" s="128">
        <f t="shared" si="11"/>
        <v>1860357</v>
      </c>
      <c r="U146" s="128">
        <f t="shared" si="12"/>
        <v>1860357</v>
      </c>
      <c r="V146" s="128">
        <v>73855</v>
      </c>
      <c r="W146" s="188">
        <f t="shared" si="13"/>
        <v>2.5189316904745785E-2</v>
      </c>
    </row>
    <row r="147" spans="1:23" x14ac:dyDescent="0.25">
      <c r="A147" t="s">
        <v>524</v>
      </c>
      <c r="B147" t="s">
        <v>222</v>
      </c>
      <c r="C147" s="128">
        <f t="shared" si="10"/>
        <v>5138</v>
      </c>
      <c r="D147" s="128">
        <v>3759</v>
      </c>
      <c r="E147" s="128">
        <v>1379</v>
      </c>
      <c r="F147" s="128">
        <v>1490</v>
      </c>
      <c r="G147" s="128">
        <v>172</v>
      </c>
      <c r="H147" s="128">
        <v>25</v>
      </c>
      <c r="I147" s="128">
        <v>75</v>
      </c>
      <c r="J147" s="128">
        <v>3829</v>
      </c>
      <c r="K147" s="128">
        <v>4519</v>
      </c>
      <c r="L147" s="128">
        <v>372</v>
      </c>
      <c r="M147" s="128">
        <v>231</v>
      </c>
      <c r="N147" s="128">
        <v>649</v>
      </c>
      <c r="O147" s="128">
        <v>133</v>
      </c>
      <c r="P147" s="128">
        <v>4098</v>
      </c>
      <c r="Q147" s="128">
        <f>P147*1.08</f>
        <v>4425.84</v>
      </c>
      <c r="R147" s="128">
        <v>420</v>
      </c>
      <c r="S147" s="128">
        <f t="shared" si="14"/>
        <v>8932842</v>
      </c>
      <c r="T147" s="128">
        <f t="shared" si="11"/>
        <v>3794842</v>
      </c>
      <c r="U147" s="128">
        <f t="shared" si="12"/>
        <v>3794842</v>
      </c>
      <c r="V147" s="128">
        <v>79020</v>
      </c>
      <c r="W147" s="188">
        <f t="shared" si="13"/>
        <v>4.8023816755251837E-2</v>
      </c>
    </row>
    <row r="148" spans="1:23" x14ac:dyDescent="0.25">
      <c r="A148" t="s">
        <v>521</v>
      </c>
      <c r="B148" t="s">
        <v>299</v>
      </c>
      <c r="C148" s="128">
        <f t="shared" si="10"/>
        <v>5603</v>
      </c>
      <c r="D148" s="128">
        <v>4239</v>
      </c>
      <c r="E148" s="128">
        <v>1364</v>
      </c>
      <c r="F148" s="128">
        <v>0</v>
      </c>
      <c r="G148" s="128">
        <v>0</v>
      </c>
      <c r="H148" s="128">
        <v>322</v>
      </c>
      <c r="I148" s="128">
        <v>6</v>
      </c>
      <c r="J148" s="128">
        <v>3735</v>
      </c>
      <c r="K148" s="128">
        <v>3394</v>
      </c>
      <c r="L148" s="128">
        <v>504</v>
      </c>
      <c r="M148" s="128">
        <v>63</v>
      </c>
      <c r="N148" s="128">
        <v>987</v>
      </c>
      <c r="O148" s="128">
        <v>11</v>
      </c>
      <c r="P148" s="128">
        <v>3861</v>
      </c>
      <c r="Q148" s="128">
        <f>P148*1.083</f>
        <v>4181.4629999999997</v>
      </c>
      <c r="R148" s="128">
        <v>494</v>
      </c>
      <c r="S148" s="128">
        <f t="shared" si="14"/>
        <v>8771841</v>
      </c>
      <c r="T148" s="128">
        <f t="shared" si="11"/>
        <v>3168841</v>
      </c>
      <c r="U148" s="128">
        <f t="shared" si="12"/>
        <v>3168841</v>
      </c>
      <c r="V148" s="128">
        <v>58440</v>
      </c>
      <c r="W148" s="188">
        <f t="shared" si="13"/>
        <v>5.4223836413415466E-2</v>
      </c>
    </row>
    <row r="149" spans="1:23" x14ac:dyDescent="0.25">
      <c r="A149" t="s">
        <v>522</v>
      </c>
      <c r="B149" t="s">
        <v>151</v>
      </c>
      <c r="C149" s="128">
        <f t="shared" si="10"/>
        <v>12293</v>
      </c>
      <c r="D149" s="128">
        <v>7182</v>
      </c>
      <c r="E149" s="128">
        <v>5111</v>
      </c>
      <c r="F149" s="128">
        <v>1950</v>
      </c>
      <c r="G149" s="128">
        <v>0</v>
      </c>
      <c r="H149" s="128">
        <v>76</v>
      </c>
      <c r="I149" s="128">
        <v>463</v>
      </c>
      <c r="J149" s="128">
        <v>3217</v>
      </c>
      <c r="K149" s="128">
        <v>5133</v>
      </c>
      <c r="L149" s="128">
        <v>677</v>
      </c>
      <c r="M149" s="128">
        <v>662</v>
      </c>
      <c r="N149" s="128">
        <v>1194</v>
      </c>
      <c r="O149" s="128">
        <v>632</v>
      </c>
      <c r="P149" s="128">
        <v>5110</v>
      </c>
      <c r="Q149" s="128">
        <f>P149*1.083</f>
        <v>5534.13</v>
      </c>
      <c r="R149" s="128">
        <v>1147</v>
      </c>
      <c r="S149" s="128">
        <f t="shared" si="14"/>
        <v>13393836</v>
      </c>
      <c r="T149" s="128">
        <f t="shared" si="11"/>
        <v>1100836</v>
      </c>
      <c r="U149" s="128">
        <f t="shared" si="12"/>
        <v>1100836</v>
      </c>
      <c r="V149" s="128">
        <v>157268</v>
      </c>
      <c r="W149" s="188">
        <f t="shared" si="13"/>
        <v>6.9997456570948949E-3</v>
      </c>
    </row>
    <row r="150" spans="1:23" x14ac:dyDescent="0.25">
      <c r="A150" t="s">
        <v>528</v>
      </c>
      <c r="B150" t="s">
        <v>333</v>
      </c>
      <c r="C150" s="128">
        <f t="shared" si="10"/>
        <v>2540</v>
      </c>
      <c r="D150" s="128">
        <v>2121</v>
      </c>
      <c r="E150" s="128">
        <v>419</v>
      </c>
      <c r="F150" s="128">
        <v>0</v>
      </c>
      <c r="G150" s="128">
        <v>0</v>
      </c>
      <c r="H150" s="128">
        <v>275</v>
      </c>
      <c r="I150" s="128">
        <v>70</v>
      </c>
      <c r="J150" s="128">
        <v>1534</v>
      </c>
      <c r="K150" s="128">
        <v>1423</v>
      </c>
      <c r="L150" s="128">
        <v>150</v>
      </c>
      <c r="M150" s="128">
        <v>224</v>
      </c>
      <c r="N150" s="128">
        <v>780</v>
      </c>
      <c r="O150" s="128">
        <v>29</v>
      </c>
      <c r="P150" s="128">
        <v>1376</v>
      </c>
      <c r="Q150" s="128">
        <f>P150*1.08</f>
        <v>1486.0800000000002</v>
      </c>
      <c r="R150" s="128">
        <v>261</v>
      </c>
      <c r="S150" s="128">
        <f t="shared" si="14"/>
        <v>3433482</v>
      </c>
      <c r="T150" s="128">
        <f t="shared" si="11"/>
        <v>893482</v>
      </c>
      <c r="U150" s="128">
        <f t="shared" si="12"/>
        <v>893482</v>
      </c>
      <c r="V150" s="128">
        <v>34347</v>
      </c>
      <c r="W150" s="188">
        <f t="shared" si="13"/>
        <v>2.6013392727166854E-2</v>
      </c>
    </row>
    <row r="151" spans="1:23" x14ac:dyDescent="0.25">
      <c r="A151" t="s">
        <v>521</v>
      </c>
      <c r="B151" t="s">
        <v>300</v>
      </c>
      <c r="C151" s="128">
        <f t="shared" si="10"/>
        <v>12978</v>
      </c>
      <c r="D151" s="128">
        <v>7799</v>
      </c>
      <c r="E151" s="128">
        <v>5179</v>
      </c>
      <c r="F151" s="128">
        <v>2734</v>
      </c>
      <c r="G151" s="128">
        <v>0</v>
      </c>
      <c r="H151" s="128">
        <v>473</v>
      </c>
      <c r="I151" s="128">
        <v>469</v>
      </c>
      <c r="J151" s="128">
        <v>4227</v>
      </c>
      <c r="K151" s="128">
        <v>8062</v>
      </c>
      <c r="L151" s="128">
        <v>1181</v>
      </c>
      <c r="M151" s="128">
        <v>289</v>
      </c>
      <c r="N151" s="128">
        <v>1769</v>
      </c>
      <c r="O151" s="128">
        <v>1442</v>
      </c>
      <c r="P151" s="128">
        <v>8663</v>
      </c>
      <c r="Q151" s="128">
        <f>P151*1.083</f>
        <v>9382.0290000000005</v>
      </c>
      <c r="R151" s="128">
        <v>1218</v>
      </c>
      <c r="S151" s="128">
        <f t="shared" si="14"/>
        <v>20078091</v>
      </c>
      <c r="T151" s="128">
        <f t="shared" si="11"/>
        <v>7100091</v>
      </c>
      <c r="U151" s="128">
        <f t="shared" si="12"/>
        <v>7100091</v>
      </c>
      <c r="V151" s="128">
        <v>173838</v>
      </c>
      <c r="W151" s="188">
        <f t="shared" si="13"/>
        <v>4.0843147067959822E-2</v>
      </c>
    </row>
    <row r="152" spans="1:23" x14ac:dyDescent="0.25">
      <c r="A152" t="s">
        <v>526</v>
      </c>
      <c r="B152" t="s">
        <v>409</v>
      </c>
      <c r="C152" s="128">
        <f t="shared" si="10"/>
        <v>13238</v>
      </c>
      <c r="D152" s="128">
        <v>7546</v>
      </c>
      <c r="E152" s="128">
        <v>5692</v>
      </c>
      <c r="F152" s="128">
        <v>648</v>
      </c>
      <c r="G152" s="128">
        <v>0</v>
      </c>
      <c r="H152" s="128">
        <v>171</v>
      </c>
      <c r="I152" s="128">
        <v>491</v>
      </c>
      <c r="J152" s="128">
        <v>5276</v>
      </c>
      <c r="K152" s="128">
        <v>5876</v>
      </c>
      <c r="L152" s="128">
        <v>478</v>
      </c>
      <c r="M152" s="128">
        <v>45</v>
      </c>
      <c r="N152" s="128">
        <v>337</v>
      </c>
      <c r="O152" s="128">
        <v>327</v>
      </c>
      <c r="P152" s="128">
        <v>3623</v>
      </c>
      <c r="Q152" s="128">
        <f>P152*1.086</f>
        <v>3934.5780000000004</v>
      </c>
      <c r="R152" s="128">
        <v>773</v>
      </c>
      <c r="S152" s="128">
        <f t="shared" si="14"/>
        <v>9350721</v>
      </c>
      <c r="T152" s="128">
        <f t="shared" si="11"/>
        <v>-3887279</v>
      </c>
      <c r="U152" s="128">
        <f t="shared" si="12"/>
        <v>0</v>
      </c>
      <c r="V152" s="128">
        <v>170918</v>
      </c>
      <c r="W152" s="188">
        <f t="shared" si="13"/>
        <v>-2.2743531986098596E-2</v>
      </c>
    </row>
    <row r="153" spans="1:23" x14ac:dyDescent="0.25">
      <c r="A153" t="s">
        <v>518</v>
      </c>
      <c r="B153" t="s">
        <v>262</v>
      </c>
      <c r="C153" s="128">
        <f t="shared" si="10"/>
        <v>2842</v>
      </c>
      <c r="D153" s="128">
        <v>1877</v>
      </c>
      <c r="E153" s="128">
        <v>965</v>
      </c>
      <c r="F153" s="128">
        <v>0</v>
      </c>
      <c r="G153" s="128">
        <v>0</v>
      </c>
      <c r="H153" s="128">
        <v>105</v>
      </c>
      <c r="I153" s="128">
        <v>0</v>
      </c>
      <c r="J153" s="128">
        <v>1480</v>
      </c>
      <c r="K153" s="128">
        <v>2866</v>
      </c>
      <c r="L153" s="128">
        <v>175</v>
      </c>
      <c r="M153" s="128">
        <v>35</v>
      </c>
      <c r="N153" s="128">
        <v>465</v>
      </c>
      <c r="O153" s="128">
        <v>44</v>
      </c>
      <c r="P153" s="128">
        <v>2508</v>
      </c>
      <c r="Q153" s="128">
        <f>P153*1.072</f>
        <v>2688.576</v>
      </c>
      <c r="R153" s="128">
        <v>467</v>
      </c>
      <c r="S153" s="128">
        <f t="shared" si="14"/>
        <v>6226578</v>
      </c>
      <c r="T153" s="128">
        <f t="shared" si="11"/>
        <v>3384578</v>
      </c>
      <c r="U153" s="128">
        <f t="shared" si="12"/>
        <v>3384578</v>
      </c>
      <c r="V153" s="128">
        <v>59325</v>
      </c>
      <c r="W153" s="188">
        <f t="shared" si="13"/>
        <v>5.7051462284028659E-2</v>
      </c>
    </row>
    <row r="154" spans="1:23" x14ac:dyDescent="0.25">
      <c r="A154" t="s">
        <v>521</v>
      </c>
      <c r="B154" t="s">
        <v>301</v>
      </c>
      <c r="C154" s="128">
        <f t="shared" si="10"/>
        <v>5913</v>
      </c>
      <c r="D154" s="128">
        <v>3735</v>
      </c>
      <c r="E154" s="128">
        <v>2178</v>
      </c>
      <c r="F154" s="128">
        <v>0</v>
      </c>
      <c r="G154" s="128">
        <v>0</v>
      </c>
      <c r="H154" s="128">
        <v>0</v>
      </c>
      <c r="I154" s="128">
        <v>0</v>
      </c>
      <c r="J154" s="128">
        <v>3604</v>
      </c>
      <c r="K154" s="128">
        <v>4758</v>
      </c>
      <c r="L154" s="128">
        <v>318</v>
      </c>
      <c r="M154" s="128">
        <v>531</v>
      </c>
      <c r="N154" s="128">
        <v>578</v>
      </c>
      <c r="O154" s="128">
        <v>138</v>
      </c>
      <c r="P154" s="128">
        <v>3344</v>
      </c>
      <c r="Q154" s="128">
        <f>P154*1.083</f>
        <v>3621.5519999999997</v>
      </c>
      <c r="R154" s="128">
        <v>453</v>
      </c>
      <c r="S154" s="128">
        <f t="shared" si="14"/>
        <v>7688250</v>
      </c>
      <c r="T154" s="128">
        <f t="shared" si="11"/>
        <v>1775250</v>
      </c>
      <c r="U154" s="128">
        <f t="shared" si="12"/>
        <v>1775250</v>
      </c>
      <c r="V154" s="128">
        <v>75359</v>
      </c>
      <c r="W154" s="188">
        <f t="shared" si="13"/>
        <v>2.3557239347655887E-2</v>
      </c>
    </row>
    <row r="155" spans="1:23" x14ac:dyDescent="0.25">
      <c r="A155" t="s">
        <v>521</v>
      </c>
      <c r="B155" t="s">
        <v>478</v>
      </c>
      <c r="C155" s="128">
        <f t="shared" si="10"/>
        <v>11825</v>
      </c>
      <c r="D155" s="128">
        <v>7472</v>
      </c>
      <c r="E155" s="128">
        <v>4353</v>
      </c>
      <c r="F155" s="128">
        <v>0</v>
      </c>
      <c r="G155" s="128">
        <v>0</v>
      </c>
      <c r="H155" s="128">
        <v>264</v>
      </c>
      <c r="I155" s="128">
        <v>76</v>
      </c>
      <c r="J155" s="128">
        <v>5919</v>
      </c>
      <c r="K155" s="128">
        <v>6244</v>
      </c>
      <c r="L155" s="128">
        <v>722</v>
      </c>
      <c r="M155" s="128">
        <v>992</v>
      </c>
      <c r="N155" s="128">
        <v>1623</v>
      </c>
      <c r="O155" s="128">
        <v>312</v>
      </c>
      <c r="P155" s="128">
        <v>6502</v>
      </c>
      <c r="Q155" s="128">
        <f>P155*1.083</f>
        <v>7041.6660000000002</v>
      </c>
      <c r="R155" s="128">
        <v>1044</v>
      </c>
      <c r="S155" s="128">
        <f t="shared" si="14"/>
        <v>15539310</v>
      </c>
      <c r="T155" s="128">
        <f t="shared" si="11"/>
        <v>3714310</v>
      </c>
      <c r="U155" s="128">
        <f t="shared" si="12"/>
        <v>3714310</v>
      </c>
      <c r="V155" s="128">
        <v>131852</v>
      </c>
      <c r="W155" s="188">
        <f t="shared" si="13"/>
        <v>2.8170296999666292E-2</v>
      </c>
    </row>
    <row r="156" spans="1:23" x14ac:dyDescent="0.25">
      <c r="A156" t="s">
        <v>517</v>
      </c>
      <c r="B156" t="s">
        <v>375</v>
      </c>
      <c r="C156" s="128">
        <f t="shared" si="10"/>
        <v>5646</v>
      </c>
      <c r="D156" s="128">
        <v>3582</v>
      </c>
      <c r="E156" s="128">
        <v>2064</v>
      </c>
      <c r="F156" s="128">
        <v>0</v>
      </c>
      <c r="G156" s="128">
        <v>0</v>
      </c>
      <c r="H156" s="128">
        <v>0</v>
      </c>
      <c r="I156" s="128">
        <v>27</v>
      </c>
      <c r="J156" s="128">
        <v>2034</v>
      </c>
      <c r="K156" s="128">
        <v>2231</v>
      </c>
      <c r="L156" s="128">
        <v>236</v>
      </c>
      <c r="M156" s="128">
        <v>0</v>
      </c>
      <c r="N156" s="128">
        <v>780</v>
      </c>
      <c r="O156" s="128">
        <v>92</v>
      </c>
      <c r="P156" s="128">
        <v>2770</v>
      </c>
      <c r="Q156" s="128">
        <f>P156*1.079</f>
        <v>2988.83</v>
      </c>
      <c r="R156" s="128">
        <v>508</v>
      </c>
      <c r="S156" s="128">
        <f t="shared" si="14"/>
        <v>6848874</v>
      </c>
      <c r="T156" s="128">
        <f t="shared" si="11"/>
        <v>1202874</v>
      </c>
      <c r="U156" s="128">
        <f t="shared" si="12"/>
        <v>1202874</v>
      </c>
      <c r="V156" s="128">
        <v>56196</v>
      </c>
      <c r="W156" s="188">
        <f t="shared" si="13"/>
        <v>2.1404975443092035E-2</v>
      </c>
    </row>
    <row r="157" spans="1:23" x14ac:dyDescent="0.25">
      <c r="A157" t="s">
        <v>517</v>
      </c>
      <c r="B157" t="s">
        <v>868</v>
      </c>
      <c r="C157" s="128">
        <v>23045</v>
      </c>
      <c r="D157" s="128">
        <v>16757</v>
      </c>
      <c r="E157" s="128">
        <v>6288</v>
      </c>
      <c r="F157" s="128">
        <v>30</v>
      </c>
      <c r="G157" s="128">
        <v>0</v>
      </c>
      <c r="H157" s="128">
        <v>776</v>
      </c>
      <c r="I157" s="128">
        <v>359</v>
      </c>
      <c r="J157" s="128">
        <v>8633</v>
      </c>
      <c r="K157" s="128">
        <v>6498</v>
      </c>
      <c r="L157" s="128">
        <v>1126</v>
      </c>
      <c r="M157" s="128">
        <v>315</v>
      </c>
      <c r="N157" s="128">
        <v>3230</v>
      </c>
      <c r="O157" s="128">
        <v>1089</v>
      </c>
      <c r="P157" s="128">
        <v>9565</v>
      </c>
      <c r="Q157" s="128">
        <v>10329.133</v>
      </c>
      <c r="R157" s="128">
        <v>2212</v>
      </c>
      <c r="S157" s="128">
        <f t="shared" si="14"/>
        <v>25306101</v>
      </c>
      <c r="T157" s="128">
        <v>3643417.5969999991</v>
      </c>
      <c r="U157" s="128">
        <v>3643417.5969999991</v>
      </c>
      <c r="V157" s="128">
        <v>242548</v>
      </c>
      <c r="W157" s="188">
        <v>1.5021429148044919E-2</v>
      </c>
    </row>
    <row r="158" spans="1:23" x14ac:dyDescent="0.25">
      <c r="A158" t="s">
        <v>526</v>
      </c>
      <c r="B158" t="s">
        <v>410</v>
      </c>
      <c r="C158" s="128">
        <f t="shared" si="10"/>
        <v>7646</v>
      </c>
      <c r="D158" s="128">
        <v>5492</v>
      </c>
      <c r="E158" s="128">
        <v>2154</v>
      </c>
      <c r="F158" s="128">
        <v>0</v>
      </c>
      <c r="G158" s="128">
        <v>0</v>
      </c>
      <c r="H158" s="128">
        <v>106</v>
      </c>
      <c r="I158" s="128">
        <v>399</v>
      </c>
      <c r="J158" s="128">
        <v>4859</v>
      </c>
      <c r="K158" s="128">
        <v>4221</v>
      </c>
      <c r="L158" s="128">
        <v>428</v>
      </c>
      <c r="M158" s="128">
        <v>20</v>
      </c>
      <c r="N158" s="128">
        <v>283</v>
      </c>
      <c r="O158" s="128">
        <v>55</v>
      </c>
      <c r="P158" s="128">
        <v>3329</v>
      </c>
      <c r="Q158" s="128">
        <f>P158*1.086</f>
        <v>3615.2940000000003</v>
      </c>
      <c r="R158" s="128">
        <v>402</v>
      </c>
      <c r="S158" s="128">
        <f t="shared" si="14"/>
        <v>7476597</v>
      </c>
      <c r="T158" s="128">
        <f t="shared" si="11"/>
        <v>-169403</v>
      </c>
      <c r="U158" s="128">
        <f t="shared" si="12"/>
        <v>0</v>
      </c>
      <c r="V158" s="128">
        <v>112136</v>
      </c>
      <c r="W158" s="188">
        <f t="shared" si="13"/>
        <v>-1.5106923735464079E-3</v>
      </c>
    </row>
    <row r="159" spans="1:23" x14ac:dyDescent="0.25">
      <c r="A159" t="s">
        <v>518</v>
      </c>
      <c r="B159" t="s">
        <v>263</v>
      </c>
      <c r="C159" s="128">
        <f t="shared" si="10"/>
        <v>2659</v>
      </c>
      <c r="D159" s="128">
        <v>2408</v>
      </c>
      <c r="E159" s="128">
        <v>251</v>
      </c>
      <c r="F159" s="128">
        <v>0</v>
      </c>
      <c r="G159" s="128">
        <v>0</v>
      </c>
      <c r="H159" s="128">
        <v>71</v>
      </c>
      <c r="I159" s="128">
        <v>3</v>
      </c>
      <c r="J159" s="128">
        <v>1154</v>
      </c>
      <c r="K159" s="128">
        <v>1621</v>
      </c>
      <c r="L159" s="128">
        <v>172</v>
      </c>
      <c r="M159" s="128">
        <v>149</v>
      </c>
      <c r="N159" s="128">
        <v>254</v>
      </c>
      <c r="O159" s="128">
        <v>301</v>
      </c>
      <c r="P159" s="128">
        <v>2093</v>
      </c>
      <c r="Q159" s="128">
        <f>P159*1.072</f>
        <v>2243.6959999999999</v>
      </c>
      <c r="R159" s="128">
        <v>134</v>
      </c>
      <c r="S159" s="128">
        <f t="shared" si="14"/>
        <v>4271049.0000000009</v>
      </c>
      <c r="T159" s="128">
        <f t="shared" si="11"/>
        <v>1612049.0000000009</v>
      </c>
      <c r="U159" s="128">
        <f t="shared" si="12"/>
        <v>1612049.0000000009</v>
      </c>
      <c r="V159" s="128">
        <v>23365</v>
      </c>
      <c r="W159" s="188">
        <f t="shared" si="13"/>
        <v>6.8994179328054822E-2</v>
      </c>
    </row>
    <row r="160" spans="1:23" x14ac:dyDescent="0.25">
      <c r="A160" t="s">
        <v>521</v>
      </c>
      <c r="B160" s="86" t="s">
        <v>302</v>
      </c>
      <c r="C160" s="128">
        <f t="shared" si="10"/>
        <v>15968</v>
      </c>
      <c r="D160" s="128">
        <v>8756</v>
      </c>
      <c r="E160" s="128">
        <v>7212</v>
      </c>
      <c r="F160" s="128">
        <v>102</v>
      </c>
      <c r="G160" s="128">
        <v>105</v>
      </c>
      <c r="H160" s="128">
        <v>0</v>
      </c>
      <c r="I160" s="128">
        <v>299</v>
      </c>
      <c r="J160" s="128">
        <v>6644</v>
      </c>
      <c r="K160" s="128">
        <v>6958</v>
      </c>
      <c r="L160" s="128">
        <v>670</v>
      </c>
      <c r="M160" s="128">
        <v>57</v>
      </c>
      <c r="N160" s="128">
        <v>2650</v>
      </c>
      <c r="O160" s="128">
        <v>112</v>
      </c>
      <c r="P160" s="128">
        <v>8503</v>
      </c>
      <c r="Q160" s="128">
        <f>P160*1.083</f>
        <v>9208.7489999999998</v>
      </c>
      <c r="R160" s="128">
        <v>2024</v>
      </c>
      <c r="S160" s="128">
        <f t="shared" si="14"/>
        <v>22704759</v>
      </c>
      <c r="T160" s="128">
        <f t="shared" si="11"/>
        <v>6736759</v>
      </c>
      <c r="U160" s="128">
        <f t="shared" si="12"/>
        <v>6736759</v>
      </c>
      <c r="V160" s="128">
        <v>178485</v>
      </c>
      <c r="W160" s="188">
        <f t="shared" si="13"/>
        <v>3.7744118553379835E-2</v>
      </c>
    </row>
    <row r="161" spans="1:23" x14ac:dyDescent="0.25">
      <c r="A161" t="s">
        <v>518</v>
      </c>
      <c r="B161" t="s">
        <v>265</v>
      </c>
      <c r="C161" s="128">
        <f t="shared" si="10"/>
        <v>4873</v>
      </c>
      <c r="D161" s="128">
        <v>3920</v>
      </c>
      <c r="E161" s="128">
        <v>953</v>
      </c>
      <c r="F161" s="128">
        <v>0</v>
      </c>
      <c r="G161" s="128">
        <v>0</v>
      </c>
      <c r="H161" s="128">
        <v>0</v>
      </c>
      <c r="I161" s="128">
        <v>74</v>
      </c>
      <c r="J161" s="128">
        <v>1025</v>
      </c>
      <c r="K161" s="128">
        <v>1443</v>
      </c>
      <c r="L161" s="128">
        <v>145</v>
      </c>
      <c r="M161" s="128">
        <v>153</v>
      </c>
      <c r="N161" s="128">
        <v>662</v>
      </c>
      <c r="O161" s="128">
        <v>151</v>
      </c>
      <c r="P161" s="128">
        <v>3560</v>
      </c>
      <c r="Q161" s="128">
        <f>P161*1.072</f>
        <v>3816.32</v>
      </c>
      <c r="R161" s="128">
        <v>274</v>
      </c>
      <c r="S161" s="128">
        <f t="shared" si="14"/>
        <v>7431372.0000000009</v>
      </c>
      <c r="T161" s="128">
        <f t="shared" si="11"/>
        <v>2558372.0000000009</v>
      </c>
      <c r="U161" s="128">
        <f t="shared" si="12"/>
        <v>2558372.0000000009</v>
      </c>
      <c r="V161" s="128">
        <v>25346</v>
      </c>
      <c r="W161" s="188">
        <f t="shared" si="13"/>
        <v>0.10093789947131701</v>
      </c>
    </row>
    <row r="162" spans="1:23" x14ac:dyDescent="0.25">
      <c r="A162" t="s">
        <v>520</v>
      </c>
      <c r="B162" t="s">
        <v>132</v>
      </c>
      <c r="C162" s="128">
        <f t="shared" si="10"/>
        <v>33660</v>
      </c>
      <c r="D162" s="128">
        <v>14987</v>
      </c>
      <c r="E162" s="128">
        <v>18673</v>
      </c>
      <c r="F162" s="128">
        <v>3525</v>
      </c>
      <c r="G162" s="128">
        <v>0</v>
      </c>
      <c r="H162" s="128">
        <v>0</v>
      </c>
      <c r="I162" s="128">
        <v>909</v>
      </c>
      <c r="J162" s="128">
        <v>12306</v>
      </c>
      <c r="K162" s="128">
        <v>17620</v>
      </c>
      <c r="L162" s="128">
        <v>1382</v>
      </c>
      <c r="M162" s="128">
        <v>240</v>
      </c>
      <c r="N162" s="128">
        <v>3717</v>
      </c>
      <c r="O162" s="128">
        <v>848</v>
      </c>
      <c r="P162" s="128">
        <v>10354</v>
      </c>
      <c r="Q162" s="128">
        <f>P162*1.08</f>
        <v>11182.320000000002</v>
      </c>
      <c r="R162" s="128">
        <v>2694</v>
      </c>
      <c r="S162" s="128">
        <f t="shared" si="14"/>
        <v>28477278.000000004</v>
      </c>
      <c r="T162" s="128">
        <f t="shared" si="11"/>
        <v>-5182721.9999999963</v>
      </c>
      <c r="U162" s="128">
        <f t="shared" si="12"/>
        <v>0</v>
      </c>
      <c r="V162" s="128">
        <v>575746</v>
      </c>
      <c r="W162" s="188">
        <f t="shared" si="13"/>
        <v>-9.0017507720418308E-3</v>
      </c>
    </row>
    <row r="163" spans="1:23" x14ac:dyDescent="0.25">
      <c r="A163" t="s">
        <v>521</v>
      </c>
      <c r="B163" t="s">
        <v>303</v>
      </c>
      <c r="C163" s="128">
        <f t="shared" si="10"/>
        <v>55657</v>
      </c>
      <c r="D163" s="128">
        <v>23855</v>
      </c>
      <c r="E163" s="128">
        <v>31802</v>
      </c>
      <c r="F163" s="128">
        <v>12845</v>
      </c>
      <c r="G163" s="128">
        <v>0</v>
      </c>
      <c r="H163" s="128">
        <v>835</v>
      </c>
      <c r="I163" s="128">
        <v>0</v>
      </c>
      <c r="J163" s="128">
        <v>8758</v>
      </c>
      <c r="K163" s="128">
        <v>17492</v>
      </c>
      <c r="L163" s="128">
        <v>1626</v>
      </c>
      <c r="M163" s="128">
        <v>0</v>
      </c>
      <c r="N163" s="128">
        <v>3408</v>
      </c>
      <c r="O163" s="128">
        <v>2717</v>
      </c>
      <c r="P163" s="128">
        <v>17521</v>
      </c>
      <c r="Q163" s="128">
        <f>P163*1.083</f>
        <v>18975.242999999999</v>
      </c>
      <c r="R163" s="128">
        <v>3266</v>
      </c>
      <c r="S163" s="128">
        <f t="shared" si="14"/>
        <v>43511877</v>
      </c>
      <c r="T163" s="128">
        <f t="shared" si="11"/>
        <v>-12145123</v>
      </c>
      <c r="U163" s="128">
        <f t="shared" si="12"/>
        <v>0</v>
      </c>
      <c r="V163" s="128">
        <v>508615</v>
      </c>
      <c r="W163" s="188">
        <f t="shared" si="13"/>
        <v>-2.3878814034190891E-2</v>
      </c>
    </row>
    <row r="164" spans="1:23" x14ac:dyDescent="0.25">
      <c r="A164" t="s">
        <v>521</v>
      </c>
      <c r="B164" t="s">
        <v>304</v>
      </c>
      <c r="C164" s="128">
        <f t="shared" si="10"/>
        <v>7539</v>
      </c>
      <c r="D164" s="128">
        <v>5365</v>
      </c>
      <c r="E164" s="128">
        <v>2174</v>
      </c>
      <c r="F164" s="128">
        <v>0</v>
      </c>
      <c r="G164" s="128">
        <v>0</v>
      </c>
      <c r="H164" s="128">
        <v>68</v>
      </c>
      <c r="I164" s="128">
        <v>0</v>
      </c>
      <c r="J164" s="128">
        <v>1727</v>
      </c>
      <c r="K164" s="128">
        <v>3908</v>
      </c>
      <c r="L164" s="128">
        <v>277</v>
      </c>
      <c r="M164" s="128">
        <v>336</v>
      </c>
      <c r="N164" s="128">
        <v>318</v>
      </c>
      <c r="O164" s="128">
        <v>49</v>
      </c>
      <c r="P164" s="128">
        <v>3740</v>
      </c>
      <c r="Q164" s="128">
        <f>P164*1.083</f>
        <v>4050.42</v>
      </c>
      <c r="R164" s="128">
        <v>439</v>
      </c>
      <c r="S164" s="128">
        <f t="shared" si="14"/>
        <v>8353962.0000000009</v>
      </c>
      <c r="T164" s="128">
        <f t="shared" si="11"/>
        <v>814962.00000000093</v>
      </c>
      <c r="U164" s="128">
        <f t="shared" si="12"/>
        <v>814962.00000000093</v>
      </c>
      <c r="V164" s="128">
        <v>68221</v>
      </c>
      <c r="W164" s="188">
        <f t="shared" si="13"/>
        <v>1.1945911083097593E-2</v>
      </c>
    </row>
    <row r="165" spans="1:23" x14ac:dyDescent="0.25">
      <c r="A165" t="s">
        <v>521</v>
      </c>
      <c r="B165" t="s">
        <v>305</v>
      </c>
      <c r="C165" s="128">
        <f t="shared" si="10"/>
        <v>13380</v>
      </c>
      <c r="D165" s="128">
        <v>8897</v>
      </c>
      <c r="E165" s="128">
        <v>4483</v>
      </c>
      <c r="F165" s="128">
        <v>212</v>
      </c>
      <c r="G165" s="128">
        <v>0</v>
      </c>
      <c r="H165" s="128">
        <v>190</v>
      </c>
      <c r="I165" s="128">
        <v>550</v>
      </c>
      <c r="J165" s="128">
        <v>6558</v>
      </c>
      <c r="K165" s="128">
        <v>12651</v>
      </c>
      <c r="L165" s="128">
        <v>1136</v>
      </c>
      <c r="M165" s="128">
        <v>873</v>
      </c>
      <c r="N165" s="128">
        <v>1951</v>
      </c>
      <c r="O165" s="128">
        <v>160</v>
      </c>
      <c r="P165" s="128">
        <v>10799</v>
      </c>
      <c r="Q165" s="128">
        <f>P165*1.083</f>
        <v>11695.316999999999</v>
      </c>
      <c r="R165" s="128">
        <v>926</v>
      </c>
      <c r="S165" s="128">
        <f t="shared" si="14"/>
        <v>22885659</v>
      </c>
      <c r="T165" s="128">
        <f t="shared" si="11"/>
        <v>9505659</v>
      </c>
      <c r="U165" s="128">
        <f t="shared" si="12"/>
        <v>9505659</v>
      </c>
      <c r="V165" s="128">
        <v>217824</v>
      </c>
      <c r="W165" s="188">
        <f t="shared" si="13"/>
        <v>4.3639171992066988E-2</v>
      </c>
    </row>
    <row r="166" spans="1:23" x14ac:dyDescent="0.25">
      <c r="A166" t="s">
        <v>523</v>
      </c>
      <c r="B166" t="s">
        <v>431</v>
      </c>
      <c r="C166" s="128">
        <f t="shared" si="10"/>
        <v>23647</v>
      </c>
      <c r="D166" s="128">
        <v>11285</v>
      </c>
      <c r="E166" s="128">
        <v>12362</v>
      </c>
      <c r="F166" s="128">
        <v>0</v>
      </c>
      <c r="G166" s="128">
        <v>105</v>
      </c>
      <c r="H166" s="128">
        <v>0</v>
      </c>
      <c r="I166" s="128">
        <v>591</v>
      </c>
      <c r="J166" s="128">
        <v>6387</v>
      </c>
      <c r="K166" s="128">
        <v>9270</v>
      </c>
      <c r="L166" s="128">
        <v>910</v>
      </c>
      <c r="M166" s="128">
        <v>449</v>
      </c>
      <c r="N166" s="128">
        <v>1820</v>
      </c>
      <c r="O166" s="128">
        <v>462</v>
      </c>
      <c r="P166" s="128">
        <v>6959</v>
      </c>
      <c r="Q166" s="128">
        <f>P166*1.09</f>
        <v>7585.31</v>
      </c>
      <c r="R166" s="128">
        <v>1879</v>
      </c>
      <c r="S166" s="128">
        <f t="shared" si="14"/>
        <v>19387053</v>
      </c>
      <c r="T166" s="128">
        <f t="shared" si="11"/>
        <v>-4259947</v>
      </c>
      <c r="U166" s="128">
        <f t="shared" si="12"/>
        <v>0</v>
      </c>
      <c r="V166" s="128">
        <v>285290</v>
      </c>
      <c r="W166" s="188">
        <f t="shared" si="13"/>
        <v>-1.4931988502926846E-2</v>
      </c>
    </row>
    <row r="167" spans="1:23" x14ac:dyDescent="0.25">
      <c r="A167" t="s">
        <v>526</v>
      </c>
      <c r="B167" t="s">
        <v>411</v>
      </c>
      <c r="C167" s="128">
        <f t="shared" si="10"/>
        <v>6464</v>
      </c>
      <c r="D167" s="128">
        <v>4462</v>
      </c>
      <c r="E167" s="128">
        <v>2002</v>
      </c>
      <c r="F167" s="128">
        <v>0</v>
      </c>
      <c r="G167" s="128">
        <v>38</v>
      </c>
      <c r="H167" s="128">
        <v>930</v>
      </c>
      <c r="I167" s="128">
        <v>224</v>
      </c>
      <c r="J167" s="128">
        <v>4857</v>
      </c>
      <c r="K167" s="128">
        <v>3107</v>
      </c>
      <c r="L167" s="128">
        <v>369</v>
      </c>
      <c r="M167" s="128">
        <v>7</v>
      </c>
      <c r="N167" s="128">
        <v>743</v>
      </c>
      <c r="O167" s="128">
        <v>17</v>
      </c>
      <c r="P167" s="128">
        <v>3912</v>
      </c>
      <c r="Q167" s="128">
        <f>P167*1.086</f>
        <v>4248.4320000000007</v>
      </c>
      <c r="R167" s="128">
        <v>749</v>
      </c>
      <c r="S167" s="128">
        <f t="shared" si="14"/>
        <v>9786690</v>
      </c>
      <c r="T167" s="128">
        <f t="shared" si="11"/>
        <v>3322690</v>
      </c>
      <c r="U167" s="128">
        <f t="shared" si="12"/>
        <v>3322690</v>
      </c>
      <c r="V167" s="128">
        <v>81773</v>
      </c>
      <c r="W167" s="188">
        <f t="shared" si="13"/>
        <v>4.0633094053049296E-2</v>
      </c>
    </row>
    <row r="168" spans="1:23" x14ac:dyDescent="0.25">
      <c r="A168" t="s">
        <v>524</v>
      </c>
      <c r="B168" t="s">
        <v>223</v>
      </c>
      <c r="C168" s="128">
        <f t="shared" si="10"/>
        <v>7838</v>
      </c>
      <c r="D168" s="128">
        <v>4773</v>
      </c>
      <c r="E168" s="128">
        <v>3065</v>
      </c>
      <c r="F168" s="128">
        <v>0</v>
      </c>
      <c r="G168" s="128">
        <v>0</v>
      </c>
      <c r="H168" s="128">
        <v>140</v>
      </c>
      <c r="I168" s="128">
        <v>213</v>
      </c>
      <c r="J168" s="128">
        <v>1730</v>
      </c>
      <c r="K168" s="128">
        <v>3193</v>
      </c>
      <c r="L168" s="128">
        <v>340</v>
      </c>
      <c r="M168" s="128">
        <v>36</v>
      </c>
      <c r="N168" s="128">
        <v>455</v>
      </c>
      <c r="O168" s="128">
        <v>101</v>
      </c>
      <c r="P168" s="128">
        <v>4434</v>
      </c>
      <c r="Q168" s="128">
        <f>P168*1.08</f>
        <v>4788.72</v>
      </c>
      <c r="R168" s="128">
        <v>573</v>
      </c>
      <c r="S168" s="128">
        <f t="shared" si="14"/>
        <v>10094220</v>
      </c>
      <c r="T168" s="128">
        <f t="shared" si="11"/>
        <v>2256220</v>
      </c>
      <c r="U168" s="128">
        <f t="shared" si="12"/>
        <v>2256220</v>
      </c>
      <c r="V168" s="128">
        <v>61637</v>
      </c>
      <c r="W168" s="188">
        <f t="shared" si="13"/>
        <v>3.6604961305709234E-2</v>
      </c>
    </row>
    <row r="169" spans="1:23" x14ac:dyDescent="0.25">
      <c r="A169" t="s">
        <v>519</v>
      </c>
      <c r="B169" t="s">
        <v>187</v>
      </c>
      <c r="C169" s="128">
        <f t="shared" si="10"/>
        <v>12404</v>
      </c>
      <c r="D169" s="128">
        <v>9228</v>
      </c>
      <c r="E169" s="128">
        <v>3176</v>
      </c>
      <c r="F169" s="128">
        <v>0</v>
      </c>
      <c r="G169" s="128">
        <v>0</v>
      </c>
      <c r="H169" s="128">
        <v>93</v>
      </c>
      <c r="I169" s="128">
        <v>372</v>
      </c>
      <c r="J169" s="128">
        <v>4792</v>
      </c>
      <c r="K169" s="128">
        <v>4662</v>
      </c>
      <c r="L169" s="128">
        <v>570</v>
      </c>
      <c r="M169" s="128">
        <v>200</v>
      </c>
      <c r="N169" s="128">
        <v>1150</v>
      </c>
      <c r="O169" s="128">
        <v>284</v>
      </c>
      <c r="P169" s="128">
        <v>5381</v>
      </c>
      <c r="Q169" s="128">
        <f>P169*1.08</f>
        <v>5811.4800000000005</v>
      </c>
      <c r="R169" s="128">
        <v>625</v>
      </c>
      <c r="S169" s="128">
        <f t="shared" si="14"/>
        <v>11995479</v>
      </c>
      <c r="T169" s="128">
        <f t="shared" si="11"/>
        <v>-408521</v>
      </c>
      <c r="U169" s="128">
        <f t="shared" si="12"/>
        <v>0</v>
      </c>
      <c r="V169" s="128">
        <v>110546</v>
      </c>
      <c r="W169" s="188">
        <f t="shared" si="13"/>
        <v>-3.6954842328080616E-3</v>
      </c>
    </row>
    <row r="170" spans="1:23" x14ac:dyDescent="0.25">
      <c r="A170" t="s">
        <v>518</v>
      </c>
      <c r="B170" t="s">
        <v>306</v>
      </c>
      <c r="C170" s="128">
        <f t="shared" si="10"/>
        <v>5031</v>
      </c>
      <c r="D170" s="128">
        <v>2862</v>
      </c>
      <c r="E170" s="128">
        <v>2169</v>
      </c>
      <c r="F170" s="128">
        <v>0</v>
      </c>
      <c r="G170" s="128">
        <v>0</v>
      </c>
      <c r="H170" s="128">
        <v>124</v>
      </c>
      <c r="I170" s="128">
        <v>105</v>
      </c>
      <c r="J170" s="128">
        <v>2401</v>
      </c>
      <c r="K170" s="128">
        <v>3248</v>
      </c>
      <c r="L170" s="128">
        <v>330</v>
      </c>
      <c r="M170" s="128">
        <v>0</v>
      </c>
      <c r="N170" s="128">
        <v>410</v>
      </c>
      <c r="O170" s="128">
        <v>85</v>
      </c>
      <c r="P170" s="128">
        <v>3167</v>
      </c>
      <c r="Q170" s="128">
        <f>P170*1.072</f>
        <v>3395.0240000000003</v>
      </c>
      <c r="R170" s="128">
        <v>599</v>
      </c>
      <c r="S170" s="128">
        <f t="shared" si="14"/>
        <v>7896285.0000000009</v>
      </c>
      <c r="T170" s="128">
        <f t="shared" si="11"/>
        <v>2865285.0000000009</v>
      </c>
      <c r="U170" s="128">
        <f t="shared" si="12"/>
        <v>2865285.0000000009</v>
      </c>
      <c r="V170" s="128">
        <v>51525</v>
      </c>
      <c r="W170" s="188">
        <f t="shared" si="13"/>
        <v>5.5609606986899582E-2</v>
      </c>
    </row>
    <row r="171" spans="1:23" x14ac:dyDescent="0.25">
      <c r="A171" t="s">
        <v>519</v>
      </c>
      <c r="B171" t="s">
        <v>188</v>
      </c>
      <c r="C171" s="128">
        <f t="shared" si="10"/>
        <v>5781</v>
      </c>
      <c r="D171" s="128">
        <v>4190</v>
      </c>
      <c r="E171" s="128">
        <v>1591</v>
      </c>
      <c r="F171" s="128">
        <v>16</v>
      </c>
      <c r="G171" s="128">
        <v>0</v>
      </c>
      <c r="H171" s="128">
        <v>893</v>
      </c>
      <c r="I171" s="128">
        <v>38</v>
      </c>
      <c r="J171" s="128">
        <v>5633</v>
      </c>
      <c r="K171" s="128">
        <v>3682</v>
      </c>
      <c r="L171" s="128">
        <v>427</v>
      </c>
      <c r="M171" s="128">
        <v>367</v>
      </c>
      <c r="N171" s="128">
        <v>715</v>
      </c>
      <c r="O171" s="128">
        <v>422</v>
      </c>
      <c r="P171" s="128">
        <v>4845</v>
      </c>
      <c r="Q171" s="128">
        <f>P171*1.08</f>
        <v>5232.6000000000004</v>
      </c>
      <c r="R171" s="128">
        <v>775</v>
      </c>
      <c r="S171" s="128">
        <f t="shared" si="14"/>
        <v>11568555</v>
      </c>
      <c r="T171" s="128">
        <f t="shared" si="11"/>
        <v>5787555</v>
      </c>
      <c r="U171" s="128">
        <f t="shared" si="12"/>
        <v>5787555</v>
      </c>
      <c r="V171" s="128">
        <v>83930</v>
      </c>
      <c r="W171" s="188">
        <f t="shared" si="13"/>
        <v>6.8956928392708214E-2</v>
      </c>
    </row>
    <row r="172" spans="1:23" x14ac:dyDescent="0.25">
      <c r="A172" t="s">
        <v>517</v>
      </c>
      <c r="B172" t="s">
        <v>377</v>
      </c>
      <c r="C172" s="128">
        <f t="shared" si="10"/>
        <v>5936</v>
      </c>
      <c r="D172" s="128">
        <v>3738</v>
      </c>
      <c r="E172" s="128">
        <v>2198</v>
      </c>
      <c r="F172" s="128">
        <v>0</v>
      </c>
      <c r="G172" s="128">
        <v>0</v>
      </c>
      <c r="H172" s="128">
        <v>2166</v>
      </c>
      <c r="I172" s="128">
        <v>267</v>
      </c>
      <c r="J172" s="128">
        <v>2440</v>
      </c>
      <c r="K172" s="128">
        <v>3163</v>
      </c>
      <c r="L172" s="128">
        <v>371</v>
      </c>
      <c r="M172" s="128">
        <v>0</v>
      </c>
      <c r="N172" s="128">
        <v>326</v>
      </c>
      <c r="O172" s="128">
        <v>77</v>
      </c>
      <c r="P172" s="128">
        <v>2741</v>
      </c>
      <c r="Q172" s="128">
        <f>P172*1.079</f>
        <v>2957.5389999999998</v>
      </c>
      <c r="R172" s="128">
        <v>543</v>
      </c>
      <c r="S172" s="128">
        <f t="shared" si="14"/>
        <v>6923043</v>
      </c>
      <c r="T172" s="128">
        <f t="shared" si="11"/>
        <v>987043</v>
      </c>
      <c r="U172" s="128">
        <f t="shared" si="12"/>
        <v>987043</v>
      </c>
      <c r="V172" s="128">
        <v>56726</v>
      </c>
      <c r="W172" s="188">
        <f t="shared" si="13"/>
        <v>1.7400186863166803E-2</v>
      </c>
    </row>
    <row r="173" spans="1:23" x14ac:dyDescent="0.25">
      <c r="A173" t="s">
        <v>519</v>
      </c>
      <c r="B173" t="s">
        <v>224</v>
      </c>
      <c r="C173" s="128">
        <f t="shared" si="10"/>
        <v>2899</v>
      </c>
      <c r="D173" s="128">
        <v>2244</v>
      </c>
      <c r="E173" s="128">
        <v>655</v>
      </c>
      <c r="F173" s="128">
        <v>0</v>
      </c>
      <c r="G173" s="128">
        <v>0</v>
      </c>
      <c r="H173" s="128">
        <v>38</v>
      </c>
      <c r="I173" s="128">
        <v>75</v>
      </c>
      <c r="J173" s="128">
        <v>1676</v>
      </c>
      <c r="K173" s="128">
        <v>1725</v>
      </c>
      <c r="L173" s="128">
        <v>202</v>
      </c>
      <c r="M173" s="128">
        <v>82</v>
      </c>
      <c r="N173" s="128">
        <v>450</v>
      </c>
      <c r="O173" s="128">
        <v>8</v>
      </c>
      <c r="P173" s="128">
        <v>1676</v>
      </c>
      <c r="Q173" s="128">
        <f>P173*1.08</f>
        <v>1810.0800000000002</v>
      </c>
      <c r="R173" s="128">
        <v>299</v>
      </c>
      <c r="S173" s="128">
        <f t="shared" si="14"/>
        <v>4113666.0000000005</v>
      </c>
      <c r="T173" s="128">
        <f t="shared" si="11"/>
        <v>1214666.0000000005</v>
      </c>
      <c r="U173" s="128">
        <f t="shared" si="12"/>
        <v>1214666.0000000005</v>
      </c>
      <c r="V173" s="128">
        <v>30690</v>
      </c>
      <c r="W173" s="188">
        <f t="shared" si="13"/>
        <v>3.9578559791463033E-2</v>
      </c>
    </row>
    <row r="174" spans="1:23" x14ac:dyDescent="0.25">
      <c r="A174" t="s">
        <v>522</v>
      </c>
      <c r="B174" t="s">
        <v>152</v>
      </c>
      <c r="C174" s="128">
        <f t="shared" si="10"/>
        <v>5017</v>
      </c>
      <c r="D174" s="128">
        <v>3498</v>
      </c>
      <c r="E174" s="128">
        <v>1519</v>
      </c>
      <c r="F174" s="128">
        <v>0</v>
      </c>
      <c r="G174" s="128">
        <v>103</v>
      </c>
      <c r="H174" s="128">
        <v>249</v>
      </c>
      <c r="I174" s="128">
        <v>119</v>
      </c>
      <c r="J174" s="128">
        <v>2914</v>
      </c>
      <c r="K174" s="128">
        <v>2157</v>
      </c>
      <c r="L174" s="128">
        <v>254</v>
      </c>
      <c r="M174" s="128">
        <v>1</v>
      </c>
      <c r="N174" s="128">
        <v>471</v>
      </c>
      <c r="O174" s="128">
        <v>61</v>
      </c>
      <c r="P174" s="128">
        <v>2296</v>
      </c>
      <c r="Q174" s="128">
        <f>P174*1.083</f>
        <v>2486.5679999999998</v>
      </c>
      <c r="R174" s="128">
        <v>386</v>
      </c>
      <c r="S174" s="128">
        <f t="shared" si="14"/>
        <v>5550012.0000000009</v>
      </c>
      <c r="T174" s="128">
        <f t="shared" si="11"/>
        <v>533012.00000000093</v>
      </c>
      <c r="U174" s="128">
        <f t="shared" si="12"/>
        <v>533012.00000000093</v>
      </c>
      <c r="V174" s="128">
        <v>62104</v>
      </c>
      <c r="W174" s="188">
        <f t="shared" si="13"/>
        <v>8.5825711709390847E-3</v>
      </c>
    </row>
    <row r="175" spans="1:23" x14ac:dyDescent="0.25">
      <c r="A175" t="s">
        <v>519</v>
      </c>
      <c r="B175" s="86" t="s">
        <v>189</v>
      </c>
      <c r="C175" s="128">
        <f t="shared" si="10"/>
        <v>5335</v>
      </c>
      <c r="D175" s="128">
        <v>3221</v>
      </c>
      <c r="E175" s="128">
        <v>2114</v>
      </c>
      <c r="F175" s="128">
        <v>100</v>
      </c>
      <c r="G175" s="128">
        <v>0</v>
      </c>
      <c r="H175" s="128">
        <v>221</v>
      </c>
      <c r="I175" s="128">
        <v>77</v>
      </c>
      <c r="J175" s="128">
        <v>2665</v>
      </c>
      <c r="K175" s="128">
        <v>2772</v>
      </c>
      <c r="L175" s="128">
        <v>258</v>
      </c>
      <c r="M175" s="128">
        <v>63</v>
      </c>
      <c r="N175" s="128">
        <v>738</v>
      </c>
      <c r="O175" s="128">
        <v>255</v>
      </c>
      <c r="P175" s="128">
        <v>2722</v>
      </c>
      <c r="Q175" s="128">
        <f>P175*1.08</f>
        <v>2939.76</v>
      </c>
      <c r="R175" s="128">
        <v>530</v>
      </c>
      <c r="S175" s="128">
        <f t="shared" si="14"/>
        <v>6841638.0000000009</v>
      </c>
      <c r="T175" s="128">
        <f t="shared" si="11"/>
        <v>1506638.0000000009</v>
      </c>
      <c r="U175" s="128">
        <f t="shared" si="12"/>
        <v>1506638.0000000009</v>
      </c>
      <c r="V175" s="128">
        <v>57979</v>
      </c>
      <c r="W175" s="188">
        <f t="shared" si="13"/>
        <v>2.598592593870196E-2</v>
      </c>
    </row>
    <row r="176" spans="1:23" x14ac:dyDescent="0.25">
      <c r="A176" t="s">
        <v>526</v>
      </c>
      <c r="B176" t="s">
        <v>412</v>
      </c>
      <c r="C176" s="128">
        <f t="shared" si="10"/>
        <v>4321</v>
      </c>
      <c r="D176" s="128">
        <v>2680</v>
      </c>
      <c r="E176" s="128">
        <v>1641</v>
      </c>
      <c r="F176" s="128">
        <v>75</v>
      </c>
      <c r="G176" s="128">
        <v>0</v>
      </c>
      <c r="H176" s="128">
        <v>370</v>
      </c>
      <c r="I176" s="128">
        <v>139</v>
      </c>
      <c r="J176" s="128">
        <v>2786</v>
      </c>
      <c r="K176" s="128">
        <v>2621</v>
      </c>
      <c r="L176" s="128">
        <v>278</v>
      </c>
      <c r="M176" s="128">
        <v>83</v>
      </c>
      <c r="N176" s="128">
        <v>353</v>
      </c>
      <c r="O176" s="128">
        <v>79</v>
      </c>
      <c r="P176" s="128">
        <v>2594</v>
      </c>
      <c r="Q176" s="128">
        <f>P176*1.086</f>
        <v>2817.0840000000003</v>
      </c>
      <c r="R176" s="128">
        <v>507</v>
      </c>
      <c r="S176" s="128">
        <f t="shared" si="14"/>
        <v>6526872</v>
      </c>
      <c r="T176" s="128">
        <f t="shared" si="11"/>
        <v>2205872</v>
      </c>
      <c r="U176" s="128">
        <f t="shared" si="12"/>
        <v>2205872</v>
      </c>
      <c r="V176" s="128">
        <v>57465</v>
      </c>
      <c r="W176" s="188">
        <f t="shared" si="13"/>
        <v>3.8386356912903506E-2</v>
      </c>
    </row>
    <row r="177" spans="1:23" x14ac:dyDescent="0.25">
      <c r="A177" t="s">
        <v>517</v>
      </c>
      <c r="B177" t="s">
        <v>869</v>
      </c>
      <c r="C177" s="128">
        <v>13569</v>
      </c>
      <c r="D177" s="128">
        <v>6876</v>
      </c>
      <c r="E177" s="128">
        <v>6693</v>
      </c>
      <c r="F177" s="128">
        <v>2395</v>
      </c>
      <c r="G177" s="128">
        <v>0</v>
      </c>
      <c r="H177" s="128">
        <v>391</v>
      </c>
      <c r="I177" s="128">
        <v>197</v>
      </c>
      <c r="J177" s="128">
        <v>5565</v>
      </c>
      <c r="K177" s="128">
        <v>6096</v>
      </c>
      <c r="L177" s="128">
        <v>756</v>
      </c>
      <c r="M177" s="128">
        <v>165</v>
      </c>
      <c r="N177" s="128">
        <v>1819</v>
      </c>
      <c r="O177" s="128">
        <v>585</v>
      </c>
      <c r="P177" s="128">
        <v>7280</v>
      </c>
      <c r="Q177" s="128">
        <v>7855.12</v>
      </c>
      <c r="R177" s="128">
        <v>1537</v>
      </c>
      <c r="S177" s="128">
        <f t="shared" si="14"/>
        <v>18730386</v>
      </c>
      <c r="T177" s="128">
        <v>6201778.0799999982</v>
      </c>
      <c r="U177" s="128">
        <v>6201778.0799999982</v>
      </c>
      <c r="V177" s="128">
        <v>149664</v>
      </c>
      <c r="W177" s="188">
        <v>4.1438008338678625E-2</v>
      </c>
    </row>
    <row r="178" spans="1:23" x14ac:dyDescent="0.25">
      <c r="A178" t="s">
        <v>521</v>
      </c>
      <c r="B178" t="s">
        <v>307</v>
      </c>
      <c r="C178" s="128">
        <f t="shared" si="10"/>
        <v>6754</v>
      </c>
      <c r="D178" s="128">
        <v>4701</v>
      </c>
      <c r="E178" s="128">
        <v>2053</v>
      </c>
      <c r="F178" s="128">
        <v>0</v>
      </c>
      <c r="G178" s="128">
        <v>0</v>
      </c>
      <c r="H178" s="128">
        <v>50</v>
      </c>
      <c r="I178" s="128">
        <v>40</v>
      </c>
      <c r="J178" s="128">
        <v>2850</v>
      </c>
      <c r="K178" s="128">
        <v>6168</v>
      </c>
      <c r="L178" s="128">
        <v>577</v>
      </c>
      <c r="M178" s="128">
        <v>471</v>
      </c>
      <c r="N178" s="128">
        <v>389</v>
      </c>
      <c r="O178" s="128">
        <v>252</v>
      </c>
      <c r="P178" s="128">
        <v>3399</v>
      </c>
      <c r="Q178" s="128">
        <f>P178*1.083</f>
        <v>3681.1169999999997</v>
      </c>
      <c r="R178" s="128">
        <v>443</v>
      </c>
      <c r="S178" s="128">
        <f t="shared" si="14"/>
        <v>7751565</v>
      </c>
      <c r="T178" s="128">
        <f t="shared" si="11"/>
        <v>997565</v>
      </c>
      <c r="U178" s="128">
        <f t="shared" si="12"/>
        <v>997565</v>
      </c>
      <c r="V178" s="128">
        <v>95642</v>
      </c>
      <c r="W178" s="188">
        <f t="shared" si="13"/>
        <v>1.0430198030154117E-2</v>
      </c>
    </row>
    <row r="179" spans="1:23" x14ac:dyDescent="0.25">
      <c r="A179" t="s">
        <v>526</v>
      </c>
      <c r="B179" t="s">
        <v>413</v>
      </c>
      <c r="C179" s="128">
        <f t="shared" si="10"/>
        <v>35470</v>
      </c>
      <c r="D179" s="128">
        <v>16977</v>
      </c>
      <c r="E179" s="128">
        <v>18493</v>
      </c>
      <c r="F179" s="128">
        <v>0</v>
      </c>
      <c r="G179" s="128">
        <v>0</v>
      </c>
      <c r="H179" s="128">
        <v>0</v>
      </c>
      <c r="I179" s="128">
        <v>1597</v>
      </c>
      <c r="J179" s="128">
        <v>14324</v>
      </c>
      <c r="K179" s="128">
        <v>17747</v>
      </c>
      <c r="L179" s="128">
        <v>0</v>
      </c>
      <c r="M179" s="128">
        <v>483</v>
      </c>
      <c r="N179" s="128">
        <v>0</v>
      </c>
      <c r="O179" s="128">
        <v>1330</v>
      </c>
      <c r="P179" s="128">
        <v>13775</v>
      </c>
      <c r="Q179" s="128">
        <f>P179*1.086</f>
        <v>14959.650000000001</v>
      </c>
      <c r="R179" s="128">
        <v>3690</v>
      </c>
      <c r="S179" s="128">
        <f t="shared" si="14"/>
        <v>38269395</v>
      </c>
      <c r="T179" s="128">
        <f t="shared" si="11"/>
        <v>2799395</v>
      </c>
      <c r="U179" s="128">
        <f t="shared" si="12"/>
        <v>2799395</v>
      </c>
      <c r="V179" s="128">
        <v>627454</v>
      </c>
      <c r="W179" s="188">
        <f t="shared" si="13"/>
        <v>4.4615143102123824E-3</v>
      </c>
    </row>
    <row r="180" spans="1:23" x14ac:dyDescent="0.25">
      <c r="A180" t="s">
        <v>518</v>
      </c>
      <c r="B180" t="s">
        <v>266</v>
      </c>
      <c r="C180" s="128">
        <f t="shared" si="10"/>
        <v>7544</v>
      </c>
      <c r="D180" s="128">
        <v>4670</v>
      </c>
      <c r="E180" s="128">
        <v>2874</v>
      </c>
      <c r="F180" s="128">
        <v>0</v>
      </c>
      <c r="G180" s="128">
        <v>0</v>
      </c>
      <c r="H180" s="128">
        <v>1222</v>
      </c>
      <c r="I180" s="128">
        <v>200</v>
      </c>
      <c r="J180" s="128">
        <v>4391</v>
      </c>
      <c r="K180" s="128">
        <v>5693</v>
      </c>
      <c r="L180" s="128">
        <v>497</v>
      </c>
      <c r="M180" s="128">
        <v>371</v>
      </c>
      <c r="N180" s="128">
        <v>1113</v>
      </c>
      <c r="O180" s="128">
        <v>358</v>
      </c>
      <c r="P180" s="128">
        <v>5000</v>
      </c>
      <c r="Q180" s="128">
        <f>P180*1.072</f>
        <v>5360</v>
      </c>
      <c r="R180" s="128">
        <v>1151</v>
      </c>
      <c r="S180" s="128">
        <f t="shared" si="14"/>
        <v>13209318</v>
      </c>
      <c r="T180" s="128">
        <f t="shared" si="11"/>
        <v>5665318</v>
      </c>
      <c r="U180" s="128">
        <f t="shared" si="12"/>
        <v>5665318</v>
      </c>
      <c r="V180" s="128">
        <v>101500</v>
      </c>
      <c r="W180" s="188">
        <f t="shared" si="13"/>
        <v>5.5815940886699507E-2</v>
      </c>
    </row>
    <row r="181" spans="1:23" x14ac:dyDescent="0.25">
      <c r="A181" t="s">
        <v>526</v>
      </c>
      <c r="B181" t="s">
        <v>414</v>
      </c>
      <c r="C181" s="128">
        <f t="shared" si="10"/>
        <v>5008</v>
      </c>
      <c r="D181" s="128">
        <v>4101</v>
      </c>
      <c r="E181" s="128">
        <v>907</v>
      </c>
      <c r="F181" s="128">
        <v>0</v>
      </c>
      <c r="G181" s="128">
        <v>0</v>
      </c>
      <c r="H181" s="128">
        <v>115</v>
      </c>
      <c r="I181" s="128">
        <v>136</v>
      </c>
      <c r="J181" s="128">
        <v>2952</v>
      </c>
      <c r="K181" s="128">
        <v>2195</v>
      </c>
      <c r="L181" s="128">
        <v>153</v>
      </c>
      <c r="M181" s="128">
        <v>148</v>
      </c>
      <c r="N181" s="128">
        <v>364</v>
      </c>
      <c r="O181" s="128">
        <v>49</v>
      </c>
      <c r="P181" s="128">
        <v>2284</v>
      </c>
      <c r="Q181" s="128">
        <f>P181*1.086</f>
        <v>2480.424</v>
      </c>
      <c r="R181" s="128">
        <v>183</v>
      </c>
      <c r="S181" s="128">
        <f t="shared" si="14"/>
        <v>4793850</v>
      </c>
      <c r="T181" s="128">
        <f t="shared" si="11"/>
        <v>-214150</v>
      </c>
      <c r="U181" s="128">
        <f t="shared" si="12"/>
        <v>0</v>
      </c>
      <c r="V181" s="128">
        <v>46124</v>
      </c>
      <c r="W181" s="188">
        <f t="shared" si="13"/>
        <v>-4.6429190876766972E-3</v>
      </c>
    </row>
    <row r="182" spans="1:23" x14ac:dyDescent="0.25">
      <c r="A182" t="s">
        <v>517</v>
      </c>
      <c r="B182" t="s">
        <v>587</v>
      </c>
      <c r="C182" s="128">
        <f t="shared" si="10"/>
        <v>19732</v>
      </c>
      <c r="D182" s="128">
        <v>11256</v>
      </c>
      <c r="E182" s="128">
        <v>8476</v>
      </c>
      <c r="F182" s="128">
        <v>0</v>
      </c>
      <c r="G182" s="128">
        <v>0</v>
      </c>
      <c r="H182" s="128">
        <v>187</v>
      </c>
      <c r="I182" s="128">
        <v>262</v>
      </c>
      <c r="J182" s="128">
        <v>6974</v>
      </c>
      <c r="K182" s="128">
        <v>7648</v>
      </c>
      <c r="L182" s="128">
        <v>1058</v>
      </c>
      <c r="M182" s="128">
        <v>107</v>
      </c>
      <c r="N182" s="128">
        <v>2686</v>
      </c>
      <c r="O182" s="128">
        <v>569</v>
      </c>
      <c r="P182" s="128">
        <v>9692</v>
      </c>
      <c r="Q182" s="128">
        <f>P182*1.079</f>
        <v>10457.668</v>
      </c>
      <c r="R182" s="128">
        <v>2417</v>
      </c>
      <c r="S182" s="128">
        <f t="shared" si="14"/>
        <v>26277534</v>
      </c>
      <c r="T182" s="128">
        <f t="shared" si="11"/>
        <v>6545534</v>
      </c>
      <c r="U182" s="128">
        <f t="shared" si="12"/>
        <v>6545534</v>
      </c>
      <c r="V182" s="128">
        <v>223169</v>
      </c>
      <c r="W182" s="188">
        <f t="shared" si="13"/>
        <v>2.932994277879096E-2</v>
      </c>
    </row>
    <row r="183" spans="1:23" x14ac:dyDescent="0.25">
      <c r="A183" t="s">
        <v>516</v>
      </c>
      <c r="B183" t="s">
        <v>112</v>
      </c>
      <c r="C183" s="128">
        <f t="shared" si="10"/>
        <v>9454</v>
      </c>
      <c r="D183" s="128">
        <v>4691</v>
      </c>
      <c r="E183" s="128">
        <v>4763</v>
      </c>
      <c r="F183" s="128">
        <v>1606</v>
      </c>
      <c r="G183" s="128">
        <v>188</v>
      </c>
      <c r="H183" s="128">
        <v>0</v>
      </c>
      <c r="I183" s="128">
        <v>0</v>
      </c>
      <c r="J183" s="128">
        <v>2851</v>
      </c>
      <c r="K183" s="128">
        <v>3220</v>
      </c>
      <c r="L183" s="128">
        <v>388</v>
      </c>
      <c r="M183" s="128">
        <v>255</v>
      </c>
      <c r="N183" s="128">
        <v>990</v>
      </c>
      <c r="O183" s="128">
        <v>388</v>
      </c>
      <c r="P183" s="128">
        <v>3282</v>
      </c>
      <c r="Q183" s="128">
        <f>P183*1.079</f>
        <v>3541.2779999999998</v>
      </c>
      <c r="R183" s="128">
        <v>768</v>
      </c>
      <c r="S183" s="128">
        <f t="shared" si="14"/>
        <v>8715762</v>
      </c>
      <c r="T183" s="128">
        <f t="shared" si="11"/>
        <v>-738238</v>
      </c>
      <c r="U183" s="128">
        <f t="shared" si="12"/>
        <v>0</v>
      </c>
      <c r="V183" s="128">
        <v>112597</v>
      </c>
      <c r="W183" s="188">
        <f t="shared" si="13"/>
        <v>-6.5564624279510113E-3</v>
      </c>
    </row>
    <row r="184" spans="1:23" x14ac:dyDescent="0.25">
      <c r="A184" t="s">
        <v>528</v>
      </c>
      <c r="B184" s="86" t="s">
        <v>334</v>
      </c>
      <c r="C184" s="128">
        <f t="shared" si="10"/>
        <v>16144</v>
      </c>
      <c r="D184" s="128">
        <v>8307</v>
      </c>
      <c r="E184" s="128">
        <v>7837</v>
      </c>
      <c r="F184" s="128">
        <v>346</v>
      </c>
      <c r="G184" s="128">
        <v>0</v>
      </c>
      <c r="H184" s="128">
        <v>1259</v>
      </c>
      <c r="I184" s="128">
        <v>402</v>
      </c>
      <c r="J184" s="128">
        <v>5537</v>
      </c>
      <c r="K184" s="128">
        <v>6957</v>
      </c>
      <c r="L184" s="128">
        <v>572</v>
      </c>
      <c r="M184" s="128">
        <v>1723</v>
      </c>
      <c r="N184" s="128">
        <v>955</v>
      </c>
      <c r="O184" s="128">
        <v>123</v>
      </c>
      <c r="P184" s="128">
        <v>4817</v>
      </c>
      <c r="Q184" s="128">
        <f>P184*1.08</f>
        <v>5202.3600000000006</v>
      </c>
      <c r="R184" s="128">
        <v>1032</v>
      </c>
      <c r="S184" s="128">
        <f t="shared" si="14"/>
        <v>12447729</v>
      </c>
      <c r="T184" s="128">
        <f t="shared" si="11"/>
        <v>-3696271</v>
      </c>
      <c r="U184" s="128">
        <f t="shared" si="12"/>
        <v>0</v>
      </c>
      <c r="V184" s="128">
        <v>171823</v>
      </c>
      <c r="W184" s="188">
        <f t="shared" si="13"/>
        <v>-2.1512085110840806E-2</v>
      </c>
    </row>
    <row r="185" spans="1:23" x14ac:dyDescent="0.25">
      <c r="A185" t="s">
        <v>516</v>
      </c>
      <c r="B185" t="s">
        <v>308</v>
      </c>
      <c r="C185" s="128">
        <f t="shared" si="10"/>
        <v>5445</v>
      </c>
      <c r="D185" s="128">
        <v>3584</v>
      </c>
      <c r="E185" s="128">
        <v>1861</v>
      </c>
      <c r="F185" s="128">
        <v>0</v>
      </c>
      <c r="G185" s="128">
        <v>0</v>
      </c>
      <c r="H185" s="128">
        <v>0</v>
      </c>
      <c r="I185" s="128">
        <v>0</v>
      </c>
      <c r="J185" s="128">
        <v>1861</v>
      </c>
      <c r="K185" s="128">
        <v>2743</v>
      </c>
      <c r="L185" s="128">
        <v>233</v>
      </c>
      <c r="M185" s="128">
        <v>58</v>
      </c>
      <c r="N185" s="128">
        <v>894</v>
      </c>
      <c r="O185" s="128">
        <v>33</v>
      </c>
      <c r="P185" s="128">
        <v>2777</v>
      </c>
      <c r="Q185" s="128">
        <f>P185*1.079</f>
        <v>2996.3829999999998</v>
      </c>
      <c r="R185" s="128">
        <v>541</v>
      </c>
      <c r="S185" s="128">
        <f t="shared" si="14"/>
        <v>6980931</v>
      </c>
      <c r="T185" s="128">
        <f t="shared" si="11"/>
        <v>1535931</v>
      </c>
      <c r="U185" s="128">
        <f t="shared" si="12"/>
        <v>1535931</v>
      </c>
      <c r="V185" s="128">
        <v>46959</v>
      </c>
      <c r="W185" s="188">
        <f t="shared" si="13"/>
        <v>3.2707915415575287E-2</v>
      </c>
    </row>
    <row r="186" spans="1:23" x14ac:dyDescent="0.25">
      <c r="A186" t="s">
        <v>521</v>
      </c>
      <c r="B186" t="s">
        <v>113</v>
      </c>
      <c r="C186" s="128">
        <f t="shared" si="10"/>
        <v>6415</v>
      </c>
      <c r="D186" s="128">
        <v>3717</v>
      </c>
      <c r="E186" s="128">
        <v>2698</v>
      </c>
      <c r="F186" s="128">
        <v>0</v>
      </c>
      <c r="G186" s="128">
        <v>33</v>
      </c>
      <c r="H186" s="128">
        <v>1161</v>
      </c>
      <c r="I186" s="128">
        <v>0</v>
      </c>
      <c r="J186" s="128">
        <v>3961</v>
      </c>
      <c r="K186" s="128">
        <v>2927</v>
      </c>
      <c r="L186" s="128">
        <v>377</v>
      </c>
      <c r="M186" s="128">
        <v>400</v>
      </c>
      <c r="N186" s="128">
        <v>713</v>
      </c>
      <c r="O186" s="128">
        <v>83</v>
      </c>
      <c r="P186" s="128">
        <v>3273</v>
      </c>
      <c r="Q186" s="128">
        <f>P186*1.083</f>
        <v>3544.6589999999997</v>
      </c>
      <c r="R186" s="128">
        <v>816</v>
      </c>
      <c r="S186" s="128">
        <f t="shared" si="14"/>
        <v>8873145.0000000019</v>
      </c>
      <c r="T186" s="128">
        <f t="shared" si="11"/>
        <v>2458145.0000000019</v>
      </c>
      <c r="U186" s="128">
        <f t="shared" si="12"/>
        <v>2458145.0000000019</v>
      </c>
      <c r="V186" s="128">
        <v>82394</v>
      </c>
      <c r="W186" s="188">
        <f t="shared" si="13"/>
        <v>2.9834029176881834E-2</v>
      </c>
    </row>
    <row r="187" spans="1:23" x14ac:dyDescent="0.25">
      <c r="A187" t="s">
        <v>525</v>
      </c>
      <c r="B187" t="s">
        <v>602</v>
      </c>
      <c r="C187" s="128">
        <f t="shared" ref="C187:C249" si="15">SUM(D187:E187)</f>
        <v>19828</v>
      </c>
      <c r="D187" s="128">
        <v>10307</v>
      </c>
      <c r="E187" s="128">
        <v>9521</v>
      </c>
      <c r="F187" s="128">
        <v>0</v>
      </c>
      <c r="G187" s="128">
        <v>0</v>
      </c>
      <c r="H187" s="128">
        <v>250</v>
      </c>
      <c r="I187" s="128">
        <v>0</v>
      </c>
      <c r="J187" s="128">
        <v>5715</v>
      </c>
      <c r="K187" s="128">
        <v>6837</v>
      </c>
      <c r="L187" s="128">
        <v>677</v>
      </c>
      <c r="M187" s="128">
        <v>210</v>
      </c>
      <c r="N187" s="128">
        <v>1500</v>
      </c>
      <c r="O187" s="128">
        <v>133</v>
      </c>
      <c r="P187" s="128">
        <v>4750</v>
      </c>
      <c r="Q187" s="128">
        <f>P187*1.108</f>
        <v>5263.0000000000009</v>
      </c>
      <c r="R187" s="128">
        <v>1033</v>
      </c>
      <c r="S187" s="128">
        <f t="shared" si="14"/>
        <v>12330144</v>
      </c>
      <c r="T187" s="128">
        <f t="shared" si="11"/>
        <v>-7497856</v>
      </c>
      <c r="U187" s="128">
        <f t="shared" si="12"/>
        <v>0</v>
      </c>
      <c r="V187" s="128">
        <v>228401</v>
      </c>
      <c r="W187" s="188">
        <f t="shared" si="13"/>
        <v>-3.2827597077070593E-2</v>
      </c>
    </row>
    <row r="188" spans="1:23" x14ac:dyDescent="0.25">
      <c r="A188" t="s">
        <v>517</v>
      </c>
      <c r="B188" t="s">
        <v>379</v>
      </c>
      <c r="C188" s="128">
        <f t="shared" si="15"/>
        <v>18476</v>
      </c>
      <c r="D188" s="128">
        <v>3602</v>
      </c>
      <c r="E188" s="128">
        <v>14874</v>
      </c>
      <c r="F188" s="128">
        <v>0</v>
      </c>
      <c r="G188" s="128">
        <v>0</v>
      </c>
      <c r="H188" s="128">
        <v>0</v>
      </c>
      <c r="I188" s="128">
        <v>65</v>
      </c>
      <c r="J188" s="128">
        <v>5667</v>
      </c>
      <c r="K188" s="128">
        <v>4567</v>
      </c>
      <c r="L188" s="128">
        <v>452</v>
      </c>
      <c r="M188" s="128">
        <v>186</v>
      </c>
      <c r="N188" s="128">
        <v>1300</v>
      </c>
      <c r="O188" s="128">
        <v>415</v>
      </c>
      <c r="P188" s="128">
        <v>3968</v>
      </c>
      <c r="Q188" s="128">
        <f>P188*1.079</f>
        <v>4281.4719999999998</v>
      </c>
      <c r="R188" s="128">
        <v>2745</v>
      </c>
      <c r="S188" s="128">
        <f t="shared" si="14"/>
        <v>17109522.000000004</v>
      </c>
      <c r="T188" s="128">
        <f t="shared" si="11"/>
        <v>-1366477.9999999963</v>
      </c>
      <c r="U188" s="128">
        <f t="shared" si="12"/>
        <v>0</v>
      </c>
      <c r="V188" s="128">
        <v>105129</v>
      </c>
      <c r="W188" s="188">
        <f t="shared" si="13"/>
        <v>-1.2998107087482962E-2</v>
      </c>
    </row>
    <row r="189" spans="1:23" x14ac:dyDescent="0.25">
      <c r="A189" t="s">
        <v>521</v>
      </c>
      <c r="B189" t="s">
        <v>603</v>
      </c>
      <c r="C189" s="128">
        <f t="shared" si="15"/>
        <v>7988</v>
      </c>
      <c r="D189" s="128">
        <v>5188</v>
      </c>
      <c r="E189" s="128">
        <v>2800</v>
      </c>
      <c r="F189" s="128">
        <v>0</v>
      </c>
      <c r="G189" s="128">
        <v>12</v>
      </c>
      <c r="H189" s="128">
        <v>40</v>
      </c>
      <c r="I189" s="128">
        <v>1</v>
      </c>
      <c r="J189" s="128">
        <v>3931</v>
      </c>
      <c r="K189" s="128">
        <v>5366</v>
      </c>
      <c r="L189" s="128">
        <v>473</v>
      </c>
      <c r="M189" s="128">
        <v>471</v>
      </c>
      <c r="N189" s="128">
        <v>1828</v>
      </c>
      <c r="O189" s="128">
        <v>353</v>
      </c>
      <c r="P189" s="128">
        <v>4878</v>
      </c>
      <c r="Q189" s="128">
        <f>P189*1.083</f>
        <v>5282.8739999999998</v>
      </c>
      <c r="R189" s="128">
        <v>967</v>
      </c>
      <c r="S189" s="128">
        <f t="shared" si="14"/>
        <v>12322908</v>
      </c>
      <c r="T189" s="128">
        <f t="shared" ref="T189:T252" si="16">SUM(S189,-C189*1000)</f>
        <v>4334908</v>
      </c>
      <c r="U189" s="128">
        <f t="shared" ref="U189:U252" si="17">IF(T189&lt;0,0,T189)</f>
        <v>4334908</v>
      </c>
      <c r="V189" s="128">
        <v>100764</v>
      </c>
      <c r="W189" s="188">
        <f t="shared" si="13"/>
        <v>4.3020404112579888E-2</v>
      </c>
    </row>
    <row r="190" spans="1:23" x14ac:dyDescent="0.25">
      <c r="A190" t="s">
        <v>519</v>
      </c>
      <c r="B190" t="s">
        <v>190</v>
      </c>
      <c r="C190" s="128">
        <f t="shared" si="15"/>
        <v>7272</v>
      </c>
      <c r="D190" s="128">
        <v>4938</v>
      </c>
      <c r="E190" s="128">
        <v>2334</v>
      </c>
      <c r="F190" s="128">
        <v>0</v>
      </c>
      <c r="G190" s="128">
        <v>0</v>
      </c>
      <c r="H190" s="128">
        <v>385</v>
      </c>
      <c r="I190" s="128">
        <v>317</v>
      </c>
      <c r="J190" s="128">
        <v>4422</v>
      </c>
      <c r="K190" s="128">
        <v>3362</v>
      </c>
      <c r="L190" s="128">
        <v>568</v>
      </c>
      <c r="M190" s="128">
        <v>104</v>
      </c>
      <c r="N190" s="128">
        <v>1068</v>
      </c>
      <c r="O190" s="128">
        <v>172</v>
      </c>
      <c r="P190" s="128">
        <v>3458</v>
      </c>
      <c r="Q190" s="128">
        <f>P190*1.08</f>
        <v>3734.6400000000003</v>
      </c>
      <c r="R190" s="128">
        <v>602</v>
      </c>
      <c r="S190" s="128">
        <f t="shared" si="14"/>
        <v>8433558</v>
      </c>
      <c r="T190" s="128">
        <f t="shared" si="16"/>
        <v>1161558</v>
      </c>
      <c r="U190" s="128">
        <f t="shared" si="17"/>
        <v>1161558</v>
      </c>
      <c r="V190" s="128">
        <v>85435</v>
      </c>
      <c r="W190" s="188">
        <f t="shared" ref="W190:W253" si="18">T190/(V190*1000)</f>
        <v>1.3595809679873588E-2</v>
      </c>
    </row>
    <row r="191" spans="1:23" x14ac:dyDescent="0.25">
      <c r="A191" t="s">
        <v>524</v>
      </c>
      <c r="B191" t="s">
        <v>438</v>
      </c>
      <c r="C191" s="128">
        <f t="shared" si="15"/>
        <v>3712</v>
      </c>
      <c r="D191" s="128">
        <v>2252</v>
      </c>
      <c r="E191" s="128">
        <v>1460</v>
      </c>
      <c r="F191" s="128">
        <v>0</v>
      </c>
      <c r="G191" s="128">
        <v>0</v>
      </c>
      <c r="H191" s="128">
        <v>0</v>
      </c>
      <c r="I191" s="128">
        <v>0</v>
      </c>
      <c r="J191" s="128">
        <v>1493</v>
      </c>
      <c r="K191" s="128">
        <v>1581</v>
      </c>
      <c r="L191" s="128">
        <v>245</v>
      </c>
      <c r="M191" s="128">
        <v>85</v>
      </c>
      <c r="N191" s="128">
        <v>408</v>
      </c>
      <c r="O191" s="128">
        <v>26</v>
      </c>
      <c r="P191" s="128">
        <v>1721</v>
      </c>
      <c r="Q191" s="128">
        <f>P191*1.08</f>
        <v>1858.68</v>
      </c>
      <c r="R191" s="128">
        <v>263</v>
      </c>
      <c r="S191" s="128">
        <f t="shared" si="14"/>
        <v>4064823.0000000005</v>
      </c>
      <c r="T191" s="128">
        <f t="shared" si="16"/>
        <v>352823.00000000047</v>
      </c>
      <c r="U191" s="128">
        <f t="shared" si="17"/>
        <v>352823.00000000047</v>
      </c>
      <c r="V191" s="128">
        <v>26884</v>
      </c>
      <c r="W191" s="188">
        <f t="shared" si="18"/>
        <v>1.3123902693051647E-2</v>
      </c>
    </row>
    <row r="192" spans="1:23" x14ac:dyDescent="0.25">
      <c r="A192" t="s">
        <v>526</v>
      </c>
      <c r="B192" t="s">
        <v>415</v>
      </c>
      <c r="C192" s="128">
        <f t="shared" si="15"/>
        <v>2149</v>
      </c>
      <c r="D192" s="128">
        <v>1688</v>
      </c>
      <c r="E192" s="128">
        <v>461</v>
      </c>
      <c r="F192" s="128">
        <v>0</v>
      </c>
      <c r="G192" s="128">
        <v>0</v>
      </c>
      <c r="H192" s="128">
        <v>108</v>
      </c>
      <c r="I192" s="128">
        <v>44</v>
      </c>
      <c r="J192" s="128">
        <v>612</v>
      </c>
      <c r="K192" s="128">
        <v>795</v>
      </c>
      <c r="L192" s="128">
        <v>81</v>
      </c>
      <c r="M192" s="128">
        <v>0</v>
      </c>
      <c r="N192" s="128">
        <v>101</v>
      </c>
      <c r="O192" s="128">
        <v>30</v>
      </c>
      <c r="P192" s="128">
        <v>1084</v>
      </c>
      <c r="Q192" s="128">
        <f>P192*1.086</f>
        <v>1177.2240000000002</v>
      </c>
      <c r="R192" s="128">
        <v>82</v>
      </c>
      <c r="S192" s="128">
        <f t="shared" si="14"/>
        <v>2257632</v>
      </c>
      <c r="T192" s="128">
        <f t="shared" si="16"/>
        <v>108632</v>
      </c>
      <c r="U192" s="128">
        <f t="shared" si="17"/>
        <v>108632</v>
      </c>
      <c r="V192" s="128">
        <v>16425</v>
      </c>
      <c r="W192" s="188">
        <f t="shared" si="18"/>
        <v>6.6138203957382038E-3</v>
      </c>
    </row>
    <row r="193" spans="1:23" x14ac:dyDescent="0.25">
      <c r="A193" t="s">
        <v>519</v>
      </c>
      <c r="B193" t="s">
        <v>191</v>
      </c>
      <c r="C193" s="128">
        <f t="shared" si="15"/>
        <v>4944</v>
      </c>
      <c r="D193" s="128">
        <v>3424</v>
      </c>
      <c r="E193" s="128">
        <v>1520</v>
      </c>
      <c r="F193" s="128">
        <v>0</v>
      </c>
      <c r="G193" s="128">
        <v>0</v>
      </c>
      <c r="H193" s="128">
        <v>0</v>
      </c>
      <c r="I193" s="128">
        <v>199</v>
      </c>
      <c r="J193" s="128">
        <v>2234</v>
      </c>
      <c r="K193" s="128">
        <v>2697</v>
      </c>
      <c r="L193" s="128">
        <v>390</v>
      </c>
      <c r="M193" s="128">
        <v>269</v>
      </c>
      <c r="N193" s="128">
        <v>1014</v>
      </c>
      <c r="O193" s="128">
        <v>614</v>
      </c>
      <c r="P193" s="128">
        <v>2292</v>
      </c>
      <c r="Q193" s="128">
        <f>P193*1.08</f>
        <v>2475.36</v>
      </c>
      <c r="R193" s="128">
        <v>429</v>
      </c>
      <c r="S193" s="128">
        <f t="shared" si="14"/>
        <v>5698350.0000000009</v>
      </c>
      <c r="T193" s="128">
        <f t="shared" si="16"/>
        <v>754350.00000000093</v>
      </c>
      <c r="U193" s="128">
        <f t="shared" si="17"/>
        <v>754350.00000000093</v>
      </c>
      <c r="V193" s="128">
        <v>58791</v>
      </c>
      <c r="W193" s="188">
        <f t="shared" si="18"/>
        <v>1.283104556819923E-2</v>
      </c>
    </row>
    <row r="194" spans="1:23" x14ac:dyDescent="0.25">
      <c r="A194" t="s">
        <v>526</v>
      </c>
      <c r="B194" t="s">
        <v>416</v>
      </c>
      <c r="C194" s="128">
        <f t="shared" si="15"/>
        <v>4358</v>
      </c>
      <c r="D194" s="128">
        <v>2634</v>
      </c>
      <c r="E194" s="128">
        <v>1724</v>
      </c>
      <c r="F194" s="128">
        <v>0</v>
      </c>
      <c r="G194" s="128">
        <v>0</v>
      </c>
      <c r="H194" s="128">
        <v>19</v>
      </c>
      <c r="I194" s="128">
        <v>55</v>
      </c>
      <c r="J194" s="128">
        <v>2235</v>
      </c>
      <c r="K194" s="128">
        <v>1382</v>
      </c>
      <c r="L194" s="128">
        <v>101</v>
      </c>
      <c r="M194" s="128">
        <v>20</v>
      </c>
      <c r="N194" s="128">
        <v>516</v>
      </c>
      <c r="O194" s="128">
        <v>25</v>
      </c>
      <c r="P194" s="128">
        <v>2057</v>
      </c>
      <c r="Q194" s="128">
        <f>P194*1.086</f>
        <v>2233.902</v>
      </c>
      <c r="R194" s="128">
        <v>419</v>
      </c>
      <c r="S194" s="128">
        <f t="shared" si="14"/>
        <v>5237055</v>
      </c>
      <c r="T194" s="128">
        <f t="shared" si="16"/>
        <v>879055</v>
      </c>
      <c r="U194" s="128">
        <f t="shared" si="17"/>
        <v>879055</v>
      </c>
      <c r="V194" s="128">
        <v>40092</v>
      </c>
      <c r="W194" s="188">
        <f t="shared" si="18"/>
        <v>2.1925945325750772E-2</v>
      </c>
    </row>
    <row r="195" spans="1:23" x14ac:dyDescent="0.25">
      <c r="A195" t="s">
        <v>524</v>
      </c>
      <c r="B195" t="s">
        <v>225</v>
      </c>
      <c r="C195" s="128">
        <f t="shared" si="15"/>
        <v>16979</v>
      </c>
      <c r="D195" s="128">
        <v>12886</v>
      </c>
      <c r="E195" s="128">
        <v>4093</v>
      </c>
      <c r="F195" s="128">
        <v>1786</v>
      </c>
      <c r="G195" s="128">
        <v>0</v>
      </c>
      <c r="H195" s="128">
        <v>55</v>
      </c>
      <c r="I195" s="128">
        <v>10</v>
      </c>
      <c r="J195" s="128">
        <v>5143</v>
      </c>
      <c r="K195" s="128">
        <v>8625</v>
      </c>
      <c r="L195" s="128">
        <v>998</v>
      </c>
      <c r="M195" s="128">
        <v>407</v>
      </c>
      <c r="N195" s="128">
        <v>1665</v>
      </c>
      <c r="O195" s="128">
        <v>4061</v>
      </c>
      <c r="P195" s="128">
        <v>7225</v>
      </c>
      <c r="Q195" s="128">
        <f>P195*1.08</f>
        <v>7803.0000000000009</v>
      </c>
      <c r="R195" s="128">
        <v>1824</v>
      </c>
      <c r="S195" s="128">
        <f t="shared" ref="S195:S258" si="19">SUM(P195,R195,R195)*0.1809%*1000000</f>
        <v>19669257</v>
      </c>
      <c r="T195" s="128">
        <f t="shared" si="16"/>
        <v>2690257</v>
      </c>
      <c r="U195" s="128">
        <f t="shared" si="17"/>
        <v>2690257</v>
      </c>
      <c r="V195" s="128">
        <v>212877</v>
      </c>
      <c r="W195" s="188">
        <f t="shared" si="18"/>
        <v>1.2637612330124908E-2</v>
      </c>
    </row>
    <row r="196" spans="1:23" x14ac:dyDescent="0.25">
      <c r="A196" t="s">
        <v>524</v>
      </c>
      <c r="B196" t="s">
        <v>309</v>
      </c>
      <c r="C196" s="128">
        <f t="shared" si="15"/>
        <v>8097</v>
      </c>
      <c r="D196" s="128">
        <v>6823</v>
      </c>
      <c r="E196" s="128">
        <v>1274</v>
      </c>
      <c r="F196" s="128">
        <v>0</v>
      </c>
      <c r="G196" s="128">
        <v>0</v>
      </c>
      <c r="H196" s="128">
        <v>0</v>
      </c>
      <c r="I196" s="128">
        <v>209</v>
      </c>
      <c r="J196" s="128">
        <v>2607</v>
      </c>
      <c r="K196" s="128">
        <v>3721</v>
      </c>
      <c r="L196" s="128">
        <v>232</v>
      </c>
      <c r="M196" s="128">
        <v>161</v>
      </c>
      <c r="N196" s="128">
        <v>1126</v>
      </c>
      <c r="O196" s="128">
        <v>486</v>
      </c>
      <c r="P196" s="128">
        <v>3783</v>
      </c>
      <c r="Q196" s="128">
        <f>P196*1.08</f>
        <v>4085.6400000000003</v>
      </c>
      <c r="R196" s="128">
        <v>591</v>
      </c>
      <c r="S196" s="128">
        <f t="shared" si="19"/>
        <v>8981685</v>
      </c>
      <c r="T196" s="128">
        <f t="shared" si="16"/>
        <v>884685</v>
      </c>
      <c r="U196" s="128">
        <f t="shared" si="17"/>
        <v>884685</v>
      </c>
      <c r="V196" s="128">
        <v>75951</v>
      </c>
      <c r="W196" s="188">
        <f t="shared" si="18"/>
        <v>1.1648102065805585E-2</v>
      </c>
    </row>
    <row r="197" spans="1:23" x14ac:dyDescent="0.25">
      <c r="A197" t="s">
        <v>519</v>
      </c>
      <c r="B197" t="s">
        <v>192</v>
      </c>
      <c r="C197" s="128">
        <f t="shared" si="15"/>
        <v>9717</v>
      </c>
      <c r="D197" s="128">
        <v>5617</v>
      </c>
      <c r="E197" s="128">
        <v>4100</v>
      </c>
      <c r="F197" s="128">
        <v>0</v>
      </c>
      <c r="G197" s="128">
        <v>40</v>
      </c>
      <c r="H197" s="128">
        <v>282</v>
      </c>
      <c r="I197" s="128">
        <v>146</v>
      </c>
      <c r="J197" s="128">
        <v>2173</v>
      </c>
      <c r="K197" s="128">
        <v>3067</v>
      </c>
      <c r="L197" s="128">
        <v>518</v>
      </c>
      <c r="M197" s="128">
        <v>629</v>
      </c>
      <c r="N197" s="128">
        <v>1373</v>
      </c>
      <c r="O197" s="128">
        <v>325</v>
      </c>
      <c r="P197" s="128">
        <v>5698</v>
      </c>
      <c r="Q197" s="128">
        <f>P197*1.08</f>
        <v>6153.84</v>
      </c>
      <c r="R197" s="128">
        <v>1139</v>
      </c>
      <c r="S197" s="128">
        <f t="shared" si="19"/>
        <v>14428584</v>
      </c>
      <c r="T197" s="128">
        <f t="shared" si="16"/>
        <v>4711584</v>
      </c>
      <c r="U197" s="128">
        <f t="shared" si="17"/>
        <v>4711584</v>
      </c>
      <c r="V197" s="128">
        <v>100274</v>
      </c>
      <c r="W197" s="188">
        <f t="shared" si="18"/>
        <v>4.6987095358717118E-2</v>
      </c>
    </row>
    <row r="198" spans="1:23" x14ac:dyDescent="0.25">
      <c r="A198" t="s">
        <v>519</v>
      </c>
      <c r="B198" t="s">
        <v>193</v>
      </c>
      <c r="C198" s="128">
        <f t="shared" si="15"/>
        <v>89093</v>
      </c>
      <c r="D198" s="128">
        <v>47829</v>
      </c>
      <c r="E198" s="128">
        <v>41264</v>
      </c>
      <c r="F198" s="128">
        <v>17967</v>
      </c>
      <c r="G198" s="128">
        <v>0</v>
      </c>
      <c r="H198" s="128">
        <v>784</v>
      </c>
      <c r="I198" s="128">
        <v>1350</v>
      </c>
      <c r="J198" s="128">
        <v>15862</v>
      </c>
      <c r="K198" s="128">
        <v>3298</v>
      </c>
      <c r="L198" s="128">
        <v>2231</v>
      </c>
      <c r="M198" s="128">
        <v>0</v>
      </c>
      <c r="N198" s="128">
        <v>6354</v>
      </c>
      <c r="O198" s="128">
        <v>2363</v>
      </c>
      <c r="P198" s="128">
        <v>20447</v>
      </c>
      <c r="Q198" s="128">
        <f>P198*1.08</f>
        <v>22082.760000000002</v>
      </c>
      <c r="R198" s="128">
        <v>4235</v>
      </c>
      <c r="S198" s="128">
        <f t="shared" si="19"/>
        <v>52310853</v>
      </c>
      <c r="T198" s="128">
        <f t="shared" si="16"/>
        <v>-36782147</v>
      </c>
      <c r="U198" s="128">
        <f t="shared" si="17"/>
        <v>0</v>
      </c>
      <c r="V198" s="128">
        <v>811173</v>
      </c>
      <c r="W198" s="188">
        <f t="shared" si="18"/>
        <v>-4.534439262648042E-2</v>
      </c>
    </row>
    <row r="199" spans="1:23" x14ac:dyDescent="0.25">
      <c r="A199" t="s">
        <v>521</v>
      </c>
      <c r="B199" t="s">
        <v>479</v>
      </c>
      <c r="C199" s="128">
        <f t="shared" si="15"/>
        <v>16594</v>
      </c>
      <c r="D199" s="128">
        <v>10355</v>
      </c>
      <c r="E199" s="128">
        <v>6239</v>
      </c>
      <c r="F199" s="128">
        <v>0</v>
      </c>
      <c r="G199" s="128">
        <v>0</v>
      </c>
      <c r="H199" s="128">
        <v>218</v>
      </c>
      <c r="I199" s="128">
        <v>700</v>
      </c>
      <c r="J199" s="128">
        <v>5341</v>
      </c>
      <c r="K199" s="128">
        <v>12527</v>
      </c>
      <c r="L199" s="128">
        <v>890</v>
      </c>
      <c r="M199" s="128">
        <v>450</v>
      </c>
      <c r="N199" s="128">
        <v>0</v>
      </c>
      <c r="O199" s="128">
        <v>808</v>
      </c>
      <c r="P199" s="128">
        <v>7886</v>
      </c>
      <c r="Q199" s="128">
        <f>P199*1.083</f>
        <v>8540.5380000000005</v>
      </c>
      <c r="R199" s="128">
        <v>1211</v>
      </c>
      <c r="S199" s="128">
        <f t="shared" si="19"/>
        <v>18647172</v>
      </c>
      <c r="T199" s="128">
        <f t="shared" si="16"/>
        <v>2053172</v>
      </c>
      <c r="U199" s="128">
        <f t="shared" si="17"/>
        <v>2053172</v>
      </c>
      <c r="V199" s="128">
        <v>291314</v>
      </c>
      <c r="W199" s="188">
        <f t="shared" si="18"/>
        <v>7.0479688583452906E-3</v>
      </c>
    </row>
    <row r="200" spans="1:23" x14ac:dyDescent="0.25">
      <c r="A200" t="s">
        <v>520</v>
      </c>
      <c r="B200" t="s">
        <v>604</v>
      </c>
      <c r="C200" s="128">
        <f t="shared" si="15"/>
        <v>9519</v>
      </c>
      <c r="D200" s="128">
        <v>6078</v>
      </c>
      <c r="E200" s="128">
        <v>3441</v>
      </c>
      <c r="F200" s="128">
        <v>311</v>
      </c>
      <c r="G200" s="128">
        <v>0</v>
      </c>
      <c r="H200" s="128">
        <v>621</v>
      </c>
      <c r="I200" s="128">
        <v>90</v>
      </c>
      <c r="J200" s="128">
        <v>5007</v>
      </c>
      <c r="K200" s="128">
        <v>5080</v>
      </c>
      <c r="L200" s="128">
        <v>369</v>
      </c>
      <c r="M200" s="128">
        <v>351</v>
      </c>
      <c r="N200" s="128">
        <v>1027</v>
      </c>
      <c r="O200" s="128">
        <v>213</v>
      </c>
      <c r="P200" s="128">
        <v>3430</v>
      </c>
      <c r="Q200" s="128">
        <f>P200*1.08</f>
        <v>3704.4</v>
      </c>
      <c r="R200" s="128">
        <v>922</v>
      </c>
      <c r="S200" s="128">
        <f t="shared" si="19"/>
        <v>9540666</v>
      </c>
      <c r="T200" s="128">
        <f t="shared" si="16"/>
        <v>21666</v>
      </c>
      <c r="U200" s="128">
        <f t="shared" si="17"/>
        <v>21666</v>
      </c>
      <c r="V200" s="128">
        <v>162686</v>
      </c>
      <c r="W200" s="188">
        <f t="shared" si="18"/>
        <v>1.3317679456130213E-4</v>
      </c>
    </row>
    <row r="201" spans="1:23" x14ac:dyDescent="0.25">
      <c r="A201" t="s">
        <v>528</v>
      </c>
      <c r="B201" t="s">
        <v>335</v>
      </c>
      <c r="C201" s="128">
        <f t="shared" si="15"/>
        <v>2340</v>
      </c>
      <c r="D201" s="128">
        <v>1695</v>
      </c>
      <c r="E201" s="128">
        <v>645</v>
      </c>
      <c r="F201" s="128">
        <v>18</v>
      </c>
      <c r="G201" s="128">
        <v>0</v>
      </c>
      <c r="H201" s="128">
        <v>2765</v>
      </c>
      <c r="I201" s="128">
        <v>36</v>
      </c>
      <c r="J201" s="128">
        <v>950</v>
      </c>
      <c r="K201" s="128">
        <v>1176</v>
      </c>
      <c r="L201" s="128">
        <v>120</v>
      </c>
      <c r="M201" s="128">
        <v>60</v>
      </c>
      <c r="N201" s="128">
        <v>200</v>
      </c>
      <c r="O201" s="128">
        <v>207</v>
      </c>
      <c r="P201" s="128">
        <v>1327</v>
      </c>
      <c r="Q201" s="128">
        <f>P201*1.08</f>
        <v>1433.16</v>
      </c>
      <c r="R201" s="128">
        <v>285</v>
      </c>
      <c r="S201" s="128">
        <f t="shared" si="19"/>
        <v>3431673</v>
      </c>
      <c r="T201" s="128">
        <f t="shared" si="16"/>
        <v>1091673</v>
      </c>
      <c r="U201" s="128">
        <f t="shared" si="17"/>
        <v>1091673</v>
      </c>
      <c r="V201" s="128">
        <v>27996</v>
      </c>
      <c r="W201" s="188">
        <f t="shared" si="18"/>
        <v>3.8993891984569228E-2</v>
      </c>
    </row>
    <row r="202" spans="1:23" x14ac:dyDescent="0.25">
      <c r="A202" t="s">
        <v>516</v>
      </c>
      <c r="B202" t="s">
        <v>114</v>
      </c>
      <c r="C202" s="128">
        <f t="shared" si="15"/>
        <v>6113</v>
      </c>
      <c r="D202" s="128">
        <v>4180</v>
      </c>
      <c r="E202" s="128">
        <v>1933</v>
      </c>
      <c r="F202" s="128">
        <v>0</v>
      </c>
      <c r="G202" s="128">
        <v>264</v>
      </c>
      <c r="H202" s="128">
        <v>509</v>
      </c>
      <c r="I202" s="128">
        <v>0</v>
      </c>
      <c r="J202" s="128">
        <v>3666</v>
      </c>
      <c r="K202" s="128">
        <v>2951</v>
      </c>
      <c r="L202" s="128">
        <v>420</v>
      </c>
      <c r="M202" s="128">
        <v>210</v>
      </c>
      <c r="N202" s="128">
        <v>0</v>
      </c>
      <c r="O202" s="128">
        <v>81</v>
      </c>
      <c r="P202" s="128">
        <v>3558</v>
      </c>
      <c r="Q202" s="128">
        <f>P202*1.079</f>
        <v>3839.0819999999999</v>
      </c>
      <c r="R202" s="128">
        <v>781</v>
      </c>
      <c r="S202" s="128">
        <f t="shared" si="19"/>
        <v>9262080.0000000019</v>
      </c>
      <c r="T202" s="128">
        <f t="shared" si="16"/>
        <v>3149080.0000000019</v>
      </c>
      <c r="U202" s="128">
        <f t="shared" si="17"/>
        <v>3149080.0000000019</v>
      </c>
      <c r="V202" s="128">
        <v>93743</v>
      </c>
      <c r="W202" s="188">
        <f t="shared" si="18"/>
        <v>3.3592694921220807E-2</v>
      </c>
    </row>
    <row r="203" spans="1:23" x14ac:dyDescent="0.25">
      <c r="A203" t="s">
        <v>523</v>
      </c>
      <c r="B203" t="s">
        <v>432</v>
      </c>
      <c r="C203" s="128">
        <f t="shared" si="15"/>
        <v>12111</v>
      </c>
      <c r="D203" s="128">
        <v>5860</v>
      </c>
      <c r="E203" s="128">
        <v>6251</v>
      </c>
      <c r="F203" s="128">
        <v>0</v>
      </c>
      <c r="G203" s="128">
        <v>80</v>
      </c>
      <c r="H203" s="128">
        <v>400</v>
      </c>
      <c r="I203" s="128">
        <v>0</v>
      </c>
      <c r="J203" s="128">
        <v>3205</v>
      </c>
      <c r="K203" s="128">
        <v>5492</v>
      </c>
      <c r="L203" s="128">
        <v>466</v>
      </c>
      <c r="M203" s="128">
        <v>530</v>
      </c>
      <c r="N203" s="128">
        <v>1194</v>
      </c>
      <c r="O203" s="128">
        <v>326</v>
      </c>
      <c r="P203" s="128">
        <v>3927</v>
      </c>
      <c r="Q203" s="128">
        <f>P203*1.09</f>
        <v>4280.43</v>
      </c>
      <c r="R203" s="128">
        <v>1895</v>
      </c>
      <c r="S203" s="128">
        <f t="shared" si="19"/>
        <v>13960053</v>
      </c>
      <c r="T203" s="128">
        <f t="shared" si="16"/>
        <v>1849053</v>
      </c>
      <c r="U203" s="128">
        <f t="shared" si="17"/>
        <v>1849053</v>
      </c>
      <c r="V203" s="128">
        <v>133397</v>
      </c>
      <c r="W203" s="188">
        <f t="shared" si="18"/>
        <v>1.3861278739401935E-2</v>
      </c>
    </row>
    <row r="204" spans="1:23" x14ac:dyDescent="0.25">
      <c r="A204" t="s">
        <v>521</v>
      </c>
      <c r="B204" t="s">
        <v>310</v>
      </c>
      <c r="C204" s="128">
        <f t="shared" si="15"/>
        <v>10645</v>
      </c>
      <c r="D204" s="128">
        <v>7396</v>
      </c>
      <c r="E204" s="128">
        <v>3249</v>
      </c>
      <c r="F204" s="128">
        <v>3697</v>
      </c>
      <c r="G204" s="128">
        <v>0</v>
      </c>
      <c r="H204" s="128">
        <v>4495</v>
      </c>
      <c r="I204" s="128">
        <v>325</v>
      </c>
      <c r="J204" s="128">
        <v>4531</v>
      </c>
      <c r="K204" s="128">
        <v>6133</v>
      </c>
      <c r="L204" s="128">
        <v>516</v>
      </c>
      <c r="M204" s="128">
        <v>175</v>
      </c>
      <c r="N204" s="128">
        <v>2737</v>
      </c>
      <c r="O204" s="128">
        <v>171</v>
      </c>
      <c r="P204" s="128">
        <v>7611</v>
      </c>
      <c r="Q204" s="128">
        <f>P204*1.083</f>
        <v>8242.7129999999997</v>
      </c>
      <c r="R204" s="128">
        <v>1309</v>
      </c>
      <c r="S204" s="128">
        <f t="shared" si="19"/>
        <v>18504261</v>
      </c>
      <c r="T204" s="128">
        <f t="shared" si="16"/>
        <v>7859261</v>
      </c>
      <c r="U204" s="128">
        <f t="shared" si="17"/>
        <v>7859261</v>
      </c>
      <c r="V204" s="128">
        <v>121976</v>
      </c>
      <c r="W204" s="188">
        <f t="shared" si="18"/>
        <v>6.4432847445399094E-2</v>
      </c>
    </row>
    <row r="205" spans="1:23" x14ac:dyDescent="0.25">
      <c r="A205" t="s">
        <v>517</v>
      </c>
      <c r="B205" t="s">
        <v>435</v>
      </c>
      <c r="C205" s="128">
        <f t="shared" si="15"/>
        <v>6158</v>
      </c>
      <c r="D205" s="128">
        <v>4831</v>
      </c>
      <c r="E205" s="128">
        <v>1327</v>
      </c>
      <c r="F205" s="128">
        <v>0</v>
      </c>
      <c r="G205" s="128">
        <v>0</v>
      </c>
      <c r="H205" s="128">
        <v>24</v>
      </c>
      <c r="I205" s="128">
        <v>75</v>
      </c>
      <c r="J205" s="128">
        <v>1931</v>
      </c>
      <c r="K205" s="128">
        <v>2548</v>
      </c>
      <c r="L205" s="128">
        <v>341</v>
      </c>
      <c r="M205" s="128">
        <v>93</v>
      </c>
      <c r="N205" s="128">
        <v>732</v>
      </c>
      <c r="O205" s="128">
        <v>46</v>
      </c>
      <c r="P205" s="128">
        <v>3520</v>
      </c>
      <c r="Q205" s="128">
        <f>P205*1.079</f>
        <v>3798.08</v>
      </c>
      <c r="R205" s="128">
        <v>355</v>
      </c>
      <c r="S205" s="128">
        <f t="shared" si="19"/>
        <v>7652070</v>
      </c>
      <c r="T205" s="128">
        <f t="shared" si="16"/>
        <v>1494070</v>
      </c>
      <c r="U205" s="128">
        <f t="shared" si="17"/>
        <v>1494070</v>
      </c>
      <c r="V205" s="128">
        <v>56167</v>
      </c>
      <c r="W205" s="188">
        <f t="shared" si="18"/>
        <v>2.660049495255221E-2</v>
      </c>
    </row>
    <row r="206" spans="1:23" x14ac:dyDescent="0.25">
      <c r="A206" t="s">
        <v>519</v>
      </c>
      <c r="B206" t="s">
        <v>194</v>
      </c>
      <c r="C206" s="128">
        <f t="shared" si="15"/>
        <v>4882</v>
      </c>
      <c r="D206" s="128">
        <v>3322</v>
      </c>
      <c r="E206" s="128">
        <v>1560</v>
      </c>
      <c r="F206" s="128">
        <v>0</v>
      </c>
      <c r="G206" s="128">
        <v>0</v>
      </c>
      <c r="H206" s="128">
        <v>1436</v>
      </c>
      <c r="I206" s="128">
        <v>1530</v>
      </c>
      <c r="J206" s="128">
        <v>1865</v>
      </c>
      <c r="K206" s="128">
        <v>2472</v>
      </c>
      <c r="L206" s="128">
        <v>520</v>
      </c>
      <c r="M206" s="128">
        <v>310</v>
      </c>
      <c r="N206" s="128">
        <v>879</v>
      </c>
      <c r="O206" s="128">
        <v>180</v>
      </c>
      <c r="P206" s="128">
        <v>3445</v>
      </c>
      <c r="Q206" s="128">
        <f>P206*1.08</f>
        <v>3720.6000000000004</v>
      </c>
      <c r="R206" s="128">
        <v>519</v>
      </c>
      <c r="S206" s="128">
        <f t="shared" si="19"/>
        <v>8109747.0000000009</v>
      </c>
      <c r="T206" s="128">
        <f t="shared" si="16"/>
        <v>3227747.0000000009</v>
      </c>
      <c r="U206" s="128">
        <f t="shared" si="17"/>
        <v>3227747.0000000009</v>
      </c>
      <c r="V206" s="128">
        <v>65387</v>
      </c>
      <c r="W206" s="188">
        <f t="shared" si="18"/>
        <v>4.9363742028231926E-2</v>
      </c>
    </row>
    <row r="207" spans="1:23" x14ac:dyDescent="0.25">
      <c r="A207" t="s">
        <v>521</v>
      </c>
      <c r="B207" t="s">
        <v>311</v>
      </c>
      <c r="C207" s="128">
        <f t="shared" si="15"/>
        <v>7921</v>
      </c>
      <c r="D207" s="128">
        <v>5738</v>
      </c>
      <c r="E207" s="128">
        <v>2183</v>
      </c>
      <c r="F207" s="128">
        <v>0</v>
      </c>
      <c r="G207" s="128">
        <v>0</v>
      </c>
      <c r="H207" s="128">
        <v>270</v>
      </c>
      <c r="I207" s="128">
        <v>111</v>
      </c>
      <c r="J207" s="128">
        <v>2465</v>
      </c>
      <c r="K207" s="128">
        <v>3702</v>
      </c>
      <c r="L207" s="128">
        <v>183</v>
      </c>
      <c r="M207" s="128">
        <v>0</v>
      </c>
      <c r="N207" s="128">
        <v>1175</v>
      </c>
      <c r="O207" s="128">
        <v>73</v>
      </c>
      <c r="P207" s="128">
        <v>4740</v>
      </c>
      <c r="Q207" s="128">
        <f>P207*1.083</f>
        <v>5133.42</v>
      </c>
      <c r="R207" s="128">
        <v>449</v>
      </c>
      <c r="S207" s="128">
        <f t="shared" si="19"/>
        <v>10199142</v>
      </c>
      <c r="T207" s="128">
        <f t="shared" si="16"/>
        <v>2278142</v>
      </c>
      <c r="U207" s="128">
        <f t="shared" si="17"/>
        <v>2278142</v>
      </c>
      <c r="V207" s="128">
        <v>60864</v>
      </c>
      <c r="W207" s="188">
        <f t="shared" si="18"/>
        <v>3.7430040746582544E-2</v>
      </c>
    </row>
    <row r="208" spans="1:23" x14ac:dyDescent="0.25">
      <c r="A208" t="s">
        <v>517</v>
      </c>
      <c r="B208" t="s">
        <v>380</v>
      </c>
      <c r="C208" s="128">
        <f t="shared" si="15"/>
        <v>7081</v>
      </c>
      <c r="D208" s="128">
        <v>3498</v>
      </c>
      <c r="E208" s="128">
        <v>3583</v>
      </c>
      <c r="F208" s="128">
        <v>0</v>
      </c>
      <c r="G208" s="128">
        <v>0</v>
      </c>
      <c r="H208" s="128">
        <v>404</v>
      </c>
      <c r="I208" s="128">
        <v>47</v>
      </c>
      <c r="J208" s="128">
        <v>1582</v>
      </c>
      <c r="K208" s="128">
        <v>1605</v>
      </c>
      <c r="L208" s="128">
        <v>243</v>
      </c>
      <c r="M208" s="128">
        <v>0</v>
      </c>
      <c r="N208" s="128">
        <v>369</v>
      </c>
      <c r="O208" s="128">
        <v>195</v>
      </c>
      <c r="P208" s="128">
        <v>2629</v>
      </c>
      <c r="Q208" s="128">
        <f>P208*1.079</f>
        <v>2836.6909999999998</v>
      </c>
      <c r="R208" s="128">
        <v>789</v>
      </c>
      <c r="S208" s="128">
        <f t="shared" si="19"/>
        <v>7610463</v>
      </c>
      <c r="T208" s="128">
        <f t="shared" si="16"/>
        <v>529463</v>
      </c>
      <c r="U208" s="128">
        <f t="shared" si="17"/>
        <v>529463</v>
      </c>
      <c r="V208" s="128">
        <v>39933</v>
      </c>
      <c r="W208" s="188">
        <f t="shared" si="18"/>
        <v>1.3258783462299351E-2</v>
      </c>
    </row>
    <row r="209" spans="1:23" x14ac:dyDescent="0.25">
      <c r="A209" t="s">
        <v>517</v>
      </c>
      <c r="B209" t="s">
        <v>381</v>
      </c>
      <c r="C209" s="129">
        <v>8328.4832656490689</v>
      </c>
      <c r="D209" s="129">
        <v>5862.8872706903794</v>
      </c>
      <c r="E209" s="129">
        <v>2465.5959949586891</v>
      </c>
      <c r="F209" s="129">
        <v>1080</v>
      </c>
      <c r="G209" s="129">
        <v>0</v>
      </c>
      <c r="H209" s="129">
        <v>959.81221117490543</v>
      </c>
      <c r="I209" s="129">
        <v>93.227139056154599</v>
      </c>
      <c r="J209" s="129">
        <v>3325.2470242262989</v>
      </c>
      <c r="K209" s="129">
        <v>419.27251085282171</v>
      </c>
      <c r="L209" s="129">
        <v>432.1298137515754</v>
      </c>
      <c r="M209" s="129">
        <v>0</v>
      </c>
      <c r="N209" s="129">
        <v>977.94202492648083</v>
      </c>
      <c r="O209" s="129">
        <v>295.44741632824537</v>
      </c>
      <c r="P209" s="129">
        <v>4955.0809410446718</v>
      </c>
      <c r="Q209" s="129">
        <v>5157.2027770620361</v>
      </c>
      <c r="R209" s="129">
        <v>707.76011763058398</v>
      </c>
      <c r="S209" s="128">
        <f t="shared" si="19"/>
        <v>11524417.527937265</v>
      </c>
      <c r="T209" s="129">
        <v>3561572.6636436097</v>
      </c>
      <c r="U209" s="129">
        <v>3561572.6636436097</v>
      </c>
      <c r="V209" s="129">
        <v>84349.221957709</v>
      </c>
      <c r="W209" s="188">
        <v>4.222413178190678E-2</v>
      </c>
    </row>
    <row r="210" spans="1:23" x14ac:dyDescent="0.25">
      <c r="A210" t="s">
        <v>525</v>
      </c>
      <c r="B210" t="s">
        <v>123</v>
      </c>
      <c r="C210" s="128">
        <f t="shared" si="15"/>
        <v>13639</v>
      </c>
      <c r="D210" s="128">
        <v>7012</v>
      </c>
      <c r="E210" s="128">
        <v>6627</v>
      </c>
      <c r="F210" s="128">
        <v>0</v>
      </c>
      <c r="G210" s="128">
        <v>0</v>
      </c>
      <c r="H210" s="128">
        <v>81</v>
      </c>
      <c r="I210" s="128">
        <v>111</v>
      </c>
      <c r="J210" s="128">
        <v>4542</v>
      </c>
      <c r="K210" s="128">
        <v>4077</v>
      </c>
      <c r="L210" s="128">
        <v>524</v>
      </c>
      <c r="M210" s="128">
        <v>155</v>
      </c>
      <c r="N210" s="128">
        <v>430</v>
      </c>
      <c r="O210" s="128">
        <v>57</v>
      </c>
      <c r="P210" s="128">
        <v>2811</v>
      </c>
      <c r="Q210" s="128">
        <f>P210*1.108</f>
        <v>3114.5880000000002</v>
      </c>
      <c r="R210" s="128">
        <v>875</v>
      </c>
      <c r="S210" s="128">
        <f t="shared" si="19"/>
        <v>8250849.0000000009</v>
      </c>
      <c r="T210" s="128">
        <f t="shared" si="16"/>
        <v>-5388150.9999999991</v>
      </c>
      <c r="U210" s="128">
        <f t="shared" si="17"/>
        <v>0</v>
      </c>
      <c r="V210" s="128">
        <v>143823</v>
      </c>
      <c r="W210" s="188">
        <f t="shared" si="18"/>
        <v>-3.7463764488294631E-2</v>
      </c>
    </row>
    <row r="211" spans="1:23" x14ac:dyDescent="0.25">
      <c r="A211" t="s">
        <v>519</v>
      </c>
      <c r="B211" t="s">
        <v>195</v>
      </c>
      <c r="C211" s="128">
        <f t="shared" si="15"/>
        <v>5374</v>
      </c>
      <c r="D211" s="128">
        <v>3372</v>
      </c>
      <c r="E211" s="128">
        <v>2002</v>
      </c>
      <c r="F211" s="128">
        <v>0</v>
      </c>
      <c r="G211" s="128">
        <v>0</v>
      </c>
      <c r="H211" s="128">
        <v>707</v>
      </c>
      <c r="I211" s="128">
        <v>0</v>
      </c>
      <c r="J211" s="128">
        <v>1551</v>
      </c>
      <c r="K211" s="128">
        <v>2878</v>
      </c>
      <c r="L211" s="128">
        <v>255</v>
      </c>
      <c r="M211" s="128">
        <v>549</v>
      </c>
      <c r="N211" s="128">
        <v>791</v>
      </c>
      <c r="O211" s="128">
        <v>395</v>
      </c>
      <c r="P211" s="128">
        <v>2647</v>
      </c>
      <c r="Q211" s="128">
        <f>P211*1.08</f>
        <v>2858.76</v>
      </c>
      <c r="R211" s="128">
        <v>438</v>
      </c>
      <c r="S211" s="128">
        <f t="shared" si="19"/>
        <v>6373107</v>
      </c>
      <c r="T211" s="128">
        <f t="shared" si="16"/>
        <v>999107</v>
      </c>
      <c r="U211" s="128">
        <f t="shared" si="17"/>
        <v>999107</v>
      </c>
      <c r="V211" s="128">
        <v>68212</v>
      </c>
      <c r="W211" s="188">
        <f t="shared" si="18"/>
        <v>1.4647085556793527E-2</v>
      </c>
    </row>
    <row r="212" spans="1:23" x14ac:dyDescent="0.25">
      <c r="A212" t="s">
        <v>522</v>
      </c>
      <c r="B212" t="s">
        <v>153</v>
      </c>
      <c r="C212" s="128">
        <f t="shared" si="15"/>
        <v>8293</v>
      </c>
      <c r="D212" s="128">
        <v>4245</v>
      </c>
      <c r="E212" s="128">
        <v>4048</v>
      </c>
      <c r="F212" s="128">
        <v>780</v>
      </c>
      <c r="G212" s="128">
        <v>0</v>
      </c>
      <c r="H212" s="128">
        <v>48</v>
      </c>
      <c r="I212" s="128">
        <v>274</v>
      </c>
      <c r="J212" s="128">
        <v>3018</v>
      </c>
      <c r="K212" s="128">
        <v>4091</v>
      </c>
      <c r="L212" s="128">
        <v>454</v>
      </c>
      <c r="M212" s="128">
        <v>202</v>
      </c>
      <c r="N212" s="128">
        <v>719</v>
      </c>
      <c r="O212" s="128">
        <v>107</v>
      </c>
      <c r="P212" s="128">
        <v>3482</v>
      </c>
      <c r="Q212" s="128">
        <f>P212*1.083</f>
        <v>3771.0059999999999</v>
      </c>
      <c r="R212" s="128">
        <v>759</v>
      </c>
      <c r="S212" s="128">
        <f t="shared" si="19"/>
        <v>9045000</v>
      </c>
      <c r="T212" s="128">
        <f t="shared" si="16"/>
        <v>752000</v>
      </c>
      <c r="U212" s="128">
        <f t="shared" si="17"/>
        <v>752000</v>
      </c>
      <c r="V212" s="128">
        <v>90541</v>
      </c>
      <c r="W212" s="188">
        <f t="shared" si="18"/>
        <v>8.3056294938204794E-3</v>
      </c>
    </row>
    <row r="213" spans="1:23" x14ac:dyDescent="0.25">
      <c r="A213" t="s">
        <v>522</v>
      </c>
      <c r="B213" t="s">
        <v>154</v>
      </c>
      <c r="C213" s="128">
        <f t="shared" si="15"/>
        <v>4395</v>
      </c>
      <c r="D213" s="128">
        <v>3105</v>
      </c>
      <c r="E213" s="128">
        <v>1290</v>
      </c>
      <c r="F213" s="128">
        <v>0</v>
      </c>
      <c r="G213" s="128">
        <v>0</v>
      </c>
      <c r="H213" s="128">
        <v>141</v>
      </c>
      <c r="I213" s="128">
        <v>37</v>
      </c>
      <c r="J213" s="128">
        <v>1860</v>
      </c>
      <c r="K213" s="128">
        <v>1681</v>
      </c>
      <c r="L213" s="128">
        <v>207</v>
      </c>
      <c r="M213" s="128">
        <v>58</v>
      </c>
      <c r="N213" s="128">
        <v>280</v>
      </c>
      <c r="O213" s="128">
        <v>39</v>
      </c>
      <c r="P213" s="128">
        <v>1981</v>
      </c>
      <c r="Q213" s="128">
        <f>P213*1.083</f>
        <v>2145.4229999999998</v>
      </c>
      <c r="R213" s="128">
        <v>305</v>
      </c>
      <c r="S213" s="128">
        <f t="shared" si="19"/>
        <v>4687119</v>
      </c>
      <c r="T213" s="128">
        <f t="shared" si="16"/>
        <v>292119</v>
      </c>
      <c r="U213" s="128">
        <f t="shared" si="17"/>
        <v>292119</v>
      </c>
      <c r="V213" s="128">
        <v>44314</v>
      </c>
      <c r="W213" s="188">
        <f t="shared" si="18"/>
        <v>6.5920250936498627E-3</v>
      </c>
    </row>
    <row r="214" spans="1:23" x14ac:dyDescent="0.25">
      <c r="A214" t="s">
        <v>522</v>
      </c>
      <c r="B214" t="s">
        <v>155</v>
      </c>
      <c r="C214" s="128">
        <f t="shared" si="15"/>
        <v>3905</v>
      </c>
      <c r="D214" s="128">
        <v>2294</v>
      </c>
      <c r="E214" s="128">
        <v>1611</v>
      </c>
      <c r="F214" s="128">
        <v>0</v>
      </c>
      <c r="G214" s="128">
        <v>0</v>
      </c>
      <c r="H214" s="128">
        <v>1501</v>
      </c>
      <c r="I214" s="128">
        <v>0</v>
      </c>
      <c r="J214" s="128">
        <v>1840</v>
      </c>
      <c r="K214" s="128">
        <v>1801</v>
      </c>
      <c r="L214" s="128">
        <v>176</v>
      </c>
      <c r="M214" s="128">
        <v>314</v>
      </c>
      <c r="N214" s="128">
        <v>534</v>
      </c>
      <c r="O214" s="128">
        <v>59</v>
      </c>
      <c r="P214" s="128">
        <v>2018</v>
      </c>
      <c r="Q214" s="128">
        <f>P214*1.083</f>
        <v>2185.4940000000001</v>
      </c>
      <c r="R214" s="128">
        <v>529</v>
      </c>
      <c r="S214" s="128">
        <f t="shared" si="19"/>
        <v>5564484</v>
      </c>
      <c r="T214" s="128">
        <f t="shared" si="16"/>
        <v>1659484</v>
      </c>
      <c r="U214" s="128">
        <f t="shared" si="17"/>
        <v>1659484</v>
      </c>
      <c r="V214" s="128">
        <v>47360</v>
      </c>
      <c r="W214" s="188">
        <f t="shared" si="18"/>
        <v>3.5039780405405403E-2</v>
      </c>
    </row>
    <row r="215" spans="1:23" x14ac:dyDescent="0.25">
      <c r="A215" t="s">
        <v>519</v>
      </c>
      <c r="B215" t="s">
        <v>196</v>
      </c>
      <c r="C215" s="128">
        <f t="shared" si="15"/>
        <v>6462</v>
      </c>
      <c r="D215" s="128">
        <v>4101</v>
      </c>
      <c r="E215" s="128">
        <v>2361</v>
      </c>
      <c r="F215" s="128">
        <v>0</v>
      </c>
      <c r="G215" s="128">
        <v>0</v>
      </c>
      <c r="H215" s="128">
        <v>555</v>
      </c>
      <c r="I215" s="128">
        <v>177</v>
      </c>
      <c r="J215" s="128">
        <v>2753</v>
      </c>
      <c r="K215" s="128">
        <v>2524</v>
      </c>
      <c r="L215" s="128">
        <v>249</v>
      </c>
      <c r="M215" s="128">
        <v>0</v>
      </c>
      <c r="N215" s="128">
        <v>491</v>
      </c>
      <c r="O215" s="128">
        <v>341</v>
      </c>
      <c r="P215" s="128">
        <v>2807</v>
      </c>
      <c r="Q215" s="128">
        <f>P215*1.08</f>
        <v>3031.5600000000004</v>
      </c>
      <c r="R215" s="128">
        <v>805</v>
      </c>
      <c r="S215" s="128">
        <f t="shared" si="19"/>
        <v>7990353.0000000009</v>
      </c>
      <c r="T215" s="128">
        <f t="shared" si="16"/>
        <v>1528353.0000000009</v>
      </c>
      <c r="U215" s="128">
        <f t="shared" si="17"/>
        <v>1528353.0000000009</v>
      </c>
      <c r="V215" s="128">
        <v>75751</v>
      </c>
      <c r="W215" s="188">
        <f t="shared" si="18"/>
        <v>2.0176010877744201E-2</v>
      </c>
    </row>
    <row r="216" spans="1:23" x14ac:dyDescent="0.25">
      <c r="A216" t="s">
        <v>517</v>
      </c>
      <c r="B216" t="s">
        <v>382</v>
      </c>
      <c r="C216" s="128">
        <f t="shared" si="15"/>
        <v>12031</v>
      </c>
      <c r="D216" s="128">
        <v>6556</v>
      </c>
      <c r="E216" s="128">
        <v>5475</v>
      </c>
      <c r="F216" s="128">
        <v>452</v>
      </c>
      <c r="G216" s="128">
        <v>0</v>
      </c>
      <c r="H216" s="128">
        <v>500</v>
      </c>
      <c r="I216" s="128">
        <v>182</v>
      </c>
      <c r="J216" s="128">
        <v>5456</v>
      </c>
      <c r="K216" s="128">
        <v>6271</v>
      </c>
      <c r="L216" s="128">
        <v>987</v>
      </c>
      <c r="M216" s="128">
        <v>0</v>
      </c>
      <c r="N216" s="128">
        <v>1089</v>
      </c>
      <c r="O216" s="128">
        <v>1699</v>
      </c>
      <c r="P216" s="128">
        <v>6577</v>
      </c>
      <c r="Q216" s="128">
        <f>P216*1.079</f>
        <v>7096.5829999999996</v>
      </c>
      <c r="R216" s="128">
        <v>1587</v>
      </c>
      <c r="S216" s="128">
        <f t="shared" si="19"/>
        <v>17639559.000000004</v>
      </c>
      <c r="T216" s="128">
        <f t="shared" si="16"/>
        <v>5608559.0000000037</v>
      </c>
      <c r="U216" s="128">
        <f t="shared" si="17"/>
        <v>5608559.0000000037</v>
      </c>
      <c r="V216" s="128">
        <v>157960</v>
      </c>
      <c r="W216" s="188">
        <f t="shared" si="18"/>
        <v>3.5506197771587769E-2</v>
      </c>
    </row>
    <row r="217" spans="1:23" x14ac:dyDescent="0.25">
      <c r="A217" t="s">
        <v>520</v>
      </c>
      <c r="B217" t="s">
        <v>133</v>
      </c>
      <c r="C217" s="128">
        <f t="shared" si="15"/>
        <v>3001</v>
      </c>
      <c r="D217" s="128">
        <v>2375</v>
      </c>
      <c r="E217" s="128">
        <v>626</v>
      </c>
      <c r="F217" s="128">
        <v>0</v>
      </c>
      <c r="G217" s="128">
        <v>0</v>
      </c>
      <c r="H217" s="128">
        <v>461</v>
      </c>
      <c r="I217" s="128">
        <v>41</v>
      </c>
      <c r="J217" s="128">
        <v>2565</v>
      </c>
      <c r="K217" s="128">
        <v>2531</v>
      </c>
      <c r="L217" s="128">
        <v>305</v>
      </c>
      <c r="M217" s="128">
        <v>0</v>
      </c>
      <c r="N217" s="128">
        <v>460</v>
      </c>
      <c r="O217" s="128">
        <v>39</v>
      </c>
      <c r="P217" s="128">
        <v>2382</v>
      </c>
      <c r="Q217" s="128">
        <f>P217*1.08</f>
        <v>2572.56</v>
      </c>
      <c r="R217" s="128">
        <v>476</v>
      </c>
      <c r="S217" s="128">
        <f t="shared" si="19"/>
        <v>6031206</v>
      </c>
      <c r="T217" s="128">
        <f t="shared" si="16"/>
        <v>3030206</v>
      </c>
      <c r="U217" s="128">
        <f t="shared" si="17"/>
        <v>3030206</v>
      </c>
      <c r="V217" s="128">
        <v>73717</v>
      </c>
      <c r="W217" s="188">
        <f t="shared" si="18"/>
        <v>4.1105932145909359E-2</v>
      </c>
    </row>
    <row r="218" spans="1:23" x14ac:dyDescent="0.25">
      <c r="A218" t="s">
        <v>518</v>
      </c>
      <c r="B218" t="s">
        <v>267</v>
      </c>
      <c r="C218" s="128">
        <f t="shared" si="15"/>
        <v>2504</v>
      </c>
      <c r="D218" s="128">
        <v>1808</v>
      </c>
      <c r="E218" s="128">
        <v>696</v>
      </c>
      <c r="F218" s="128">
        <v>0</v>
      </c>
      <c r="G218" s="128">
        <v>0</v>
      </c>
      <c r="H218" s="128">
        <v>292</v>
      </c>
      <c r="I218" s="128">
        <v>34</v>
      </c>
      <c r="J218" s="128">
        <v>1456</v>
      </c>
      <c r="K218" s="128">
        <v>1382</v>
      </c>
      <c r="L218" s="128">
        <v>143</v>
      </c>
      <c r="M218" s="128">
        <v>125</v>
      </c>
      <c r="N218" s="128">
        <v>220</v>
      </c>
      <c r="O218" s="128">
        <v>38</v>
      </c>
      <c r="P218" s="128">
        <v>1478</v>
      </c>
      <c r="Q218" s="128">
        <f>P218*1.072</f>
        <v>1584.4160000000002</v>
      </c>
      <c r="R218" s="128">
        <v>183</v>
      </c>
      <c r="S218" s="128">
        <f t="shared" si="19"/>
        <v>3335796</v>
      </c>
      <c r="T218" s="128">
        <f t="shared" si="16"/>
        <v>831796</v>
      </c>
      <c r="U218" s="128">
        <f t="shared" si="17"/>
        <v>831796</v>
      </c>
      <c r="V218" s="128">
        <v>22314</v>
      </c>
      <c r="W218" s="188">
        <f t="shared" si="18"/>
        <v>3.7276866541184908E-2</v>
      </c>
    </row>
    <row r="219" spans="1:23" x14ac:dyDescent="0.25">
      <c r="A219" t="s">
        <v>518</v>
      </c>
      <c r="B219" t="s">
        <v>268</v>
      </c>
      <c r="C219" s="128">
        <f t="shared" si="15"/>
        <v>2235</v>
      </c>
      <c r="D219" s="128">
        <v>1568</v>
      </c>
      <c r="E219" s="128">
        <v>667</v>
      </c>
      <c r="F219" s="128">
        <v>0</v>
      </c>
      <c r="G219" s="128">
        <v>0</v>
      </c>
      <c r="H219" s="128">
        <v>70</v>
      </c>
      <c r="I219" s="128">
        <v>37</v>
      </c>
      <c r="J219" s="128">
        <v>1133</v>
      </c>
      <c r="K219" s="128">
        <v>0</v>
      </c>
      <c r="L219" s="128">
        <v>136</v>
      </c>
      <c r="M219" s="128">
        <v>0</v>
      </c>
      <c r="N219" s="128">
        <v>164</v>
      </c>
      <c r="O219" s="128">
        <v>24</v>
      </c>
      <c r="P219" s="128">
        <v>1291</v>
      </c>
      <c r="Q219" s="128">
        <f>P219*1.072</f>
        <v>1383.952</v>
      </c>
      <c r="R219" s="128">
        <v>263</v>
      </c>
      <c r="S219" s="128">
        <f t="shared" si="19"/>
        <v>3286953</v>
      </c>
      <c r="T219" s="128">
        <f t="shared" si="16"/>
        <v>1051953</v>
      </c>
      <c r="U219" s="128">
        <f t="shared" si="17"/>
        <v>1051953</v>
      </c>
      <c r="V219" s="128">
        <v>36363</v>
      </c>
      <c r="W219" s="188">
        <f t="shared" si="18"/>
        <v>2.8929213761240823E-2</v>
      </c>
    </row>
    <row r="220" spans="1:23" x14ac:dyDescent="0.25">
      <c r="A220" t="s">
        <v>520</v>
      </c>
      <c r="B220" t="s">
        <v>134</v>
      </c>
      <c r="C220" s="128">
        <f t="shared" si="15"/>
        <v>4626</v>
      </c>
      <c r="D220" s="128">
        <v>3081</v>
      </c>
      <c r="E220" s="128">
        <v>1545</v>
      </c>
      <c r="F220" s="128">
        <v>0</v>
      </c>
      <c r="G220" s="128">
        <v>0</v>
      </c>
      <c r="H220" s="128">
        <v>148</v>
      </c>
      <c r="I220" s="128">
        <v>40</v>
      </c>
      <c r="J220" s="128">
        <v>2810</v>
      </c>
      <c r="K220" s="128">
        <v>3073</v>
      </c>
      <c r="L220" s="128">
        <v>264</v>
      </c>
      <c r="M220" s="128">
        <v>150</v>
      </c>
      <c r="N220" s="128">
        <v>676</v>
      </c>
      <c r="O220" s="128">
        <v>28</v>
      </c>
      <c r="P220" s="128">
        <v>2853</v>
      </c>
      <c r="Q220" s="128">
        <f>P220*1.08</f>
        <v>3081.2400000000002</v>
      </c>
      <c r="R220" s="128">
        <v>557</v>
      </c>
      <c r="S220" s="128">
        <f t="shared" si="19"/>
        <v>7176303</v>
      </c>
      <c r="T220" s="128">
        <f t="shared" si="16"/>
        <v>2550303</v>
      </c>
      <c r="U220" s="128">
        <f t="shared" si="17"/>
        <v>2550303</v>
      </c>
      <c r="V220" s="128">
        <v>79486</v>
      </c>
      <c r="W220" s="188">
        <f t="shared" si="18"/>
        <v>3.2084933195782907E-2</v>
      </c>
    </row>
    <row r="221" spans="1:23" x14ac:dyDescent="0.25">
      <c r="A221" t="s">
        <v>517</v>
      </c>
      <c r="B221" t="s">
        <v>383</v>
      </c>
      <c r="C221" s="128">
        <f t="shared" si="15"/>
        <v>20788</v>
      </c>
      <c r="D221" s="128">
        <v>12572</v>
      </c>
      <c r="E221" s="128">
        <v>8216</v>
      </c>
      <c r="F221" s="128">
        <v>2039</v>
      </c>
      <c r="G221" s="128">
        <v>0</v>
      </c>
      <c r="H221" s="128">
        <v>176</v>
      </c>
      <c r="I221" s="128">
        <v>745</v>
      </c>
      <c r="J221" s="128">
        <v>8157</v>
      </c>
      <c r="K221" s="128">
        <v>12034</v>
      </c>
      <c r="L221" s="128">
        <v>1139</v>
      </c>
      <c r="M221" s="128">
        <v>0</v>
      </c>
      <c r="N221" s="128">
        <v>2818</v>
      </c>
      <c r="O221" s="128">
        <v>1038</v>
      </c>
      <c r="P221" s="128">
        <v>10103</v>
      </c>
      <c r="Q221" s="128">
        <f>P221*1.079</f>
        <v>10901.136999999999</v>
      </c>
      <c r="R221" s="128">
        <v>1881</v>
      </c>
      <c r="S221" s="128">
        <f t="shared" si="19"/>
        <v>25081785</v>
      </c>
      <c r="T221" s="128">
        <f t="shared" si="16"/>
        <v>4293785</v>
      </c>
      <c r="U221" s="128">
        <f t="shared" si="17"/>
        <v>4293785</v>
      </c>
      <c r="V221" s="128">
        <v>300514</v>
      </c>
      <c r="W221" s="188">
        <f t="shared" si="18"/>
        <v>1.4288136326427388E-2</v>
      </c>
    </row>
    <row r="222" spans="1:23" x14ac:dyDescent="0.25">
      <c r="A222" t="s">
        <v>519</v>
      </c>
      <c r="B222" t="s">
        <v>197</v>
      </c>
      <c r="C222" s="128">
        <f t="shared" si="15"/>
        <v>8788</v>
      </c>
      <c r="D222" s="128">
        <v>6152</v>
      </c>
      <c r="E222" s="128">
        <v>2636</v>
      </c>
      <c r="F222" s="128">
        <v>0</v>
      </c>
      <c r="G222" s="128">
        <v>0</v>
      </c>
      <c r="H222" s="128">
        <v>206</v>
      </c>
      <c r="I222" s="128">
        <v>0</v>
      </c>
      <c r="J222" s="128">
        <v>4130</v>
      </c>
      <c r="K222" s="128">
        <v>3187</v>
      </c>
      <c r="L222" s="128">
        <v>382</v>
      </c>
      <c r="M222" s="128">
        <v>126</v>
      </c>
      <c r="N222" s="128">
        <v>534</v>
      </c>
      <c r="O222" s="128">
        <v>109</v>
      </c>
      <c r="P222" s="128">
        <v>3724</v>
      </c>
      <c r="Q222" s="128">
        <f>P222*1.08</f>
        <v>4021.92</v>
      </c>
      <c r="R222" s="128">
        <v>822</v>
      </c>
      <c r="S222" s="128">
        <f t="shared" si="19"/>
        <v>9710712</v>
      </c>
      <c r="T222" s="128">
        <f t="shared" si="16"/>
        <v>922712</v>
      </c>
      <c r="U222" s="128">
        <f t="shared" si="17"/>
        <v>922712</v>
      </c>
      <c r="V222" s="128">
        <v>102390</v>
      </c>
      <c r="W222" s="188">
        <f t="shared" si="18"/>
        <v>9.0117394276784842E-3</v>
      </c>
    </row>
    <row r="223" spans="1:23" x14ac:dyDescent="0.25">
      <c r="A223" t="s">
        <v>518</v>
      </c>
      <c r="B223" t="s">
        <v>269</v>
      </c>
      <c r="C223" s="128">
        <f t="shared" si="15"/>
        <v>5196</v>
      </c>
      <c r="D223" s="128">
        <v>1967</v>
      </c>
      <c r="E223" s="128">
        <v>3229</v>
      </c>
      <c r="F223" s="128">
        <v>675</v>
      </c>
      <c r="G223" s="128">
        <v>36</v>
      </c>
      <c r="H223" s="128">
        <v>483</v>
      </c>
      <c r="I223" s="128">
        <v>39</v>
      </c>
      <c r="J223" s="128">
        <v>1874</v>
      </c>
      <c r="K223" s="128">
        <v>1903</v>
      </c>
      <c r="L223" s="128">
        <v>223</v>
      </c>
      <c r="M223" s="128">
        <v>204</v>
      </c>
      <c r="N223" s="128">
        <v>516</v>
      </c>
      <c r="O223" s="128">
        <v>105</v>
      </c>
      <c r="P223" s="128">
        <v>2711</v>
      </c>
      <c r="Q223" s="128">
        <f>P223*1.072</f>
        <v>2906.192</v>
      </c>
      <c r="R223" s="128">
        <v>725</v>
      </c>
      <c r="S223" s="128">
        <f t="shared" si="19"/>
        <v>7527249</v>
      </c>
      <c r="T223" s="128">
        <f t="shared" si="16"/>
        <v>2331249</v>
      </c>
      <c r="U223" s="128">
        <f t="shared" si="17"/>
        <v>2331249</v>
      </c>
      <c r="V223" s="128">
        <v>35189</v>
      </c>
      <c r="W223" s="188">
        <f t="shared" si="18"/>
        <v>6.6249367700133566E-2</v>
      </c>
    </row>
    <row r="224" spans="1:23" x14ac:dyDescent="0.25">
      <c r="A224" t="s">
        <v>524</v>
      </c>
      <c r="B224" t="s">
        <v>226</v>
      </c>
      <c r="C224" s="128">
        <f t="shared" si="15"/>
        <v>2564</v>
      </c>
      <c r="D224" s="128">
        <v>1755</v>
      </c>
      <c r="E224" s="128">
        <v>809</v>
      </c>
      <c r="F224" s="128">
        <v>0</v>
      </c>
      <c r="G224" s="128">
        <v>58</v>
      </c>
      <c r="H224" s="128">
        <v>12</v>
      </c>
      <c r="I224" s="128">
        <v>0</v>
      </c>
      <c r="J224" s="128">
        <v>1295</v>
      </c>
      <c r="K224" s="128">
        <v>979</v>
      </c>
      <c r="L224" s="128">
        <v>160</v>
      </c>
      <c r="M224" s="128">
        <v>6</v>
      </c>
      <c r="N224" s="128">
        <v>304</v>
      </c>
      <c r="O224" s="128">
        <v>73</v>
      </c>
      <c r="P224" s="128">
        <v>1346</v>
      </c>
      <c r="Q224" s="128">
        <f>P224*1.08</f>
        <v>1453.68</v>
      </c>
      <c r="R224" s="128">
        <v>200</v>
      </c>
      <c r="S224" s="128">
        <f t="shared" si="19"/>
        <v>3158514.0000000005</v>
      </c>
      <c r="T224" s="128">
        <f t="shared" si="16"/>
        <v>594514.00000000047</v>
      </c>
      <c r="U224" s="128">
        <f t="shared" si="17"/>
        <v>594514.00000000047</v>
      </c>
      <c r="V224" s="128">
        <v>23992</v>
      </c>
      <c r="W224" s="188">
        <f t="shared" si="18"/>
        <v>2.4779676558852971E-2</v>
      </c>
    </row>
    <row r="225" spans="1:23" x14ac:dyDescent="0.25">
      <c r="A225" t="s">
        <v>519</v>
      </c>
      <c r="B225" t="s">
        <v>198</v>
      </c>
      <c r="C225" s="128">
        <f t="shared" si="15"/>
        <v>8349</v>
      </c>
      <c r="D225" s="128">
        <v>5867</v>
      </c>
      <c r="E225" s="128">
        <v>2482</v>
      </c>
      <c r="F225" s="128">
        <v>0</v>
      </c>
      <c r="G225" s="128">
        <v>120</v>
      </c>
      <c r="H225" s="128">
        <v>0</v>
      </c>
      <c r="I225" s="128">
        <v>338</v>
      </c>
      <c r="J225" s="128">
        <v>2052</v>
      </c>
      <c r="K225" s="128">
        <v>5866</v>
      </c>
      <c r="L225" s="128">
        <v>568</v>
      </c>
      <c r="M225" s="128">
        <v>54</v>
      </c>
      <c r="N225" s="128">
        <v>1018</v>
      </c>
      <c r="O225" s="128">
        <v>804</v>
      </c>
      <c r="P225" s="128">
        <v>5178</v>
      </c>
      <c r="Q225" s="128">
        <f>P225*1.08</f>
        <v>5592.2400000000007</v>
      </c>
      <c r="R225" s="128">
        <v>936</v>
      </c>
      <c r="S225" s="128">
        <f t="shared" si="19"/>
        <v>12753450</v>
      </c>
      <c r="T225" s="128">
        <f t="shared" si="16"/>
        <v>4404450</v>
      </c>
      <c r="U225" s="128">
        <f t="shared" si="17"/>
        <v>4404450</v>
      </c>
      <c r="V225" s="128">
        <v>111992</v>
      </c>
      <c r="W225" s="188">
        <f t="shared" si="18"/>
        <v>3.9328255589684981E-2</v>
      </c>
    </row>
    <row r="226" spans="1:23" x14ac:dyDescent="0.25">
      <c r="A226" t="s">
        <v>521</v>
      </c>
      <c r="B226" t="s">
        <v>312</v>
      </c>
      <c r="C226" s="128">
        <f t="shared" si="15"/>
        <v>6143</v>
      </c>
      <c r="D226" s="128">
        <v>3915</v>
      </c>
      <c r="E226" s="128">
        <v>2228</v>
      </c>
      <c r="F226" s="128">
        <v>40</v>
      </c>
      <c r="G226" s="128">
        <v>280</v>
      </c>
      <c r="H226" s="128">
        <v>36</v>
      </c>
      <c r="I226" s="128">
        <v>0</v>
      </c>
      <c r="J226" s="128">
        <v>2377</v>
      </c>
      <c r="K226" s="128">
        <v>4563</v>
      </c>
      <c r="L226" s="128">
        <v>344</v>
      </c>
      <c r="M226" s="128">
        <v>408</v>
      </c>
      <c r="N226" s="128">
        <v>745</v>
      </c>
      <c r="O226" s="128">
        <v>30</v>
      </c>
      <c r="P226" s="128">
        <v>3403</v>
      </c>
      <c r="Q226" s="128">
        <f>P226*1.083</f>
        <v>3685.4490000000001</v>
      </c>
      <c r="R226" s="128">
        <v>580</v>
      </c>
      <c r="S226" s="128">
        <f t="shared" si="19"/>
        <v>8254467</v>
      </c>
      <c r="T226" s="128">
        <f t="shared" si="16"/>
        <v>2111467</v>
      </c>
      <c r="U226" s="128">
        <f t="shared" si="17"/>
        <v>2111467</v>
      </c>
      <c r="V226" s="128">
        <v>90954</v>
      </c>
      <c r="W226" s="188">
        <f t="shared" si="18"/>
        <v>2.3214668953536952E-2</v>
      </c>
    </row>
    <row r="227" spans="1:23" x14ac:dyDescent="0.25">
      <c r="A227" t="s">
        <v>526</v>
      </c>
      <c r="B227" t="s">
        <v>417</v>
      </c>
      <c r="C227" s="128">
        <f t="shared" si="15"/>
        <v>8119</v>
      </c>
      <c r="D227" s="128">
        <v>4722</v>
      </c>
      <c r="E227" s="128">
        <v>3397</v>
      </c>
      <c r="F227" s="128">
        <v>0</v>
      </c>
      <c r="G227" s="128">
        <v>0</v>
      </c>
      <c r="H227" s="128">
        <v>868</v>
      </c>
      <c r="I227" s="128">
        <v>0</v>
      </c>
      <c r="J227" s="128">
        <v>5717</v>
      </c>
      <c r="K227" s="128">
        <v>3577</v>
      </c>
      <c r="L227" s="128">
        <v>590</v>
      </c>
      <c r="M227" s="128">
        <v>43</v>
      </c>
      <c r="N227" s="128">
        <v>741</v>
      </c>
      <c r="O227" s="128">
        <v>152</v>
      </c>
      <c r="P227" s="128">
        <v>4742</v>
      </c>
      <c r="Q227" s="128">
        <f>P227*1.086</f>
        <v>5149.8120000000008</v>
      </c>
      <c r="R227" s="128">
        <v>1060</v>
      </c>
      <c r="S227" s="128">
        <f t="shared" si="19"/>
        <v>12413358</v>
      </c>
      <c r="T227" s="128">
        <f t="shared" si="16"/>
        <v>4294358</v>
      </c>
      <c r="U227" s="128">
        <f t="shared" si="17"/>
        <v>4294358</v>
      </c>
      <c r="V227" s="128">
        <v>94924</v>
      </c>
      <c r="W227" s="188">
        <f t="shared" si="18"/>
        <v>4.523996038936412E-2</v>
      </c>
    </row>
    <row r="228" spans="1:23" x14ac:dyDescent="0.25">
      <c r="A228" t="s">
        <v>525</v>
      </c>
      <c r="B228" t="s">
        <v>124</v>
      </c>
      <c r="C228" s="128">
        <f t="shared" si="15"/>
        <v>2948</v>
      </c>
      <c r="D228" s="128">
        <v>1922</v>
      </c>
      <c r="E228" s="128">
        <v>1026</v>
      </c>
      <c r="F228" s="128">
        <v>0</v>
      </c>
      <c r="G228" s="128">
        <v>0</v>
      </c>
      <c r="H228" s="128">
        <v>0</v>
      </c>
      <c r="I228" s="128">
        <v>111</v>
      </c>
      <c r="J228" s="128">
        <v>1109</v>
      </c>
      <c r="K228" s="128">
        <v>1654</v>
      </c>
      <c r="L228" s="128">
        <v>191</v>
      </c>
      <c r="M228" s="128">
        <v>58</v>
      </c>
      <c r="N228" s="128">
        <v>140</v>
      </c>
      <c r="O228" s="128">
        <v>21</v>
      </c>
      <c r="P228" s="128">
        <v>744</v>
      </c>
      <c r="Q228" s="128">
        <f>P228*1.108</f>
        <v>824.35200000000009</v>
      </c>
      <c r="R228" s="128">
        <v>128</v>
      </c>
      <c r="S228" s="128">
        <f t="shared" si="19"/>
        <v>1809000.0000000002</v>
      </c>
      <c r="T228" s="128">
        <f t="shared" si="16"/>
        <v>-1138999.9999999998</v>
      </c>
      <c r="U228" s="128">
        <f t="shared" si="17"/>
        <v>0</v>
      </c>
      <c r="V228" s="128">
        <v>43542</v>
      </c>
      <c r="W228" s="188">
        <f t="shared" si="18"/>
        <v>-2.615865141702264E-2</v>
      </c>
    </row>
    <row r="229" spans="1:23" x14ac:dyDescent="0.25">
      <c r="A229" t="s">
        <v>521</v>
      </c>
      <c r="B229" t="s">
        <v>313</v>
      </c>
      <c r="C229" s="128">
        <f t="shared" si="15"/>
        <v>10401</v>
      </c>
      <c r="D229" s="128">
        <v>7067</v>
      </c>
      <c r="E229" s="128">
        <v>3334</v>
      </c>
      <c r="F229" s="128">
        <v>0</v>
      </c>
      <c r="G229" s="128">
        <v>0</v>
      </c>
      <c r="H229" s="128">
        <v>205</v>
      </c>
      <c r="I229" s="128">
        <v>211</v>
      </c>
      <c r="J229" s="128">
        <v>5245</v>
      </c>
      <c r="K229" s="128">
        <v>7468</v>
      </c>
      <c r="L229" s="128">
        <v>754</v>
      </c>
      <c r="M229" s="128">
        <v>0</v>
      </c>
      <c r="N229" s="128">
        <v>2452</v>
      </c>
      <c r="O229" s="128">
        <v>192</v>
      </c>
      <c r="P229" s="128">
        <v>7347</v>
      </c>
      <c r="Q229" s="128">
        <f>P229*1.083</f>
        <v>7956.8009999999995</v>
      </c>
      <c r="R229" s="128">
        <v>1018</v>
      </c>
      <c r="S229" s="128">
        <f t="shared" si="19"/>
        <v>16973847</v>
      </c>
      <c r="T229" s="128">
        <f t="shared" si="16"/>
        <v>6572847</v>
      </c>
      <c r="U229" s="128">
        <f t="shared" si="17"/>
        <v>6572847</v>
      </c>
      <c r="V229" s="128">
        <v>158280</v>
      </c>
      <c r="W229" s="188">
        <f t="shared" si="18"/>
        <v>4.1526705837755876E-2</v>
      </c>
    </row>
    <row r="230" spans="1:23" x14ac:dyDescent="0.25">
      <c r="A230" t="s">
        <v>518</v>
      </c>
      <c r="B230" t="s">
        <v>270</v>
      </c>
      <c r="C230">
        <v>17107</v>
      </c>
      <c r="D230">
        <v>11497</v>
      </c>
      <c r="E230">
        <v>5610</v>
      </c>
      <c r="F230">
        <v>3606</v>
      </c>
      <c r="G230">
        <v>0</v>
      </c>
      <c r="H230">
        <v>120</v>
      </c>
      <c r="I230">
        <v>588</v>
      </c>
      <c r="J230">
        <v>8632</v>
      </c>
      <c r="K230">
        <v>15284</v>
      </c>
      <c r="L230">
        <v>932</v>
      </c>
      <c r="M230">
        <v>604</v>
      </c>
      <c r="N230">
        <v>2748</v>
      </c>
      <c r="O230">
        <v>809</v>
      </c>
      <c r="P230" s="128">
        <v>11194</v>
      </c>
      <c r="Q230" s="128">
        <v>11999.968000000001</v>
      </c>
      <c r="R230" s="128">
        <v>1641</v>
      </c>
      <c r="S230" s="128">
        <f t="shared" si="19"/>
        <v>26187084.000000004</v>
      </c>
      <c r="T230">
        <v>10538080.112000003</v>
      </c>
      <c r="U230">
        <v>10538080.112000003</v>
      </c>
      <c r="V230" s="128">
        <v>265987</v>
      </c>
      <c r="W230" s="188">
        <v>3.9618778782421711E-2</v>
      </c>
    </row>
    <row r="231" spans="1:23" x14ac:dyDescent="0.25">
      <c r="A231" t="s">
        <v>519</v>
      </c>
      <c r="B231" t="s">
        <v>199</v>
      </c>
      <c r="C231" s="128">
        <f t="shared" si="15"/>
        <v>4166</v>
      </c>
      <c r="D231" s="128">
        <v>2782</v>
      </c>
      <c r="E231" s="128">
        <v>1384</v>
      </c>
      <c r="F231" s="128">
        <v>0</v>
      </c>
      <c r="G231" s="128">
        <v>0</v>
      </c>
      <c r="H231" s="128">
        <v>1114</v>
      </c>
      <c r="I231" s="128">
        <v>81</v>
      </c>
      <c r="J231" s="128">
        <v>2531</v>
      </c>
      <c r="K231" s="128">
        <v>1540</v>
      </c>
      <c r="L231" s="128">
        <v>352</v>
      </c>
      <c r="M231" s="128">
        <v>407</v>
      </c>
      <c r="N231" s="128">
        <v>663</v>
      </c>
      <c r="O231" s="128">
        <v>200</v>
      </c>
      <c r="P231" s="128">
        <v>3395</v>
      </c>
      <c r="Q231" s="128">
        <f>P231*1.08</f>
        <v>3666.6000000000004</v>
      </c>
      <c r="R231" s="128">
        <v>480</v>
      </c>
      <c r="S231" s="128">
        <f t="shared" si="19"/>
        <v>7878195</v>
      </c>
      <c r="T231" s="128">
        <f t="shared" si="16"/>
        <v>3712195</v>
      </c>
      <c r="U231" s="128">
        <f t="shared" si="17"/>
        <v>3712195</v>
      </c>
      <c r="V231" s="128">
        <v>55833</v>
      </c>
      <c r="W231" s="188">
        <f t="shared" si="18"/>
        <v>6.648747156699443E-2</v>
      </c>
    </row>
    <row r="232" spans="1:23" x14ac:dyDescent="0.25">
      <c r="A232" t="s">
        <v>522</v>
      </c>
      <c r="B232" t="s">
        <v>156</v>
      </c>
      <c r="C232" s="128">
        <f t="shared" si="15"/>
        <v>8536</v>
      </c>
      <c r="D232" s="128">
        <v>5316</v>
      </c>
      <c r="E232" s="128">
        <v>3220</v>
      </c>
      <c r="F232" s="128">
        <v>0</v>
      </c>
      <c r="G232" s="128">
        <v>142</v>
      </c>
      <c r="H232" s="128">
        <v>426</v>
      </c>
      <c r="I232" s="128">
        <v>0</v>
      </c>
      <c r="J232" s="128">
        <v>3642</v>
      </c>
      <c r="K232" s="128">
        <v>3032</v>
      </c>
      <c r="L232" s="128">
        <v>364</v>
      </c>
      <c r="M232" s="128">
        <v>233</v>
      </c>
      <c r="N232" s="128">
        <v>903</v>
      </c>
      <c r="O232" s="128">
        <v>172</v>
      </c>
      <c r="P232" s="128">
        <v>4128</v>
      </c>
      <c r="Q232" s="128">
        <f>P232*1.083</f>
        <v>4470.6239999999998</v>
      </c>
      <c r="R232" s="128">
        <v>874</v>
      </c>
      <c r="S232" s="128">
        <f t="shared" si="19"/>
        <v>10629684.000000002</v>
      </c>
      <c r="T232" s="128">
        <f t="shared" si="16"/>
        <v>2093684.0000000019</v>
      </c>
      <c r="U232" s="128">
        <f t="shared" si="17"/>
        <v>2093684.0000000019</v>
      </c>
      <c r="V232" s="128">
        <v>89027</v>
      </c>
      <c r="W232" s="188">
        <f t="shared" si="18"/>
        <v>2.3517404832241923E-2</v>
      </c>
    </row>
    <row r="233" spans="1:23" x14ac:dyDescent="0.25">
      <c r="A233" t="s">
        <v>528</v>
      </c>
      <c r="B233" t="s">
        <v>336</v>
      </c>
      <c r="C233" s="128">
        <f t="shared" si="15"/>
        <v>3913</v>
      </c>
      <c r="D233" s="128">
        <v>2249</v>
      </c>
      <c r="E233" s="128">
        <v>1664</v>
      </c>
      <c r="F233" s="128">
        <v>0</v>
      </c>
      <c r="G233" s="128">
        <v>0</v>
      </c>
      <c r="H233" s="128">
        <v>32</v>
      </c>
      <c r="I233" s="128">
        <v>0</v>
      </c>
      <c r="J233" s="128">
        <v>2423</v>
      </c>
      <c r="K233" s="128">
        <v>2779</v>
      </c>
      <c r="L233" s="128">
        <v>245</v>
      </c>
      <c r="M233" s="128">
        <v>270</v>
      </c>
      <c r="N233" s="128">
        <v>449</v>
      </c>
      <c r="O233" s="128">
        <v>1088</v>
      </c>
      <c r="P233" s="128">
        <v>1912</v>
      </c>
      <c r="Q233" s="128">
        <f>P233*1.08</f>
        <v>2064.96</v>
      </c>
      <c r="R233" s="128">
        <v>553</v>
      </c>
      <c r="S233" s="128">
        <f t="shared" si="19"/>
        <v>5459562</v>
      </c>
      <c r="T233" s="128">
        <f t="shared" si="16"/>
        <v>1546562</v>
      </c>
      <c r="U233" s="128">
        <f t="shared" si="17"/>
        <v>1546562</v>
      </c>
      <c r="V233" s="128">
        <v>56157</v>
      </c>
      <c r="W233" s="188">
        <f t="shared" si="18"/>
        <v>2.7539968303150097E-2</v>
      </c>
    </row>
    <row r="234" spans="1:23" x14ac:dyDescent="0.25">
      <c r="A234" t="s">
        <v>519</v>
      </c>
      <c r="B234" t="s">
        <v>200</v>
      </c>
      <c r="C234" s="128">
        <f t="shared" si="15"/>
        <v>8923</v>
      </c>
      <c r="D234" s="128">
        <v>6127</v>
      </c>
      <c r="E234" s="128">
        <v>2796</v>
      </c>
      <c r="F234" s="128">
        <v>0</v>
      </c>
      <c r="G234" s="128">
        <v>0</v>
      </c>
      <c r="H234" s="128">
        <v>477</v>
      </c>
      <c r="I234" s="128">
        <v>261</v>
      </c>
      <c r="J234" s="128">
        <v>4244</v>
      </c>
      <c r="K234" s="128">
        <v>4000</v>
      </c>
      <c r="L234" s="128">
        <v>110</v>
      </c>
      <c r="M234" s="128">
        <v>0</v>
      </c>
      <c r="N234" s="128">
        <v>0</v>
      </c>
      <c r="O234" s="128">
        <v>19</v>
      </c>
      <c r="P234" s="128">
        <v>4328</v>
      </c>
      <c r="Q234" s="128">
        <f>P234*1.08</f>
        <v>4674.2400000000007</v>
      </c>
      <c r="R234" s="128">
        <v>477</v>
      </c>
      <c r="S234" s="128">
        <f t="shared" si="19"/>
        <v>9555138</v>
      </c>
      <c r="T234" s="128">
        <f t="shared" si="16"/>
        <v>632138</v>
      </c>
      <c r="U234" s="128">
        <f t="shared" si="17"/>
        <v>632138</v>
      </c>
      <c r="V234" s="128">
        <v>81099</v>
      </c>
      <c r="W234" s="188">
        <f t="shared" si="18"/>
        <v>7.7946460498896407E-3</v>
      </c>
    </row>
    <row r="235" spans="1:23" x14ac:dyDescent="0.25">
      <c r="A235" t="s">
        <v>524</v>
      </c>
      <c r="B235" t="s">
        <v>227</v>
      </c>
      <c r="C235" s="128">
        <f t="shared" si="15"/>
        <v>1072</v>
      </c>
      <c r="D235" s="128">
        <v>571</v>
      </c>
      <c r="E235" s="128">
        <v>501</v>
      </c>
      <c r="F235" s="128">
        <v>0</v>
      </c>
      <c r="G235" s="128">
        <v>0</v>
      </c>
      <c r="H235" s="128">
        <v>47</v>
      </c>
      <c r="I235" s="128">
        <v>0</v>
      </c>
      <c r="J235" s="128">
        <v>612</v>
      </c>
      <c r="K235" s="128">
        <v>701</v>
      </c>
      <c r="L235" s="128">
        <v>107</v>
      </c>
      <c r="M235" s="128">
        <v>63</v>
      </c>
      <c r="N235" s="128">
        <v>212</v>
      </c>
      <c r="O235" s="128">
        <v>16</v>
      </c>
      <c r="P235" s="128">
        <v>678</v>
      </c>
      <c r="Q235" s="128">
        <f>P235*1.08</f>
        <v>732.24</v>
      </c>
      <c r="R235" s="128">
        <v>179</v>
      </c>
      <c r="S235" s="128">
        <f t="shared" si="19"/>
        <v>1874124.0000000002</v>
      </c>
      <c r="T235" s="128">
        <f t="shared" si="16"/>
        <v>802124.00000000023</v>
      </c>
      <c r="U235" s="128">
        <f t="shared" si="17"/>
        <v>802124.00000000023</v>
      </c>
      <c r="V235" s="128">
        <v>13852</v>
      </c>
      <c r="W235" s="188">
        <f t="shared" si="18"/>
        <v>5.7906728270285895E-2</v>
      </c>
    </row>
    <row r="236" spans="1:23" x14ac:dyDescent="0.25">
      <c r="A236" t="s">
        <v>517</v>
      </c>
      <c r="B236" t="s">
        <v>384</v>
      </c>
      <c r="C236" s="128">
        <f t="shared" si="15"/>
        <v>2889</v>
      </c>
      <c r="D236" s="128">
        <v>1849</v>
      </c>
      <c r="E236" s="128">
        <v>1040</v>
      </c>
      <c r="F236" s="128">
        <v>0</v>
      </c>
      <c r="G236" s="128">
        <v>0</v>
      </c>
      <c r="H236" s="128">
        <v>201</v>
      </c>
      <c r="I236" s="128">
        <v>0</v>
      </c>
      <c r="J236" s="128">
        <v>1374</v>
      </c>
      <c r="K236" s="128">
        <v>725</v>
      </c>
      <c r="L236" s="128">
        <v>106</v>
      </c>
      <c r="M236" s="128">
        <v>0</v>
      </c>
      <c r="N236" s="128">
        <v>361</v>
      </c>
      <c r="O236" s="128">
        <v>340</v>
      </c>
      <c r="P236" s="128">
        <v>1571</v>
      </c>
      <c r="Q236" s="128">
        <f>P236*1.079</f>
        <v>1695.1089999999999</v>
      </c>
      <c r="R236" s="128">
        <v>300</v>
      </c>
      <c r="S236" s="128">
        <f t="shared" si="19"/>
        <v>3927339</v>
      </c>
      <c r="T236" s="128">
        <f t="shared" si="16"/>
        <v>1038339</v>
      </c>
      <c r="U236" s="128">
        <f t="shared" si="17"/>
        <v>1038339</v>
      </c>
      <c r="V236" s="128">
        <v>33134</v>
      </c>
      <c r="W236" s="188">
        <f t="shared" si="18"/>
        <v>3.1337568660590329E-2</v>
      </c>
    </row>
    <row r="237" spans="1:23" x14ac:dyDescent="0.25">
      <c r="A237" t="s">
        <v>519</v>
      </c>
      <c r="B237" t="s">
        <v>201</v>
      </c>
      <c r="C237" s="128">
        <f t="shared" si="15"/>
        <v>8969</v>
      </c>
      <c r="D237" s="128">
        <v>6671</v>
      </c>
      <c r="E237" s="128">
        <v>2298</v>
      </c>
      <c r="F237" s="128">
        <v>54</v>
      </c>
      <c r="G237" s="128">
        <v>101</v>
      </c>
      <c r="H237" s="128">
        <v>328</v>
      </c>
      <c r="I237" s="128">
        <v>227</v>
      </c>
      <c r="J237" s="128">
        <v>4582</v>
      </c>
      <c r="K237" s="128">
        <v>4363</v>
      </c>
      <c r="L237" s="128">
        <v>585</v>
      </c>
      <c r="M237" s="128">
        <v>504</v>
      </c>
      <c r="N237" s="128">
        <v>450</v>
      </c>
      <c r="O237" s="128">
        <v>106</v>
      </c>
      <c r="P237" s="128">
        <v>4837</v>
      </c>
      <c r="Q237" s="128">
        <f>P237*1.08</f>
        <v>5223.96</v>
      </c>
      <c r="R237" s="128">
        <v>579</v>
      </c>
      <c r="S237" s="128">
        <f t="shared" si="19"/>
        <v>10844955</v>
      </c>
      <c r="T237" s="128">
        <f t="shared" si="16"/>
        <v>1875955</v>
      </c>
      <c r="U237" s="128">
        <f t="shared" si="17"/>
        <v>1875955</v>
      </c>
      <c r="V237" s="128">
        <v>121760</v>
      </c>
      <c r="W237" s="188">
        <f t="shared" si="18"/>
        <v>1.5406989159001313E-2</v>
      </c>
    </row>
    <row r="238" spans="1:23" x14ac:dyDescent="0.25">
      <c r="A238" t="s">
        <v>524</v>
      </c>
      <c r="B238" s="86" t="s">
        <v>228</v>
      </c>
      <c r="C238" s="128">
        <f t="shared" si="15"/>
        <v>4587</v>
      </c>
      <c r="D238" s="128">
        <v>4049</v>
      </c>
      <c r="E238" s="128">
        <v>538</v>
      </c>
      <c r="F238" s="128">
        <v>24</v>
      </c>
      <c r="G238" s="128">
        <v>11</v>
      </c>
      <c r="H238" s="128">
        <v>107</v>
      </c>
      <c r="I238" s="128">
        <v>224</v>
      </c>
      <c r="J238" s="128">
        <v>1284</v>
      </c>
      <c r="K238" s="128">
        <v>2668</v>
      </c>
      <c r="L238" s="128">
        <v>183</v>
      </c>
      <c r="M238" s="128">
        <v>543</v>
      </c>
      <c r="N238" s="128">
        <v>577</v>
      </c>
      <c r="O238" s="128">
        <v>105</v>
      </c>
      <c r="P238" s="128">
        <v>2481</v>
      </c>
      <c r="Q238" s="128">
        <f>P238*1.08</f>
        <v>2679.48</v>
      </c>
      <c r="R238" s="128">
        <v>336</v>
      </c>
      <c r="S238" s="128">
        <f t="shared" si="19"/>
        <v>5703777.0000000009</v>
      </c>
      <c r="T238" s="128">
        <f t="shared" si="16"/>
        <v>1116777.0000000009</v>
      </c>
      <c r="U238" s="128">
        <f t="shared" si="17"/>
        <v>1116777.0000000009</v>
      </c>
      <c r="V238" s="128">
        <v>46076</v>
      </c>
      <c r="W238" s="188">
        <f t="shared" si="18"/>
        <v>2.4237715947564912E-2</v>
      </c>
    </row>
    <row r="239" spans="1:23" x14ac:dyDescent="0.25">
      <c r="A239" t="s">
        <v>521</v>
      </c>
      <c r="B239" t="s">
        <v>314</v>
      </c>
      <c r="C239" s="128">
        <f t="shared" si="15"/>
        <v>11643</v>
      </c>
      <c r="D239" s="128">
        <v>6015</v>
      </c>
      <c r="E239" s="128">
        <v>5628</v>
      </c>
      <c r="F239" s="128">
        <v>282</v>
      </c>
      <c r="G239" s="128">
        <v>0</v>
      </c>
      <c r="H239" s="128">
        <v>0</v>
      </c>
      <c r="I239" s="128">
        <v>0</v>
      </c>
      <c r="J239" s="128">
        <v>4209</v>
      </c>
      <c r="K239" s="128">
        <v>6117</v>
      </c>
      <c r="L239" s="128">
        <v>578</v>
      </c>
      <c r="M239" s="128">
        <v>219</v>
      </c>
      <c r="N239" s="128">
        <v>931</v>
      </c>
      <c r="O239" s="128">
        <v>968</v>
      </c>
      <c r="P239" s="128">
        <v>4950</v>
      </c>
      <c r="Q239" s="128">
        <f>P239*1.083</f>
        <v>5360.8499999999995</v>
      </c>
      <c r="R239" s="128">
        <v>1196</v>
      </c>
      <c r="S239" s="128">
        <f t="shared" si="19"/>
        <v>13281678.000000002</v>
      </c>
      <c r="T239" s="128">
        <f t="shared" si="16"/>
        <v>1638678.0000000019</v>
      </c>
      <c r="U239" s="128">
        <f t="shared" si="17"/>
        <v>1638678.0000000019</v>
      </c>
      <c r="V239" s="128">
        <v>126569</v>
      </c>
      <c r="W239" s="188">
        <f t="shared" si="18"/>
        <v>1.2946914331313369E-2</v>
      </c>
    </row>
    <row r="240" spans="1:23" x14ac:dyDescent="0.25">
      <c r="A240" t="s">
        <v>522</v>
      </c>
      <c r="B240" t="s">
        <v>157</v>
      </c>
      <c r="C240" s="128">
        <f t="shared" si="15"/>
        <v>6903</v>
      </c>
      <c r="D240" s="128">
        <v>3835</v>
      </c>
      <c r="E240" s="128">
        <v>3068</v>
      </c>
      <c r="F240" s="128">
        <v>0</v>
      </c>
      <c r="G240" s="128">
        <v>114</v>
      </c>
      <c r="H240" s="128">
        <v>538</v>
      </c>
      <c r="I240" s="128">
        <v>103</v>
      </c>
      <c r="J240" s="128">
        <v>3299</v>
      </c>
      <c r="K240" s="128">
        <v>2613</v>
      </c>
      <c r="L240" s="128">
        <v>557</v>
      </c>
      <c r="M240" s="128">
        <v>563</v>
      </c>
      <c r="N240" s="128">
        <v>824</v>
      </c>
      <c r="O240" s="128">
        <v>143</v>
      </c>
      <c r="P240" s="128">
        <v>3827</v>
      </c>
      <c r="Q240" s="128">
        <f>P240*1.083</f>
        <v>4144.6409999999996</v>
      </c>
      <c r="R240" s="128">
        <v>833</v>
      </c>
      <c r="S240" s="128">
        <f t="shared" si="19"/>
        <v>9936837</v>
      </c>
      <c r="T240" s="128">
        <f t="shared" si="16"/>
        <v>3033837</v>
      </c>
      <c r="U240" s="128">
        <f t="shared" si="17"/>
        <v>3033837</v>
      </c>
      <c r="V240" s="128">
        <v>91733</v>
      </c>
      <c r="W240" s="188">
        <f t="shared" si="18"/>
        <v>3.307247119357265E-2</v>
      </c>
    </row>
    <row r="241" spans="1:23" x14ac:dyDescent="0.25">
      <c r="A241" t="s">
        <v>521</v>
      </c>
      <c r="B241" t="s">
        <v>315</v>
      </c>
      <c r="C241" s="128">
        <f t="shared" si="15"/>
        <v>11912</v>
      </c>
      <c r="D241" s="128">
        <v>6573</v>
      </c>
      <c r="E241" s="128">
        <v>5339</v>
      </c>
      <c r="F241" s="128">
        <v>2888</v>
      </c>
      <c r="G241" s="128">
        <v>91</v>
      </c>
      <c r="H241" s="128">
        <v>325</v>
      </c>
      <c r="I241" s="128">
        <v>0</v>
      </c>
      <c r="J241" s="128">
        <v>5791</v>
      </c>
      <c r="K241" s="128">
        <v>11312</v>
      </c>
      <c r="L241" s="128">
        <v>722</v>
      </c>
      <c r="M241" s="128">
        <v>0</v>
      </c>
      <c r="N241" s="128">
        <v>1577</v>
      </c>
      <c r="O241" s="128">
        <v>125</v>
      </c>
      <c r="P241" s="128">
        <v>6853</v>
      </c>
      <c r="Q241" s="128">
        <f>P241*1.083</f>
        <v>7421.799</v>
      </c>
      <c r="R241" s="128">
        <v>1157</v>
      </c>
      <c r="S241" s="128">
        <f t="shared" si="19"/>
        <v>16583103.000000002</v>
      </c>
      <c r="T241" s="128">
        <f t="shared" si="16"/>
        <v>4671103.0000000019</v>
      </c>
      <c r="U241" s="128">
        <f t="shared" si="17"/>
        <v>4671103.0000000019</v>
      </c>
      <c r="V241" s="128">
        <v>200771</v>
      </c>
      <c r="W241" s="188">
        <f t="shared" si="18"/>
        <v>2.32658252436856E-2</v>
      </c>
    </row>
    <row r="242" spans="1:23" x14ac:dyDescent="0.25">
      <c r="A242" t="s">
        <v>526</v>
      </c>
      <c r="B242" t="s">
        <v>418</v>
      </c>
      <c r="C242" s="128">
        <f t="shared" si="15"/>
        <v>3302</v>
      </c>
      <c r="D242" s="128">
        <v>2619</v>
      </c>
      <c r="E242" s="128">
        <v>683</v>
      </c>
      <c r="F242" s="128">
        <v>0</v>
      </c>
      <c r="G242" s="128">
        <v>16</v>
      </c>
      <c r="H242" s="128">
        <v>400</v>
      </c>
      <c r="I242" s="128">
        <v>117</v>
      </c>
      <c r="J242" s="128">
        <v>2191</v>
      </c>
      <c r="K242" s="128">
        <v>2553</v>
      </c>
      <c r="L242" s="128">
        <v>393</v>
      </c>
      <c r="M242" s="128">
        <v>40</v>
      </c>
      <c r="N242" s="128">
        <v>405</v>
      </c>
      <c r="O242" s="128">
        <v>33</v>
      </c>
      <c r="P242" s="128">
        <v>2212</v>
      </c>
      <c r="Q242" s="128">
        <f>P242*1.086</f>
        <v>2402.232</v>
      </c>
      <c r="R242" s="128">
        <v>257</v>
      </c>
      <c r="S242" s="128">
        <f t="shared" si="19"/>
        <v>4931334.0000000009</v>
      </c>
      <c r="T242" s="128">
        <f t="shared" si="16"/>
        <v>1629334.0000000009</v>
      </c>
      <c r="U242" s="128">
        <f t="shared" si="17"/>
        <v>1629334.0000000009</v>
      </c>
      <c r="V242" s="128">
        <v>51333</v>
      </c>
      <c r="W242" s="188">
        <f t="shared" si="18"/>
        <v>3.1740478834278163E-2</v>
      </c>
    </row>
    <row r="243" spans="1:23" x14ac:dyDescent="0.25">
      <c r="A243" t="s">
        <v>526</v>
      </c>
      <c r="B243" t="s">
        <v>419</v>
      </c>
      <c r="C243" s="128">
        <f t="shared" si="15"/>
        <v>15316</v>
      </c>
      <c r="D243" s="128">
        <v>8205</v>
      </c>
      <c r="E243" s="128">
        <v>7111</v>
      </c>
      <c r="F243" s="128">
        <v>2245</v>
      </c>
      <c r="G243" s="128">
        <v>798</v>
      </c>
      <c r="H243" s="128">
        <v>691</v>
      </c>
      <c r="I243" s="128">
        <v>392</v>
      </c>
      <c r="J243" s="128">
        <v>5747</v>
      </c>
      <c r="K243" s="128">
        <v>6796</v>
      </c>
      <c r="L243" s="128">
        <v>577</v>
      </c>
      <c r="M243" s="128">
        <v>262</v>
      </c>
      <c r="N243" s="128">
        <v>1303</v>
      </c>
      <c r="O243" s="128">
        <v>1815</v>
      </c>
      <c r="P243" s="128">
        <v>6054</v>
      </c>
      <c r="Q243" s="128">
        <f>P243*1.086</f>
        <v>6574.6440000000002</v>
      </c>
      <c r="R243" s="128">
        <v>1969</v>
      </c>
      <c r="S243" s="128">
        <f t="shared" si="19"/>
        <v>18075528.000000004</v>
      </c>
      <c r="T243" s="128">
        <f t="shared" si="16"/>
        <v>2759528.0000000037</v>
      </c>
      <c r="U243" s="128">
        <f t="shared" si="17"/>
        <v>2759528.0000000037</v>
      </c>
      <c r="V243" s="128">
        <v>193720</v>
      </c>
      <c r="W243" s="188">
        <f t="shared" si="18"/>
        <v>1.4244930827999193E-2</v>
      </c>
    </row>
    <row r="244" spans="1:23" x14ac:dyDescent="0.25">
      <c r="A244" t="s">
        <v>517</v>
      </c>
      <c r="B244" t="s">
        <v>385</v>
      </c>
      <c r="C244" s="128">
        <f t="shared" si="15"/>
        <v>13713</v>
      </c>
      <c r="D244" s="128">
        <v>8179</v>
      </c>
      <c r="E244" s="128">
        <v>5534</v>
      </c>
      <c r="F244" s="128">
        <v>1955</v>
      </c>
      <c r="G244" s="128">
        <v>0</v>
      </c>
      <c r="H244" s="128">
        <v>185</v>
      </c>
      <c r="I244" s="128">
        <v>618</v>
      </c>
      <c r="J244" s="128">
        <v>12710</v>
      </c>
      <c r="K244" s="128">
        <v>9972</v>
      </c>
      <c r="L244" s="128">
        <v>983</v>
      </c>
      <c r="M244" s="128">
        <v>0</v>
      </c>
      <c r="N244" s="128">
        <v>1473</v>
      </c>
      <c r="O244" s="128">
        <v>354</v>
      </c>
      <c r="P244" s="128">
        <v>7839</v>
      </c>
      <c r="Q244" s="128">
        <f>P244*1.079</f>
        <v>8458.280999999999</v>
      </c>
      <c r="R244" s="128">
        <v>1989</v>
      </c>
      <c r="S244" s="128">
        <f t="shared" si="19"/>
        <v>21376953</v>
      </c>
      <c r="T244" s="128">
        <f t="shared" si="16"/>
        <v>7663953</v>
      </c>
      <c r="U244" s="128">
        <f t="shared" si="17"/>
        <v>7663953</v>
      </c>
      <c r="V244" s="128">
        <v>240804</v>
      </c>
      <c r="W244" s="188">
        <f t="shared" si="18"/>
        <v>3.1826518662480686E-2</v>
      </c>
    </row>
    <row r="245" spans="1:23" x14ac:dyDescent="0.25">
      <c r="A245" t="s">
        <v>521</v>
      </c>
      <c r="B245" s="86" t="s">
        <v>316</v>
      </c>
      <c r="C245" s="128">
        <f t="shared" si="15"/>
        <v>260854</v>
      </c>
      <c r="D245" s="128">
        <v>61575</v>
      </c>
      <c r="E245" s="128">
        <v>199279</v>
      </c>
      <c r="F245" s="128">
        <v>123213</v>
      </c>
      <c r="G245" s="128">
        <v>1802</v>
      </c>
      <c r="H245" s="128">
        <v>13216</v>
      </c>
      <c r="I245" s="128">
        <v>3601</v>
      </c>
      <c r="J245" s="128">
        <v>82176</v>
      </c>
      <c r="K245" s="128">
        <v>103636</v>
      </c>
      <c r="L245" s="128">
        <v>8525</v>
      </c>
      <c r="M245" s="128">
        <v>4858</v>
      </c>
      <c r="N245" s="128">
        <v>22282</v>
      </c>
      <c r="O245" s="128">
        <v>24625</v>
      </c>
      <c r="P245" s="128">
        <v>70673</v>
      </c>
      <c r="Q245" s="128">
        <f>P245*1.083</f>
        <v>76538.858999999997</v>
      </c>
      <c r="R245" s="128">
        <v>32744</v>
      </c>
      <c r="S245" s="128">
        <f t="shared" si="19"/>
        <v>246315249</v>
      </c>
      <c r="T245" s="128">
        <f t="shared" si="16"/>
        <v>-14538751</v>
      </c>
      <c r="U245" s="128">
        <f t="shared" si="17"/>
        <v>0</v>
      </c>
      <c r="V245" s="128">
        <v>3663028</v>
      </c>
      <c r="W245" s="188">
        <f t="shared" si="18"/>
        <v>-3.9690526526141761E-3</v>
      </c>
    </row>
    <row r="246" spans="1:23" x14ac:dyDescent="0.25">
      <c r="A246" t="s">
        <v>519</v>
      </c>
      <c r="B246" t="s">
        <v>202</v>
      </c>
      <c r="C246" s="128">
        <f t="shared" si="15"/>
        <v>438</v>
      </c>
      <c r="D246" s="128">
        <v>371</v>
      </c>
      <c r="E246" s="128">
        <v>67</v>
      </c>
      <c r="F246" s="128">
        <v>0</v>
      </c>
      <c r="G246" s="128">
        <v>0</v>
      </c>
      <c r="H246" s="128">
        <v>0</v>
      </c>
      <c r="I246" s="128">
        <v>0</v>
      </c>
      <c r="J246" s="128">
        <v>157</v>
      </c>
      <c r="K246" s="128">
        <v>160</v>
      </c>
      <c r="L246" s="128">
        <v>19</v>
      </c>
      <c r="M246" s="128">
        <v>65</v>
      </c>
      <c r="N246" s="128">
        <v>0</v>
      </c>
      <c r="O246" s="128">
        <v>3</v>
      </c>
      <c r="P246" s="128">
        <v>368</v>
      </c>
      <c r="Q246" s="128">
        <f>P246*1.08</f>
        <v>397.44000000000005</v>
      </c>
      <c r="R246" s="128">
        <v>28</v>
      </c>
      <c r="S246" s="128">
        <f t="shared" si="19"/>
        <v>767016</v>
      </c>
      <c r="T246" s="128">
        <f t="shared" si="16"/>
        <v>329016</v>
      </c>
      <c r="U246" s="128">
        <f t="shared" si="17"/>
        <v>329016</v>
      </c>
      <c r="V246" s="128">
        <v>3981</v>
      </c>
      <c r="W246" s="188">
        <f t="shared" si="18"/>
        <v>8.2646571213262993E-2</v>
      </c>
    </row>
    <row r="247" spans="1:23" x14ac:dyDescent="0.25">
      <c r="A247" t="s">
        <v>526</v>
      </c>
      <c r="B247" t="s">
        <v>386</v>
      </c>
      <c r="C247" s="128">
        <f t="shared" si="15"/>
        <v>3852</v>
      </c>
      <c r="D247" s="128">
        <v>2768</v>
      </c>
      <c r="E247" s="128">
        <v>1084</v>
      </c>
      <c r="F247" s="128">
        <v>0</v>
      </c>
      <c r="G247" s="128">
        <v>0</v>
      </c>
      <c r="H247" s="128">
        <v>0</v>
      </c>
      <c r="I247" s="128">
        <v>134</v>
      </c>
      <c r="J247" s="128">
        <v>2299</v>
      </c>
      <c r="K247" s="128">
        <v>2693</v>
      </c>
      <c r="L247" s="128">
        <v>311</v>
      </c>
      <c r="M247" s="128">
        <v>25</v>
      </c>
      <c r="N247" s="128">
        <v>396</v>
      </c>
      <c r="O247" s="128">
        <v>99</v>
      </c>
      <c r="P247" s="128">
        <v>2552</v>
      </c>
      <c r="Q247" s="128">
        <f>P247*1.086</f>
        <v>2771.4720000000002</v>
      </c>
      <c r="R247" s="128">
        <v>450</v>
      </c>
      <c r="S247" s="128">
        <f t="shared" si="19"/>
        <v>6244668</v>
      </c>
      <c r="T247" s="128">
        <f t="shared" si="16"/>
        <v>2392668</v>
      </c>
      <c r="U247" s="128">
        <f t="shared" si="17"/>
        <v>2392668</v>
      </c>
      <c r="V247" s="128">
        <v>62208</v>
      </c>
      <c r="W247" s="188">
        <f t="shared" si="18"/>
        <v>3.8462384259259262E-2</v>
      </c>
    </row>
    <row r="248" spans="1:23" x14ac:dyDescent="0.25">
      <c r="A248" t="s">
        <v>518</v>
      </c>
      <c r="B248" t="s">
        <v>271</v>
      </c>
      <c r="C248" s="128">
        <f t="shared" si="15"/>
        <v>10552</v>
      </c>
      <c r="D248" s="128">
        <v>7178</v>
      </c>
      <c r="E248" s="128">
        <v>3374</v>
      </c>
      <c r="F248" s="128">
        <v>0</v>
      </c>
      <c r="G248" s="128">
        <v>0</v>
      </c>
      <c r="H248" s="128">
        <v>2961</v>
      </c>
      <c r="I248" s="128">
        <v>0</v>
      </c>
      <c r="J248" s="128">
        <v>4411</v>
      </c>
      <c r="K248" s="128">
        <v>6767</v>
      </c>
      <c r="L248" s="128">
        <v>503</v>
      </c>
      <c r="M248" s="128">
        <v>288</v>
      </c>
      <c r="N248" s="128">
        <v>1200</v>
      </c>
      <c r="O248" s="128">
        <v>2374</v>
      </c>
      <c r="P248" s="128">
        <v>5482</v>
      </c>
      <c r="Q248" s="128">
        <f>P248*1.072</f>
        <v>5876.7040000000006</v>
      </c>
      <c r="R248" s="128">
        <v>932</v>
      </c>
      <c r="S248" s="128">
        <f t="shared" si="19"/>
        <v>13288914</v>
      </c>
      <c r="T248" s="128">
        <f t="shared" si="16"/>
        <v>2736914</v>
      </c>
      <c r="U248" s="128">
        <f t="shared" si="17"/>
        <v>2736914</v>
      </c>
      <c r="V248" s="128">
        <v>118140</v>
      </c>
      <c r="W248" s="188">
        <f t="shared" si="18"/>
        <v>2.3166700524801083E-2</v>
      </c>
    </row>
    <row r="249" spans="1:23" x14ac:dyDescent="0.25">
      <c r="A249" t="s">
        <v>519</v>
      </c>
      <c r="B249" t="s">
        <v>203</v>
      </c>
      <c r="C249" s="128">
        <f t="shared" si="15"/>
        <v>2019</v>
      </c>
      <c r="D249" s="128">
        <v>1413</v>
      </c>
      <c r="E249" s="128">
        <v>606</v>
      </c>
      <c r="F249" s="128">
        <v>0</v>
      </c>
      <c r="G249" s="128">
        <v>0</v>
      </c>
      <c r="H249" s="128">
        <v>100</v>
      </c>
      <c r="I249" s="128">
        <v>42</v>
      </c>
      <c r="J249" s="128">
        <v>1161</v>
      </c>
      <c r="K249" s="128">
        <v>955</v>
      </c>
      <c r="L249" s="128">
        <v>159</v>
      </c>
      <c r="M249" s="128">
        <v>147</v>
      </c>
      <c r="N249" s="128">
        <v>320</v>
      </c>
      <c r="O249" s="128">
        <v>111</v>
      </c>
      <c r="P249" s="128">
        <v>1171</v>
      </c>
      <c r="Q249" s="128">
        <f>P249*1.08</f>
        <v>1264.68</v>
      </c>
      <c r="R249" s="128">
        <v>180</v>
      </c>
      <c r="S249" s="128">
        <f t="shared" si="19"/>
        <v>2769579.0000000005</v>
      </c>
      <c r="T249" s="128">
        <f t="shared" si="16"/>
        <v>750579.00000000047</v>
      </c>
      <c r="U249" s="128">
        <f t="shared" si="17"/>
        <v>750579.00000000047</v>
      </c>
      <c r="V249" s="128">
        <v>24368</v>
      </c>
      <c r="W249" s="188">
        <f t="shared" si="18"/>
        <v>3.0801830269205535E-2</v>
      </c>
    </row>
    <row r="250" spans="1:23" x14ac:dyDescent="0.25">
      <c r="A250" t="s">
        <v>521</v>
      </c>
      <c r="B250" t="s">
        <v>317</v>
      </c>
      <c r="C250" s="128">
        <f t="shared" ref="C250:C311" si="20">SUM(D250:E250)</f>
        <v>15499</v>
      </c>
      <c r="D250" s="128">
        <v>7546</v>
      </c>
      <c r="E250" s="128">
        <v>7953</v>
      </c>
      <c r="F250" s="128">
        <v>3452</v>
      </c>
      <c r="G250" s="128">
        <v>0</v>
      </c>
      <c r="H250" s="128">
        <v>0</v>
      </c>
      <c r="I250" s="128">
        <v>257</v>
      </c>
      <c r="J250" s="128">
        <v>10365</v>
      </c>
      <c r="K250" s="128">
        <v>12813</v>
      </c>
      <c r="L250" s="128">
        <v>854</v>
      </c>
      <c r="M250" s="128">
        <v>0</v>
      </c>
      <c r="N250" s="128">
        <v>1129</v>
      </c>
      <c r="O250" s="128">
        <v>1777</v>
      </c>
      <c r="P250" s="128">
        <v>7294</v>
      </c>
      <c r="Q250" s="128">
        <f>P250*1.083</f>
        <v>7899.402</v>
      </c>
      <c r="R250" s="128">
        <v>1617</v>
      </c>
      <c r="S250" s="128">
        <f t="shared" si="19"/>
        <v>19045152</v>
      </c>
      <c r="T250" s="128">
        <f t="shared" si="16"/>
        <v>3546152</v>
      </c>
      <c r="U250" s="128">
        <f t="shared" si="17"/>
        <v>3546152</v>
      </c>
      <c r="V250" s="128">
        <v>297163</v>
      </c>
      <c r="W250" s="188">
        <f t="shared" si="18"/>
        <v>1.1933356440741276E-2</v>
      </c>
    </row>
    <row r="251" spans="1:23" x14ac:dyDescent="0.25">
      <c r="A251" t="s">
        <v>520</v>
      </c>
      <c r="B251" t="s">
        <v>135</v>
      </c>
      <c r="C251" s="128">
        <f t="shared" si="20"/>
        <v>546</v>
      </c>
      <c r="D251" s="128">
        <v>355</v>
      </c>
      <c r="E251" s="128">
        <v>191</v>
      </c>
      <c r="F251" s="128">
        <v>0</v>
      </c>
      <c r="G251" s="128">
        <v>0</v>
      </c>
      <c r="H251" s="128">
        <v>1464</v>
      </c>
      <c r="I251" s="128">
        <v>0</v>
      </c>
      <c r="J251" s="128">
        <v>201</v>
      </c>
      <c r="K251" s="128">
        <v>386</v>
      </c>
      <c r="L251" s="128">
        <v>29</v>
      </c>
      <c r="M251" s="128">
        <v>37</v>
      </c>
      <c r="N251" s="128">
        <v>101</v>
      </c>
      <c r="O251" s="128">
        <v>69</v>
      </c>
      <c r="P251" s="128">
        <v>345</v>
      </c>
      <c r="Q251" s="128">
        <f>P251*1.08</f>
        <v>372.6</v>
      </c>
      <c r="R251" s="128">
        <v>54</v>
      </c>
      <c r="S251" s="128">
        <f t="shared" si="19"/>
        <v>819477</v>
      </c>
      <c r="T251" s="128">
        <f t="shared" si="16"/>
        <v>273477</v>
      </c>
      <c r="U251" s="128">
        <f t="shared" si="17"/>
        <v>273477</v>
      </c>
      <c r="V251" s="128">
        <v>7438</v>
      </c>
      <c r="W251" s="188">
        <f t="shared" si="18"/>
        <v>3.6767545038988977E-2</v>
      </c>
    </row>
    <row r="252" spans="1:23" x14ac:dyDescent="0.25">
      <c r="A252" t="s">
        <v>528</v>
      </c>
      <c r="B252" t="s">
        <v>337</v>
      </c>
      <c r="C252" s="128">
        <f t="shared" si="20"/>
        <v>10174</v>
      </c>
      <c r="D252" s="128">
        <v>7164</v>
      </c>
      <c r="E252" s="128">
        <v>3010</v>
      </c>
      <c r="F252" s="128">
        <v>1609</v>
      </c>
      <c r="G252" s="128">
        <v>229</v>
      </c>
      <c r="H252" s="128">
        <v>10038</v>
      </c>
      <c r="I252" s="128">
        <v>0</v>
      </c>
      <c r="J252" s="128">
        <v>6918</v>
      </c>
      <c r="K252" s="128">
        <v>4839</v>
      </c>
      <c r="L252" s="128">
        <v>408</v>
      </c>
      <c r="M252" s="128">
        <v>524</v>
      </c>
      <c r="N252" s="128">
        <v>1423</v>
      </c>
      <c r="O252" s="128">
        <v>1084</v>
      </c>
      <c r="P252" s="128">
        <v>4996</v>
      </c>
      <c r="Q252" s="128">
        <f>P252*1.08</f>
        <v>5395.68</v>
      </c>
      <c r="R252" s="128">
        <v>1061</v>
      </c>
      <c r="S252" s="128">
        <f t="shared" si="19"/>
        <v>12876462</v>
      </c>
      <c r="T252" s="128">
        <f t="shared" si="16"/>
        <v>2702462</v>
      </c>
      <c r="U252" s="128">
        <f t="shared" si="17"/>
        <v>2702462</v>
      </c>
      <c r="V252" s="128">
        <v>115051</v>
      </c>
      <c r="W252" s="188">
        <f t="shared" si="18"/>
        <v>2.3489252592328619E-2</v>
      </c>
    </row>
    <row r="253" spans="1:23" x14ac:dyDescent="0.25">
      <c r="A253" t="s">
        <v>521</v>
      </c>
      <c r="B253" t="s">
        <v>443</v>
      </c>
      <c r="C253" s="128">
        <f t="shared" si="20"/>
        <v>108622</v>
      </c>
      <c r="D253" s="128">
        <v>40197</v>
      </c>
      <c r="E253" s="128">
        <v>68425</v>
      </c>
      <c r="F253" s="128">
        <v>75925</v>
      </c>
      <c r="G253" s="128">
        <v>1050</v>
      </c>
      <c r="H253" s="128">
        <v>10545</v>
      </c>
      <c r="I253" s="128">
        <v>2058</v>
      </c>
      <c r="J253" s="128">
        <v>42774</v>
      </c>
      <c r="K253" s="128">
        <v>80050</v>
      </c>
      <c r="L253" s="128">
        <v>8399</v>
      </c>
      <c r="M253" s="128">
        <v>2106</v>
      </c>
      <c r="N253" s="128">
        <v>25152</v>
      </c>
      <c r="O253" s="128">
        <v>4467</v>
      </c>
      <c r="P253" s="128">
        <v>70170</v>
      </c>
      <c r="Q253" s="128">
        <f>P253*1.083</f>
        <v>75994.11</v>
      </c>
      <c r="R253" s="128">
        <v>14578</v>
      </c>
      <c r="S253" s="128">
        <f t="shared" si="19"/>
        <v>179680734</v>
      </c>
      <c r="T253" s="128">
        <f t="shared" ref="T253:T314" si="21">SUM(S253,-C253*1000)</f>
        <v>71058734</v>
      </c>
      <c r="U253" s="128">
        <f t="shared" ref="U253:U314" si="22">IF(T253&lt;0,0,T253)</f>
        <v>71058734</v>
      </c>
      <c r="V253" s="128">
        <v>2518819</v>
      </c>
      <c r="W253" s="188">
        <f t="shared" si="18"/>
        <v>2.821113148662131E-2</v>
      </c>
    </row>
    <row r="254" spans="1:23" x14ac:dyDescent="0.25">
      <c r="A254" t="s">
        <v>517</v>
      </c>
      <c r="B254" t="s">
        <v>480</v>
      </c>
      <c r="C254" s="128">
        <f t="shared" si="20"/>
        <v>42787</v>
      </c>
      <c r="D254" s="128">
        <v>32493</v>
      </c>
      <c r="E254" s="128">
        <v>10294</v>
      </c>
      <c r="F254" s="128">
        <v>20633</v>
      </c>
      <c r="G254" s="128">
        <v>0</v>
      </c>
      <c r="H254" s="128">
        <v>1298</v>
      </c>
      <c r="I254" s="128">
        <v>948</v>
      </c>
      <c r="J254" s="128">
        <v>11584</v>
      </c>
      <c r="K254" s="128">
        <v>38982</v>
      </c>
      <c r="L254" s="128">
        <v>2071</v>
      </c>
      <c r="M254" s="128">
        <v>112</v>
      </c>
      <c r="N254" s="128">
        <v>3818</v>
      </c>
      <c r="O254" s="128">
        <v>46088</v>
      </c>
      <c r="P254" s="128">
        <v>21151</v>
      </c>
      <c r="Q254" s="128">
        <f>P254*1.079</f>
        <v>22821.929</v>
      </c>
      <c r="R254" s="128">
        <v>4679</v>
      </c>
      <c r="S254" s="128">
        <f t="shared" si="19"/>
        <v>55190781</v>
      </c>
      <c r="T254" s="128">
        <f t="shared" si="21"/>
        <v>12403781</v>
      </c>
      <c r="U254" s="128">
        <f t="shared" si="22"/>
        <v>12403781</v>
      </c>
      <c r="V254" s="128">
        <v>758889</v>
      </c>
      <c r="W254" s="188">
        <f t="shared" ref="W254:W315" si="23">T254/(V254*1000)</f>
        <v>1.6344657782626972E-2</v>
      </c>
    </row>
    <row r="255" spans="1:23" x14ac:dyDescent="0.25">
      <c r="A255" t="s">
        <v>526</v>
      </c>
      <c r="B255" t="s">
        <v>420</v>
      </c>
      <c r="C255" s="128">
        <f t="shared" si="20"/>
        <v>2222</v>
      </c>
      <c r="D255" s="128">
        <v>1877</v>
      </c>
      <c r="E255" s="128">
        <v>345</v>
      </c>
      <c r="F255" s="128">
        <v>0</v>
      </c>
      <c r="G255" s="128">
        <v>57</v>
      </c>
      <c r="H255" s="128">
        <v>0</v>
      </c>
      <c r="I255" s="128">
        <v>78</v>
      </c>
      <c r="J255" s="128">
        <v>1207</v>
      </c>
      <c r="K255" s="128">
        <v>1179</v>
      </c>
      <c r="L255" s="128">
        <v>110</v>
      </c>
      <c r="M255" s="128">
        <v>40</v>
      </c>
      <c r="N255" s="128">
        <v>70</v>
      </c>
      <c r="O255" s="128">
        <v>11</v>
      </c>
      <c r="P255" s="128">
        <v>980</v>
      </c>
      <c r="Q255" s="128">
        <f>P255*1.086</f>
        <v>1064.28</v>
      </c>
      <c r="R255" s="128">
        <v>99</v>
      </c>
      <c r="S255" s="128">
        <f t="shared" si="19"/>
        <v>2131002</v>
      </c>
      <c r="T255" s="128">
        <f t="shared" si="21"/>
        <v>-90998</v>
      </c>
      <c r="U255" s="128">
        <f t="shared" si="22"/>
        <v>0</v>
      </c>
      <c r="V255" s="128">
        <v>26114</v>
      </c>
      <c r="W255" s="188">
        <f t="shared" si="23"/>
        <v>-3.4846442521252966E-3</v>
      </c>
    </row>
    <row r="256" spans="1:23" x14ac:dyDescent="0.25">
      <c r="A256" t="s">
        <v>517</v>
      </c>
      <c r="B256" t="s">
        <v>387</v>
      </c>
      <c r="C256" s="128">
        <f t="shared" si="20"/>
        <v>7058</v>
      </c>
      <c r="D256" s="128">
        <v>5663</v>
      </c>
      <c r="E256" s="128">
        <v>1395</v>
      </c>
      <c r="F256" s="128">
        <v>0</v>
      </c>
      <c r="G256" s="128">
        <v>0</v>
      </c>
      <c r="H256" s="128">
        <v>107</v>
      </c>
      <c r="I256" s="128">
        <v>0</v>
      </c>
      <c r="J256" s="128">
        <v>1792</v>
      </c>
      <c r="K256" s="128">
        <v>2904</v>
      </c>
      <c r="L256" s="128">
        <v>411</v>
      </c>
      <c r="M256" s="128">
        <v>3</v>
      </c>
      <c r="N256" s="128">
        <v>774</v>
      </c>
      <c r="O256" s="128">
        <v>76</v>
      </c>
      <c r="P256" s="128">
        <v>4001</v>
      </c>
      <c r="Q256" s="128">
        <f>P256*1.079</f>
        <v>4317.0789999999997</v>
      </c>
      <c r="R256" s="128">
        <v>389</v>
      </c>
      <c r="S256" s="128">
        <f t="shared" si="19"/>
        <v>8645211</v>
      </c>
      <c r="T256" s="128">
        <f t="shared" si="21"/>
        <v>1587211</v>
      </c>
      <c r="U256" s="128">
        <f t="shared" si="22"/>
        <v>1587211</v>
      </c>
      <c r="V256" s="128">
        <v>69246</v>
      </c>
      <c r="W256" s="188">
        <f t="shared" si="23"/>
        <v>2.2921338416659446E-2</v>
      </c>
    </row>
    <row r="257" spans="1:23" x14ac:dyDescent="0.25">
      <c r="A257" t="s">
        <v>526</v>
      </c>
      <c r="B257" t="s">
        <v>421</v>
      </c>
      <c r="C257" s="128">
        <f t="shared" si="20"/>
        <v>52282</v>
      </c>
      <c r="D257" s="128">
        <v>17815</v>
      </c>
      <c r="E257" s="128">
        <v>34467</v>
      </c>
      <c r="F257" s="128">
        <v>2800</v>
      </c>
      <c r="G257" s="128">
        <v>14</v>
      </c>
      <c r="H257" s="128">
        <v>278</v>
      </c>
      <c r="I257" s="128">
        <v>1064</v>
      </c>
      <c r="J257" s="128">
        <v>9681</v>
      </c>
      <c r="K257" s="128">
        <v>13233</v>
      </c>
      <c r="L257" s="128">
        <v>1049</v>
      </c>
      <c r="M257" s="128">
        <v>414</v>
      </c>
      <c r="N257" s="128">
        <v>2152</v>
      </c>
      <c r="O257" s="128">
        <v>4173</v>
      </c>
      <c r="P257" s="128">
        <v>8878</v>
      </c>
      <c r="Q257" s="128">
        <f>P257*1.086</f>
        <v>9641.5079999999998</v>
      </c>
      <c r="R257" s="128">
        <v>3339</v>
      </c>
      <c r="S257" s="128">
        <f t="shared" si="19"/>
        <v>28140804</v>
      </c>
      <c r="T257" s="128">
        <f t="shared" si="21"/>
        <v>-24141196</v>
      </c>
      <c r="U257" s="128">
        <f t="shared" si="22"/>
        <v>0</v>
      </c>
      <c r="V257" s="128">
        <v>330096</v>
      </c>
      <c r="W257" s="188">
        <f t="shared" si="23"/>
        <v>-7.3133864088022874E-2</v>
      </c>
    </row>
    <row r="258" spans="1:23" x14ac:dyDescent="0.25">
      <c r="A258" t="s">
        <v>521</v>
      </c>
      <c r="B258" t="s">
        <v>318</v>
      </c>
      <c r="C258" s="128">
        <f t="shared" si="20"/>
        <v>3911</v>
      </c>
      <c r="D258" s="128">
        <v>2082</v>
      </c>
      <c r="E258" s="128">
        <v>1829</v>
      </c>
      <c r="F258" s="128">
        <v>0</v>
      </c>
      <c r="G258" s="128">
        <v>137</v>
      </c>
      <c r="H258" s="128">
        <v>0</v>
      </c>
      <c r="I258" s="128">
        <v>133</v>
      </c>
      <c r="J258" s="128">
        <v>2940</v>
      </c>
      <c r="K258" s="128">
        <v>3178</v>
      </c>
      <c r="L258" s="128">
        <v>253</v>
      </c>
      <c r="M258" s="128">
        <v>434</v>
      </c>
      <c r="N258" s="128">
        <v>475</v>
      </c>
      <c r="O258" s="128">
        <v>198</v>
      </c>
      <c r="P258" s="128">
        <v>2345</v>
      </c>
      <c r="Q258" s="128">
        <f>P258*1.083</f>
        <v>2539.6349999999998</v>
      </c>
      <c r="R258" s="128">
        <v>695</v>
      </c>
      <c r="S258" s="128">
        <f t="shared" si="19"/>
        <v>6756615</v>
      </c>
      <c r="T258" s="128">
        <f t="shared" si="21"/>
        <v>2845615</v>
      </c>
      <c r="U258" s="128">
        <f t="shared" si="22"/>
        <v>2845615</v>
      </c>
      <c r="V258" s="128">
        <v>72748</v>
      </c>
      <c r="W258" s="188">
        <f t="shared" si="23"/>
        <v>3.9116058173420572E-2</v>
      </c>
    </row>
    <row r="259" spans="1:23" x14ac:dyDescent="0.25">
      <c r="A259" t="s">
        <v>528</v>
      </c>
      <c r="B259" t="s">
        <v>338</v>
      </c>
      <c r="C259" s="128">
        <f t="shared" si="20"/>
        <v>6528</v>
      </c>
      <c r="D259" s="128">
        <v>4099</v>
      </c>
      <c r="E259" s="128">
        <v>2429</v>
      </c>
      <c r="F259" s="128">
        <v>2191</v>
      </c>
      <c r="G259" s="128">
        <v>0</v>
      </c>
      <c r="H259" s="128">
        <v>7135</v>
      </c>
      <c r="I259" s="128">
        <v>297</v>
      </c>
      <c r="J259" s="128">
        <v>4588</v>
      </c>
      <c r="K259" s="128">
        <v>3553</v>
      </c>
      <c r="L259" s="128">
        <v>518</v>
      </c>
      <c r="M259" s="128">
        <v>214</v>
      </c>
      <c r="N259" s="128">
        <v>742</v>
      </c>
      <c r="O259" s="128">
        <v>171</v>
      </c>
      <c r="P259" s="128">
        <v>4089</v>
      </c>
      <c r="Q259" s="128">
        <f>P259*1.08</f>
        <v>4416.12</v>
      </c>
      <c r="R259" s="128">
        <v>707</v>
      </c>
      <c r="S259" s="128">
        <f t="shared" ref="S259:S322" si="24">SUM(P259,R259,R259)*0.1809%*1000000</f>
        <v>9954927</v>
      </c>
      <c r="T259" s="128">
        <f t="shared" si="21"/>
        <v>3426927</v>
      </c>
      <c r="U259" s="128">
        <f t="shared" si="22"/>
        <v>3426927</v>
      </c>
      <c r="V259" s="128">
        <v>74763</v>
      </c>
      <c r="W259" s="188">
        <f t="shared" si="23"/>
        <v>4.5837205569599936E-2</v>
      </c>
    </row>
    <row r="260" spans="1:23" x14ac:dyDescent="0.25">
      <c r="A260" t="s">
        <v>520</v>
      </c>
      <c r="B260" s="86" t="s">
        <v>136</v>
      </c>
      <c r="C260" s="128">
        <f t="shared" si="20"/>
        <v>8164</v>
      </c>
      <c r="D260" s="128">
        <v>695</v>
      </c>
      <c r="E260" s="128">
        <v>7469</v>
      </c>
      <c r="F260" s="128">
        <v>2431</v>
      </c>
      <c r="G260" s="128">
        <v>0</v>
      </c>
      <c r="H260" s="128">
        <v>14</v>
      </c>
      <c r="I260" s="128">
        <v>374</v>
      </c>
      <c r="J260" s="128">
        <v>6852</v>
      </c>
      <c r="K260" s="128">
        <v>6444</v>
      </c>
      <c r="L260" s="128">
        <v>637</v>
      </c>
      <c r="M260" s="128">
        <v>434</v>
      </c>
      <c r="N260" s="128">
        <v>1107</v>
      </c>
      <c r="O260" s="128">
        <v>315</v>
      </c>
      <c r="P260" s="128">
        <v>4924</v>
      </c>
      <c r="Q260" s="128">
        <f>P260*1.08</f>
        <v>5317.92</v>
      </c>
      <c r="R260" s="128">
        <v>1246</v>
      </c>
      <c r="S260" s="128">
        <f t="shared" si="24"/>
        <v>13415544</v>
      </c>
      <c r="T260" s="128">
        <f t="shared" si="21"/>
        <v>5251544</v>
      </c>
      <c r="U260" s="128">
        <f t="shared" si="22"/>
        <v>5251544</v>
      </c>
      <c r="V260" s="128">
        <v>189852</v>
      </c>
      <c r="W260" s="188">
        <f t="shared" si="23"/>
        <v>2.7661251922550197E-2</v>
      </c>
    </row>
    <row r="261" spans="1:23" x14ac:dyDescent="0.25">
      <c r="A261" t="s">
        <v>524</v>
      </c>
      <c r="B261" t="s">
        <v>229</v>
      </c>
      <c r="C261" s="128">
        <f t="shared" si="20"/>
        <v>9622</v>
      </c>
      <c r="D261" s="128">
        <v>5869</v>
      </c>
      <c r="E261" s="128">
        <v>3753</v>
      </c>
      <c r="F261" s="128">
        <v>0</v>
      </c>
      <c r="G261" s="128">
        <v>0</v>
      </c>
      <c r="H261" s="128">
        <v>0</v>
      </c>
      <c r="I261" s="128">
        <v>281</v>
      </c>
      <c r="J261" s="128">
        <v>4551</v>
      </c>
      <c r="K261" s="128">
        <v>0</v>
      </c>
      <c r="L261" s="128">
        <v>485</v>
      </c>
      <c r="M261" s="128">
        <v>0</v>
      </c>
      <c r="N261" s="128">
        <v>1228</v>
      </c>
      <c r="O261" s="128">
        <v>135</v>
      </c>
      <c r="P261" s="128">
        <v>6841</v>
      </c>
      <c r="Q261" s="128">
        <f>P261*1.08</f>
        <v>7388.2800000000007</v>
      </c>
      <c r="R261" s="128">
        <v>954</v>
      </c>
      <c r="S261" s="128">
        <f t="shared" si="24"/>
        <v>15826941</v>
      </c>
      <c r="T261" s="128">
        <f t="shared" si="21"/>
        <v>6204941</v>
      </c>
      <c r="U261" s="128">
        <f t="shared" si="22"/>
        <v>6204941</v>
      </c>
      <c r="V261" s="128">
        <v>123265</v>
      </c>
      <c r="W261" s="188">
        <f t="shared" si="23"/>
        <v>5.033822252869833E-2</v>
      </c>
    </row>
    <row r="262" spans="1:23" x14ac:dyDescent="0.25">
      <c r="A262" t="s">
        <v>517</v>
      </c>
      <c r="B262" t="s">
        <v>388</v>
      </c>
      <c r="C262" s="128">
        <f t="shared" si="20"/>
        <v>4568</v>
      </c>
      <c r="D262" s="128">
        <v>2872</v>
      </c>
      <c r="E262" s="128">
        <v>1696</v>
      </c>
      <c r="F262" s="128">
        <v>0</v>
      </c>
      <c r="G262" s="128">
        <v>0</v>
      </c>
      <c r="H262" s="128">
        <v>245</v>
      </c>
      <c r="I262" s="128">
        <v>96</v>
      </c>
      <c r="J262" s="128">
        <v>1091</v>
      </c>
      <c r="K262" s="128">
        <v>1994</v>
      </c>
      <c r="L262" s="128">
        <v>284</v>
      </c>
      <c r="M262" s="128">
        <v>0</v>
      </c>
      <c r="N262" s="128">
        <v>788</v>
      </c>
      <c r="O262" s="128">
        <v>354</v>
      </c>
      <c r="P262" s="128">
        <v>2409</v>
      </c>
      <c r="Q262" s="128">
        <f>P262*1.079</f>
        <v>2599.3109999999997</v>
      </c>
      <c r="R262" s="128">
        <v>518</v>
      </c>
      <c r="S262" s="128">
        <f t="shared" si="24"/>
        <v>6232005</v>
      </c>
      <c r="T262" s="128">
        <f t="shared" si="21"/>
        <v>1664005</v>
      </c>
      <c r="U262" s="128">
        <f t="shared" si="22"/>
        <v>1664005</v>
      </c>
      <c r="V262" s="128">
        <v>46890</v>
      </c>
      <c r="W262" s="188">
        <f t="shared" si="23"/>
        <v>3.5487417359778207E-2</v>
      </c>
    </row>
    <row r="263" spans="1:23" x14ac:dyDescent="0.25">
      <c r="A263" t="s">
        <v>517</v>
      </c>
      <c r="B263" t="s">
        <v>389</v>
      </c>
      <c r="C263" s="128">
        <f t="shared" si="20"/>
        <v>4588</v>
      </c>
      <c r="D263" s="128">
        <v>2372</v>
      </c>
      <c r="E263" s="128">
        <v>2216</v>
      </c>
      <c r="F263" s="128">
        <v>0</v>
      </c>
      <c r="G263" s="128">
        <v>0</v>
      </c>
      <c r="H263" s="128">
        <v>0</v>
      </c>
      <c r="I263" s="128">
        <v>0</v>
      </c>
      <c r="J263" s="128">
        <v>1373</v>
      </c>
      <c r="K263" s="128">
        <v>1971</v>
      </c>
      <c r="L263" s="128">
        <v>225</v>
      </c>
      <c r="M263" s="128">
        <v>0</v>
      </c>
      <c r="N263" s="128">
        <v>709</v>
      </c>
      <c r="O263" s="128">
        <v>76</v>
      </c>
      <c r="P263" s="128">
        <v>2541</v>
      </c>
      <c r="Q263" s="128">
        <f>P263*1.079</f>
        <v>2741.739</v>
      </c>
      <c r="R263" s="128">
        <v>674</v>
      </c>
      <c r="S263" s="128">
        <f t="shared" si="24"/>
        <v>7035201</v>
      </c>
      <c r="T263" s="128">
        <f t="shared" si="21"/>
        <v>2447201</v>
      </c>
      <c r="U263" s="128">
        <f t="shared" si="22"/>
        <v>2447201</v>
      </c>
      <c r="V263" s="128">
        <v>38990</v>
      </c>
      <c r="W263" s="188">
        <f t="shared" si="23"/>
        <v>6.2764837137727625E-2</v>
      </c>
    </row>
    <row r="264" spans="1:23" x14ac:dyDescent="0.25">
      <c r="A264" t="s">
        <v>525</v>
      </c>
      <c r="B264" t="s">
        <v>125</v>
      </c>
      <c r="C264" s="128">
        <f t="shared" si="20"/>
        <v>8032</v>
      </c>
      <c r="D264" s="128">
        <v>4935</v>
      </c>
      <c r="E264" s="128">
        <v>3097</v>
      </c>
      <c r="F264" s="128">
        <v>0</v>
      </c>
      <c r="G264" s="128">
        <v>59</v>
      </c>
      <c r="H264" s="128">
        <v>104</v>
      </c>
      <c r="I264" s="128">
        <v>0</v>
      </c>
      <c r="J264" s="128">
        <v>2841</v>
      </c>
      <c r="K264" s="128">
        <v>2964</v>
      </c>
      <c r="L264" s="128">
        <v>348</v>
      </c>
      <c r="M264" s="128">
        <v>50</v>
      </c>
      <c r="N264" s="128">
        <v>300</v>
      </c>
      <c r="O264" s="128">
        <v>98</v>
      </c>
      <c r="P264" s="128">
        <v>2481</v>
      </c>
      <c r="Q264" s="128">
        <f>P264*1.108</f>
        <v>2748.9480000000003</v>
      </c>
      <c r="R264" s="128">
        <v>468</v>
      </c>
      <c r="S264" s="128">
        <f t="shared" si="24"/>
        <v>6181353.0000000009</v>
      </c>
      <c r="T264" s="128">
        <f t="shared" si="21"/>
        <v>-1850646.9999999991</v>
      </c>
      <c r="U264" s="128">
        <f t="shared" si="22"/>
        <v>0</v>
      </c>
      <c r="V264" s="128">
        <v>114156</v>
      </c>
      <c r="W264" s="188">
        <f t="shared" si="23"/>
        <v>-1.6211561372157391E-2</v>
      </c>
    </row>
    <row r="265" spans="1:23" x14ac:dyDescent="0.25">
      <c r="A265" t="s">
        <v>522</v>
      </c>
      <c r="B265" t="s">
        <v>158</v>
      </c>
      <c r="C265" s="128">
        <f t="shared" si="20"/>
        <v>3707</v>
      </c>
      <c r="D265" s="128">
        <v>1897</v>
      </c>
      <c r="E265" s="128">
        <v>1810</v>
      </c>
      <c r="F265" s="128">
        <v>0</v>
      </c>
      <c r="G265" s="128">
        <v>0</v>
      </c>
      <c r="H265" s="128">
        <v>165</v>
      </c>
      <c r="I265" s="128">
        <v>61</v>
      </c>
      <c r="J265" s="128">
        <v>1709</v>
      </c>
      <c r="K265" s="128">
        <v>1211</v>
      </c>
      <c r="L265" s="128">
        <v>196</v>
      </c>
      <c r="M265" s="128">
        <v>345</v>
      </c>
      <c r="N265" s="128">
        <v>563</v>
      </c>
      <c r="O265" s="128">
        <v>128</v>
      </c>
      <c r="P265" s="128">
        <v>1549</v>
      </c>
      <c r="Q265" s="128">
        <f>P265*1.083</f>
        <v>1677.567</v>
      </c>
      <c r="R265" s="128">
        <v>508</v>
      </c>
      <c r="S265" s="128">
        <f t="shared" si="24"/>
        <v>4640085</v>
      </c>
      <c r="T265" s="128">
        <f t="shared" si="21"/>
        <v>933085</v>
      </c>
      <c r="U265" s="128">
        <f t="shared" si="22"/>
        <v>933085</v>
      </c>
      <c r="V265" s="128">
        <v>35730</v>
      </c>
      <c r="W265" s="188">
        <f t="shared" si="23"/>
        <v>2.6114889448642598E-2</v>
      </c>
    </row>
    <row r="266" spans="1:23" x14ac:dyDescent="0.25">
      <c r="A266" t="s">
        <v>518</v>
      </c>
      <c r="B266" t="s">
        <v>272</v>
      </c>
      <c r="C266" s="128">
        <f t="shared" si="20"/>
        <v>4237</v>
      </c>
      <c r="D266" s="128">
        <v>3394</v>
      </c>
      <c r="E266" s="128">
        <v>843</v>
      </c>
      <c r="F266" s="128">
        <v>0</v>
      </c>
      <c r="G266" s="128">
        <v>0</v>
      </c>
      <c r="H266" s="128">
        <v>55</v>
      </c>
      <c r="I266" s="128">
        <v>111</v>
      </c>
      <c r="J266" s="128">
        <v>1644</v>
      </c>
      <c r="K266" s="128">
        <v>3116</v>
      </c>
      <c r="L266" s="128">
        <v>271</v>
      </c>
      <c r="M266" s="128">
        <v>9</v>
      </c>
      <c r="N266" s="128">
        <v>275</v>
      </c>
      <c r="O266" s="128">
        <v>46</v>
      </c>
      <c r="P266" s="128">
        <v>2188</v>
      </c>
      <c r="Q266" s="128">
        <f>P266*1.072</f>
        <v>2345.5360000000001</v>
      </c>
      <c r="R266" s="128">
        <v>274</v>
      </c>
      <c r="S266" s="128">
        <f t="shared" si="24"/>
        <v>4949424.0000000009</v>
      </c>
      <c r="T266" s="128">
        <f t="shared" si="21"/>
        <v>712424.00000000093</v>
      </c>
      <c r="U266" s="128">
        <f t="shared" si="22"/>
        <v>712424.00000000093</v>
      </c>
      <c r="V266" s="128">
        <v>51593</v>
      </c>
      <c r="W266" s="188">
        <f t="shared" si="23"/>
        <v>1.3808539918205976E-2</v>
      </c>
    </row>
    <row r="267" spans="1:23" x14ac:dyDescent="0.25">
      <c r="A267" t="s">
        <v>517</v>
      </c>
      <c r="B267" t="s">
        <v>390</v>
      </c>
      <c r="C267" s="128">
        <f t="shared" si="20"/>
        <v>4966</v>
      </c>
      <c r="D267" s="128">
        <v>2963</v>
      </c>
      <c r="E267" s="128">
        <v>2003</v>
      </c>
      <c r="F267" s="128">
        <v>0</v>
      </c>
      <c r="G267" s="128">
        <v>0</v>
      </c>
      <c r="H267" s="128">
        <v>112</v>
      </c>
      <c r="I267" s="128">
        <v>85</v>
      </c>
      <c r="J267" s="128">
        <v>1878</v>
      </c>
      <c r="K267" s="128">
        <v>3806</v>
      </c>
      <c r="L267" s="128">
        <v>462</v>
      </c>
      <c r="M267" s="128">
        <v>33</v>
      </c>
      <c r="N267" s="128">
        <v>707</v>
      </c>
      <c r="O267" s="128">
        <v>64</v>
      </c>
      <c r="P267" s="128">
        <v>2380</v>
      </c>
      <c r="Q267" s="128">
        <f>P267*1.079</f>
        <v>2568.02</v>
      </c>
      <c r="R267" s="128">
        <v>693</v>
      </c>
      <c r="S267" s="128">
        <f t="shared" si="24"/>
        <v>6812694.0000000009</v>
      </c>
      <c r="T267" s="128">
        <f t="shared" si="21"/>
        <v>1846694.0000000009</v>
      </c>
      <c r="U267" s="128">
        <f t="shared" si="22"/>
        <v>1846694.0000000009</v>
      </c>
      <c r="V267" s="128">
        <v>61279</v>
      </c>
      <c r="W267" s="188">
        <f t="shared" si="23"/>
        <v>3.0135837725811469E-2</v>
      </c>
    </row>
    <row r="268" spans="1:23" x14ac:dyDescent="0.25">
      <c r="A268" t="s">
        <v>522</v>
      </c>
      <c r="B268" t="s">
        <v>159</v>
      </c>
      <c r="C268" s="128">
        <f t="shared" si="20"/>
        <v>7936</v>
      </c>
      <c r="D268" s="128">
        <v>4785</v>
      </c>
      <c r="E268" s="128">
        <v>3151</v>
      </c>
      <c r="F268" s="128">
        <v>11</v>
      </c>
      <c r="G268" s="128">
        <v>0</v>
      </c>
      <c r="H268" s="128">
        <v>1526</v>
      </c>
      <c r="I268" s="128">
        <v>204</v>
      </c>
      <c r="J268" s="128">
        <v>4819</v>
      </c>
      <c r="K268" s="128">
        <v>4333</v>
      </c>
      <c r="L268" s="128">
        <v>482</v>
      </c>
      <c r="M268" s="128">
        <v>583</v>
      </c>
      <c r="N268" s="128">
        <v>1417</v>
      </c>
      <c r="O268" s="128">
        <v>767</v>
      </c>
      <c r="P268" s="128">
        <v>4447</v>
      </c>
      <c r="Q268" s="128">
        <f>P268*1.083</f>
        <v>4816.1009999999997</v>
      </c>
      <c r="R268" s="128">
        <v>918</v>
      </c>
      <c r="S268" s="128">
        <f t="shared" si="24"/>
        <v>11365947</v>
      </c>
      <c r="T268" s="128">
        <f t="shared" si="21"/>
        <v>3429947</v>
      </c>
      <c r="U268" s="128">
        <f t="shared" si="22"/>
        <v>3429947</v>
      </c>
      <c r="V268" s="128">
        <v>127134</v>
      </c>
      <c r="W268" s="188">
        <f t="shared" si="23"/>
        <v>2.6978990671260247E-2</v>
      </c>
    </row>
    <row r="269" spans="1:23" x14ac:dyDescent="0.25">
      <c r="A269" t="s">
        <v>526</v>
      </c>
      <c r="B269" t="s">
        <v>422</v>
      </c>
      <c r="C269" s="128">
        <f t="shared" si="20"/>
        <v>5664</v>
      </c>
      <c r="D269" s="128">
        <v>3757</v>
      </c>
      <c r="E269" s="128">
        <v>1907</v>
      </c>
      <c r="F269" s="128">
        <v>0</v>
      </c>
      <c r="G269" s="128">
        <v>0</v>
      </c>
      <c r="H269" s="128">
        <v>166</v>
      </c>
      <c r="I269" s="128">
        <v>232</v>
      </c>
      <c r="J269" s="128">
        <v>3003</v>
      </c>
      <c r="K269" s="128">
        <v>3294</v>
      </c>
      <c r="L269" s="128">
        <v>306</v>
      </c>
      <c r="M269" s="128">
        <v>64</v>
      </c>
      <c r="N269" s="128">
        <v>277</v>
      </c>
      <c r="O269" s="128">
        <v>50</v>
      </c>
      <c r="P269" s="128">
        <v>2588</v>
      </c>
      <c r="Q269" s="128">
        <f>P269*1.086</f>
        <v>2810.5680000000002</v>
      </c>
      <c r="R269" s="128">
        <v>354</v>
      </c>
      <c r="S269" s="128">
        <f t="shared" si="24"/>
        <v>5962464</v>
      </c>
      <c r="T269" s="128">
        <f t="shared" si="21"/>
        <v>298464</v>
      </c>
      <c r="U269" s="128">
        <f t="shared" si="22"/>
        <v>298464</v>
      </c>
      <c r="V269" s="128">
        <v>59828</v>
      </c>
      <c r="W269" s="188">
        <f t="shared" si="23"/>
        <v>4.988700942702414E-3</v>
      </c>
    </row>
    <row r="270" spans="1:23" x14ac:dyDescent="0.25">
      <c r="A270" t="s">
        <v>524</v>
      </c>
      <c r="B270" t="s">
        <v>230</v>
      </c>
      <c r="C270" s="128">
        <f t="shared" si="20"/>
        <v>13280</v>
      </c>
      <c r="D270" s="128">
        <v>9982</v>
      </c>
      <c r="E270" s="128">
        <v>3298</v>
      </c>
      <c r="F270" s="128">
        <v>0</v>
      </c>
      <c r="G270" s="128">
        <v>28</v>
      </c>
      <c r="H270" s="128">
        <v>440</v>
      </c>
      <c r="I270" s="128">
        <v>355</v>
      </c>
      <c r="J270" s="128">
        <v>6973</v>
      </c>
      <c r="K270" s="128">
        <v>7954</v>
      </c>
      <c r="L270" s="128">
        <v>859</v>
      </c>
      <c r="M270" s="128">
        <v>459</v>
      </c>
      <c r="N270" s="128">
        <v>1908</v>
      </c>
      <c r="O270" s="128">
        <v>240</v>
      </c>
      <c r="P270" s="128">
        <v>9797</v>
      </c>
      <c r="Q270" s="128">
        <f>P270*1.08</f>
        <v>10580.76</v>
      </c>
      <c r="R270" s="128">
        <v>1038</v>
      </c>
      <c r="S270" s="128">
        <f t="shared" si="24"/>
        <v>21478257</v>
      </c>
      <c r="T270" s="128">
        <f t="shared" si="21"/>
        <v>8198257</v>
      </c>
      <c r="U270" s="128">
        <f t="shared" si="22"/>
        <v>8198257</v>
      </c>
      <c r="V270" s="128">
        <v>138969</v>
      </c>
      <c r="W270" s="188">
        <f t="shared" si="23"/>
        <v>5.8993422993617282E-2</v>
      </c>
    </row>
    <row r="271" spans="1:23" x14ac:dyDescent="0.25">
      <c r="A271" t="s">
        <v>520</v>
      </c>
      <c r="B271" t="s">
        <v>440</v>
      </c>
      <c r="C271" s="128">
        <f t="shared" si="20"/>
        <v>20639</v>
      </c>
      <c r="D271" s="128">
        <v>12133</v>
      </c>
      <c r="E271" s="128">
        <v>8506</v>
      </c>
      <c r="F271" s="128">
        <v>2077</v>
      </c>
      <c r="G271" s="128">
        <v>1067</v>
      </c>
      <c r="H271" s="128">
        <v>2876</v>
      </c>
      <c r="I271" s="128">
        <v>4</v>
      </c>
      <c r="J271" s="128">
        <v>8368</v>
      </c>
      <c r="K271" s="128">
        <v>10783</v>
      </c>
      <c r="L271" s="128">
        <v>1524</v>
      </c>
      <c r="M271" s="128">
        <v>625</v>
      </c>
      <c r="N271" s="128">
        <v>1732</v>
      </c>
      <c r="O271" s="128">
        <v>1306</v>
      </c>
      <c r="P271" s="128">
        <v>8721</v>
      </c>
      <c r="Q271" s="128">
        <f>P271*1.08</f>
        <v>9418.68</v>
      </c>
      <c r="R271" s="128">
        <v>1986</v>
      </c>
      <c r="S271" s="128">
        <f t="shared" si="24"/>
        <v>22961637</v>
      </c>
      <c r="T271" s="128">
        <f t="shared" si="21"/>
        <v>2322637</v>
      </c>
      <c r="U271" s="128">
        <f t="shared" si="22"/>
        <v>2322637</v>
      </c>
      <c r="V271" s="128">
        <v>270013</v>
      </c>
      <c r="W271" s="188">
        <f t="shared" si="23"/>
        <v>8.6019450915326302E-3</v>
      </c>
    </row>
    <row r="272" spans="1:23" x14ac:dyDescent="0.25">
      <c r="A272" t="s">
        <v>528</v>
      </c>
      <c r="B272" t="s">
        <v>339</v>
      </c>
      <c r="C272" s="128">
        <f t="shared" si="20"/>
        <v>18094</v>
      </c>
      <c r="D272" s="128">
        <v>7298</v>
      </c>
      <c r="E272" s="128">
        <v>10796</v>
      </c>
      <c r="F272" s="128">
        <v>1036</v>
      </c>
      <c r="G272" s="128">
        <v>61</v>
      </c>
      <c r="H272" s="128">
        <v>702</v>
      </c>
      <c r="I272" s="128">
        <v>380</v>
      </c>
      <c r="J272" s="128">
        <v>5324</v>
      </c>
      <c r="K272" s="128">
        <v>7855</v>
      </c>
      <c r="L272" s="128">
        <v>598</v>
      </c>
      <c r="M272" s="128">
        <v>570</v>
      </c>
      <c r="N272" s="128">
        <v>1166</v>
      </c>
      <c r="O272" s="128">
        <v>230</v>
      </c>
      <c r="P272" s="128">
        <v>4837</v>
      </c>
      <c r="Q272" s="128">
        <f>P272*1.08</f>
        <v>5223.96</v>
      </c>
      <c r="R272" s="128">
        <v>2134</v>
      </c>
      <c r="S272" s="128">
        <f t="shared" si="24"/>
        <v>16470945</v>
      </c>
      <c r="T272" s="128">
        <f t="shared" si="21"/>
        <v>-1623055</v>
      </c>
      <c r="U272" s="128">
        <f t="shared" si="22"/>
        <v>0</v>
      </c>
      <c r="V272" s="128">
        <v>166094</v>
      </c>
      <c r="W272" s="188">
        <f t="shared" si="23"/>
        <v>-9.7719062699435262E-3</v>
      </c>
    </row>
    <row r="273" spans="1:23" x14ac:dyDescent="0.25">
      <c r="A273" t="s">
        <v>520</v>
      </c>
      <c r="B273" t="s">
        <v>137</v>
      </c>
      <c r="C273" s="128">
        <f t="shared" si="20"/>
        <v>2183</v>
      </c>
      <c r="D273" s="128">
        <v>1158</v>
      </c>
      <c r="E273" s="128">
        <v>1025</v>
      </c>
      <c r="F273" s="128">
        <v>0</v>
      </c>
      <c r="G273" s="128">
        <v>0</v>
      </c>
      <c r="H273" s="128">
        <v>3979</v>
      </c>
      <c r="I273" s="128">
        <v>0</v>
      </c>
      <c r="J273" s="128">
        <v>860</v>
      </c>
      <c r="K273" s="128">
        <v>830</v>
      </c>
      <c r="L273" s="128">
        <v>150</v>
      </c>
      <c r="M273" s="128">
        <v>7</v>
      </c>
      <c r="N273" s="128">
        <v>457</v>
      </c>
      <c r="O273" s="128">
        <v>272</v>
      </c>
      <c r="P273" s="128">
        <v>1063</v>
      </c>
      <c r="Q273" s="128">
        <f>P273*1.08</f>
        <v>1148.04</v>
      </c>
      <c r="R273" s="128">
        <v>240</v>
      </c>
      <c r="S273" s="128">
        <f t="shared" si="24"/>
        <v>2791287</v>
      </c>
      <c r="T273" s="128">
        <f t="shared" si="21"/>
        <v>608287</v>
      </c>
      <c r="U273" s="128">
        <f t="shared" si="22"/>
        <v>608287</v>
      </c>
      <c r="V273" s="128">
        <v>23662</v>
      </c>
      <c r="W273" s="188">
        <f t="shared" si="23"/>
        <v>2.5707336657932549E-2</v>
      </c>
    </row>
    <row r="274" spans="1:23" x14ac:dyDescent="0.25">
      <c r="A274" t="s">
        <v>518</v>
      </c>
      <c r="B274" t="s">
        <v>273</v>
      </c>
      <c r="C274" s="128">
        <f t="shared" si="20"/>
        <v>1925</v>
      </c>
      <c r="D274" s="128">
        <v>1583</v>
      </c>
      <c r="E274" s="128">
        <v>342</v>
      </c>
      <c r="F274" s="128">
        <v>4318</v>
      </c>
      <c r="G274" s="128">
        <v>0</v>
      </c>
      <c r="H274" s="128">
        <v>9148</v>
      </c>
      <c r="I274" s="128">
        <v>0</v>
      </c>
      <c r="J274" s="128">
        <v>3415</v>
      </c>
      <c r="K274" s="128">
        <v>2145</v>
      </c>
      <c r="L274" s="128">
        <v>213</v>
      </c>
      <c r="M274" s="128">
        <v>0</v>
      </c>
      <c r="N274" s="128">
        <v>1071</v>
      </c>
      <c r="O274" s="128">
        <v>75</v>
      </c>
      <c r="P274" s="128">
        <v>2824</v>
      </c>
      <c r="Q274" s="128">
        <f>P274*1.072</f>
        <v>3027.328</v>
      </c>
      <c r="R274" s="128">
        <v>667</v>
      </c>
      <c r="S274" s="128">
        <f t="shared" si="24"/>
        <v>7521822</v>
      </c>
      <c r="T274" s="128">
        <f t="shared" si="21"/>
        <v>5596822</v>
      </c>
      <c r="U274" s="128">
        <f t="shared" si="22"/>
        <v>5596822</v>
      </c>
      <c r="V274" s="128">
        <v>57864</v>
      </c>
      <c r="W274" s="188">
        <f t="shared" si="23"/>
        <v>9.6723731508364441E-2</v>
      </c>
    </row>
    <row r="275" spans="1:23" x14ac:dyDescent="0.25">
      <c r="A275" t="s">
        <v>521</v>
      </c>
      <c r="B275" t="s">
        <v>319</v>
      </c>
      <c r="C275" s="128">
        <f t="shared" si="20"/>
        <v>6537</v>
      </c>
      <c r="D275" s="128">
        <v>4342</v>
      </c>
      <c r="E275" s="128">
        <v>2195</v>
      </c>
      <c r="F275" s="128">
        <v>11</v>
      </c>
      <c r="G275" s="128">
        <v>0</v>
      </c>
      <c r="H275" s="128">
        <v>117</v>
      </c>
      <c r="I275" s="128">
        <v>10</v>
      </c>
      <c r="J275" s="128">
        <v>3046</v>
      </c>
      <c r="K275" s="128">
        <v>0</v>
      </c>
      <c r="L275" s="128">
        <v>640</v>
      </c>
      <c r="M275" s="128">
        <v>0</v>
      </c>
      <c r="N275" s="128">
        <v>498</v>
      </c>
      <c r="O275" s="128">
        <v>174</v>
      </c>
      <c r="P275" s="128">
        <v>5637</v>
      </c>
      <c r="Q275" s="128">
        <f>P275*1.083</f>
        <v>6104.8710000000001</v>
      </c>
      <c r="R275" s="128">
        <v>800</v>
      </c>
      <c r="S275" s="128">
        <f t="shared" si="24"/>
        <v>13091733</v>
      </c>
      <c r="T275" s="128">
        <f t="shared" si="21"/>
        <v>6554733</v>
      </c>
      <c r="U275" s="128">
        <f t="shared" si="22"/>
        <v>6554733</v>
      </c>
      <c r="V275" s="128">
        <v>82524</v>
      </c>
      <c r="W275" s="188">
        <f t="shared" si="23"/>
        <v>7.942820270466773E-2</v>
      </c>
    </row>
    <row r="276" spans="1:23" x14ac:dyDescent="0.25">
      <c r="A276" t="s">
        <v>528</v>
      </c>
      <c r="B276" t="s">
        <v>340</v>
      </c>
      <c r="C276" s="128">
        <f t="shared" si="20"/>
        <v>4916</v>
      </c>
      <c r="D276" s="128">
        <v>2911</v>
      </c>
      <c r="E276" s="128">
        <v>2005</v>
      </c>
      <c r="F276" s="128">
        <v>11</v>
      </c>
      <c r="G276" s="128">
        <v>0</v>
      </c>
      <c r="H276" s="128">
        <v>396</v>
      </c>
      <c r="I276" s="128">
        <v>160</v>
      </c>
      <c r="J276" s="128">
        <v>2266</v>
      </c>
      <c r="K276" s="128">
        <v>2674</v>
      </c>
      <c r="L276" s="128">
        <v>289</v>
      </c>
      <c r="M276" s="128">
        <v>518</v>
      </c>
      <c r="N276" s="128">
        <v>520</v>
      </c>
      <c r="O276" s="128">
        <v>91</v>
      </c>
      <c r="P276" s="128">
        <v>2236</v>
      </c>
      <c r="Q276" s="128">
        <f>P276*1.08</f>
        <v>2414.88</v>
      </c>
      <c r="R276" s="128">
        <v>503</v>
      </c>
      <c r="S276" s="128">
        <f t="shared" si="24"/>
        <v>5864778</v>
      </c>
      <c r="T276" s="128">
        <f t="shared" si="21"/>
        <v>948778</v>
      </c>
      <c r="U276" s="128">
        <f t="shared" si="22"/>
        <v>948778</v>
      </c>
      <c r="V276" s="128">
        <v>67417</v>
      </c>
      <c r="W276" s="188">
        <f t="shared" si="23"/>
        <v>1.4073275286648769E-2</v>
      </c>
    </row>
    <row r="277" spans="1:23" x14ac:dyDescent="0.25">
      <c r="A277" t="s">
        <v>519</v>
      </c>
      <c r="B277" t="s">
        <v>204</v>
      </c>
      <c r="C277" s="128">
        <f t="shared" si="20"/>
        <v>11044</v>
      </c>
      <c r="D277" s="128">
        <v>5568</v>
      </c>
      <c r="E277" s="128">
        <v>5476</v>
      </c>
      <c r="F277" s="128">
        <v>1991</v>
      </c>
      <c r="G277" s="128">
        <v>0</v>
      </c>
      <c r="H277" s="128">
        <v>175</v>
      </c>
      <c r="I277" s="128">
        <v>715</v>
      </c>
      <c r="J277" s="128">
        <v>4467</v>
      </c>
      <c r="K277" s="128">
        <v>4712</v>
      </c>
      <c r="L277" s="128">
        <v>467</v>
      </c>
      <c r="M277" s="128">
        <v>300</v>
      </c>
      <c r="N277" s="128">
        <v>1112</v>
      </c>
      <c r="O277" s="128">
        <v>959</v>
      </c>
      <c r="P277" s="128">
        <v>3910</v>
      </c>
      <c r="Q277" s="128">
        <f>P277*1.08</f>
        <v>4222.8</v>
      </c>
      <c r="R277" s="128">
        <v>935</v>
      </c>
      <c r="S277" s="128">
        <f t="shared" si="24"/>
        <v>10456020</v>
      </c>
      <c r="T277" s="128">
        <f t="shared" si="21"/>
        <v>-587980</v>
      </c>
      <c r="U277" s="128">
        <f t="shared" si="22"/>
        <v>0</v>
      </c>
      <c r="V277" s="128">
        <v>140366</v>
      </c>
      <c r="W277" s="188">
        <f t="shared" si="23"/>
        <v>-4.1889061453628373E-3</v>
      </c>
    </row>
    <row r="278" spans="1:23" x14ac:dyDescent="0.25">
      <c r="A278" t="s">
        <v>517</v>
      </c>
      <c r="B278" t="s">
        <v>391</v>
      </c>
      <c r="C278" s="129">
        <v>45953.23596134995</v>
      </c>
      <c r="D278" s="129">
        <v>22162.20459319423</v>
      </c>
      <c r="E278" s="129">
        <v>23791.03136815572</v>
      </c>
      <c r="F278" s="129">
        <v>7888</v>
      </c>
      <c r="G278" s="129">
        <v>0</v>
      </c>
      <c r="H278" s="129">
        <v>455.46380058815294</v>
      </c>
      <c r="I278" s="129">
        <v>2852.3014283713765</v>
      </c>
      <c r="J278" s="129">
        <v>13059.46036969612</v>
      </c>
      <c r="K278" s="129">
        <v>26376.988026886989</v>
      </c>
      <c r="L278" s="129">
        <v>2467.7699901974515</v>
      </c>
      <c r="M278" s="129">
        <v>225</v>
      </c>
      <c r="N278" s="129">
        <v>6718.2337907856045</v>
      </c>
      <c r="O278" s="129">
        <v>8889.0761798067506</v>
      </c>
      <c r="P278" s="128">
        <v>22958.477944265509</v>
      </c>
      <c r="Q278" s="128">
        <v>24725.691725108529</v>
      </c>
      <c r="R278" s="128">
        <v>6353.4347430331891</v>
      </c>
      <c r="S278" s="128">
        <f t="shared" si="24"/>
        <v>64518613.501470387</v>
      </c>
      <c r="T278">
        <v>21762267.26966545</v>
      </c>
      <c r="U278">
        <v>21762267.26966545</v>
      </c>
      <c r="V278" s="128">
        <v>811280.48536619521</v>
      </c>
      <c r="W278">
        <v>2.6824591078192166E-2</v>
      </c>
    </row>
    <row r="279" spans="1:23" x14ac:dyDescent="0.25">
      <c r="A279" t="s">
        <v>522</v>
      </c>
      <c r="B279" t="s">
        <v>160</v>
      </c>
      <c r="C279" s="128">
        <f t="shared" si="20"/>
        <v>4277</v>
      </c>
      <c r="D279" s="128">
        <v>2476</v>
      </c>
      <c r="E279" s="128">
        <v>1801</v>
      </c>
      <c r="F279" s="128">
        <v>0</v>
      </c>
      <c r="G279" s="128">
        <v>0</v>
      </c>
      <c r="H279" s="128">
        <v>262</v>
      </c>
      <c r="I279" s="128">
        <v>51</v>
      </c>
      <c r="J279" s="128">
        <v>2002</v>
      </c>
      <c r="K279" s="128">
        <v>1087</v>
      </c>
      <c r="L279" s="128">
        <v>274</v>
      </c>
      <c r="M279" s="128">
        <v>0</v>
      </c>
      <c r="N279" s="128">
        <v>440</v>
      </c>
      <c r="O279" s="128">
        <v>81</v>
      </c>
      <c r="P279" s="128">
        <v>2219</v>
      </c>
      <c r="Q279" s="128">
        <f>P279*1.083</f>
        <v>2403.1770000000001</v>
      </c>
      <c r="R279" s="128">
        <v>653</v>
      </c>
      <c r="S279" s="128">
        <f t="shared" si="24"/>
        <v>6376725</v>
      </c>
      <c r="T279" s="128">
        <f t="shared" si="21"/>
        <v>2099725</v>
      </c>
      <c r="U279" s="128">
        <f t="shared" si="22"/>
        <v>2099725</v>
      </c>
      <c r="V279" s="128">
        <v>42218</v>
      </c>
      <c r="W279" s="188">
        <f t="shared" si="23"/>
        <v>4.9735302477616185E-2</v>
      </c>
    </row>
    <row r="280" spans="1:23" x14ac:dyDescent="0.25">
      <c r="A280" t="s">
        <v>522</v>
      </c>
      <c r="B280" t="s">
        <v>161</v>
      </c>
      <c r="C280" s="128">
        <f t="shared" si="20"/>
        <v>7620</v>
      </c>
      <c r="D280" s="128">
        <v>5056</v>
      </c>
      <c r="E280" s="128">
        <v>2564</v>
      </c>
      <c r="F280" s="128">
        <v>0</v>
      </c>
      <c r="G280" s="128">
        <v>0</v>
      </c>
      <c r="H280" s="128">
        <v>50</v>
      </c>
      <c r="I280" s="128">
        <v>0</v>
      </c>
      <c r="J280" s="128">
        <v>3570</v>
      </c>
      <c r="K280" s="128">
        <v>2255</v>
      </c>
      <c r="L280" s="128">
        <v>418</v>
      </c>
      <c r="M280" s="128">
        <v>580</v>
      </c>
      <c r="N280" s="128">
        <v>790</v>
      </c>
      <c r="O280" s="128">
        <v>29</v>
      </c>
      <c r="P280" s="128">
        <v>3047</v>
      </c>
      <c r="Q280" s="128">
        <f>P280*1.083</f>
        <v>3299.9009999999998</v>
      </c>
      <c r="R280" s="128">
        <v>607</v>
      </c>
      <c r="S280" s="128">
        <f t="shared" si="24"/>
        <v>7708149.0000000009</v>
      </c>
      <c r="T280" s="128">
        <f t="shared" si="21"/>
        <v>88149.000000000931</v>
      </c>
      <c r="U280" s="128">
        <f t="shared" si="22"/>
        <v>88149.000000000931</v>
      </c>
      <c r="V280" s="128">
        <v>96441</v>
      </c>
      <c r="W280" s="188">
        <f t="shared" si="23"/>
        <v>9.1401997075933399E-4</v>
      </c>
    </row>
    <row r="281" spans="1:23" x14ac:dyDescent="0.25">
      <c r="A281" t="s">
        <v>516</v>
      </c>
      <c r="B281" t="s">
        <v>115</v>
      </c>
      <c r="C281" s="128">
        <f t="shared" si="20"/>
        <v>5755</v>
      </c>
      <c r="D281" s="128">
        <v>4384</v>
      </c>
      <c r="E281" s="128">
        <v>1371</v>
      </c>
      <c r="F281" s="128">
        <v>0</v>
      </c>
      <c r="G281" s="128">
        <v>0</v>
      </c>
      <c r="H281" s="128">
        <v>484</v>
      </c>
      <c r="I281" s="128">
        <v>0</v>
      </c>
      <c r="J281" s="128">
        <v>2755</v>
      </c>
      <c r="K281" s="128">
        <v>2597</v>
      </c>
      <c r="L281" s="128">
        <v>442</v>
      </c>
      <c r="M281" s="128">
        <v>438</v>
      </c>
      <c r="N281" s="128">
        <v>1104</v>
      </c>
      <c r="O281" s="128">
        <v>328</v>
      </c>
      <c r="P281" s="128">
        <v>4120</v>
      </c>
      <c r="Q281" s="128">
        <f>P281*1.079</f>
        <v>4445.4799999999996</v>
      </c>
      <c r="R281" s="128">
        <v>579</v>
      </c>
      <c r="S281" s="128">
        <f t="shared" si="24"/>
        <v>9547902</v>
      </c>
      <c r="T281" s="128">
        <f t="shared" si="21"/>
        <v>3792902</v>
      </c>
      <c r="U281" s="128">
        <f t="shared" si="22"/>
        <v>3792902</v>
      </c>
      <c r="V281" s="128">
        <v>77336</v>
      </c>
      <c r="W281" s="188">
        <f t="shared" si="23"/>
        <v>4.9044455363608151E-2</v>
      </c>
    </row>
    <row r="282" spans="1:23" x14ac:dyDescent="0.25">
      <c r="A282" t="s">
        <v>520</v>
      </c>
      <c r="B282" t="s">
        <v>138</v>
      </c>
      <c r="C282" s="128">
        <f t="shared" si="20"/>
        <v>8240</v>
      </c>
      <c r="D282" s="128">
        <v>5823</v>
      </c>
      <c r="E282" s="128">
        <v>2417</v>
      </c>
      <c r="F282" s="128">
        <v>0</v>
      </c>
      <c r="G282" s="128">
        <v>0</v>
      </c>
      <c r="H282" s="128">
        <v>432</v>
      </c>
      <c r="I282" s="128">
        <v>46</v>
      </c>
      <c r="J282" s="128">
        <v>2235</v>
      </c>
      <c r="K282" s="128">
        <v>3890</v>
      </c>
      <c r="L282" s="128">
        <v>377</v>
      </c>
      <c r="M282" s="128">
        <v>17</v>
      </c>
      <c r="N282" s="128">
        <v>344</v>
      </c>
      <c r="O282" s="128">
        <v>80</v>
      </c>
      <c r="P282" s="128">
        <v>2944</v>
      </c>
      <c r="Q282" s="128">
        <f>P282*1.08</f>
        <v>3179.5200000000004</v>
      </c>
      <c r="R282" s="128">
        <v>457</v>
      </c>
      <c r="S282" s="128">
        <f t="shared" si="24"/>
        <v>6979122</v>
      </c>
      <c r="T282" s="128">
        <f t="shared" si="21"/>
        <v>-1260878</v>
      </c>
      <c r="U282" s="128">
        <f t="shared" si="22"/>
        <v>0</v>
      </c>
      <c r="V282" s="128">
        <v>84327</v>
      </c>
      <c r="W282" s="188">
        <f t="shared" si="23"/>
        <v>-1.4952245425545792E-2</v>
      </c>
    </row>
    <row r="283" spans="1:23" x14ac:dyDescent="0.25">
      <c r="A283" t="s">
        <v>518</v>
      </c>
      <c r="B283" t="s">
        <v>274</v>
      </c>
      <c r="C283" s="128">
        <f t="shared" si="20"/>
        <v>3110</v>
      </c>
      <c r="D283" s="128">
        <v>2286</v>
      </c>
      <c r="E283" s="128">
        <v>824</v>
      </c>
      <c r="F283" s="128">
        <v>0</v>
      </c>
      <c r="G283" s="128">
        <v>0</v>
      </c>
      <c r="H283" s="128">
        <v>146</v>
      </c>
      <c r="I283" s="128">
        <v>4</v>
      </c>
      <c r="J283" s="128">
        <v>975</v>
      </c>
      <c r="K283" s="128">
        <v>1681</v>
      </c>
      <c r="L283" s="128">
        <v>128</v>
      </c>
      <c r="M283" s="128">
        <v>15</v>
      </c>
      <c r="N283" s="128">
        <v>191</v>
      </c>
      <c r="O283" s="128">
        <v>252</v>
      </c>
      <c r="P283" s="128">
        <v>1789</v>
      </c>
      <c r="Q283" s="128">
        <f>P283*1.072</f>
        <v>1917.8080000000002</v>
      </c>
      <c r="R283" s="128">
        <v>181</v>
      </c>
      <c r="S283" s="128">
        <f t="shared" si="24"/>
        <v>3891159</v>
      </c>
      <c r="T283" s="128">
        <f t="shared" si="21"/>
        <v>781159</v>
      </c>
      <c r="U283" s="128">
        <f t="shared" si="22"/>
        <v>781159</v>
      </c>
      <c r="V283" s="128">
        <v>25583</v>
      </c>
      <c r="W283" s="188">
        <f t="shared" si="23"/>
        <v>3.0534300121174217E-2</v>
      </c>
    </row>
    <row r="284" spans="1:23" x14ac:dyDescent="0.25">
      <c r="A284" t="s">
        <v>518</v>
      </c>
      <c r="B284" t="s">
        <v>275</v>
      </c>
      <c r="C284" s="128">
        <f t="shared" si="20"/>
        <v>7723</v>
      </c>
      <c r="D284" s="128">
        <v>4338</v>
      </c>
      <c r="E284" s="128">
        <v>3385</v>
      </c>
      <c r="F284" s="128">
        <v>0</v>
      </c>
      <c r="G284" s="128">
        <v>0</v>
      </c>
      <c r="H284" s="128">
        <v>58</v>
      </c>
      <c r="I284" s="128">
        <v>125</v>
      </c>
      <c r="J284" s="128">
        <v>3619</v>
      </c>
      <c r="K284" s="128">
        <v>3581</v>
      </c>
      <c r="L284" s="128">
        <v>477</v>
      </c>
      <c r="M284" s="128">
        <v>317</v>
      </c>
      <c r="N284" s="128">
        <v>947</v>
      </c>
      <c r="O284" s="128">
        <v>173</v>
      </c>
      <c r="P284" s="128">
        <v>3983</v>
      </c>
      <c r="Q284" s="128">
        <f>P284*1.072</f>
        <v>4269.7759999999998</v>
      </c>
      <c r="R284" s="128">
        <v>824</v>
      </c>
      <c r="S284" s="128">
        <f t="shared" si="24"/>
        <v>10186479</v>
      </c>
      <c r="T284" s="128">
        <f t="shared" si="21"/>
        <v>2463479</v>
      </c>
      <c r="U284" s="128">
        <f t="shared" si="22"/>
        <v>2463479</v>
      </c>
      <c r="V284" s="128">
        <v>68476</v>
      </c>
      <c r="W284" s="188">
        <f t="shared" si="23"/>
        <v>3.5975801740755882E-2</v>
      </c>
    </row>
    <row r="285" spans="1:23" x14ac:dyDescent="0.25">
      <c r="A285" t="s">
        <v>523</v>
      </c>
      <c r="B285" t="s">
        <v>433</v>
      </c>
      <c r="C285" s="128">
        <f t="shared" si="20"/>
        <v>5048</v>
      </c>
      <c r="D285" s="128">
        <v>2692</v>
      </c>
      <c r="E285" s="128">
        <v>2356</v>
      </c>
      <c r="F285" s="128">
        <v>0</v>
      </c>
      <c r="G285" s="128">
        <v>0</v>
      </c>
      <c r="H285" s="128">
        <v>42</v>
      </c>
      <c r="I285" s="128">
        <v>62</v>
      </c>
      <c r="J285" s="128">
        <v>2057</v>
      </c>
      <c r="K285" s="128">
        <v>1877</v>
      </c>
      <c r="L285" s="128">
        <v>201</v>
      </c>
      <c r="M285" s="128">
        <v>316</v>
      </c>
      <c r="N285" s="128">
        <v>398</v>
      </c>
      <c r="O285" s="128">
        <v>587</v>
      </c>
      <c r="P285" s="128">
        <v>1579</v>
      </c>
      <c r="Q285" s="128">
        <f>P285*1.09</f>
        <v>1721.1100000000001</v>
      </c>
      <c r="R285" s="128">
        <v>460</v>
      </c>
      <c r="S285" s="128">
        <f t="shared" si="24"/>
        <v>4520691</v>
      </c>
      <c r="T285" s="128">
        <f t="shared" si="21"/>
        <v>-527309</v>
      </c>
      <c r="U285" s="128">
        <f t="shared" si="22"/>
        <v>0</v>
      </c>
      <c r="V285" s="128">
        <v>58751</v>
      </c>
      <c r="W285" s="188">
        <f t="shared" si="23"/>
        <v>-8.9753195690286131E-3</v>
      </c>
    </row>
    <row r="286" spans="1:23" x14ac:dyDescent="0.25">
      <c r="A286" t="s">
        <v>524</v>
      </c>
      <c r="B286" t="s">
        <v>231</v>
      </c>
      <c r="C286" s="128">
        <f t="shared" si="20"/>
        <v>113445</v>
      </c>
      <c r="D286" s="128">
        <v>37231</v>
      </c>
      <c r="E286" s="128">
        <v>76214</v>
      </c>
      <c r="F286" s="128">
        <v>39875</v>
      </c>
      <c r="G286" s="128">
        <v>0</v>
      </c>
      <c r="H286" s="128">
        <v>3914</v>
      </c>
      <c r="I286" s="128">
        <v>994</v>
      </c>
      <c r="J286" s="128">
        <v>40889</v>
      </c>
      <c r="K286" s="128">
        <v>40588</v>
      </c>
      <c r="L286" s="128">
        <v>5048</v>
      </c>
      <c r="M286" s="128">
        <v>1033</v>
      </c>
      <c r="N286" s="128">
        <v>16580</v>
      </c>
      <c r="O286" s="128">
        <v>3245</v>
      </c>
      <c r="P286" s="128">
        <v>50477</v>
      </c>
      <c r="Q286" s="128">
        <f>P286*1.08</f>
        <v>54515.16</v>
      </c>
      <c r="R286" s="128">
        <v>13373</v>
      </c>
      <c r="S286" s="128">
        <f t="shared" si="24"/>
        <v>139696407</v>
      </c>
      <c r="T286" s="128">
        <f t="shared" si="21"/>
        <v>26251407</v>
      </c>
      <c r="U286" s="128">
        <f t="shared" si="22"/>
        <v>26251407</v>
      </c>
      <c r="V286" s="128">
        <v>1455979</v>
      </c>
      <c r="W286" s="188">
        <f t="shared" si="23"/>
        <v>1.8030072549123304E-2</v>
      </c>
    </row>
    <row r="287" spans="1:23" x14ac:dyDescent="0.25">
      <c r="A287" t="s">
        <v>524</v>
      </c>
      <c r="B287" t="s">
        <v>232</v>
      </c>
      <c r="C287" s="128">
        <f t="shared" si="20"/>
        <v>12363</v>
      </c>
      <c r="D287" s="128">
        <v>9499</v>
      </c>
      <c r="E287" s="128">
        <v>2864</v>
      </c>
      <c r="F287" s="128">
        <v>0</v>
      </c>
      <c r="G287" s="128">
        <v>145</v>
      </c>
      <c r="H287" s="128">
        <v>1469</v>
      </c>
      <c r="I287" s="128">
        <v>397</v>
      </c>
      <c r="J287" s="128">
        <v>6362</v>
      </c>
      <c r="K287" s="128">
        <v>6782</v>
      </c>
      <c r="L287" s="128">
        <v>750</v>
      </c>
      <c r="M287" s="128">
        <v>940</v>
      </c>
      <c r="N287" s="128">
        <v>1487</v>
      </c>
      <c r="O287" s="128">
        <v>186</v>
      </c>
      <c r="P287" s="128">
        <v>7904</v>
      </c>
      <c r="Q287" s="128">
        <f>P287*1.08</f>
        <v>8536.32</v>
      </c>
      <c r="R287" s="128">
        <v>880</v>
      </c>
      <c r="S287" s="128">
        <f t="shared" si="24"/>
        <v>17482176</v>
      </c>
      <c r="T287" s="128">
        <f t="shared" si="21"/>
        <v>5119176</v>
      </c>
      <c r="U287" s="128">
        <f t="shared" si="22"/>
        <v>5119176</v>
      </c>
      <c r="V287" s="128">
        <v>119137</v>
      </c>
      <c r="W287" s="188">
        <f t="shared" si="23"/>
        <v>4.2968817411887156E-2</v>
      </c>
    </row>
    <row r="288" spans="1:23" x14ac:dyDescent="0.25">
      <c r="A288" t="s">
        <v>526</v>
      </c>
      <c r="B288" t="s">
        <v>423</v>
      </c>
      <c r="C288" s="128">
        <f t="shared" si="20"/>
        <v>2398</v>
      </c>
      <c r="D288" s="128">
        <v>1842</v>
      </c>
      <c r="E288" s="128">
        <v>556</v>
      </c>
      <c r="F288" s="128">
        <v>727</v>
      </c>
      <c r="G288" s="128">
        <v>0</v>
      </c>
      <c r="H288" s="128">
        <v>1188</v>
      </c>
      <c r="I288" s="128">
        <v>66</v>
      </c>
      <c r="J288" s="128">
        <v>1096</v>
      </c>
      <c r="K288" s="128">
        <v>1675</v>
      </c>
      <c r="L288" s="128">
        <v>134</v>
      </c>
      <c r="M288" s="128">
        <v>0</v>
      </c>
      <c r="N288" s="128">
        <v>155</v>
      </c>
      <c r="O288" s="128">
        <v>48</v>
      </c>
      <c r="P288" s="128">
        <v>1014</v>
      </c>
      <c r="Q288" s="128">
        <f>P288*1.086</f>
        <v>1101.2040000000002</v>
      </c>
      <c r="R288" s="128">
        <v>123</v>
      </c>
      <c r="S288" s="128">
        <f t="shared" si="24"/>
        <v>2279340</v>
      </c>
      <c r="T288" s="128">
        <f t="shared" si="21"/>
        <v>-118660</v>
      </c>
      <c r="U288" s="128">
        <f t="shared" si="22"/>
        <v>0</v>
      </c>
      <c r="V288" s="128">
        <v>30708</v>
      </c>
      <c r="W288" s="188">
        <f t="shared" si="23"/>
        <v>-3.8641396378793799E-3</v>
      </c>
    </row>
    <row r="289" spans="1:23" x14ac:dyDescent="0.25">
      <c r="A289" t="s">
        <v>526</v>
      </c>
      <c r="B289" t="s">
        <v>424</v>
      </c>
      <c r="C289" s="128">
        <f t="shared" si="20"/>
        <v>5354</v>
      </c>
      <c r="D289" s="128">
        <v>3230</v>
      </c>
      <c r="E289" s="128">
        <v>2124</v>
      </c>
      <c r="F289" s="128">
        <v>2928</v>
      </c>
      <c r="G289" s="128">
        <v>200</v>
      </c>
      <c r="H289" s="128">
        <v>2200</v>
      </c>
      <c r="I289" s="128">
        <v>590</v>
      </c>
      <c r="J289" s="128">
        <v>2698</v>
      </c>
      <c r="K289" s="128">
        <v>1067</v>
      </c>
      <c r="L289" s="128">
        <v>202</v>
      </c>
      <c r="M289" s="128">
        <v>152</v>
      </c>
      <c r="N289" s="128">
        <v>266</v>
      </c>
      <c r="O289" s="128">
        <v>384</v>
      </c>
      <c r="P289" s="128">
        <v>1981</v>
      </c>
      <c r="Q289" s="128">
        <f>P289*1.086</f>
        <v>2151.366</v>
      </c>
      <c r="R289" s="128">
        <v>306</v>
      </c>
      <c r="S289" s="128">
        <f t="shared" si="24"/>
        <v>4690737</v>
      </c>
      <c r="T289" s="128">
        <f t="shared" si="21"/>
        <v>-663263</v>
      </c>
      <c r="U289" s="128">
        <f t="shared" si="22"/>
        <v>0</v>
      </c>
      <c r="V289" s="128">
        <v>54526</v>
      </c>
      <c r="W289" s="188">
        <f t="shared" si="23"/>
        <v>-1.2164160217144115E-2</v>
      </c>
    </row>
    <row r="290" spans="1:23" x14ac:dyDescent="0.25">
      <c r="A290" t="s">
        <v>517</v>
      </c>
      <c r="B290" t="s">
        <v>393</v>
      </c>
      <c r="C290" s="128">
        <f t="shared" si="20"/>
        <v>8184</v>
      </c>
      <c r="D290" s="128">
        <v>5458</v>
      </c>
      <c r="E290" s="128">
        <v>2726</v>
      </c>
      <c r="F290" s="128">
        <v>52</v>
      </c>
      <c r="G290" s="128">
        <v>0</v>
      </c>
      <c r="H290" s="128">
        <v>0</v>
      </c>
      <c r="I290" s="128">
        <v>90</v>
      </c>
      <c r="J290" s="128">
        <v>3165</v>
      </c>
      <c r="K290" s="128">
        <v>3873</v>
      </c>
      <c r="L290" s="128">
        <v>269</v>
      </c>
      <c r="M290" s="128">
        <v>188</v>
      </c>
      <c r="N290" s="128">
        <v>570</v>
      </c>
      <c r="O290" s="128">
        <v>174</v>
      </c>
      <c r="P290" s="128">
        <v>4133</v>
      </c>
      <c r="Q290" s="128">
        <f>P290*1.079</f>
        <v>4459.5069999999996</v>
      </c>
      <c r="R290" s="128">
        <v>663</v>
      </c>
      <c r="S290" s="128">
        <f t="shared" si="24"/>
        <v>9875331.0000000019</v>
      </c>
      <c r="T290" s="128">
        <f t="shared" si="21"/>
        <v>1691331.0000000019</v>
      </c>
      <c r="U290" s="128">
        <f t="shared" si="22"/>
        <v>1691331.0000000019</v>
      </c>
      <c r="V290" s="128">
        <v>81205</v>
      </c>
      <c r="W290" s="188">
        <f t="shared" si="23"/>
        <v>2.0827917000184739E-2</v>
      </c>
    </row>
    <row r="291" spans="1:23" x14ac:dyDescent="0.25">
      <c r="A291" t="s">
        <v>525</v>
      </c>
      <c r="B291" t="s">
        <v>126</v>
      </c>
      <c r="C291" s="128">
        <f t="shared" si="20"/>
        <v>7454</v>
      </c>
      <c r="D291" s="128">
        <v>4394</v>
      </c>
      <c r="E291" s="128">
        <v>3060</v>
      </c>
      <c r="F291" s="128">
        <v>0</v>
      </c>
      <c r="G291" s="128">
        <v>0</v>
      </c>
      <c r="H291" s="128">
        <v>0</v>
      </c>
      <c r="I291" s="128">
        <v>0</v>
      </c>
      <c r="J291" s="128">
        <v>1677</v>
      </c>
      <c r="K291" s="128">
        <v>3413</v>
      </c>
      <c r="L291" s="128">
        <v>515</v>
      </c>
      <c r="M291" s="128">
        <v>133</v>
      </c>
      <c r="N291" s="128">
        <v>252</v>
      </c>
      <c r="O291" s="128">
        <v>48</v>
      </c>
      <c r="P291" s="128">
        <v>1903</v>
      </c>
      <c r="Q291" s="128">
        <f>P291*1.108</f>
        <v>2108.5240000000003</v>
      </c>
      <c r="R291" s="128">
        <v>483</v>
      </c>
      <c r="S291" s="128">
        <f t="shared" si="24"/>
        <v>5190021</v>
      </c>
      <c r="T291" s="128">
        <f t="shared" si="21"/>
        <v>-2263979</v>
      </c>
      <c r="U291" s="128">
        <f t="shared" si="22"/>
        <v>0</v>
      </c>
      <c r="V291" s="128">
        <v>100123</v>
      </c>
      <c r="W291" s="188">
        <f t="shared" si="23"/>
        <v>-2.2611977267960409E-2</v>
      </c>
    </row>
    <row r="292" spans="1:23" x14ac:dyDescent="0.25">
      <c r="A292" t="s">
        <v>524</v>
      </c>
      <c r="B292" t="s">
        <v>233</v>
      </c>
      <c r="C292" s="128">
        <f t="shared" si="20"/>
        <v>14271</v>
      </c>
      <c r="D292" s="128">
        <v>7807</v>
      </c>
      <c r="E292" s="128">
        <v>6464</v>
      </c>
      <c r="F292" s="128">
        <v>1747</v>
      </c>
      <c r="G292" s="128">
        <v>262</v>
      </c>
      <c r="H292" s="128">
        <v>0</v>
      </c>
      <c r="I292" s="128">
        <v>1044</v>
      </c>
      <c r="J292" s="128">
        <v>3364</v>
      </c>
      <c r="K292" s="128">
        <v>7615</v>
      </c>
      <c r="L292" s="128">
        <v>1030</v>
      </c>
      <c r="M292" s="128">
        <v>1047</v>
      </c>
      <c r="N292" s="128">
        <v>1840</v>
      </c>
      <c r="O292" s="128">
        <v>128</v>
      </c>
      <c r="P292" s="128">
        <v>7281</v>
      </c>
      <c r="Q292" s="128">
        <f>P292*1.08</f>
        <v>7863.4800000000005</v>
      </c>
      <c r="R292" s="128">
        <v>1512</v>
      </c>
      <c r="S292" s="128">
        <f t="shared" si="24"/>
        <v>18641745</v>
      </c>
      <c r="T292" s="128">
        <f t="shared" si="21"/>
        <v>4370745</v>
      </c>
      <c r="U292" s="128">
        <f t="shared" si="22"/>
        <v>4370745</v>
      </c>
      <c r="V292" s="128">
        <v>197335</v>
      </c>
      <c r="W292" s="188">
        <f t="shared" si="23"/>
        <v>2.2148858540046116E-2</v>
      </c>
    </row>
    <row r="293" spans="1:23" x14ac:dyDescent="0.25">
      <c r="A293" t="s">
        <v>528</v>
      </c>
      <c r="B293" t="s">
        <v>341</v>
      </c>
      <c r="C293" s="128">
        <f t="shared" si="20"/>
        <v>5807</v>
      </c>
      <c r="D293" s="128">
        <v>4158</v>
      </c>
      <c r="E293" s="128">
        <v>1649</v>
      </c>
      <c r="F293" s="128">
        <v>5813</v>
      </c>
      <c r="G293" s="128">
        <v>0</v>
      </c>
      <c r="H293" s="128">
        <v>10325</v>
      </c>
      <c r="I293" s="128">
        <v>136</v>
      </c>
      <c r="J293" s="128">
        <v>2533</v>
      </c>
      <c r="K293" s="128">
        <v>3717</v>
      </c>
      <c r="L293" s="128">
        <v>258</v>
      </c>
      <c r="M293" s="128">
        <v>496</v>
      </c>
      <c r="N293" s="128">
        <v>891</v>
      </c>
      <c r="O293" s="128">
        <v>370</v>
      </c>
      <c r="P293" s="128">
        <v>4074</v>
      </c>
      <c r="Q293" s="128">
        <f>P293*1.08</f>
        <v>4399.92</v>
      </c>
      <c r="R293" s="128">
        <v>752</v>
      </c>
      <c r="S293" s="128">
        <f t="shared" si="24"/>
        <v>10090602</v>
      </c>
      <c r="T293" s="128">
        <f t="shared" si="21"/>
        <v>4283602</v>
      </c>
      <c r="U293" s="128">
        <f t="shared" si="22"/>
        <v>4283602</v>
      </c>
      <c r="V293" s="128">
        <v>72287</v>
      </c>
      <c r="W293" s="188">
        <f t="shared" si="23"/>
        <v>5.9258262204822443E-2</v>
      </c>
    </row>
    <row r="294" spans="1:23" x14ac:dyDescent="0.25">
      <c r="A294" t="s">
        <v>517</v>
      </c>
      <c r="B294" t="s">
        <v>394</v>
      </c>
      <c r="C294" s="128">
        <f t="shared" si="20"/>
        <v>12135</v>
      </c>
      <c r="D294" s="128">
        <v>6694</v>
      </c>
      <c r="E294" s="128">
        <v>5441</v>
      </c>
      <c r="F294" s="128">
        <v>0</v>
      </c>
      <c r="G294" s="128">
        <v>0</v>
      </c>
      <c r="H294" s="128">
        <v>266</v>
      </c>
      <c r="I294" s="128">
        <v>505</v>
      </c>
      <c r="J294" s="128">
        <v>3766</v>
      </c>
      <c r="K294" s="128">
        <v>4324</v>
      </c>
      <c r="L294" s="128">
        <v>527</v>
      </c>
      <c r="M294" s="128">
        <v>132</v>
      </c>
      <c r="N294" s="128">
        <v>1325</v>
      </c>
      <c r="O294" s="128">
        <v>77</v>
      </c>
      <c r="P294" s="128">
        <v>6446</v>
      </c>
      <c r="Q294" s="128">
        <f>P294*1.079</f>
        <v>6955.2339999999995</v>
      </c>
      <c r="R294" s="128">
        <v>1416</v>
      </c>
      <c r="S294" s="128">
        <f t="shared" si="24"/>
        <v>16783902</v>
      </c>
      <c r="T294" s="128">
        <f t="shared" si="21"/>
        <v>4648902</v>
      </c>
      <c r="U294" s="128">
        <f t="shared" si="22"/>
        <v>4648902</v>
      </c>
      <c r="V294" s="128">
        <v>126025</v>
      </c>
      <c r="W294" s="188">
        <f t="shared" si="23"/>
        <v>3.6888728426899428E-2</v>
      </c>
    </row>
    <row r="295" spans="1:23" x14ac:dyDescent="0.25">
      <c r="A295" t="s">
        <v>518</v>
      </c>
      <c r="B295" t="s">
        <v>276</v>
      </c>
      <c r="C295" s="128">
        <f t="shared" si="20"/>
        <v>16572</v>
      </c>
      <c r="D295" s="128">
        <v>8535</v>
      </c>
      <c r="E295" s="128">
        <v>8037</v>
      </c>
      <c r="F295" s="128">
        <v>205</v>
      </c>
      <c r="G295" s="128">
        <v>156</v>
      </c>
      <c r="H295" s="128">
        <v>1030</v>
      </c>
      <c r="I295" s="128">
        <v>418</v>
      </c>
      <c r="J295" s="128">
        <v>5495</v>
      </c>
      <c r="K295" s="128">
        <v>11589</v>
      </c>
      <c r="L295" s="128">
        <v>683</v>
      </c>
      <c r="M295" s="128">
        <v>337</v>
      </c>
      <c r="N295" s="128">
        <v>1760</v>
      </c>
      <c r="O295" s="128">
        <v>108</v>
      </c>
      <c r="P295" s="128">
        <v>8839</v>
      </c>
      <c r="Q295" s="128">
        <f>P295*1.072</f>
        <v>9475.4080000000013</v>
      </c>
      <c r="R295" s="128">
        <v>1590</v>
      </c>
      <c r="S295" s="128">
        <f t="shared" si="24"/>
        <v>21742371.000000004</v>
      </c>
      <c r="T295" s="128">
        <f t="shared" si="21"/>
        <v>5170371.0000000037</v>
      </c>
      <c r="U295" s="128">
        <f t="shared" si="22"/>
        <v>5170371.0000000037</v>
      </c>
      <c r="V295" s="128">
        <v>184103</v>
      </c>
      <c r="W295" s="188">
        <f t="shared" si="23"/>
        <v>2.8084121388570547E-2</v>
      </c>
    </row>
    <row r="296" spans="1:23" x14ac:dyDescent="0.25">
      <c r="A296" t="s">
        <v>526</v>
      </c>
      <c r="B296" t="s">
        <v>425</v>
      </c>
      <c r="C296" s="128">
        <f t="shared" si="20"/>
        <v>39613</v>
      </c>
      <c r="D296" s="128">
        <v>18770</v>
      </c>
      <c r="E296" s="128">
        <v>20843</v>
      </c>
      <c r="F296" s="128">
        <v>2919</v>
      </c>
      <c r="G296" s="128">
        <v>399</v>
      </c>
      <c r="H296" s="128">
        <v>1937</v>
      </c>
      <c r="I296" s="128">
        <v>778</v>
      </c>
      <c r="J296" s="128">
        <v>8027</v>
      </c>
      <c r="K296" s="128">
        <v>10612</v>
      </c>
      <c r="L296" s="128">
        <v>1463</v>
      </c>
      <c r="M296" s="128">
        <v>389</v>
      </c>
      <c r="N296" s="128">
        <v>3644</v>
      </c>
      <c r="O296" s="128">
        <v>1340</v>
      </c>
      <c r="P296" s="128">
        <v>10163</v>
      </c>
      <c r="Q296" s="128">
        <f>P296*1.086</f>
        <v>11037.018</v>
      </c>
      <c r="R296" s="128">
        <v>3550</v>
      </c>
      <c r="S296" s="128">
        <f t="shared" si="24"/>
        <v>31228767</v>
      </c>
      <c r="T296" s="128">
        <f t="shared" si="21"/>
        <v>-8384233</v>
      </c>
      <c r="U296" s="128">
        <f t="shared" si="22"/>
        <v>0</v>
      </c>
      <c r="V296" s="128">
        <v>427524</v>
      </c>
      <c r="W296" s="188">
        <f t="shared" si="23"/>
        <v>-1.9611139959394092E-2</v>
      </c>
    </row>
    <row r="297" spans="1:23" x14ac:dyDescent="0.25">
      <c r="A297" t="s">
        <v>526</v>
      </c>
      <c r="B297" t="s">
        <v>426</v>
      </c>
      <c r="C297" s="128">
        <f t="shared" si="20"/>
        <v>14860</v>
      </c>
      <c r="D297" s="128">
        <v>6415</v>
      </c>
      <c r="E297" s="128">
        <v>8445</v>
      </c>
      <c r="F297" s="128">
        <v>392</v>
      </c>
      <c r="G297" s="128">
        <v>90</v>
      </c>
      <c r="H297" s="128">
        <v>467</v>
      </c>
      <c r="I297" s="128">
        <v>125</v>
      </c>
      <c r="J297" s="128">
        <v>4375</v>
      </c>
      <c r="K297" s="128">
        <v>4466</v>
      </c>
      <c r="L297" s="128">
        <v>465</v>
      </c>
      <c r="M297" s="128">
        <v>20</v>
      </c>
      <c r="N297" s="128">
        <v>946</v>
      </c>
      <c r="O297" s="128">
        <v>549</v>
      </c>
      <c r="P297" s="128">
        <v>4422</v>
      </c>
      <c r="Q297" s="128">
        <f>P297*1.086</f>
        <v>4802.2920000000004</v>
      </c>
      <c r="R297" s="128">
        <v>1655</v>
      </c>
      <c r="S297" s="128">
        <f t="shared" si="24"/>
        <v>13987188</v>
      </c>
      <c r="T297" s="128">
        <f t="shared" si="21"/>
        <v>-872812</v>
      </c>
      <c r="U297" s="128">
        <f t="shared" si="22"/>
        <v>0</v>
      </c>
      <c r="V297" s="128">
        <v>125546</v>
      </c>
      <c r="W297" s="188">
        <f t="shared" si="23"/>
        <v>-6.9521291000908033E-3</v>
      </c>
    </row>
    <row r="298" spans="1:23" x14ac:dyDescent="0.25">
      <c r="A298" t="s">
        <v>524</v>
      </c>
      <c r="B298" t="s">
        <v>605</v>
      </c>
      <c r="C298" s="128">
        <f t="shared" si="20"/>
        <v>12975</v>
      </c>
      <c r="D298" s="128">
        <v>7736</v>
      </c>
      <c r="E298" s="128">
        <v>5239</v>
      </c>
      <c r="F298" s="128">
        <v>509</v>
      </c>
      <c r="G298" s="128">
        <v>0</v>
      </c>
      <c r="H298" s="128">
        <v>215</v>
      </c>
      <c r="I298" s="128">
        <v>545</v>
      </c>
      <c r="J298" s="128">
        <v>5483</v>
      </c>
      <c r="K298" s="128">
        <v>7723</v>
      </c>
      <c r="L298" s="128">
        <v>0</v>
      </c>
      <c r="M298" s="128">
        <v>874</v>
      </c>
      <c r="N298" s="128">
        <v>2302</v>
      </c>
      <c r="O298" s="128">
        <v>1054</v>
      </c>
      <c r="P298" s="128">
        <v>6205</v>
      </c>
      <c r="Q298" s="128">
        <f>P298*1.08</f>
        <v>6701.4000000000005</v>
      </c>
      <c r="R298" s="128">
        <v>1265</v>
      </c>
      <c r="S298" s="128">
        <f t="shared" si="24"/>
        <v>15801615</v>
      </c>
      <c r="T298" s="128">
        <f t="shared" si="21"/>
        <v>2826615</v>
      </c>
      <c r="U298" s="128">
        <f t="shared" si="22"/>
        <v>2826615</v>
      </c>
      <c r="V298" s="128">
        <v>151480</v>
      </c>
      <c r="W298" s="188">
        <f t="shared" si="23"/>
        <v>1.86599881172432E-2</v>
      </c>
    </row>
    <row r="299" spans="1:23" x14ac:dyDescent="0.25">
      <c r="A299" t="s">
        <v>521</v>
      </c>
      <c r="B299" s="86" t="s">
        <v>320</v>
      </c>
      <c r="C299" s="128">
        <f t="shared" si="20"/>
        <v>18621</v>
      </c>
      <c r="D299" s="128">
        <v>14995</v>
      </c>
      <c r="E299" s="128">
        <v>3626</v>
      </c>
      <c r="F299" s="128">
        <v>2561</v>
      </c>
      <c r="G299" s="128">
        <v>24</v>
      </c>
      <c r="H299" s="128">
        <v>329</v>
      </c>
      <c r="I299" s="128">
        <v>297</v>
      </c>
      <c r="J299" s="128">
        <v>6073</v>
      </c>
      <c r="K299" s="128">
        <v>11343</v>
      </c>
      <c r="L299" s="128">
        <v>763</v>
      </c>
      <c r="M299" s="128">
        <v>811</v>
      </c>
      <c r="N299" s="128">
        <v>1135</v>
      </c>
      <c r="O299" s="128">
        <v>23</v>
      </c>
      <c r="P299" s="128">
        <v>7120</v>
      </c>
      <c r="Q299" s="128">
        <f>P299*1.083</f>
        <v>7710.96</v>
      </c>
      <c r="R299" s="128">
        <v>1405</v>
      </c>
      <c r="S299" s="128">
        <f t="shared" si="24"/>
        <v>17963370</v>
      </c>
      <c r="T299" s="128">
        <f t="shared" si="21"/>
        <v>-657630</v>
      </c>
      <c r="U299" s="128">
        <f t="shared" si="22"/>
        <v>0</v>
      </c>
      <c r="V299" s="128">
        <v>262321</v>
      </c>
      <c r="W299" s="188">
        <f t="shared" si="23"/>
        <v>-2.5069666553573676E-3</v>
      </c>
    </row>
    <row r="300" spans="1:23" x14ac:dyDescent="0.25">
      <c r="A300" t="s">
        <v>520</v>
      </c>
      <c r="B300" t="s">
        <v>139</v>
      </c>
      <c r="C300" s="128">
        <f t="shared" si="20"/>
        <v>631</v>
      </c>
      <c r="D300" s="128">
        <v>293</v>
      </c>
      <c r="E300" s="128">
        <v>338</v>
      </c>
      <c r="F300" s="128">
        <v>0</v>
      </c>
      <c r="G300" s="128">
        <v>0</v>
      </c>
      <c r="H300" s="128">
        <v>1927</v>
      </c>
      <c r="I300" s="128">
        <v>16</v>
      </c>
      <c r="J300" s="128">
        <v>204</v>
      </c>
      <c r="K300" s="128">
        <v>504</v>
      </c>
      <c r="L300" s="128">
        <v>108</v>
      </c>
      <c r="M300" s="128">
        <v>15</v>
      </c>
      <c r="N300" s="128">
        <v>52</v>
      </c>
      <c r="O300" s="128">
        <v>0</v>
      </c>
      <c r="P300" s="128">
        <v>382</v>
      </c>
      <c r="Q300" s="128">
        <f>P300*1.08</f>
        <v>412.56</v>
      </c>
      <c r="R300" s="128">
        <v>86</v>
      </c>
      <c r="S300" s="128">
        <f t="shared" si="24"/>
        <v>1002186</v>
      </c>
      <c r="T300" s="128">
        <f t="shared" si="21"/>
        <v>371186</v>
      </c>
      <c r="U300" s="128">
        <f t="shared" si="22"/>
        <v>371186</v>
      </c>
      <c r="V300" s="128">
        <v>7989</v>
      </c>
      <c r="W300" s="188">
        <f t="shared" si="23"/>
        <v>4.6462135436224808E-2</v>
      </c>
    </row>
    <row r="301" spans="1:23" x14ac:dyDescent="0.25">
      <c r="A301" t="s">
        <v>528</v>
      </c>
      <c r="B301" t="s">
        <v>342</v>
      </c>
      <c r="C301" s="128">
        <f t="shared" si="20"/>
        <v>13317</v>
      </c>
      <c r="D301" s="128">
        <v>5944</v>
      </c>
      <c r="E301" s="128">
        <v>7373</v>
      </c>
      <c r="F301" s="128">
        <v>3108</v>
      </c>
      <c r="G301" s="128">
        <v>99</v>
      </c>
      <c r="H301" s="128">
        <v>866</v>
      </c>
      <c r="I301" s="128">
        <v>323</v>
      </c>
      <c r="J301" s="128">
        <v>6729</v>
      </c>
      <c r="K301" s="128">
        <v>7017</v>
      </c>
      <c r="L301" s="128">
        <v>528</v>
      </c>
      <c r="M301" s="128">
        <v>518</v>
      </c>
      <c r="N301" s="128">
        <v>2206</v>
      </c>
      <c r="O301" s="128">
        <v>304</v>
      </c>
      <c r="P301" s="128">
        <v>3831</v>
      </c>
      <c r="Q301" s="128">
        <f>P301*1.08</f>
        <v>4137.4800000000005</v>
      </c>
      <c r="R301" s="128">
        <v>1182</v>
      </c>
      <c r="S301" s="128">
        <f t="shared" si="24"/>
        <v>11206755.000000002</v>
      </c>
      <c r="T301" s="128">
        <f t="shared" si="21"/>
        <v>-2110244.9999999981</v>
      </c>
      <c r="U301" s="128">
        <f t="shared" si="22"/>
        <v>0</v>
      </c>
      <c r="V301" s="128">
        <v>243751</v>
      </c>
      <c r="W301" s="188">
        <f t="shared" si="23"/>
        <v>-8.6573798671595124E-3</v>
      </c>
    </row>
    <row r="302" spans="1:23" x14ac:dyDescent="0.25">
      <c r="A302" t="s">
        <v>526</v>
      </c>
      <c r="B302" t="s">
        <v>427</v>
      </c>
      <c r="C302" s="128">
        <f t="shared" si="20"/>
        <v>2857</v>
      </c>
      <c r="D302" s="128">
        <v>2337</v>
      </c>
      <c r="E302" s="128">
        <v>520</v>
      </c>
      <c r="F302" s="128">
        <v>0</v>
      </c>
      <c r="G302" s="128">
        <v>0</v>
      </c>
      <c r="H302" s="128">
        <v>61</v>
      </c>
      <c r="I302" s="128">
        <v>71</v>
      </c>
      <c r="J302" s="128">
        <v>1718</v>
      </c>
      <c r="K302" s="128">
        <v>1415</v>
      </c>
      <c r="L302" s="128">
        <v>130</v>
      </c>
      <c r="M302" s="128">
        <v>17</v>
      </c>
      <c r="N302" s="128">
        <v>132</v>
      </c>
      <c r="O302" s="128">
        <v>58</v>
      </c>
      <c r="P302" s="128">
        <v>1439</v>
      </c>
      <c r="Q302" s="128">
        <f>P302*1.086</f>
        <v>1562.7540000000001</v>
      </c>
      <c r="R302" s="128">
        <v>126</v>
      </c>
      <c r="S302" s="128">
        <f t="shared" si="24"/>
        <v>3059019</v>
      </c>
      <c r="T302" s="128">
        <f t="shared" si="21"/>
        <v>202019</v>
      </c>
      <c r="U302" s="128">
        <f t="shared" si="22"/>
        <v>202019</v>
      </c>
      <c r="V302" s="128">
        <v>26977</v>
      </c>
      <c r="W302" s="188">
        <f t="shared" si="23"/>
        <v>7.488564332579605E-3</v>
      </c>
    </row>
    <row r="303" spans="1:23" x14ac:dyDescent="0.25">
      <c r="A303" t="s">
        <v>521</v>
      </c>
      <c r="B303" t="s">
        <v>321</v>
      </c>
      <c r="C303" s="128">
        <f t="shared" si="20"/>
        <v>7122</v>
      </c>
      <c r="D303" s="128">
        <v>6071</v>
      </c>
      <c r="E303" s="128">
        <v>1051</v>
      </c>
      <c r="F303" s="128">
        <v>0</v>
      </c>
      <c r="G303" s="128">
        <v>27</v>
      </c>
      <c r="H303" s="128">
        <v>161</v>
      </c>
      <c r="I303" s="128">
        <v>220</v>
      </c>
      <c r="J303" s="128">
        <v>2717</v>
      </c>
      <c r="K303" s="128">
        <v>3470</v>
      </c>
      <c r="L303" s="128">
        <v>299</v>
      </c>
      <c r="M303" s="128">
        <v>314</v>
      </c>
      <c r="N303" s="128">
        <v>594</v>
      </c>
      <c r="O303" s="128">
        <v>84</v>
      </c>
      <c r="P303" s="128">
        <v>4186</v>
      </c>
      <c r="Q303" s="128">
        <f>P303*1.083</f>
        <v>4533.4380000000001</v>
      </c>
      <c r="R303" s="128">
        <v>304</v>
      </c>
      <c r="S303" s="128">
        <f t="shared" si="24"/>
        <v>8672346.0000000019</v>
      </c>
      <c r="T303" s="128">
        <f t="shared" si="21"/>
        <v>1550346.0000000019</v>
      </c>
      <c r="U303" s="128">
        <f t="shared" si="22"/>
        <v>1550346.0000000019</v>
      </c>
      <c r="V303" s="128">
        <v>57901</v>
      </c>
      <c r="W303" s="188">
        <f t="shared" si="23"/>
        <v>2.6775806980881191E-2</v>
      </c>
    </row>
    <row r="304" spans="1:23" x14ac:dyDescent="0.25">
      <c r="A304" t="s">
        <v>519</v>
      </c>
      <c r="B304" s="86" t="s">
        <v>205</v>
      </c>
      <c r="C304" s="128">
        <f t="shared" si="20"/>
        <v>5931</v>
      </c>
      <c r="D304" s="128">
        <v>0</v>
      </c>
      <c r="E304" s="128">
        <v>5931</v>
      </c>
      <c r="F304" s="128">
        <v>0</v>
      </c>
      <c r="G304" s="128">
        <v>0</v>
      </c>
      <c r="H304" s="128">
        <v>188</v>
      </c>
      <c r="I304" s="128">
        <v>110</v>
      </c>
      <c r="J304" s="128">
        <v>2381</v>
      </c>
      <c r="K304" s="128">
        <v>1924</v>
      </c>
      <c r="L304" s="128">
        <v>289</v>
      </c>
      <c r="M304" s="128">
        <v>205</v>
      </c>
      <c r="N304" s="128">
        <v>907</v>
      </c>
      <c r="O304" s="128">
        <v>177</v>
      </c>
      <c r="P304" s="128">
        <v>3194</v>
      </c>
      <c r="Q304" s="128">
        <f>P304*1.08</f>
        <v>3449.5200000000004</v>
      </c>
      <c r="R304" s="128">
        <v>680</v>
      </c>
      <c r="S304" s="128">
        <f t="shared" si="24"/>
        <v>8238186.0000000009</v>
      </c>
      <c r="T304" s="128">
        <f t="shared" si="21"/>
        <v>2307186.0000000009</v>
      </c>
      <c r="U304" s="128">
        <f t="shared" si="22"/>
        <v>2307186.0000000009</v>
      </c>
      <c r="V304" s="128">
        <v>63344</v>
      </c>
      <c r="W304" s="188">
        <f t="shared" si="23"/>
        <v>3.6423118211669631E-2</v>
      </c>
    </row>
    <row r="305" spans="1:23" x14ac:dyDescent="0.25">
      <c r="A305" t="s">
        <v>517</v>
      </c>
      <c r="B305" t="s">
        <v>395</v>
      </c>
      <c r="C305" s="128">
        <v>9331.2166363254437</v>
      </c>
      <c r="D305" s="128">
        <v>6246.5011903094801</v>
      </c>
      <c r="E305" s="128">
        <v>3084.7154460159641</v>
      </c>
      <c r="F305" s="128">
        <v>0</v>
      </c>
      <c r="G305" s="128">
        <v>0</v>
      </c>
      <c r="H305" s="128">
        <v>368.36409466461282</v>
      </c>
      <c r="I305" s="128">
        <v>31.015614059655512</v>
      </c>
      <c r="J305" s="128">
        <v>4275.6452177566171</v>
      </c>
      <c r="K305" s="128">
        <v>3127.0014703822994</v>
      </c>
      <c r="L305" s="128">
        <v>474.76508892312</v>
      </c>
      <c r="M305" s="128">
        <v>14</v>
      </c>
      <c r="N305" s="128">
        <v>1200.1291835877328</v>
      </c>
      <c r="O305" s="128">
        <v>198.16608318162722</v>
      </c>
      <c r="P305" s="128">
        <v>5240.4500770200248</v>
      </c>
      <c r="Q305" s="128">
        <v>5497.7512793726364</v>
      </c>
      <c r="R305" s="128">
        <v>801.8062596275031</v>
      </c>
      <c r="S305" s="128">
        <f t="shared" si="24"/>
        <v>12380909.236661533</v>
      </c>
      <c r="T305" s="128">
        <v>3515150.4753919635</v>
      </c>
      <c r="U305" s="128">
        <v>3515150.4753919635</v>
      </c>
      <c r="V305" s="128">
        <v>78890.168463800583</v>
      </c>
      <c r="W305" s="188">
        <f t="shared" si="23"/>
        <v>4.455752274131497E-2</v>
      </c>
    </row>
    <row r="306" spans="1:23" x14ac:dyDescent="0.25">
      <c r="A306" t="s">
        <v>520</v>
      </c>
      <c r="B306" t="s">
        <v>606</v>
      </c>
      <c r="C306" s="128">
        <f t="shared" si="20"/>
        <v>7633</v>
      </c>
      <c r="D306" s="128">
        <v>5192</v>
      </c>
      <c r="E306" s="128">
        <v>2441</v>
      </c>
      <c r="F306" s="128">
        <v>560</v>
      </c>
      <c r="G306" s="128">
        <v>0</v>
      </c>
      <c r="H306" s="128">
        <v>0</v>
      </c>
      <c r="I306" s="128">
        <v>122</v>
      </c>
      <c r="J306" s="128">
        <v>5571</v>
      </c>
      <c r="K306" s="128">
        <v>5507</v>
      </c>
      <c r="L306" s="128">
        <v>557</v>
      </c>
      <c r="M306" s="128">
        <v>234</v>
      </c>
      <c r="N306" s="128">
        <v>729</v>
      </c>
      <c r="O306" s="128">
        <v>91</v>
      </c>
      <c r="P306" s="128">
        <v>3524</v>
      </c>
      <c r="Q306" s="128">
        <f>P306*1.08</f>
        <v>3805.92</v>
      </c>
      <c r="R306" s="128">
        <v>750</v>
      </c>
      <c r="S306" s="128">
        <f t="shared" si="24"/>
        <v>9088416</v>
      </c>
      <c r="T306" s="128">
        <f t="shared" si="21"/>
        <v>1455416</v>
      </c>
      <c r="U306" s="128">
        <f t="shared" si="22"/>
        <v>1455416</v>
      </c>
      <c r="V306" s="128">
        <v>136819</v>
      </c>
      <c r="W306" s="188">
        <f t="shared" si="23"/>
        <v>1.0637528413451348E-2</v>
      </c>
    </row>
    <row r="307" spans="1:23" x14ac:dyDescent="0.25">
      <c r="A307" t="s">
        <v>517</v>
      </c>
      <c r="B307" t="s">
        <v>396</v>
      </c>
      <c r="C307" s="128">
        <f t="shared" si="20"/>
        <v>3920</v>
      </c>
      <c r="D307" s="128">
        <v>3207</v>
      </c>
      <c r="E307" s="128">
        <v>713</v>
      </c>
      <c r="F307" s="128">
        <v>0</v>
      </c>
      <c r="G307" s="128">
        <v>43</v>
      </c>
      <c r="H307" s="128">
        <v>175</v>
      </c>
      <c r="I307" s="128">
        <v>0</v>
      </c>
      <c r="J307" s="128">
        <v>1610</v>
      </c>
      <c r="K307" s="128">
        <v>1513</v>
      </c>
      <c r="L307" s="128">
        <v>199</v>
      </c>
      <c r="M307" s="128">
        <v>0</v>
      </c>
      <c r="N307" s="128">
        <v>800</v>
      </c>
      <c r="O307" s="128">
        <v>12</v>
      </c>
      <c r="P307" s="128">
        <v>2724</v>
      </c>
      <c r="Q307" s="128">
        <f>P307*1.079</f>
        <v>2939.1959999999999</v>
      </c>
      <c r="R307" s="128">
        <v>229</v>
      </c>
      <c r="S307" s="128">
        <f t="shared" si="24"/>
        <v>5756238.0000000009</v>
      </c>
      <c r="T307" s="128">
        <f t="shared" si="21"/>
        <v>1836238.0000000009</v>
      </c>
      <c r="U307" s="128">
        <f t="shared" si="22"/>
        <v>1836238.0000000009</v>
      </c>
      <c r="V307" s="128">
        <v>34545</v>
      </c>
      <c r="W307" s="188">
        <f t="shared" si="23"/>
        <v>5.3154957302069789E-2</v>
      </c>
    </row>
    <row r="308" spans="1:23" x14ac:dyDescent="0.25">
      <c r="A308" t="s">
        <v>517</v>
      </c>
      <c r="B308" t="s">
        <v>397</v>
      </c>
      <c r="C308" s="128">
        <f t="shared" si="20"/>
        <v>12923</v>
      </c>
      <c r="D308" s="128">
        <v>6177</v>
      </c>
      <c r="E308" s="128">
        <v>6746</v>
      </c>
      <c r="F308" s="128">
        <v>655</v>
      </c>
      <c r="G308" s="128">
        <v>0</v>
      </c>
      <c r="H308" s="128">
        <v>617</v>
      </c>
      <c r="I308" s="128">
        <v>308</v>
      </c>
      <c r="J308" s="128">
        <v>3607</v>
      </c>
      <c r="K308" s="128">
        <v>3829</v>
      </c>
      <c r="L308" s="128">
        <v>830</v>
      </c>
      <c r="M308" s="128">
        <v>322</v>
      </c>
      <c r="N308" s="128">
        <v>1382</v>
      </c>
      <c r="O308" s="128">
        <v>197</v>
      </c>
      <c r="P308" s="128">
        <v>5475</v>
      </c>
      <c r="Q308" s="128">
        <f>P308*1.079</f>
        <v>5907.5249999999996</v>
      </c>
      <c r="R308" s="128">
        <v>1686</v>
      </c>
      <c r="S308" s="128">
        <f t="shared" si="24"/>
        <v>16004223</v>
      </c>
      <c r="T308" s="128">
        <f t="shared" si="21"/>
        <v>3081223</v>
      </c>
      <c r="U308" s="128">
        <f t="shared" si="22"/>
        <v>3081223</v>
      </c>
      <c r="V308" s="128">
        <v>158592</v>
      </c>
      <c r="W308" s="188">
        <f t="shared" si="23"/>
        <v>1.9428615566989507E-2</v>
      </c>
    </row>
    <row r="309" spans="1:23" x14ac:dyDescent="0.25">
      <c r="A309" t="s">
        <v>521</v>
      </c>
      <c r="B309" t="s">
        <v>322</v>
      </c>
      <c r="C309" s="128">
        <f t="shared" si="20"/>
        <v>7881</v>
      </c>
      <c r="D309" s="128">
        <v>3977</v>
      </c>
      <c r="E309" s="128">
        <v>3904</v>
      </c>
      <c r="F309" s="128">
        <v>0</v>
      </c>
      <c r="G309" s="128">
        <v>0</v>
      </c>
      <c r="H309" s="128">
        <v>27</v>
      </c>
      <c r="I309" s="128">
        <v>0</v>
      </c>
      <c r="J309" s="128">
        <v>2377</v>
      </c>
      <c r="K309" s="128">
        <v>3766</v>
      </c>
      <c r="L309" s="128">
        <v>288</v>
      </c>
      <c r="M309" s="128">
        <v>300</v>
      </c>
      <c r="N309" s="128">
        <v>850</v>
      </c>
      <c r="O309" s="128">
        <v>60</v>
      </c>
      <c r="P309" s="128">
        <v>3288</v>
      </c>
      <c r="Q309" s="128">
        <f>P309*1.083</f>
        <v>3560.904</v>
      </c>
      <c r="R309" s="128">
        <v>841</v>
      </c>
      <c r="S309" s="128">
        <f t="shared" si="24"/>
        <v>8990730.0000000019</v>
      </c>
      <c r="T309" s="128">
        <f t="shared" si="21"/>
        <v>1109730.0000000019</v>
      </c>
      <c r="U309" s="128">
        <f t="shared" si="22"/>
        <v>1109730.0000000019</v>
      </c>
      <c r="V309" s="128">
        <v>93807</v>
      </c>
      <c r="W309" s="188">
        <f t="shared" si="23"/>
        <v>1.1829927404138303E-2</v>
      </c>
    </row>
    <row r="310" spans="1:23" x14ac:dyDescent="0.25">
      <c r="A310" t="s">
        <v>519</v>
      </c>
      <c r="B310" t="s">
        <v>206</v>
      </c>
      <c r="C310" s="128">
        <f t="shared" si="20"/>
        <v>11681</v>
      </c>
      <c r="D310" s="128">
        <v>6197</v>
      </c>
      <c r="E310" s="128">
        <v>5484</v>
      </c>
      <c r="F310" s="128">
        <v>1222</v>
      </c>
      <c r="G310" s="128">
        <v>0</v>
      </c>
      <c r="H310" s="128">
        <v>231</v>
      </c>
      <c r="I310" s="128">
        <v>307</v>
      </c>
      <c r="J310" s="128">
        <v>1872</v>
      </c>
      <c r="K310" s="128">
        <v>5093</v>
      </c>
      <c r="L310" s="128">
        <v>465</v>
      </c>
      <c r="M310" s="128">
        <v>421</v>
      </c>
      <c r="N310" s="128">
        <v>1200</v>
      </c>
      <c r="O310" s="128">
        <v>1592</v>
      </c>
      <c r="P310" s="128">
        <v>4271</v>
      </c>
      <c r="Q310" s="128">
        <f>P310*1.08</f>
        <v>4612.68</v>
      </c>
      <c r="R310" s="128">
        <v>890</v>
      </c>
      <c r="S310" s="128">
        <f t="shared" si="24"/>
        <v>10946259</v>
      </c>
      <c r="T310" s="128">
        <f t="shared" si="21"/>
        <v>-734741</v>
      </c>
      <c r="U310" s="128">
        <f t="shared" si="22"/>
        <v>0</v>
      </c>
      <c r="V310" s="128">
        <v>105305</v>
      </c>
      <c r="W310" s="188">
        <f t="shared" si="23"/>
        <v>-6.977266036750392E-3</v>
      </c>
    </row>
    <row r="311" spans="1:23" x14ac:dyDescent="0.25">
      <c r="A311" t="s">
        <v>521</v>
      </c>
      <c r="B311" t="s">
        <v>323</v>
      </c>
      <c r="C311" s="128">
        <f t="shared" si="20"/>
        <v>10678</v>
      </c>
      <c r="D311" s="128">
        <v>7786</v>
      </c>
      <c r="E311" s="128">
        <v>2892</v>
      </c>
      <c r="F311" s="128">
        <v>0</v>
      </c>
      <c r="G311" s="128">
        <v>46</v>
      </c>
      <c r="H311" s="128">
        <v>1176</v>
      </c>
      <c r="I311" s="128">
        <v>276</v>
      </c>
      <c r="J311" s="128">
        <v>2655</v>
      </c>
      <c r="K311" s="128">
        <v>4629</v>
      </c>
      <c r="L311" s="128">
        <v>404</v>
      </c>
      <c r="M311" s="128">
        <v>50</v>
      </c>
      <c r="N311" s="128">
        <v>1245</v>
      </c>
      <c r="O311" s="128">
        <v>91</v>
      </c>
      <c r="P311" s="128">
        <v>7298</v>
      </c>
      <c r="Q311" s="128">
        <f>P311*1.083</f>
        <v>7903.7339999999995</v>
      </c>
      <c r="R311" s="128">
        <v>609</v>
      </c>
      <c r="S311" s="128">
        <f t="shared" si="24"/>
        <v>15405444.000000002</v>
      </c>
      <c r="T311" s="128">
        <f t="shared" si="21"/>
        <v>4727444.0000000019</v>
      </c>
      <c r="U311" s="128">
        <f t="shared" si="22"/>
        <v>4727444.0000000019</v>
      </c>
      <c r="V311" s="128">
        <v>62253</v>
      </c>
      <c r="W311" s="188">
        <f t="shared" si="23"/>
        <v>7.5939215780765609E-2</v>
      </c>
    </row>
    <row r="312" spans="1:23" x14ac:dyDescent="0.25">
      <c r="A312" t="s">
        <v>518</v>
      </c>
      <c r="B312" t="s">
        <v>277</v>
      </c>
      <c r="C312" s="128">
        <f t="shared" ref="C312:C346" si="25">SUM(D312:E312)</f>
        <v>3901</v>
      </c>
      <c r="D312" s="128">
        <v>3110</v>
      </c>
      <c r="E312" s="128">
        <v>791</v>
      </c>
      <c r="F312" s="128">
        <v>364</v>
      </c>
      <c r="G312" s="128">
        <v>0</v>
      </c>
      <c r="H312" s="128">
        <v>746</v>
      </c>
      <c r="I312" s="128">
        <v>92</v>
      </c>
      <c r="J312" s="128">
        <v>1222</v>
      </c>
      <c r="K312" s="128">
        <v>1847</v>
      </c>
      <c r="L312" s="128">
        <v>227</v>
      </c>
      <c r="M312" s="128">
        <v>204</v>
      </c>
      <c r="N312" s="128">
        <v>827</v>
      </c>
      <c r="O312" s="128">
        <v>162</v>
      </c>
      <c r="P312" s="128">
        <v>2799</v>
      </c>
      <c r="Q312" s="128">
        <f>P312*1.072</f>
        <v>3000.5280000000002</v>
      </c>
      <c r="R312" s="128">
        <v>176</v>
      </c>
      <c r="S312" s="128">
        <f t="shared" si="24"/>
        <v>5700159</v>
      </c>
      <c r="T312" s="128">
        <f t="shared" si="21"/>
        <v>1799159</v>
      </c>
      <c r="U312" s="128">
        <f t="shared" si="22"/>
        <v>1799159</v>
      </c>
      <c r="V312" s="128">
        <v>43432</v>
      </c>
      <c r="W312" s="188">
        <f t="shared" si="23"/>
        <v>4.1424732915822438E-2</v>
      </c>
    </row>
    <row r="313" spans="1:23" x14ac:dyDescent="0.25">
      <c r="A313" t="s">
        <v>526</v>
      </c>
      <c r="B313" t="s">
        <v>428</v>
      </c>
      <c r="C313" s="128">
        <f t="shared" si="25"/>
        <v>10938</v>
      </c>
      <c r="D313" s="128">
        <v>6669</v>
      </c>
      <c r="E313" s="128">
        <v>4269</v>
      </c>
      <c r="F313" s="128">
        <v>3058</v>
      </c>
      <c r="G313" s="128">
        <v>121</v>
      </c>
      <c r="H313" s="128">
        <v>1332</v>
      </c>
      <c r="I313" s="128">
        <v>414</v>
      </c>
      <c r="J313" s="128">
        <v>5223</v>
      </c>
      <c r="K313" s="128">
        <v>6527</v>
      </c>
      <c r="L313" s="128">
        <v>612</v>
      </c>
      <c r="M313" s="128">
        <v>0</v>
      </c>
      <c r="N313" s="128">
        <v>1550</v>
      </c>
      <c r="O313" s="128">
        <v>731</v>
      </c>
      <c r="P313" s="128">
        <v>5741</v>
      </c>
      <c r="Q313" s="128">
        <f>P313*1.086</f>
        <v>6234.7260000000006</v>
      </c>
      <c r="R313" s="128">
        <v>1270</v>
      </c>
      <c r="S313" s="128">
        <f t="shared" si="24"/>
        <v>14980329.000000002</v>
      </c>
      <c r="T313" s="128">
        <f t="shared" si="21"/>
        <v>4042329.0000000019</v>
      </c>
      <c r="U313" s="128">
        <f t="shared" si="22"/>
        <v>4042329.0000000019</v>
      </c>
      <c r="V313" s="128">
        <v>154394</v>
      </c>
      <c r="W313" s="188">
        <f t="shared" si="23"/>
        <v>2.6181904737230734E-2</v>
      </c>
    </row>
    <row r="314" spans="1:23" x14ac:dyDescent="0.25">
      <c r="A314" t="s">
        <v>518</v>
      </c>
      <c r="B314" s="86" t="s">
        <v>278</v>
      </c>
      <c r="C314" s="128">
        <f t="shared" si="25"/>
        <v>4458</v>
      </c>
      <c r="D314" s="128">
        <v>2550</v>
      </c>
      <c r="E314" s="128">
        <v>1908</v>
      </c>
      <c r="F314" s="128">
        <v>1127</v>
      </c>
      <c r="G314" s="128">
        <v>0</v>
      </c>
      <c r="H314" s="128">
        <v>0</v>
      </c>
      <c r="I314" s="128">
        <v>876</v>
      </c>
      <c r="J314" s="128">
        <v>2135</v>
      </c>
      <c r="K314" s="128">
        <v>2464</v>
      </c>
      <c r="L314" s="128">
        <v>378</v>
      </c>
      <c r="M314" s="128">
        <v>176</v>
      </c>
      <c r="N314" s="128">
        <v>1370</v>
      </c>
      <c r="O314" s="128">
        <v>107</v>
      </c>
      <c r="P314" s="128">
        <v>3153</v>
      </c>
      <c r="Q314" s="128">
        <f>P314*1.072</f>
        <v>3380.0160000000001</v>
      </c>
      <c r="R314" s="128">
        <v>459</v>
      </c>
      <c r="S314" s="128">
        <f t="shared" si="24"/>
        <v>7364439</v>
      </c>
      <c r="T314" s="128">
        <f t="shared" si="21"/>
        <v>2906439</v>
      </c>
      <c r="U314" s="128">
        <f t="shared" si="22"/>
        <v>2906439</v>
      </c>
      <c r="V314" s="128">
        <v>50725</v>
      </c>
      <c r="W314" s="188">
        <f t="shared" si="23"/>
        <v>5.7297959586002957E-2</v>
      </c>
    </row>
    <row r="315" spans="1:23" x14ac:dyDescent="0.25">
      <c r="A315" t="s">
        <v>519</v>
      </c>
      <c r="B315" s="86" t="s">
        <v>607</v>
      </c>
      <c r="C315" s="128">
        <f t="shared" si="25"/>
        <v>13328</v>
      </c>
      <c r="D315" s="128">
        <v>7756</v>
      </c>
      <c r="E315" s="128">
        <v>5572</v>
      </c>
      <c r="F315" s="128">
        <v>222</v>
      </c>
      <c r="G315" s="128">
        <v>0</v>
      </c>
      <c r="H315" s="128">
        <v>152</v>
      </c>
      <c r="I315" s="128">
        <v>39</v>
      </c>
      <c r="J315" s="128">
        <v>7554</v>
      </c>
      <c r="K315" s="128">
        <v>5746</v>
      </c>
      <c r="L315" s="128">
        <v>595</v>
      </c>
      <c r="M315" s="128">
        <v>722</v>
      </c>
      <c r="N315" s="128">
        <v>1326</v>
      </c>
      <c r="O315" s="128">
        <v>318</v>
      </c>
      <c r="P315" s="128">
        <v>5736</v>
      </c>
      <c r="Q315" s="128">
        <f>P315*1.08</f>
        <v>6194.88</v>
      </c>
      <c r="R315" s="128">
        <v>1272</v>
      </c>
      <c r="S315" s="128">
        <f t="shared" si="24"/>
        <v>14978520.000000002</v>
      </c>
      <c r="T315" s="128">
        <f t="shared" ref="T315:T347" si="26">SUM(S315,-C315*1000)</f>
        <v>1650520.0000000019</v>
      </c>
      <c r="U315" s="128">
        <f t="shared" ref="U315:U347" si="27">IF(T315&lt;0,0,T315)</f>
        <v>1650520.0000000019</v>
      </c>
      <c r="V315" s="128">
        <v>128560</v>
      </c>
      <c r="W315" s="188">
        <f t="shared" si="23"/>
        <v>1.2838518979464857E-2</v>
      </c>
    </row>
    <row r="316" spans="1:23" x14ac:dyDescent="0.25">
      <c r="A316" t="s">
        <v>519</v>
      </c>
      <c r="B316" t="s">
        <v>207</v>
      </c>
      <c r="C316" s="128">
        <f t="shared" si="25"/>
        <v>3888</v>
      </c>
      <c r="D316" s="128">
        <v>2367</v>
      </c>
      <c r="E316" s="128">
        <v>1521</v>
      </c>
      <c r="F316" s="128">
        <v>0</v>
      </c>
      <c r="G316" s="128">
        <v>0</v>
      </c>
      <c r="H316" s="128">
        <v>139</v>
      </c>
      <c r="I316" s="128">
        <v>76</v>
      </c>
      <c r="J316" s="128">
        <v>2452</v>
      </c>
      <c r="K316" s="128">
        <v>1455</v>
      </c>
      <c r="L316" s="128">
        <v>170</v>
      </c>
      <c r="M316" s="128">
        <v>14</v>
      </c>
      <c r="N316" s="128">
        <v>802</v>
      </c>
      <c r="O316" s="128">
        <v>125</v>
      </c>
      <c r="P316" s="128">
        <v>2133</v>
      </c>
      <c r="Q316" s="128">
        <f>P316*1.08</f>
        <v>2303.6400000000003</v>
      </c>
      <c r="R316" s="128">
        <v>373</v>
      </c>
      <c r="S316" s="128">
        <f t="shared" si="24"/>
        <v>5208111.0000000009</v>
      </c>
      <c r="T316" s="128">
        <f t="shared" si="26"/>
        <v>1320111.0000000009</v>
      </c>
      <c r="U316" s="128">
        <f t="shared" si="27"/>
        <v>1320111.0000000009</v>
      </c>
      <c r="V316" s="128">
        <v>42367</v>
      </c>
      <c r="W316" s="188">
        <f t="shared" ref="W316:W347" si="28">T316/(V316*1000)</f>
        <v>3.1158944461491277E-2</v>
      </c>
    </row>
    <row r="317" spans="1:23" x14ac:dyDescent="0.25">
      <c r="A317" t="s">
        <v>525</v>
      </c>
      <c r="B317" t="s">
        <v>608</v>
      </c>
      <c r="C317" s="128">
        <f t="shared" si="25"/>
        <v>14711</v>
      </c>
      <c r="D317" s="128">
        <v>9156</v>
      </c>
      <c r="E317" s="128">
        <v>5555</v>
      </c>
      <c r="F317" s="128">
        <v>0</v>
      </c>
      <c r="G317" s="128">
        <v>0</v>
      </c>
      <c r="H317" s="128">
        <v>0</v>
      </c>
      <c r="I317" s="128">
        <v>27</v>
      </c>
      <c r="J317" s="128">
        <v>6052</v>
      </c>
      <c r="K317" s="128">
        <v>8387</v>
      </c>
      <c r="L317" s="128">
        <v>971</v>
      </c>
      <c r="M317" s="128">
        <v>542</v>
      </c>
      <c r="N317" s="128">
        <v>1280</v>
      </c>
      <c r="O317" s="128">
        <v>52</v>
      </c>
      <c r="P317" s="128">
        <v>5787</v>
      </c>
      <c r="Q317" s="128">
        <f>P317*1.108</f>
        <v>6411.996000000001</v>
      </c>
      <c r="R317" s="128">
        <v>1277</v>
      </c>
      <c r="S317" s="128">
        <f t="shared" si="24"/>
        <v>15088869</v>
      </c>
      <c r="T317" s="128">
        <f t="shared" si="26"/>
        <v>377869</v>
      </c>
      <c r="U317" s="128">
        <f t="shared" si="27"/>
        <v>377869</v>
      </c>
      <c r="V317" s="128">
        <v>160359</v>
      </c>
      <c r="W317" s="188">
        <f t="shared" si="28"/>
        <v>2.35639409075886E-3</v>
      </c>
    </row>
    <row r="318" spans="1:23" x14ac:dyDescent="0.25">
      <c r="A318" t="s">
        <v>516</v>
      </c>
      <c r="B318" t="s">
        <v>116</v>
      </c>
      <c r="C318" s="128">
        <f t="shared" si="25"/>
        <v>3915</v>
      </c>
      <c r="D318" s="128">
        <v>2795</v>
      </c>
      <c r="E318" s="128">
        <v>1120</v>
      </c>
      <c r="F318" s="128">
        <v>0</v>
      </c>
      <c r="G318" s="128">
        <v>0</v>
      </c>
      <c r="H318" s="128">
        <v>1953</v>
      </c>
      <c r="I318" s="128">
        <v>0</v>
      </c>
      <c r="J318" s="128">
        <v>2066</v>
      </c>
      <c r="K318" s="128">
        <v>1804</v>
      </c>
      <c r="L318" s="128">
        <v>283</v>
      </c>
      <c r="M318" s="128">
        <v>233</v>
      </c>
      <c r="N318" s="128">
        <v>409</v>
      </c>
      <c r="O318" s="128">
        <v>68</v>
      </c>
      <c r="P318" s="128">
        <v>2458</v>
      </c>
      <c r="Q318" s="128">
        <f>P318*1.079</f>
        <v>2652.1819999999998</v>
      </c>
      <c r="R318" s="128">
        <v>417</v>
      </c>
      <c r="S318" s="128">
        <f t="shared" si="24"/>
        <v>5955228</v>
      </c>
      <c r="T318" s="128">
        <f t="shared" si="26"/>
        <v>2040228</v>
      </c>
      <c r="U318" s="128">
        <f t="shared" si="27"/>
        <v>2040228</v>
      </c>
      <c r="V318" s="128">
        <v>52822</v>
      </c>
      <c r="W318" s="188">
        <f t="shared" si="28"/>
        <v>3.862458823974859E-2</v>
      </c>
    </row>
    <row r="319" spans="1:23" x14ac:dyDescent="0.25">
      <c r="A319" t="s">
        <v>519</v>
      </c>
      <c r="B319" t="s">
        <v>208</v>
      </c>
      <c r="C319" s="128">
        <f t="shared" si="25"/>
        <v>3037</v>
      </c>
      <c r="D319" s="128">
        <v>2556</v>
      </c>
      <c r="E319" s="128">
        <v>481</v>
      </c>
      <c r="F319" s="128">
        <v>0</v>
      </c>
      <c r="G319" s="128">
        <v>0</v>
      </c>
      <c r="H319" s="128">
        <v>0</v>
      </c>
      <c r="I319" s="128">
        <v>260</v>
      </c>
      <c r="J319" s="128">
        <v>1590</v>
      </c>
      <c r="K319" s="128">
        <v>1544</v>
      </c>
      <c r="L319" s="128">
        <v>187</v>
      </c>
      <c r="M319" s="128">
        <v>52</v>
      </c>
      <c r="N319" s="128">
        <v>86</v>
      </c>
      <c r="O319" s="128">
        <v>44</v>
      </c>
      <c r="P319" s="128">
        <v>1474</v>
      </c>
      <c r="Q319" s="128">
        <f>P319*1.08</f>
        <v>1591.92</v>
      </c>
      <c r="R319" s="128">
        <v>112</v>
      </c>
      <c r="S319" s="128">
        <f t="shared" si="24"/>
        <v>3071682</v>
      </c>
      <c r="T319" s="128">
        <f t="shared" si="26"/>
        <v>34682</v>
      </c>
      <c r="U319" s="128">
        <f t="shared" si="27"/>
        <v>34682</v>
      </c>
      <c r="V319" s="128">
        <v>39274</v>
      </c>
      <c r="W319" s="188">
        <f t="shared" si="28"/>
        <v>8.8307786321739569E-4</v>
      </c>
    </row>
    <row r="320" spans="1:23" x14ac:dyDescent="0.25">
      <c r="A320" t="s">
        <v>525</v>
      </c>
      <c r="B320" t="s">
        <v>609</v>
      </c>
      <c r="C320" s="128">
        <f t="shared" si="25"/>
        <v>5911</v>
      </c>
      <c r="D320" s="128">
        <v>5286</v>
      </c>
      <c r="E320" s="128">
        <v>625</v>
      </c>
      <c r="F320" s="128">
        <v>0</v>
      </c>
      <c r="G320" s="128">
        <v>0</v>
      </c>
      <c r="H320" s="128">
        <v>349</v>
      </c>
      <c r="I320" s="128">
        <v>0</v>
      </c>
      <c r="J320" s="128">
        <v>3741</v>
      </c>
      <c r="K320" s="128">
        <v>3460</v>
      </c>
      <c r="L320" s="128">
        <v>214</v>
      </c>
      <c r="M320" s="128">
        <v>105</v>
      </c>
      <c r="N320" s="128">
        <v>333</v>
      </c>
      <c r="O320" s="128">
        <v>40</v>
      </c>
      <c r="P320" s="128">
        <v>2032</v>
      </c>
      <c r="Q320" s="128">
        <f>P320*1.108</f>
        <v>2251.4560000000001</v>
      </c>
      <c r="R320" s="128">
        <v>519</v>
      </c>
      <c r="S320" s="128">
        <f t="shared" si="24"/>
        <v>5553630</v>
      </c>
      <c r="T320" s="128">
        <f t="shared" si="26"/>
        <v>-357370</v>
      </c>
      <c r="U320" s="128">
        <f t="shared" si="27"/>
        <v>0</v>
      </c>
      <c r="V320" s="128">
        <v>91315</v>
      </c>
      <c r="W320" s="188">
        <f t="shared" si="28"/>
        <v>-3.9135957947763235E-3</v>
      </c>
    </row>
    <row r="321" spans="1:23" x14ac:dyDescent="0.25">
      <c r="A321" t="s">
        <v>521</v>
      </c>
      <c r="B321" t="s">
        <v>324</v>
      </c>
      <c r="C321" s="128">
        <f t="shared" si="25"/>
        <v>31450</v>
      </c>
      <c r="D321" s="128">
        <v>14458</v>
      </c>
      <c r="E321" s="128">
        <v>16992</v>
      </c>
      <c r="F321" s="128">
        <v>0</v>
      </c>
      <c r="G321" s="128">
        <v>466</v>
      </c>
      <c r="H321" s="128">
        <v>385</v>
      </c>
      <c r="I321" s="128">
        <v>132</v>
      </c>
      <c r="J321" s="128">
        <v>14642</v>
      </c>
      <c r="K321" s="128">
        <v>14849</v>
      </c>
      <c r="L321" s="128">
        <v>1065</v>
      </c>
      <c r="M321" s="128">
        <v>1038</v>
      </c>
      <c r="N321" s="128">
        <v>4468</v>
      </c>
      <c r="O321" s="128">
        <v>397</v>
      </c>
      <c r="P321" s="128">
        <v>13923</v>
      </c>
      <c r="Q321" s="128">
        <f>P321*1.083</f>
        <v>15078.609</v>
      </c>
      <c r="R321" s="128">
        <v>5211</v>
      </c>
      <c r="S321" s="128">
        <f t="shared" si="24"/>
        <v>44040105.000000007</v>
      </c>
      <c r="T321" s="128">
        <f t="shared" si="26"/>
        <v>12590105.000000007</v>
      </c>
      <c r="U321" s="128">
        <f t="shared" si="27"/>
        <v>12590105.000000007</v>
      </c>
      <c r="V321" s="128">
        <v>293516</v>
      </c>
      <c r="W321" s="188">
        <f t="shared" si="28"/>
        <v>4.2894101173360254E-2</v>
      </c>
    </row>
    <row r="322" spans="1:23" x14ac:dyDescent="0.25">
      <c r="A322" t="s">
        <v>520</v>
      </c>
      <c r="B322" t="s">
        <v>140</v>
      </c>
      <c r="C322" s="128">
        <f t="shared" si="25"/>
        <v>4859</v>
      </c>
      <c r="D322" s="128">
        <v>3029</v>
      </c>
      <c r="E322" s="128">
        <v>1830</v>
      </c>
      <c r="F322" s="128">
        <v>0</v>
      </c>
      <c r="G322" s="128">
        <v>0</v>
      </c>
      <c r="H322" s="128">
        <v>200</v>
      </c>
      <c r="I322" s="128">
        <v>95</v>
      </c>
      <c r="J322" s="128">
        <v>2048</v>
      </c>
      <c r="K322" s="128">
        <v>3131</v>
      </c>
      <c r="L322" s="128">
        <v>273</v>
      </c>
      <c r="M322" s="128">
        <v>91</v>
      </c>
      <c r="N322" s="128">
        <v>600</v>
      </c>
      <c r="O322" s="128">
        <v>96</v>
      </c>
      <c r="P322" s="128">
        <v>2352</v>
      </c>
      <c r="Q322" s="128">
        <f>P322*1.08</f>
        <v>2540.1600000000003</v>
      </c>
      <c r="R322" s="128">
        <v>515</v>
      </c>
      <c r="S322" s="128">
        <f t="shared" si="24"/>
        <v>6118038</v>
      </c>
      <c r="T322" s="128">
        <f t="shared" si="26"/>
        <v>1259038</v>
      </c>
      <c r="U322" s="128">
        <f t="shared" si="27"/>
        <v>1259038</v>
      </c>
      <c r="V322" s="128">
        <v>79576</v>
      </c>
      <c r="W322" s="188">
        <f t="shared" si="28"/>
        <v>1.582183070272444E-2</v>
      </c>
    </row>
    <row r="323" spans="1:23" x14ac:dyDescent="0.25">
      <c r="A323" t="s">
        <v>521</v>
      </c>
      <c r="B323" t="s">
        <v>325</v>
      </c>
      <c r="C323" s="128">
        <f t="shared" si="25"/>
        <v>3034</v>
      </c>
      <c r="D323" s="128">
        <v>2635</v>
      </c>
      <c r="E323" s="128">
        <v>399</v>
      </c>
      <c r="F323" s="128">
        <v>426</v>
      </c>
      <c r="G323" s="128">
        <v>0</v>
      </c>
      <c r="H323" s="128">
        <v>1006</v>
      </c>
      <c r="I323" s="128">
        <v>101</v>
      </c>
      <c r="J323" s="128">
        <v>2240</v>
      </c>
      <c r="K323" s="128">
        <v>2138</v>
      </c>
      <c r="L323" s="128">
        <v>205</v>
      </c>
      <c r="M323" s="128">
        <v>374</v>
      </c>
      <c r="N323" s="128">
        <v>658</v>
      </c>
      <c r="O323" s="128">
        <v>36</v>
      </c>
      <c r="P323" s="128">
        <v>2445</v>
      </c>
      <c r="Q323" s="128">
        <f>P323*1.083</f>
        <v>2647.9349999999999</v>
      </c>
      <c r="R323" s="128">
        <v>281</v>
      </c>
      <c r="S323" s="128">
        <f t="shared" ref="S323:S346" si="29">SUM(P323,R323,R323)*0.1809%*1000000</f>
        <v>5439663</v>
      </c>
      <c r="T323" s="128">
        <f t="shared" si="26"/>
        <v>2405663</v>
      </c>
      <c r="U323" s="128">
        <f t="shared" si="27"/>
        <v>2405663</v>
      </c>
      <c r="V323" s="128">
        <v>44997</v>
      </c>
      <c r="W323" s="188">
        <f t="shared" si="28"/>
        <v>5.3462741960575148E-2</v>
      </c>
    </row>
    <row r="324" spans="1:23" x14ac:dyDescent="0.25">
      <c r="A324" t="s">
        <v>522</v>
      </c>
      <c r="B324" t="s">
        <v>162</v>
      </c>
      <c r="C324" s="128">
        <f t="shared" si="25"/>
        <v>4696</v>
      </c>
      <c r="D324" s="128">
        <v>3403</v>
      </c>
      <c r="E324" s="128">
        <v>1293</v>
      </c>
      <c r="F324" s="128">
        <v>0</v>
      </c>
      <c r="G324" s="128">
        <v>0</v>
      </c>
      <c r="H324" s="128">
        <v>324</v>
      </c>
      <c r="I324" s="128">
        <v>60</v>
      </c>
      <c r="J324" s="128">
        <v>3065</v>
      </c>
      <c r="K324" s="128">
        <v>1764</v>
      </c>
      <c r="L324" s="128">
        <v>310</v>
      </c>
      <c r="M324" s="128">
        <v>295</v>
      </c>
      <c r="N324" s="128">
        <v>605</v>
      </c>
      <c r="O324" s="128">
        <v>104</v>
      </c>
      <c r="P324" s="128">
        <v>2692</v>
      </c>
      <c r="Q324" s="128">
        <f>P324*1.083</f>
        <v>2915.4359999999997</v>
      </c>
      <c r="R324" s="128">
        <v>437</v>
      </c>
      <c r="S324" s="128">
        <f t="shared" si="29"/>
        <v>6450894</v>
      </c>
      <c r="T324" s="128">
        <f t="shared" si="26"/>
        <v>1754894</v>
      </c>
      <c r="U324" s="128">
        <f t="shared" si="27"/>
        <v>1754894</v>
      </c>
      <c r="V324" s="128">
        <v>57002</v>
      </c>
      <c r="W324" s="188">
        <f t="shared" si="28"/>
        <v>3.0786533805831375E-2</v>
      </c>
    </row>
    <row r="325" spans="1:23" x14ac:dyDescent="0.25">
      <c r="A325" t="s">
        <v>519</v>
      </c>
      <c r="B325" t="s">
        <v>209</v>
      </c>
      <c r="C325" s="128">
        <f t="shared" si="25"/>
        <v>9442</v>
      </c>
      <c r="D325" s="128">
        <v>5954</v>
      </c>
      <c r="E325" s="128">
        <v>3488</v>
      </c>
      <c r="F325" s="128">
        <v>0</v>
      </c>
      <c r="G325" s="128">
        <v>385</v>
      </c>
      <c r="H325" s="128">
        <v>49</v>
      </c>
      <c r="I325" s="128">
        <v>336</v>
      </c>
      <c r="J325" s="128">
        <v>4080</v>
      </c>
      <c r="K325" s="128">
        <v>4412</v>
      </c>
      <c r="L325" s="128">
        <v>440</v>
      </c>
      <c r="M325" s="128">
        <v>0</v>
      </c>
      <c r="N325" s="128">
        <v>865</v>
      </c>
      <c r="O325" s="128">
        <v>294</v>
      </c>
      <c r="P325" s="128">
        <v>4656</v>
      </c>
      <c r="Q325" s="128">
        <f>P325*1.08</f>
        <v>5028.4800000000005</v>
      </c>
      <c r="R325" s="128">
        <v>831</v>
      </c>
      <c r="S325" s="128">
        <f t="shared" si="29"/>
        <v>11429262</v>
      </c>
      <c r="T325" s="128">
        <f t="shared" si="26"/>
        <v>1987262</v>
      </c>
      <c r="U325" s="128">
        <f t="shared" si="27"/>
        <v>1987262</v>
      </c>
      <c r="V325" s="128">
        <v>101353</v>
      </c>
      <c r="W325" s="188">
        <f t="shared" si="28"/>
        <v>1.9607332787386657E-2</v>
      </c>
    </row>
    <row r="326" spans="1:23" x14ac:dyDescent="0.25">
      <c r="A326" t="s">
        <v>518</v>
      </c>
      <c r="B326" t="s">
        <v>279</v>
      </c>
      <c r="C326" s="128">
        <f t="shared" si="25"/>
        <v>7551</v>
      </c>
      <c r="D326" s="128">
        <v>6214</v>
      </c>
      <c r="E326" s="128">
        <v>1337</v>
      </c>
      <c r="F326" s="128">
        <v>0</v>
      </c>
      <c r="G326" s="128">
        <v>0</v>
      </c>
      <c r="H326" s="128">
        <v>724</v>
      </c>
      <c r="I326" s="128">
        <v>188</v>
      </c>
      <c r="J326" s="128">
        <v>2940</v>
      </c>
      <c r="K326" s="128">
        <v>0</v>
      </c>
      <c r="L326" s="128">
        <v>206</v>
      </c>
      <c r="M326" s="128">
        <v>320</v>
      </c>
      <c r="N326" s="128">
        <v>722</v>
      </c>
      <c r="O326" s="128">
        <v>89</v>
      </c>
      <c r="P326" s="128">
        <v>4500</v>
      </c>
      <c r="Q326" s="128">
        <f>P326*1.072</f>
        <v>4824</v>
      </c>
      <c r="R326" s="128">
        <v>450</v>
      </c>
      <c r="S326" s="128">
        <f t="shared" si="29"/>
        <v>9768600.0000000019</v>
      </c>
      <c r="T326" s="128">
        <f t="shared" si="26"/>
        <v>2217600.0000000019</v>
      </c>
      <c r="U326" s="128">
        <f t="shared" si="27"/>
        <v>2217600.0000000019</v>
      </c>
      <c r="V326" s="128">
        <v>51501</v>
      </c>
      <c r="W326" s="188">
        <f t="shared" si="28"/>
        <v>4.3059358070717112E-2</v>
      </c>
    </row>
    <row r="327" spans="1:23" x14ac:dyDescent="0.25">
      <c r="A327" t="s">
        <v>524</v>
      </c>
      <c r="B327" t="s">
        <v>234</v>
      </c>
      <c r="C327" s="128">
        <f t="shared" si="25"/>
        <v>5428</v>
      </c>
      <c r="D327" s="128">
        <v>4148</v>
      </c>
      <c r="E327" s="128">
        <v>1280</v>
      </c>
      <c r="F327" s="128">
        <v>0</v>
      </c>
      <c r="G327" s="128">
        <v>0</v>
      </c>
      <c r="H327" s="128">
        <v>0</v>
      </c>
      <c r="I327" s="128">
        <v>154</v>
      </c>
      <c r="J327" s="128">
        <v>2385</v>
      </c>
      <c r="K327" s="128">
        <v>3008</v>
      </c>
      <c r="L327" s="128">
        <v>314</v>
      </c>
      <c r="M327" s="128">
        <v>171</v>
      </c>
      <c r="N327" s="128">
        <v>609</v>
      </c>
      <c r="O327" s="128">
        <v>190</v>
      </c>
      <c r="P327" s="128">
        <v>2868</v>
      </c>
      <c r="Q327" s="128">
        <f>P327*1.08</f>
        <v>3097.44</v>
      </c>
      <c r="R327" s="128">
        <v>291</v>
      </c>
      <c r="S327" s="128">
        <f t="shared" si="29"/>
        <v>6241050</v>
      </c>
      <c r="T327" s="128">
        <f t="shared" si="26"/>
        <v>813050</v>
      </c>
      <c r="U327" s="128">
        <f t="shared" si="27"/>
        <v>813050</v>
      </c>
      <c r="V327" s="128">
        <v>55273</v>
      </c>
      <c r="W327" s="188">
        <f t="shared" si="28"/>
        <v>1.4709713603386826E-2</v>
      </c>
    </row>
    <row r="328" spans="1:23" x14ac:dyDescent="0.25">
      <c r="A328" t="s">
        <v>519</v>
      </c>
      <c r="B328" t="s">
        <v>210</v>
      </c>
      <c r="C328" s="128">
        <f t="shared" si="25"/>
        <v>6042</v>
      </c>
      <c r="D328" s="128">
        <v>3266</v>
      </c>
      <c r="E328" s="128">
        <v>2776</v>
      </c>
      <c r="F328" s="128">
        <v>0</v>
      </c>
      <c r="G328" s="128">
        <v>0</v>
      </c>
      <c r="H328" s="128">
        <v>919</v>
      </c>
      <c r="I328" s="128">
        <v>0</v>
      </c>
      <c r="J328" s="128">
        <v>3977</v>
      </c>
      <c r="K328" s="128">
        <v>2577</v>
      </c>
      <c r="L328" s="128">
        <v>321</v>
      </c>
      <c r="M328" s="128">
        <v>202</v>
      </c>
      <c r="N328" s="128">
        <v>391</v>
      </c>
      <c r="O328" s="128">
        <v>217</v>
      </c>
      <c r="P328" s="128">
        <v>2694</v>
      </c>
      <c r="Q328" s="128">
        <f>P328*1.08</f>
        <v>2909.52</v>
      </c>
      <c r="R328" s="128">
        <v>717</v>
      </c>
      <c r="S328" s="128">
        <f t="shared" si="29"/>
        <v>7467552</v>
      </c>
      <c r="T328" s="128">
        <f t="shared" si="26"/>
        <v>1425552</v>
      </c>
      <c r="U328" s="128">
        <f t="shared" si="27"/>
        <v>1425552</v>
      </c>
      <c r="V328" s="128">
        <v>102471</v>
      </c>
      <c r="W328" s="188">
        <f t="shared" si="28"/>
        <v>1.3911760400503558E-2</v>
      </c>
    </row>
    <row r="329" spans="1:23" x14ac:dyDescent="0.25">
      <c r="A329" t="s">
        <v>517</v>
      </c>
      <c r="B329" t="s">
        <v>398</v>
      </c>
      <c r="C329" s="128">
        <f t="shared" si="25"/>
        <v>4947</v>
      </c>
      <c r="D329" s="128">
        <v>2993</v>
      </c>
      <c r="E329" s="128">
        <v>1954</v>
      </c>
      <c r="F329" s="128">
        <v>0</v>
      </c>
      <c r="G329" s="128">
        <v>0</v>
      </c>
      <c r="H329" s="128">
        <v>688</v>
      </c>
      <c r="I329" s="128">
        <v>108</v>
      </c>
      <c r="J329" s="128">
        <v>2026</v>
      </c>
      <c r="K329" s="128">
        <v>2552</v>
      </c>
      <c r="L329" s="128">
        <v>286</v>
      </c>
      <c r="M329" s="128">
        <v>74</v>
      </c>
      <c r="N329" s="128">
        <v>523</v>
      </c>
      <c r="O329" s="128">
        <v>105</v>
      </c>
      <c r="P329" s="128">
        <v>2501</v>
      </c>
      <c r="Q329" s="128">
        <f>P329*1.079</f>
        <v>2698.5789999999997</v>
      </c>
      <c r="R329" s="128">
        <v>621</v>
      </c>
      <c r="S329" s="128">
        <f t="shared" si="29"/>
        <v>6771087.0000000009</v>
      </c>
      <c r="T329" s="128">
        <f t="shared" si="26"/>
        <v>1824087.0000000009</v>
      </c>
      <c r="U329" s="128">
        <f t="shared" si="27"/>
        <v>1824087.0000000009</v>
      </c>
      <c r="V329" s="128">
        <v>50116</v>
      </c>
      <c r="W329" s="188">
        <f t="shared" si="28"/>
        <v>3.6397298268018213E-2</v>
      </c>
    </row>
    <row r="330" spans="1:23" x14ac:dyDescent="0.25">
      <c r="A330" t="s">
        <v>524</v>
      </c>
      <c r="B330" t="s">
        <v>235</v>
      </c>
      <c r="C330" s="128">
        <f t="shared" si="25"/>
        <v>13418</v>
      </c>
      <c r="D330" s="128">
        <v>8437</v>
      </c>
      <c r="E330" s="128">
        <v>4981</v>
      </c>
      <c r="F330" s="128">
        <v>1978</v>
      </c>
      <c r="G330" s="128">
        <v>200</v>
      </c>
      <c r="H330" s="128">
        <v>94</v>
      </c>
      <c r="I330" s="128">
        <v>198</v>
      </c>
      <c r="J330" s="128">
        <v>5663</v>
      </c>
      <c r="K330" s="128">
        <v>5254</v>
      </c>
      <c r="L330" s="128">
        <v>687</v>
      </c>
      <c r="M330" s="128">
        <v>666</v>
      </c>
      <c r="N330" s="128">
        <v>1212</v>
      </c>
      <c r="O330" s="128">
        <v>303</v>
      </c>
      <c r="P330" s="128">
        <v>6735</v>
      </c>
      <c r="Q330" s="128">
        <f>P330*1.08</f>
        <v>7273.8</v>
      </c>
      <c r="R330" s="128">
        <v>1123</v>
      </c>
      <c r="S330" s="128">
        <f t="shared" si="29"/>
        <v>16246629.000000002</v>
      </c>
      <c r="T330" s="128">
        <f t="shared" si="26"/>
        <v>2828629.0000000019</v>
      </c>
      <c r="U330" s="128">
        <f t="shared" si="27"/>
        <v>2828629.0000000019</v>
      </c>
      <c r="V330" s="128">
        <v>137060</v>
      </c>
      <c r="W330" s="188">
        <f t="shared" si="28"/>
        <v>2.0637888515978416E-2</v>
      </c>
    </row>
    <row r="331" spans="1:23" x14ac:dyDescent="0.25">
      <c r="A331" t="s">
        <v>518</v>
      </c>
      <c r="B331" t="s">
        <v>280</v>
      </c>
      <c r="C331" s="128">
        <f t="shared" si="25"/>
        <v>3577</v>
      </c>
      <c r="D331" s="128">
        <v>2585</v>
      </c>
      <c r="E331" s="128">
        <v>992</v>
      </c>
      <c r="F331" s="128">
        <v>0</v>
      </c>
      <c r="G331" s="128">
        <v>0</v>
      </c>
      <c r="H331" s="128">
        <v>32</v>
      </c>
      <c r="I331" s="128">
        <v>104</v>
      </c>
      <c r="J331" s="128">
        <v>1834</v>
      </c>
      <c r="K331" s="128">
        <v>2361</v>
      </c>
      <c r="L331" s="128">
        <v>213</v>
      </c>
      <c r="M331" s="128">
        <v>75</v>
      </c>
      <c r="N331" s="128">
        <v>776</v>
      </c>
      <c r="O331" s="128">
        <v>37</v>
      </c>
      <c r="P331" s="128">
        <v>2085</v>
      </c>
      <c r="Q331" s="128">
        <f>P331*1.072</f>
        <v>2235.1200000000003</v>
      </c>
      <c r="R331" s="128">
        <v>281</v>
      </c>
      <c r="S331" s="128">
        <f t="shared" si="29"/>
        <v>4788423</v>
      </c>
      <c r="T331" s="128">
        <f t="shared" si="26"/>
        <v>1211423</v>
      </c>
      <c r="U331" s="128">
        <f t="shared" si="27"/>
        <v>1211423</v>
      </c>
      <c r="V331" s="128">
        <v>37579</v>
      </c>
      <c r="W331" s="188">
        <f t="shared" si="28"/>
        <v>3.2236701349157772E-2</v>
      </c>
    </row>
    <row r="332" spans="1:23" x14ac:dyDescent="0.25">
      <c r="A332" t="s">
        <v>524</v>
      </c>
      <c r="B332" t="s">
        <v>236</v>
      </c>
      <c r="C332" s="128">
        <f t="shared" si="25"/>
        <v>2697</v>
      </c>
      <c r="D332" s="128">
        <v>2425</v>
      </c>
      <c r="E332" s="128">
        <v>272</v>
      </c>
      <c r="F332" s="128">
        <v>0</v>
      </c>
      <c r="G332" s="128">
        <v>23</v>
      </c>
      <c r="H332" s="128">
        <v>236</v>
      </c>
      <c r="I332" s="128">
        <v>65</v>
      </c>
      <c r="J332" s="128">
        <v>1292</v>
      </c>
      <c r="K332" s="128">
        <v>1591</v>
      </c>
      <c r="L332" s="128">
        <v>170</v>
      </c>
      <c r="M332" s="128">
        <v>0</v>
      </c>
      <c r="N332" s="128">
        <v>321</v>
      </c>
      <c r="O332" s="128">
        <v>11</v>
      </c>
      <c r="P332" s="128">
        <v>1650</v>
      </c>
      <c r="Q332" s="128">
        <f>P332*1.08</f>
        <v>1782.0000000000002</v>
      </c>
      <c r="R332" s="128">
        <v>244</v>
      </c>
      <c r="S332" s="128">
        <f t="shared" si="29"/>
        <v>3867642</v>
      </c>
      <c r="T332" s="128">
        <f t="shared" si="26"/>
        <v>1170642</v>
      </c>
      <c r="U332" s="128">
        <f t="shared" si="27"/>
        <v>1170642</v>
      </c>
      <c r="V332" s="128">
        <v>47961</v>
      </c>
      <c r="W332" s="188">
        <f t="shared" si="28"/>
        <v>2.4408206667917685E-2</v>
      </c>
    </row>
    <row r="333" spans="1:23" x14ac:dyDescent="0.25">
      <c r="A333" t="s">
        <v>518</v>
      </c>
      <c r="B333" t="s">
        <v>281</v>
      </c>
      <c r="C333" s="128">
        <f t="shared" si="25"/>
        <v>36606</v>
      </c>
      <c r="D333" s="128">
        <v>19402</v>
      </c>
      <c r="E333" s="128">
        <v>17204</v>
      </c>
      <c r="F333" s="128">
        <v>4595</v>
      </c>
      <c r="G333" s="128">
        <v>182</v>
      </c>
      <c r="H333" s="128">
        <v>998</v>
      </c>
      <c r="I333" s="128">
        <v>1034</v>
      </c>
      <c r="J333" s="128">
        <v>22288</v>
      </c>
      <c r="K333" s="128">
        <v>22724</v>
      </c>
      <c r="L333" s="128">
        <v>1804</v>
      </c>
      <c r="M333" s="128">
        <v>1064</v>
      </c>
      <c r="N333" s="128">
        <v>5786</v>
      </c>
      <c r="O333" s="128">
        <v>1812</v>
      </c>
      <c r="P333" s="128">
        <v>17550</v>
      </c>
      <c r="Q333" s="128">
        <f>P333*1.072</f>
        <v>18813.600000000002</v>
      </c>
      <c r="R333" s="128">
        <v>3182</v>
      </c>
      <c r="S333" s="128">
        <f t="shared" si="29"/>
        <v>43260426</v>
      </c>
      <c r="T333" s="128">
        <f t="shared" si="26"/>
        <v>6654426</v>
      </c>
      <c r="U333" s="128">
        <f t="shared" si="27"/>
        <v>6654426</v>
      </c>
      <c r="V333" s="128">
        <v>545367</v>
      </c>
      <c r="W333" s="188">
        <f t="shared" si="28"/>
        <v>1.2201739379170356E-2</v>
      </c>
    </row>
    <row r="334" spans="1:23" x14ac:dyDescent="0.25">
      <c r="A334" t="s">
        <v>519</v>
      </c>
      <c r="B334" t="s">
        <v>211</v>
      </c>
      <c r="C334" s="128">
        <f t="shared" si="25"/>
        <v>7013</v>
      </c>
      <c r="D334" s="128">
        <v>3484</v>
      </c>
      <c r="E334" s="128">
        <v>3529</v>
      </c>
      <c r="F334" s="128">
        <v>726</v>
      </c>
      <c r="G334" s="128">
        <v>0</v>
      </c>
      <c r="H334" s="128">
        <v>244</v>
      </c>
      <c r="I334" s="128">
        <v>344</v>
      </c>
      <c r="J334" s="128">
        <v>4259</v>
      </c>
      <c r="K334" s="128">
        <v>0</v>
      </c>
      <c r="L334" s="128">
        <v>337</v>
      </c>
      <c r="M334" s="128">
        <v>328</v>
      </c>
      <c r="N334" s="128">
        <v>931</v>
      </c>
      <c r="O334" s="128">
        <v>2409</v>
      </c>
      <c r="P334" s="128">
        <v>3083</v>
      </c>
      <c r="Q334" s="128">
        <f>P334*1.08</f>
        <v>3329.6400000000003</v>
      </c>
      <c r="R334" s="128">
        <v>853</v>
      </c>
      <c r="S334" s="128">
        <f t="shared" si="29"/>
        <v>8663301</v>
      </c>
      <c r="T334" s="128">
        <f t="shared" si="26"/>
        <v>1650301</v>
      </c>
      <c r="U334" s="128">
        <f t="shared" si="27"/>
        <v>1650301</v>
      </c>
      <c r="V334" s="128">
        <v>80336</v>
      </c>
      <c r="W334" s="188">
        <f t="shared" si="28"/>
        <v>2.0542484066918939E-2</v>
      </c>
    </row>
    <row r="335" spans="1:23" x14ac:dyDescent="0.25">
      <c r="A335" t="s">
        <v>518</v>
      </c>
      <c r="B335" t="s">
        <v>282</v>
      </c>
      <c r="C335" s="128">
        <f t="shared" si="25"/>
        <v>3855</v>
      </c>
      <c r="D335" s="128">
        <v>2796</v>
      </c>
      <c r="E335" s="128">
        <v>1059</v>
      </c>
      <c r="F335" s="128">
        <v>251</v>
      </c>
      <c r="G335" s="128">
        <v>0</v>
      </c>
      <c r="H335" s="128">
        <v>3987</v>
      </c>
      <c r="I335" s="128">
        <v>88</v>
      </c>
      <c r="J335" s="128">
        <v>2024</v>
      </c>
      <c r="K335" s="128">
        <v>2055</v>
      </c>
      <c r="L335" s="128">
        <v>377</v>
      </c>
      <c r="M335" s="128">
        <v>128</v>
      </c>
      <c r="N335" s="128">
        <v>657</v>
      </c>
      <c r="O335" s="128">
        <v>6060</v>
      </c>
      <c r="P335" s="128">
        <v>3313</v>
      </c>
      <c r="Q335" s="128">
        <f>P335*1.072</f>
        <v>3551.5360000000001</v>
      </c>
      <c r="R335" s="128">
        <v>317</v>
      </c>
      <c r="S335" s="128">
        <f t="shared" si="29"/>
        <v>7140123</v>
      </c>
      <c r="T335" s="128">
        <f t="shared" si="26"/>
        <v>3285123</v>
      </c>
      <c r="U335" s="128">
        <f t="shared" si="27"/>
        <v>3285123</v>
      </c>
      <c r="V335" s="128">
        <v>57945</v>
      </c>
      <c r="W335" s="188">
        <f t="shared" si="28"/>
        <v>5.6693813098628011E-2</v>
      </c>
    </row>
    <row r="336" spans="1:23" x14ac:dyDescent="0.25">
      <c r="A336" t="s">
        <v>523</v>
      </c>
      <c r="B336" t="s">
        <v>434</v>
      </c>
      <c r="C336" s="128">
        <f t="shared" si="25"/>
        <v>6802</v>
      </c>
      <c r="D336" s="128">
        <v>3404</v>
      </c>
      <c r="E336" s="128">
        <v>3398</v>
      </c>
      <c r="F336" s="128">
        <v>0</v>
      </c>
      <c r="G336" s="128">
        <v>68</v>
      </c>
      <c r="H336" s="128">
        <v>3252</v>
      </c>
      <c r="I336" s="128">
        <v>0</v>
      </c>
      <c r="J336" s="128">
        <v>1166</v>
      </c>
      <c r="K336" s="128">
        <v>2525</v>
      </c>
      <c r="L336" s="128">
        <v>285</v>
      </c>
      <c r="M336" s="128">
        <v>86</v>
      </c>
      <c r="N336" s="128">
        <v>1000</v>
      </c>
      <c r="O336" s="128">
        <v>85</v>
      </c>
      <c r="P336" s="128">
        <v>2479</v>
      </c>
      <c r="Q336" s="128">
        <f>P336*1.09</f>
        <v>2702.11</v>
      </c>
      <c r="R336" s="128">
        <v>894</v>
      </c>
      <c r="S336" s="128">
        <f t="shared" si="29"/>
        <v>7719003</v>
      </c>
      <c r="T336" s="128">
        <f t="shared" si="26"/>
        <v>917003</v>
      </c>
      <c r="U336" s="128">
        <f t="shared" si="27"/>
        <v>917003</v>
      </c>
      <c r="V336" s="128">
        <v>54194</v>
      </c>
      <c r="W336" s="188">
        <f t="shared" si="28"/>
        <v>1.692074768424549E-2</v>
      </c>
    </row>
    <row r="337" spans="1:28" x14ac:dyDescent="0.25">
      <c r="A337" t="s">
        <v>524</v>
      </c>
      <c r="B337" t="s">
        <v>237</v>
      </c>
      <c r="C337" s="128">
        <f t="shared" si="25"/>
        <v>12391</v>
      </c>
      <c r="D337" s="128">
        <v>7272</v>
      </c>
      <c r="E337" s="128">
        <v>5119</v>
      </c>
      <c r="F337" s="128">
        <v>2909</v>
      </c>
      <c r="G337" s="128">
        <v>0</v>
      </c>
      <c r="H337" s="128">
        <v>336</v>
      </c>
      <c r="I337" s="128">
        <v>200</v>
      </c>
      <c r="J337" s="128">
        <v>5577</v>
      </c>
      <c r="K337" s="128">
        <v>8631</v>
      </c>
      <c r="L337" s="128">
        <v>1431</v>
      </c>
      <c r="M337" s="128">
        <v>1595</v>
      </c>
      <c r="N337" s="128">
        <v>4384</v>
      </c>
      <c r="O337" s="128">
        <v>266</v>
      </c>
      <c r="P337" s="128">
        <v>10475</v>
      </c>
      <c r="Q337" s="128">
        <f>P337*1.08</f>
        <v>11313</v>
      </c>
      <c r="R337" s="128">
        <v>1624</v>
      </c>
      <c r="S337" s="128">
        <f t="shared" si="29"/>
        <v>24824907</v>
      </c>
      <c r="T337" s="128">
        <f t="shared" si="26"/>
        <v>12433907</v>
      </c>
      <c r="U337" s="128">
        <f t="shared" si="27"/>
        <v>12433907</v>
      </c>
      <c r="V337" s="128">
        <v>167587</v>
      </c>
      <c r="W337" s="188">
        <f t="shared" si="28"/>
        <v>7.4193744144832235E-2</v>
      </c>
    </row>
    <row r="338" spans="1:28" x14ac:dyDescent="0.25">
      <c r="A338" t="s">
        <v>519</v>
      </c>
      <c r="B338" t="s">
        <v>212</v>
      </c>
      <c r="C338" s="128">
        <f t="shared" si="25"/>
        <v>12294</v>
      </c>
      <c r="D338" s="128">
        <v>7500</v>
      </c>
      <c r="E338" s="128">
        <v>4794</v>
      </c>
      <c r="F338" s="128">
        <v>1216</v>
      </c>
      <c r="G338" s="128">
        <v>0</v>
      </c>
      <c r="H338" s="128">
        <v>382</v>
      </c>
      <c r="I338" s="128">
        <v>555</v>
      </c>
      <c r="J338" s="128">
        <v>4654</v>
      </c>
      <c r="K338" s="128">
        <v>3622</v>
      </c>
      <c r="L338" s="128">
        <v>478</v>
      </c>
      <c r="M338" s="128">
        <v>145</v>
      </c>
      <c r="N338" s="128">
        <v>702</v>
      </c>
      <c r="O338" s="128">
        <v>200</v>
      </c>
      <c r="P338" s="128">
        <v>4291</v>
      </c>
      <c r="Q338" s="128">
        <f>P338*1.08</f>
        <v>4634.2800000000007</v>
      </c>
      <c r="R338" s="128">
        <v>930</v>
      </c>
      <c r="S338" s="128">
        <f t="shared" si="29"/>
        <v>11127159</v>
      </c>
      <c r="T338" s="128">
        <f t="shared" si="26"/>
        <v>-1166841</v>
      </c>
      <c r="U338" s="128">
        <f t="shared" si="27"/>
        <v>0</v>
      </c>
      <c r="V338" s="128">
        <v>140344</v>
      </c>
      <c r="W338" s="188">
        <f t="shared" si="28"/>
        <v>-8.3141495183263973E-3</v>
      </c>
    </row>
    <row r="339" spans="1:28" x14ac:dyDescent="0.25">
      <c r="A339" t="s">
        <v>521</v>
      </c>
      <c r="B339" t="s">
        <v>326</v>
      </c>
      <c r="C339" s="128">
        <f t="shared" si="25"/>
        <v>35537</v>
      </c>
      <c r="D339" s="128">
        <v>21051</v>
      </c>
      <c r="E339" s="128">
        <v>14486</v>
      </c>
      <c r="F339" s="128">
        <v>3052</v>
      </c>
      <c r="G339" s="128">
        <v>87</v>
      </c>
      <c r="H339" s="128">
        <v>313</v>
      </c>
      <c r="I339" s="128">
        <v>569</v>
      </c>
      <c r="J339" s="128">
        <v>6553</v>
      </c>
      <c r="K339" s="128">
        <v>15691</v>
      </c>
      <c r="L339" s="128">
        <v>1261</v>
      </c>
      <c r="M339" s="128">
        <v>537</v>
      </c>
      <c r="N339" s="128">
        <v>6947</v>
      </c>
      <c r="O339" s="128">
        <v>298</v>
      </c>
      <c r="P339" s="128">
        <v>13493</v>
      </c>
      <c r="Q339" s="128">
        <f>P339*1.083</f>
        <v>14612.919</v>
      </c>
      <c r="R339" s="128">
        <v>1967</v>
      </c>
      <c r="S339" s="128">
        <f t="shared" si="29"/>
        <v>31525443.000000004</v>
      </c>
      <c r="T339" s="128">
        <f t="shared" si="26"/>
        <v>-4011556.9999999963</v>
      </c>
      <c r="U339" s="128">
        <f t="shared" si="27"/>
        <v>0</v>
      </c>
      <c r="V339" s="128">
        <v>376905</v>
      </c>
      <c r="W339" s="188">
        <f t="shared" si="28"/>
        <v>-1.0643416776110682E-2</v>
      </c>
    </row>
    <row r="340" spans="1:28" x14ac:dyDescent="0.25">
      <c r="A340" t="s">
        <v>521</v>
      </c>
      <c r="B340" t="s">
        <v>327</v>
      </c>
      <c r="C340" s="128">
        <f t="shared" si="25"/>
        <v>4320</v>
      </c>
      <c r="D340" s="128">
        <v>1555</v>
      </c>
      <c r="E340" s="128">
        <v>2765</v>
      </c>
      <c r="F340" s="128">
        <v>0</v>
      </c>
      <c r="G340" s="128">
        <v>0</v>
      </c>
      <c r="H340" s="128">
        <v>0</v>
      </c>
      <c r="I340" s="128">
        <v>0</v>
      </c>
      <c r="J340" s="128">
        <v>1111</v>
      </c>
      <c r="K340" s="128">
        <v>782</v>
      </c>
      <c r="L340" s="128">
        <v>102</v>
      </c>
      <c r="M340" s="128">
        <v>5</v>
      </c>
      <c r="N340" s="128">
        <v>800</v>
      </c>
      <c r="O340" s="128">
        <v>37</v>
      </c>
      <c r="P340" s="128">
        <v>1276</v>
      </c>
      <c r="Q340" s="128">
        <f>P340*1.083</f>
        <v>1381.9079999999999</v>
      </c>
      <c r="R340" s="128">
        <v>431</v>
      </c>
      <c r="S340" s="128">
        <f t="shared" si="29"/>
        <v>3867642</v>
      </c>
      <c r="T340" s="128">
        <f t="shared" si="26"/>
        <v>-452358</v>
      </c>
      <c r="U340" s="128">
        <f t="shared" si="27"/>
        <v>0</v>
      </c>
      <c r="V340" s="128">
        <v>23087</v>
      </c>
      <c r="W340" s="188">
        <f t="shared" si="28"/>
        <v>-1.9593624117468705E-2</v>
      </c>
    </row>
    <row r="341" spans="1:28" x14ac:dyDescent="0.25">
      <c r="A341" t="s">
        <v>521</v>
      </c>
      <c r="B341" t="s">
        <v>328</v>
      </c>
      <c r="C341" s="128">
        <f t="shared" si="25"/>
        <v>8853</v>
      </c>
      <c r="D341" s="128">
        <v>6199</v>
      </c>
      <c r="E341" s="128">
        <v>2654</v>
      </c>
      <c r="F341" s="128">
        <v>0</v>
      </c>
      <c r="G341" s="128">
        <v>0</v>
      </c>
      <c r="H341" s="128">
        <v>154</v>
      </c>
      <c r="I341" s="128">
        <v>87</v>
      </c>
      <c r="J341" s="128">
        <v>4665</v>
      </c>
      <c r="K341" s="128">
        <v>4721</v>
      </c>
      <c r="L341" s="128">
        <v>434</v>
      </c>
      <c r="M341" s="128">
        <v>285</v>
      </c>
      <c r="N341" s="128">
        <v>1032</v>
      </c>
      <c r="O341" s="128">
        <v>54</v>
      </c>
      <c r="P341" s="128">
        <v>5267</v>
      </c>
      <c r="Q341" s="128">
        <f>P341*1.083</f>
        <v>5704.1610000000001</v>
      </c>
      <c r="R341" s="128">
        <v>1057</v>
      </c>
      <c r="S341" s="128">
        <f t="shared" si="29"/>
        <v>13352229.000000002</v>
      </c>
      <c r="T341" s="128">
        <f t="shared" si="26"/>
        <v>4499229.0000000019</v>
      </c>
      <c r="U341" s="128">
        <f t="shared" si="27"/>
        <v>4499229.0000000019</v>
      </c>
      <c r="V341" s="128">
        <v>104859</v>
      </c>
      <c r="W341" s="188">
        <f t="shared" si="28"/>
        <v>4.2907418533459238E-2</v>
      </c>
    </row>
    <row r="342" spans="1:28" x14ac:dyDescent="0.25">
      <c r="A342" t="s">
        <v>517</v>
      </c>
      <c r="B342" t="s">
        <v>399</v>
      </c>
      <c r="C342" s="128">
        <f t="shared" si="25"/>
        <v>5430</v>
      </c>
      <c r="D342" s="128">
        <v>4015</v>
      </c>
      <c r="E342" s="128">
        <v>1415</v>
      </c>
      <c r="F342" s="128">
        <v>0</v>
      </c>
      <c r="G342" s="128">
        <v>0</v>
      </c>
      <c r="H342" s="128">
        <v>164</v>
      </c>
      <c r="I342" s="128">
        <v>66</v>
      </c>
      <c r="J342" s="128">
        <v>2384</v>
      </c>
      <c r="K342" s="128">
        <v>2446</v>
      </c>
      <c r="L342" s="128">
        <v>179</v>
      </c>
      <c r="M342" s="128">
        <v>2</v>
      </c>
      <c r="N342" s="128">
        <v>1223</v>
      </c>
      <c r="O342" s="128">
        <v>150</v>
      </c>
      <c r="P342" s="128">
        <v>2792</v>
      </c>
      <c r="Q342" s="128">
        <f>P342*1.079</f>
        <v>3012.5679999999998</v>
      </c>
      <c r="R342" s="128">
        <v>505</v>
      </c>
      <c r="S342" s="128">
        <f t="shared" si="29"/>
        <v>6877818</v>
      </c>
      <c r="T342" s="128">
        <f t="shared" si="26"/>
        <v>1447818</v>
      </c>
      <c r="U342" s="128">
        <f t="shared" si="27"/>
        <v>1447818</v>
      </c>
      <c r="V342" s="128">
        <v>50593</v>
      </c>
      <c r="W342" s="188">
        <f t="shared" si="28"/>
        <v>2.8616962820943607E-2</v>
      </c>
    </row>
    <row r="343" spans="1:28" x14ac:dyDescent="0.25">
      <c r="A343" t="s">
        <v>519</v>
      </c>
      <c r="B343" t="s">
        <v>213</v>
      </c>
      <c r="C343" s="128">
        <f t="shared" si="25"/>
        <v>13309</v>
      </c>
      <c r="D343" s="128">
        <v>10959</v>
      </c>
      <c r="E343" s="128">
        <v>2350</v>
      </c>
      <c r="F343" s="128">
        <v>2489</v>
      </c>
      <c r="G343" s="128">
        <v>0</v>
      </c>
      <c r="H343" s="128">
        <v>212</v>
      </c>
      <c r="I343" s="128">
        <v>302</v>
      </c>
      <c r="J343" s="128">
        <v>3833</v>
      </c>
      <c r="K343" s="128">
        <v>6071</v>
      </c>
      <c r="L343" s="128">
        <v>599</v>
      </c>
      <c r="M343" s="128">
        <v>195</v>
      </c>
      <c r="N343" s="128">
        <v>1312</v>
      </c>
      <c r="O343" s="128">
        <v>196</v>
      </c>
      <c r="P343" s="128">
        <v>4816</v>
      </c>
      <c r="Q343" s="128">
        <f>P343*1.08</f>
        <v>5201.2800000000007</v>
      </c>
      <c r="R343" s="128">
        <v>1019</v>
      </c>
      <c r="S343" s="128">
        <f t="shared" si="29"/>
        <v>12398886.000000002</v>
      </c>
      <c r="T343" s="128">
        <f t="shared" si="26"/>
        <v>-910113.99999999814</v>
      </c>
      <c r="U343" s="128">
        <f t="shared" si="27"/>
        <v>0</v>
      </c>
      <c r="V343" s="128">
        <v>169406</v>
      </c>
      <c r="W343" s="188">
        <f t="shared" si="28"/>
        <v>-5.3723835047164688E-3</v>
      </c>
    </row>
    <row r="344" spans="1:28" x14ac:dyDescent="0.25">
      <c r="A344" t="s">
        <v>522</v>
      </c>
      <c r="B344" t="s">
        <v>163</v>
      </c>
      <c r="C344" s="128">
        <f t="shared" si="25"/>
        <v>5086</v>
      </c>
      <c r="D344" s="128">
        <v>2162</v>
      </c>
      <c r="E344" s="128">
        <v>2924</v>
      </c>
      <c r="F344" s="128">
        <v>0</v>
      </c>
      <c r="G344" s="128">
        <v>0</v>
      </c>
      <c r="H344" s="128">
        <v>80</v>
      </c>
      <c r="I344" s="128">
        <v>91</v>
      </c>
      <c r="J344" s="128">
        <v>3244</v>
      </c>
      <c r="K344" s="128">
        <v>1715</v>
      </c>
      <c r="L344" s="128">
        <v>215</v>
      </c>
      <c r="M344" s="128">
        <v>395</v>
      </c>
      <c r="N344" s="128">
        <v>935</v>
      </c>
      <c r="O344" s="128">
        <v>326</v>
      </c>
      <c r="P344" s="128">
        <v>1923</v>
      </c>
      <c r="Q344" s="128">
        <f>P344*1.083</f>
        <v>2082.6089999999999</v>
      </c>
      <c r="R344" s="128">
        <v>712</v>
      </c>
      <c r="S344" s="128">
        <f t="shared" si="29"/>
        <v>6054723</v>
      </c>
      <c r="T344" s="128">
        <f t="shared" si="26"/>
        <v>968723</v>
      </c>
      <c r="U344" s="128">
        <f t="shared" si="27"/>
        <v>968723</v>
      </c>
      <c r="V344" s="128">
        <v>54830</v>
      </c>
      <c r="W344" s="188">
        <f t="shared" si="28"/>
        <v>1.7667754878716031E-2</v>
      </c>
    </row>
    <row r="345" spans="1:28" x14ac:dyDescent="0.25">
      <c r="A345" t="s">
        <v>521</v>
      </c>
      <c r="B345" t="s">
        <v>329</v>
      </c>
      <c r="C345" s="128">
        <f t="shared" si="25"/>
        <v>10247</v>
      </c>
      <c r="D345" s="128">
        <v>5205</v>
      </c>
      <c r="E345" s="128">
        <v>5042</v>
      </c>
      <c r="F345" s="128">
        <v>0</v>
      </c>
      <c r="G345" s="128">
        <v>89</v>
      </c>
      <c r="H345" s="128">
        <v>0</v>
      </c>
      <c r="I345" s="128">
        <v>203</v>
      </c>
      <c r="J345" s="128">
        <v>6511</v>
      </c>
      <c r="K345" s="128">
        <v>7068</v>
      </c>
      <c r="L345" s="128">
        <v>532</v>
      </c>
      <c r="M345" s="128">
        <v>713</v>
      </c>
      <c r="N345" s="128">
        <v>812</v>
      </c>
      <c r="O345" s="128">
        <v>181</v>
      </c>
      <c r="P345" s="128">
        <v>4427</v>
      </c>
      <c r="Q345" s="128">
        <f>P345*1.083</f>
        <v>4794.4409999999998</v>
      </c>
      <c r="R345" s="128">
        <v>932</v>
      </c>
      <c r="S345" s="128">
        <f t="shared" si="29"/>
        <v>11380419</v>
      </c>
      <c r="T345" s="128">
        <f t="shared" si="26"/>
        <v>1133419</v>
      </c>
      <c r="U345" s="128">
        <f t="shared" si="27"/>
        <v>1133419</v>
      </c>
      <c r="V345" s="128">
        <v>136450</v>
      </c>
      <c r="W345" s="188">
        <f t="shared" si="28"/>
        <v>8.3064785635764016E-3</v>
      </c>
    </row>
    <row r="346" spans="1:28" x14ac:dyDescent="0.25">
      <c r="A346" t="s">
        <v>522</v>
      </c>
      <c r="B346" t="s">
        <v>164</v>
      </c>
      <c r="C346" s="128">
        <f t="shared" si="25"/>
        <v>44847</v>
      </c>
      <c r="D346" s="128">
        <v>17910</v>
      </c>
      <c r="E346" s="128">
        <v>26937</v>
      </c>
      <c r="F346" s="128">
        <v>5071</v>
      </c>
      <c r="G346" s="128">
        <v>0</v>
      </c>
      <c r="H346" s="128">
        <v>425</v>
      </c>
      <c r="I346" s="128">
        <v>0</v>
      </c>
      <c r="J346" s="128">
        <v>7240</v>
      </c>
      <c r="K346" s="128">
        <v>15747</v>
      </c>
      <c r="L346" s="128">
        <v>1710</v>
      </c>
      <c r="M346" s="128">
        <v>1071</v>
      </c>
      <c r="N346" s="128">
        <v>4373</v>
      </c>
      <c r="O346" s="128">
        <v>6762</v>
      </c>
      <c r="P346" s="128">
        <v>14763</v>
      </c>
      <c r="Q346" s="128">
        <f>P346*1.083</f>
        <v>15988.329</v>
      </c>
      <c r="R346" s="128">
        <v>3903</v>
      </c>
      <c r="S346" s="128">
        <f t="shared" si="29"/>
        <v>40827321.000000007</v>
      </c>
      <c r="T346" s="128">
        <f t="shared" si="26"/>
        <v>-4019678.9999999925</v>
      </c>
      <c r="U346" s="128">
        <f t="shared" si="27"/>
        <v>0</v>
      </c>
      <c r="V346" s="128">
        <v>510521</v>
      </c>
      <c r="W346" s="188">
        <f t="shared" si="28"/>
        <v>-7.8736800249157093E-3</v>
      </c>
    </row>
    <row r="347" spans="1:28" x14ac:dyDescent="0.25">
      <c r="B347" t="s">
        <v>442</v>
      </c>
      <c r="C347" s="128">
        <f t="shared" ref="C347:O347" si="30">SUM(C2:C346)</f>
        <v>4554140.1883489713</v>
      </c>
      <c r="D347" s="128">
        <f t="shared" si="30"/>
        <v>2414175.4570788406</v>
      </c>
      <c r="E347" s="128">
        <f t="shared" si="30"/>
        <v>2139964.7312701303</v>
      </c>
      <c r="F347" s="128">
        <f t="shared" si="30"/>
        <v>800747</v>
      </c>
      <c r="G347" s="128">
        <f t="shared" si="30"/>
        <v>18723</v>
      </c>
      <c r="H347" s="128">
        <f t="shared" si="30"/>
        <v>373985.81235121132</v>
      </c>
      <c r="I347" s="128">
        <f t="shared" si="30"/>
        <v>87849.995798907723</v>
      </c>
      <c r="J347" s="128">
        <f t="shared" si="30"/>
        <v>1726065.763618541</v>
      </c>
      <c r="K347" s="128">
        <f t="shared" si="30"/>
        <v>2190175.5646268032</v>
      </c>
      <c r="L347" s="128">
        <f t="shared" si="30"/>
        <v>221766.79414647809</v>
      </c>
      <c r="M347" s="128">
        <f t="shared" si="30"/>
        <v>112293</v>
      </c>
      <c r="N347" s="128">
        <f t="shared" si="30"/>
        <v>539089.60649768938</v>
      </c>
      <c r="O347" s="128">
        <f t="shared" si="30"/>
        <v>327509.7759417448</v>
      </c>
      <c r="P347" s="128">
        <v>2122054</v>
      </c>
      <c r="Q347" s="128">
        <f>SUM(Q2:Q346)</f>
        <v>2291385.1992790927</v>
      </c>
      <c r="R347" s="128">
        <v>459101</v>
      </c>
      <c r="S347" s="128">
        <f>SUM(P347,R347,R347)*0.1809%*1000000</f>
        <v>5499823104</v>
      </c>
      <c r="T347" s="128">
        <f t="shared" si="26"/>
        <v>945682915.65102863</v>
      </c>
      <c r="U347" s="128">
        <f t="shared" si="27"/>
        <v>945682915.65102863</v>
      </c>
      <c r="V347" s="128">
        <v>60168923</v>
      </c>
      <c r="W347" s="188">
        <f t="shared" si="28"/>
        <v>1.5717132175542325E-2</v>
      </c>
    </row>
    <row r="348" spans="1:28" x14ac:dyDescent="0.25">
      <c r="U348" s="128"/>
    </row>
    <row r="349" spans="1:28" x14ac:dyDescent="0.25">
      <c r="U349" s="128">
        <f>COUNTIF(U2:U346,"=0")</f>
        <v>67</v>
      </c>
    </row>
    <row r="350" spans="1:28" x14ac:dyDescent="0.25">
      <c r="A350" t="s">
        <v>525</v>
      </c>
      <c r="B350" t="s">
        <v>119</v>
      </c>
      <c r="C350">
        <f t="shared" ref="C350" si="31">SUM(D350,E350)</f>
        <v>3417</v>
      </c>
      <c r="D350">
        <v>2202</v>
      </c>
      <c r="E350">
        <v>1215</v>
      </c>
      <c r="F350">
        <v>0</v>
      </c>
      <c r="G350">
        <v>0</v>
      </c>
      <c r="H350">
        <v>0</v>
      </c>
      <c r="I350">
        <v>81</v>
      </c>
      <c r="J350">
        <v>1382</v>
      </c>
      <c r="K350">
        <v>1499</v>
      </c>
      <c r="L350">
        <v>113</v>
      </c>
      <c r="M350">
        <v>57</v>
      </c>
      <c r="N350">
        <v>642</v>
      </c>
      <c r="O350">
        <v>25</v>
      </c>
      <c r="P350" s="128">
        <v>1080</v>
      </c>
      <c r="Q350" s="128">
        <v>907</v>
      </c>
      <c r="R350" s="128">
        <v>173</v>
      </c>
      <c r="S350" s="128">
        <f>0.1853%*SUM(Q350,R350,R350)*1000000</f>
        <v>2321808.9999999995</v>
      </c>
      <c r="T350">
        <f>SUM(S350,-C350*1000)</f>
        <v>-1095191.0000000005</v>
      </c>
      <c r="U350">
        <f>IF(T350&gt;0,T350,0)</f>
        <v>0</v>
      </c>
      <c r="V350">
        <v>61607</v>
      </c>
      <c r="W350" s="188">
        <f>T350/(V350*1000)</f>
        <v>-1.7777054555488832E-2</v>
      </c>
      <c r="Y350" s="188"/>
      <c r="AB350" s="188"/>
    </row>
    <row r="351" spans="1:28" x14ac:dyDescent="0.25">
      <c r="A351" t="s">
        <v>525</v>
      </c>
      <c r="B351" t="s">
        <v>120</v>
      </c>
      <c r="C351">
        <f t="shared" ref="C351" si="32">SUM(D351,E351)</f>
        <v>11857</v>
      </c>
      <c r="D351">
        <v>3284</v>
      </c>
      <c r="E351">
        <v>8573</v>
      </c>
      <c r="F351">
        <v>0</v>
      </c>
      <c r="G351">
        <v>311</v>
      </c>
      <c r="H351">
        <v>101</v>
      </c>
      <c r="I351">
        <v>212</v>
      </c>
      <c r="J351">
        <v>3157</v>
      </c>
      <c r="K351">
        <v>2940</v>
      </c>
      <c r="L351">
        <v>229</v>
      </c>
      <c r="M351">
        <v>192</v>
      </c>
      <c r="N351">
        <v>1373</v>
      </c>
      <c r="O351">
        <v>82</v>
      </c>
      <c r="P351" s="128">
        <v>2507</v>
      </c>
      <c r="Q351" s="128">
        <v>1572</v>
      </c>
      <c r="R351" s="128">
        <v>935</v>
      </c>
      <c r="S351" s="128">
        <f>0.1853%*SUM(Q351,R351,R351)*1000000</f>
        <v>6378025.9999999991</v>
      </c>
      <c r="T351">
        <f>SUM(S351,-C351*1000)</f>
        <v>-5478974.0000000009</v>
      </c>
      <c r="U351">
        <f>IF(T351&gt;0,T351,0)</f>
        <v>0</v>
      </c>
      <c r="V351">
        <v>134947</v>
      </c>
      <c r="W351" s="188">
        <f>T351/(V351*1000)</f>
        <v>-4.0600932217833674E-2</v>
      </c>
      <c r="Y351" s="188"/>
      <c r="AB351" s="188"/>
    </row>
    <row r="352" spans="1:28" x14ac:dyDescent="0.25">
      <c r="A352" t="s">
        <v>525</v>
      </c>
      <c r="B352" t="s">
        <v>122</v>
      </c>
      <c r="C352">
        <f t="shared" ref="C352" si="33">SUM(D352,E352)</f>
        <v>1755</v>
      </c>
      <c r="D352">
        <v>1246</v>
      </c>
      <c r="E352">
        <v>509</v>
      </c>
      <c r="F352">
        <v>0</v>
      </c>
      <c r="G352">
        <v>0</v>
      </c>
      <c r="H352">
        <v>11</v>
      </c>
      <c r="I352">
        <v>99</v>
      </c>
      <c r="J352">
        <v>1537</v>
      </c>
      <c r="K352">
        <v>945</v>
      </c>
      <c r="L352">
        <v>90</v>
      </c>
      <c r="M352">
        <v>86</v>
      </c>
      <c r="N352">
        <v>1220</v>
      </c>
      <c r="O352">
        <v>138</v>
      </c>
      <c r="P352" s="128">
        <v>927</v>
      </c>
      <c r="Q352" s="128">
        <v>701</v>
      </c>
      <c r="R352" s="128">
        <v>226</v>
      </c>
      <c r="S352" s="128">
        <f>0.1853%*SUM(Q352,R352,R352)*1000000</f>
        <v>2136509</v>
      </c>
      <c r="T352">
        <f>SUM(S352,-C352*1000)</f>
        <v>381509</v>
      </c>
      <c r="U352">
        <f>IF(T352&gt;0,T352,0)</f>
        <v>381509</v>
      </c>
      <c r="V352">
        <v>35598</v>
      </c>
      <c r="W352" s="188">
        <f>T352/(V352*1000)</f>
        <v>1.0717147030732064E-2</v>
      </c>
      <c r="Y352" s="188"/>
      <c r="AB352" s="188"/>
    </row>
    <row r="353" spans="1:28" x14ac:dyDescent="0.25">
      <c r="A353" t="s">
        <v>525</v>
      </c>
      <c r="B353" t="s">
        <v>754</v>
      </c>
      <c r="C353">
        <f>SUM(C350:C352)</f>
        <v>17029</v>
      </c>
      <c r="D353">
        <f>SUM(D350:D352)</f>
        <v>6732</v>
      </c>
      <c r="E353">
        <f>SUM(E350:E352)</f>
        <v>10297</v>
      </c>
      <c r="F353">
        <f t="shared" ref="F353:R353" si="34">SUM(F350:F352)</f>
        <v>0</v>
      </c>
      <c r="G353">
        <f t="shared" si="34"/>
        <v>311</v>
      </c>
      <c r="H353">
        <f t="shared" si="34"/>
        <v>112</v>
      </c>
      <c r="I353">
        <f t="shared" si="34"/>
        <v>392</v>
      </c>
      <c r="J353">
        <f t="shared" si="34"/>
        <v>6076</v>
      </c>
      <c r="K353">
        <f t="shared" si="34"/>
        <v>5384</v>
      </c>
      <c r="L353">
        <f t="shared" si="34"/>
        <v>432</v>
      </c>
      <c r="M353">
        <f t="shared" si="34"/>
        <v>335</v>
      </c>
      <c r="N353">
        <f t="shared" si="34"/>
        <v>3235</v>
      </c>
      <c r="O353">
        <f t="shared" si="34"/>
        <v>245</v>
      </c>
      <c r="P353">
        <f t="shared" si="34"/>
        <v>4514</v>
      </c>
      <c r="Q353">
        <f t="shared" si="34"/>
        <v>3180</v>
      </c>
      <c r="R353">
        <f t="shared" si="34"/>
        <v>1334</v>
      </c>
      <c r="S353" s="128">
        <f>SUM(S350:S352)</f>
        <v>10836343.999999998</v>
      </c>
      <c r="T353">
        <f>SUM(S353,-C353*1000)</f>
        <v>-6192656.0000000019</v>
      </c>
      <c r="U353">
        <f>IF(T353&gt;0,T353,0)</f>
        <v>0</v>
      </c>
      <c r="V353" s="128">
        <f>SUM(V350:V352)</f>
        <v>232152</v>
      </c>
      <c r="W353" s="188">
        <f>T353/(V353*1000)</f>
        <v>-2.6675006030531728E-2</v>
      </c>
    </row>
    <row r="355" spans="1:28" x14ac:dyDescent="0.25">
      <c r="A355" t="s">
        <v>517</v>
      </c>
      <c r="B355" t="s">
        <v>369</v>
      </c>
      <c r="C355" s="128">
        <f t="shared" ref="C355" si="35">SUM(D355,E355)</f>
        <v>3436</v>
      </c>
      <c r="D355">
        <v>2530</v>
      </c>
      <c r="E355">
        <v>906</v>
      </c>
      <c r="F355">
        <v>0</v>
      </c>
      <c r="G355">
        <v>0</v>
      </c>
      <c r="H355">
        <v>134</v>
      </c>
      <c r="I355">
        <v>3</v>
      </c>
      <c r="J355">
        <v>1597</v>
      </c>
      <c r="K355">
        <v>1025</v>
      </c>
      <c r="L355">
        <v>147</v>
      </c>
      <c r="M355">
        <v>0</v>
      </c>
      <c r="N355">
        <v>281</v>
      </c>
      <c r="O355">
        <v>160</v>
      </c>
      <c r="P355" s="128">
        <v>2264</v>
      </c>
      <c r="Q355" s="128">
        <v>1980</v>
      </c>
      <c r="R355" s="128">
        <v>283</v>
      </c>
      <c r="S355" s="128">
        <f>0.1853%*SUM(Q355,R355,R355)*1000000</f>
        <v>4717738</v>
      </c>
      <c r="T355">
        <f>SUM(S355,-C355*1000)</f>
        <v>1281738</v>
      </c>
      <c r="U355">
        <f>IF(T355&gt;0,T355,0)</f>
        <v>1281738</v>
      </c>
      <c r="V355">
        <v>33784</v>
      </c>
      <c r="W355" s="188">
        <f>T355/(V355*1000)</f>
        <v>3.7939201989107267E-2</v>
      </c>
      <c r="Y355" s="188"/>
      <c r="AB355" s="188"/>
    </row>
    <row r="356" spans="1:28" x14ac:dyDescent="0.25">
      <c r="A356" t="s">
        <v>517</v>
      </c>
      <c r="B356" t="s">
        <v>353</v>
      </c>
      <c r="C356" s="128">
        <f>SUM(D356:E356)</f>
        <v>7793</v>
      </c>
      <c r="D356" s="128">
        <v>4668</v>
      </c>
      <c r="E356" s="128">
        <v>3125</v>
      </c>
      <c r="F356" s="128">
        <v>325</v>
      </c>
      <c r="G356" s="128">
        <v>0</v>
      </c>
      <c r="H356" s="128">
        <v>27</v>
      </c>
      <c r="I356" s="128">
        <v>46</v>
      </c>
      <c r="J356" s="128">
        <v>3221</v>
      </c>
      <c r="K356" s="128">
        <v>3091</v>
      </c>
      <c r="L356" s="128">
        <v>453</v>
      </c>
      <c r="M356" s="128">
        <v>187</v>
      </c>
      <c r="N356" s="128">
        <v>1033</v>
      </c>
      <c r="O356" s="128">
        <v>132</v>
      </c>
      <c r="P356" s="128">
        <v>3666</v>
      </c>
      <c r="Q356" s="128">
        <f>P356*1.079</f>
        <v>3955.614</v>
      </c>
      <c r="R356" s="128">
        <v>670</v>
      </c>
      <c r="S356" s="128">
        <f>SUM(Q356,R356,R356)*0.1809%*1000000</f>
        <v>9579765.7259999998</v>
      </c>
      <c r="T356" s="128">
        <f>SUM(S356,-C356*1000)</f>
        <v>1786765.7259999998</v>
      </c>
      <c r="U356" s="128">
        <f>IF(T356&lt;0,0,T356)</f>
        <v>1786765.7259999998</v>
      </c>
      <c r="V356" s="128">
        <v>92962</v>
      </c>
      <c r="W356" s="188">
        <f>T356/(V356*1000)</f>
        <v>1.9220388180116604E-2</v>
      </c>
    </row>
    <row r="357" spans="1:28" x14ac:dyDescent="0.25">
      <c r="A357" t="s">
        <v>517</v>
      </c>
      <c r="B357" t="s">
        <v>353</v>
      </c>
      <c r="C357" s="128">
        <f>SUM(C356,2150/14282*C355)</f>
        <v>8310.2524856462678</v>
      </c>
      <c r="D357" s="128">
        <f t="shared" ref="D357:R357" si="36">SUM(D356,2150/14282*D355)</f>
        <v>5048.8640246464083</v>
      </c>
      <c r="E357" s="128">
        <f t="shared" si="36"/>
        <v>3261.3884609998599</v>
      </c>
      <c r="F357" s="128">
        <f t="shared" si="36"/>
        <v>325</v>
      </c>
      <c r="G357" s="128">
        <f t="shared" si="36"/>
        <v>0</v>
      </c>
      <c r="H357" s="128">
        <f t="shared" si="36"/>
        <v>47.172244783643748</v>
      </c>
      <c r="I357" s="128">
        <f t="shared" si="36"/>
        <v>46.451617420529338</v>
      </c>
      <c r="J357" s="128">
        <f t="shared" si="36"/>
        <v>3461.4110068617842</v>
      </c>
      <c r="K357" s="128">
        <f t="shared" si="36"/>
        <v>3245.302618680857</v>
      </c>
      <c r="L357" s="128">
        <f t="shared" si="36"/>
        <v>475.12925360593755</v>
      </c>
      <c r="M357" s="128">
        <f t="shared" si="36"/>
        <v>187</v>
      </c>
      <c r="N357" s="128">
        <f t="shared" si="36"/>
        <v>1075.3014983895812</v>
      </c>
      <c r="O357" s="128">
        <f t="shared" si="36"/>
        <v>156.08626242823135</v>
      </c>
      <c r="P357" s="128">
        <f t="shared" si="36"/>
        <v>4006.8206133594736</v>
      </c>
      <c r="Q357" s="128">
        <f t="shared" si="36"/>
        <v>4253.6814975493626</v>
      </c>
      <c r="R357" s="128">
        <f t="shared" si="36"/>
        <v>712.60257666993414</v>
      </c>
      <c r="S357" s="128">
        <f>SUM(Q357,R357,R357)*0.1809%*1000000</f>
        <v>10273105.951458618</v>
      </c>
      <c r="T357" s="128">
        <f>SUM(S357,-C357*1000)</f>
        <v>1962853.4658123506</v>
      </c>
      <c r="U357" s="128">
        <f>IF(T357&lt;0,0,T357)</f>
        <v>1962853.4658123506</v>
      </c>
      <c r="V357" s="128">
        <f t="shared" ref="V357" si="37">SUM(V356,2150/14282*V355)</f>
        <v>98047.814311721042</v>
      </c>
      <c r="W357" s="188">
        <f>T357/(V357*1000)</f>
        <v>2.0019349534624996E-2</v>
      </c>
    </row>
    <row r="358" spans="1:28" x14ac:dyDescent="0.25">
      <c r="C358" s="128"/>
      <c r="D358" s="128"/>
      <c r="E358" s="128"/>
      <c r="F358" s="128"/>
      <c r="G358" s="128"/>
      <c r="H358" s="128"/>
      <c r="I358" s="128"/>
      <c r="J358" s="128"/>
      <c r="K358" s="128"/>
      <c r="L358" s="128"/>
      <c r="M358" s="128"/>
      <c r="N358" s="128"/>
      <c r="O358" s="128"/>
      <c r="T358" s="128"/>
      <c r="U358" s="128"/>
      <c r="W358" s="188"/>
    </row>
    <row r="359" spans="1:28" x14ac:dyDescent="0.25">
      <c r="A359" t="s">
        <v>517</v>
      </c>
      <c r="B359" t="s">
        <v>381</v>
      </c>
      <c r="C359" s="128">
        <f>SUM(D359:E359)</f>
        <v>6923</v>
      </c>
      <c r="D359" s="128">
        <v>4828</v>
      </c>
      <c r="E359" s="128">
        <v>2095</v>
      </c>
      <c r="F359" s="128">
        <v>1080</v>
      </c>
      <c r="G359" s="128">
        <v>0</v>
      </c>
      <c r="H359" s="128">
        <v>905</v>
      </c>
      <c r="I359" s="128">
        <v>92</v>
      </c>
      <c r="J359" s="128">
        <v>2672</v>
      </c>
      <c r="K359" s="128">
        <v>0</v>
      </c>
      <c r="L359" s="128">
        <v>372</v>
      </c>
      <c r="M359" s="128">
        <v>0</v>
      </c>
      <c r="N359" s="128">
        <v>863</v>
      </c>
      <c r="O359" s="128">
        <v>230</v>
      </c>
      <c r="P359" s="128">
        <v>4029</v>
      </c>
      <c r="Q359" s="128">
        <f>P359*1.079</f>
        <v>4347.2910000000002</v>
      </c>
      <c r="R359" s="128">
        <v>592</v>
      </c>
      <c r="S359" s="128">
        <f>SUM(Q359,R359,R359)*0.1809%*1000000</f>
        <v>10006105.419000002</v>
      </c>
      <c r="T359" s="128">
        <f>SUM(S359,-C359*1000)</f>
        <v>3083105.4190000016</v>
      </c>
      <c r="U359" s="128">
        <f>IF(T359&lt;0,0,T359)</f>
        <v>3083105.4190000016</v>
      </c>
      <c r="V359" s="128">
        <v>70530</v>
      </c>
      <c r="W359" s="188">
        <f>T359/(V359*1000)</f>
        <v>4.3713390316177533E-2</v>
      </c>
    </row>
    <row r="360" spans="1:28" x14ac:dyDescent="0.25">
      <c r="A360" t="s">
        <v>517</v>
      </c>
      <c r="B360" t="s">
        <v>381</v>
      </c>
      <c r="C360" s="128">
        <f>SUM(C359,5842/14282*C355)</f>
        <v>8328.4832656490689</v>
      </c>
      <c r="D360" s="128">
        <f t="shared" ref="D360:R360" si="38">SUM(D359,5842/14282*D355)</f>
        <v>5862.8872706903794</v>
      </c>
      <c r="E360" s="128">
        <f t="shared" si="38"/>
        <v>2465.5959949586891</v>
      </c>
      <c r="F360" s="128">
        <f t="shared" si="38"/>
        <v>1080</v>
      </c>
      <c r="G360" s="128">
        <f t="shared" si="38"/>
        <v>0</v>
      </c>
      <c r="H360" s="128">
        <f t="shared" si="38"/>
        <v>959.81221117490543</v>
      </c>
      <c r="I360" s="128">
        <f t="shared" si="38"/>
        <v>93.227139056154599</v>
      </c>
      <c r="J360" s="128">
        <f t="shared" si="38"/>
        <v>3325.2470242262989</v>
      </c>
      <c r="K360" s="128">
        <f t="shared" si="38"/>
        <v>419.27251085282171</v>
      </c>
      <c r="L360" s="128">
        <f t="shared" si="38"/>
        <v>432.1298137515754</v>
      </c>
      <c r="M360" s="128">
        <f t="shared" si="38"/>
        <v>0</v>
      </c>
      <c r="N360" s="128">
        <f t="shared" si="38"/>
        <v>977.94202492648083</v>
      </c>
      <c r="O360" s="128">
        <f t="shared" si="38"/>
        <v>295.44741632824537</v>
      </c>
      <c r="P360" s="128">
        <f t="shared" si="38"/>
        <v>4955.0809410446718</v>
      </c>
      <c r="Q360" s="128">
        <f t="shared" si="38"/>
        <v>5157.2027770620361</v>
      </c>
      <c r="R360" s="128">
        <f t="shared" si="38"/>
        <v>707.76011763058398</v>
      </c>
      <c r="S360" s="128">
        <f>SUM(Q360,R360,R360)*0.1809%*1000000</f>
        <v>11890055.929292679</v>
      </c>
      <c r="T360" s="128">
        <f>SUM(S360,-C360*1000)</f>
        <v>3561572.6636436097</v>
      </c>
      <c r="U360" s="128">
        <f>IF(T360&lt;0,0,T360)</f>
        <v>3561572.6636436097</v>
      </c>
      <c r="V360" s="128">
        <f t="shared" ref="V360" si="39">SUM(V359,5842/14282*V355)</f>
        <v>84349.221957709</v>
      </c>
      <c r="W360" s="188">
        <f>T360/(V360*1000)</f>
        <v>4.222413178190678E-2</v>
      </c>
    </row>
    <row r="361" spans="1:28" x14ac:dyDescent="0.25">
      <c r="C361" s="128"/>
      <c r="D361" s="128"/>
      <c r="E361" s="128"/>
      <c r="F361" s="128"/>
      <c r="G361" s="128"/>
      <c r="H361" s="128"/>
      <c r="I361" s="128"/>
      <c r="J361" s="128"/>
      <c r="K361" s="128"/>
      <c r="L361" s="128"/>
      <c r="M361" s="128"/>
      <c r="N361" s="128"/>
      <c r="O361" s="128"/>
      <c r="T361" s="128"/>
      <c r="U361" s="128"/>
      <c r="W361" s="188"/>
    </row>
    <row r="362" spans="1:28" x14ac:dyDescent="0.25">
      <c r="A362" t="s">
        <v>517</v>
      </c>
      <c r="B362" t="s">
        <v>391</v>
      </c>
      <c r="C362" s="128">
        <f>SUM(D362:E362)</f>
        <v>45608</v>
      </c>
      <c r="D362" s="128">
        <v>21908</v>
      </c>
      <c r="E362" s="128">
        <v>23700</v>
      </c>
      <c r="F362" s="128">
        <v>7888</v>
      </c>
      <c r="G362" s="128">
        <v>0</v>
      </c>
      <c r="H362" s="128">
        <v>442</v>
      </c>
      <c r="I362" s="128">
        <v>2852</v>
      </c>
      <c r="J362" s="128">
        <v>12899</v>
      </c>
      <c r="K362" s="128">
        <v>26274</v>
      </c>
      <c r="L362" s="128">
        <v>2453</v>
      </c>
      <c r="M362" s="128">
        <v>225</v>
      </c>
      <c r="N362" s="128">
        <v>6690</v>
      </c>
      <c r="O362" s="128">
        <v>8873</v>
      </c>
      <c r="P362" s="128">
        <v>22731</v>
      </c>
      <c r="Q362" s="128">
        <f>P362*1.079</f>
        <v>24526.749</v>
      </c>
      <c r="R362" s="128">
        <v>6325</v>
      </c>
      <c r="S362" s="128">
        <f>SUM(Q362,R362,R362)*0.1809%*1000000</f>
        <v>67252738.940999985</v>
      </c>
      <c r="T362" s="128">
        <f>SUM(S362,-C362*1000)</f>
        <v>21644738.940999985</v>
      </c>
      <c r="U362" s="128">
        <f>IF(T362&lt;0,0,T362)</f>
        <v>21644738.940999985</v>
      </c>
      <c r="V362" s="128">
        <v>807886</v>
      </c>
      <c r="W362" s="188">
        <f>T362/(V362*1000)</f>
        <v>2.6791823278284294E-2</v>
      </c>
    </row>
    <row r="363" spans="1:28" x14ac:dyDescent="0.25">
      <c r="A363" t="s">
        <v>517</v>
      </c>
      <c r="B363" t="s">
        <v>391</v>
      </c>
      <c r="C363" s="128">
        <f>SUM(C362,1435/14282*C355)</f>
        <v>45953.23596134995</v>
      </c>
      <c r="D363" s="128">
        <f t="shared" ref="D363:R363" si="40">SUM(D362,1435/14282*D355)</f>
        <v>22162.20459319423</v>
      </c>
      <c r="E363" s="128">
        <f t="shared" si="40"/>
        <v>23791.03136815572</v>
      </c>
      <c r="F363" s="128">
        <f t="shared" si="40"/>
        <v>7888</v>
      </c>
      <c r="G363" s="128">
        <f t="shared" si="40"/>
        <v>0</v>
      </c>
      <c r="H363" s="128">
        <f t="shared" si="40"/>
        <v>455.46380058815294</v>
      </c>
      <c r="I363" s="128">
        <f t="shared" si="40"/>
        <v>2852.3014283713765</v>
      </c>
      <c r="J363" s="128">
        <f t="shared" si="40"/>
        <v>13059.46036969612</v>
      </c>
      <c r="K363" s="128">
        <f t="shared" si="40"/>
        <v>26376.988026886989</v>
      </c>
      <c r="L363" s="128">
        <f t="shared" si="40"/>
        <v>2467.7699901974515</v>
      </c>
      <c r="M363" s="128">
        <f t="shared" si="40"/>
        <v>225</v>
      </c>
      <c r="N363" s="128">
        <f t="shared" si="40"/>
        <v>6718.2337907856045</v>
      </c>
      <c r="O363" s="128">
        <f t="shared" si="40"/>
        <v>8889.0761798067506</v>
      </c>
      <c r="P363" s="128">
        <f t="shared" si="40"/>
        <v>22958.477944265509</v>
      </c>
      <c r="Q363" s="128">
        <f t="shared" si="40"/>
        <v>24725.691725108529</v>
      </c>
      <c r="R363" s="128">
        <f t="shared" si="40"/>
        <v>6353.4347430331891</v>
      </c>
      <c r="S363" s="128">
        <f>SUM(Q363,R363,R363)*0.1809%*1000000</f>
        <v>67715503.231015399</v>
      </c>
      <c r="T363" s="128">
        <f>SUM(S363,-C363*1000)</f>
        <v>21762267.26966545</v>
      </c>
      <c r="U363" s="128">
        <f>IF(T363&lt;0,0,T363)</f>
        <v>21762267.26966545</v>
      </c>
      <c r="V363" s="128">
        <f t="shared" ref="V363" si="41">SUM(V362,1435/14282*V355)</f>
        <v>811280.48536619521</v>
      </c>
      <c r="W363" s="188">
        <f>T363/(V363*1000)</f>
        <v>2.6824591078192166E-2</v>
      </c>
    </row>
    <row r="364" spans="1:28" x14ac:dyDescent="0.25">
      <c r="C364" s="128"/>
      <c r="D364" s="128"/>
      <c r="E364" s="128"/>
      <c r="F364" s="128"/>
      <c r="G364" s="128"/>
      <c r="H364" s="128"/>
      <c r="I364" s="128"/>
      <c r="J364" s="128"/>
      <c r="K364" s="128"/>
      <c r="L364" s="128"/>
      <c r="M364" s="128"/>
      <c r="N364" s="128"/>
      <c r="O364" s="128"/>
      <c r="T364" s="128"/>
      <c r="U364" s="128"/>
      <c r="W364" s="188"/>
    </row>
    <row r="365" spans="1:28" x14ac:dyDescent="0.25">
      <c r="A365" t="s">
        <v>517</v>
      </c>
      <c r="B365" t="s">
        <v>395</v>
      </c>
      <c r="C365" s="128">
        <f>SUM(D365:E365)</f>
        <v>8168</v>
      </c>
      <c r="D365" s="128">
        <v>5390</v>
      </c>
      <c r="E365" s="128">
        <v>2778</v>
      </c>
      <c r="F365" s="128">
        <v>0</v>
      </c>
      <c r="G365" s="128">
        <v>0</v>
      </c>
      <c r="H365" s="128">
        <v>323</v>
      </c>
      <c r="I365" s="128">
        <v>30</v>
      </c>
      <c r="J365" s="128">
        <v>3735</v>
      </c>
      <c r="K365" s="128">
        <v>2780</v>
      </c>
      <c r="L365" s="128">
        <v>425</v>
      </c>
      <c r="M365" s="128">
        <v>14</v>
      </c>
      <c r="N365" s="128">
        <v>1105</v>
      </c>
      <c r="O365" s="128">
        <v>144</v>
      </c>
      <c r="P365" s="128">
        <v>4474</v>
      </c>
      <c r="Q365" s="128">
        <f>P365*1.079</f>
        <v>4827.4459999999999</v>
      </c>
      <c r="R365" s="128">
        <v>706</v>
      </c>
      <c r="S365" s="128">
        <f>SUM(Q365,R365,R365)*0.1809%*1000000</f>
        <v>11287157.814000001</v>
      </c>
      <c r="T365" s="128">
        <f>SUM(S365,-C365*1000)</f>
        <v>3119157.8140000012</v>
      </c>
      <c r="U365" s="128">
        <f>IF(T365&lt;0,0,T365)</f>
        <v>3119157.8140000012</v>
      </c>
      <c r="V365" s="128">
        <v>67453</v>
      </c>
      <c r="W365" s="188">
        <f>T365/(V365*1000)</f>
        <v>4.6241943486575857E-2</v>
      </c>
    </row>
    <row r="366" spans="1:28" x14ac:dyDescent="0.25">
      <c r="A366" t="s">
        <v>517</v>
      </c>
      <c r="B366" t="s">
        <v>395</v>
      </c>
      <c r="C366" s="128">
        <f>SUM(C365,4835/14282*C355)</f>
        <v>9331.2166363254437</v>
      </c>
      <c r="D366" s="128">
        <f t="shared" ref="D366:R366" si="42">SUM(D365,4835/14282*D355)</f>
        <v>6246.5011903094801</v>
      </c>
      <c r="E366" s="128">
        <f t="shared" si="42"/>
        <v>3084.7154460159641</v>
      </c>
      <c r="F366" s="128">
        <f t="shared" si="42"/>
        <v>0</v>
      </c>
      <c r="G366" s="128">
        <f t="shared" si="42"/>
        <v>0</v>
      </c>
      <c r="H366" s="128">
        <f t="shared" si="42"/>
        <v>368.36409466461282</v>
      </c>
      <c r="I366" s="128">
        <f t="shared" si="42"/>
        <v>31.015614059655512</v>
      </c>
      <c r="J366" s="128">
        <f t="shared" si="42"/>
        <v>4275.6452177566171</v>
      </c>
      <c r="K366" s="128">
        <f t="shared" si="42"/>
        <v>3127.0014703822994</v>
      </c>
      <c r="L366" s="128">
        <f t="shared" si="42"/>
        <v>474.76508892312</v>
      </c>
      <c r="M366" s="128">
        <f t="shared" si="42"/>
        <v>14</v>
      </c>
      <c r="N366" s="128">
        <f t="shared" si="42"/>
        <v>1200.1291835877328</v>
      </c>
      <c r="O366" s="128">
        <f t="shared" si="42"/>
        <v>198.16608318162722</v>
      </c>
      <c r="P366" s="128">
        <f t="shared" si="42"/>
        <v>5240.4500770200248</v>
      </c>
      <c r="Q366" s="128">
        <f t="shared" si="42"/>
        <v>5497.7512793726364</v>
      </c>
      <c r="R366" s="128">
        <f t="shared" si="42"/>
        <v>801.8062596275031</v>
      </c>
      <c r="S366" s="128">
        <f>SUM(Q366,R366,R366)*0.1809%*1000000</f>
        <v>12846367.111717407</v>
      </c>
      <c r="T366" s="128">
        <f>SUM(S366,-C366*1000)</f>
        <v>3515150.4753919635</v>
      </c>
      <c r="U366" s="128">
        <f>IF(T366&lt;0,0,T366)</f>
        <v>3515150.4753919635</v>
      </c>
      <c r="V366" s="128">
        <f t="shared" ref="V366" si="43">SUM(V365,4835/14282*V355)</f>
        <v>78890.168463800583</v>
      </c>
      <c r="W366" s="188">
        <f>T366/(V366*1000)</f>
        <v>4.455752274131497E-2</v>
      </c>
    </row>
    <row r="368" spans="1:28" x14ac:dyDescent="0.25">
      <c r="A368" t="s">
        <v>518</v>
      </c>
      <c r="B368" t="s">
        <v>242</v>
      </c>
      <c r="C368" s="128">
        <f>SUM(D368:E368)</f>
        <v>2906</v>
      </c>
      <c r="D368" s="128">
        <v>1962</v>
      </c>
      <c r="E368" s="128">
        <v>944</v>
      </c>
      <c r="F368" s="128">
        <v>0</v>
      </c>
      <c r="G368" s="128">
        <v>0</v>
      </c>
      <c r="H368" s="128">
        <v>70</v>
      </c>
      <c r="I368" s="128">
        <v>8</v>
      </c>
      <c r="J368" s="128">
        <v>927</v>
      </c>
      <c r="K368" s="128">
        <v>1318</v>
      </c>
      <c r="L368" s="128">
        <v>140</v>
      </c>
      <c r="M368" s="128">
        <v>0</v>
      </c>
      <c r="N368" s="128">
        <v>582</v>
      </c>
      <c r="O368" s="128">
        <v>15</v>
      </c>
      <c r="P368" s="128">
        <v>1529</v>
      </c>
      <c r="Q368" s="128">
        <f>P368*1.072</f>
        <v>1639.0880000000002</v>
      </c>
      <c r="R368" s="128">
        <v>279</v>
      </c>
      <c r="S368" s="128">
        <f>SUM(Q368,R368,R368)*0.1809%*1000000</f>
        <v>3974532.1920000003</v>
      </c>
      <c r="T368" s="128">
        <f>SUM(S368,-C368*1000)</f>
        <v>1068532.1920000003</v>
      </c>
      <c r="U368" s="128">
        <f>IF(T368&lt;0,0,T368)</f>
        <v>1068532.1920000003</v>
      </c>
      <c r="V368" s="128">
        <v>21970</v>
      </c>
      <c r="W368" s="188">
        <f>T368/(V368*1000)</f>
        <v>4.8635966863905339E-2</v>
      </c>
    </row>
    <row r="369" spans="1:23" x14ac:dyDescent="0.25">
      <c r="A369" t="s">
        <v>518</v>
      </c>
      <c r="B369" t="s">
        <v>270</v>
      </c>
      <c r="C369" s="128">
        <f>SUM(D369:E369)</f>
        <v>14201</v>
      </c>
      <c r="D369" s="128">
        <v>9535</v>
      </c>
      <c r="E369" s="128">
        <v>4666</v>
      </c>
      <c r="F369" s="128">
        <v>3606</v>
      </c>
      <c r="G369" s="128">
        <v>0</v>
      </c>
      <c r="H369" s="128">
        <v>50</v>
      </c>
      <c r="I369" s="128">
        <v>580</v>
      </c>
      <c r="J369" s="128">
        <v>7705</v>
      </c>
      <c r="K369" s="128">
        <v>13966</v>
      </c>
      <c r="L369" s="128">
        <v>792</v>
      </c>
      <c r="M369" s="128">
        <v>604</v>
      </c>
      <c r="N369" s="128">
        <v>2166</v>
      </c>
      <c r="O369" s="128">
        <v>794</v>
      </c>
      <c r="P369" s="128">
        <v>9665</v>
      </c>
      <c r="Q369" s="128">
        <f>P369*1.072</f>
        <v>10360.880000000001</v>
      </c>
      <c r="R369" s="128">
        <v>1362</v>
      </c>
      <c r="S369" s="128">
        <f>SUM(Q369,R369,R369)*0.1809%*1000000</f>
        <v>23670547.920000006</v>
      </c>
      <c r="T369" s="128">
        <f>SUM(S369,-C369*1000)</f>
        <v>9469547.9200000055</v>
      </c>
      <c r="U369" s="128">
        <f>IF(T369&lt;0,0,T369)</f>
        <v>9469547.9200000055</v>
      </c>
      <c r="V369" s="128">
        <v>244017</v>
      </c>
      <c r="W369" s="188">
        <f>T369/(V369*1000)</f>
        <v>3.8806918862210445E-2</v>
      </c>
    </row>
    <row r="370" spans="1:23" x14ac:dyDescent="0.25">
      <c r="A370" t="s">
        <v>518</v>
      </c>
      <c r="B370" t="s">
        <v>270</v>
      </c>
      <c r="C370" s="128">
        <f>SUM(C368:C369)</f>
        <v>17107</v>
      </c>
      <c r="D370" s="128">
        <f t="shared" ref="D370:R370" si="44">SUM(D368:D369)</f>
        <v>11497</v>
      </c>
      <c r="E370" s="128">
        <f t="shared" si="44"/>
        <v>5610</v>
      </c>
      <c r="F370" s="128">
        <f t="shared" si="44"/>
        <v>3606</v>
      </c>
      <c r="G370" s="128">
        <f t="shared" si="44"/>
        <v>0</v>
      </c>
      <c r="H370" s="128">
        <f t="shared" si="44"/>
        <v>120</v>
      </c>
      <c r="I370" s="128">
        <f t="shared" si="44"/>
        <v>588</v>
      </c>
      <c r="J370" s="128">
        <f t="shared" si="44"/>
        <v>8632</v>
      </c>
      <c r="K370" s="128">
        <f t="shared" si="44"/>
        <v>15284</v>
      </c>
      <c r="L370" s="128">
        <f t="shared" si="44"/>
        <v>932</v>
      </c>
      <c r="M370" s="128">
        <f t="shared" si="44"/>
        <v>604</v>
      </c>
      <c r="N370" s="128">
        <f t="shared" si="44"/>
        <v>2748</v>
      </c>
      <c r="O370" s="128">
        <f t="shared" si="44"/>
        <v>809</v>
      </c>
      <c r="P370" s="128">
        <f t="shared" si="44"/>
        <v>11194</v>
      </c>
      <c r="Q370" s="128">
        <f t="shared" si="44"/>
        <v>11999.968000000001</v>
      </c>
      <c r="R370" s="128">
        <f t="shared" si="44"/>
        <v>1641</v>
      </c>
      <c r="S370" s="128">
        <f>SUM(Q370,R370,R370)*0.1809%*1000000</f>
        <v>27645080.112000003</v>
      </c>
      <c r="T370" s="128">
        <f>SUM(S370,-C370*1000)</f>
        <v>10538080.112000003</v>
      </c>
      <c r="U370" s="128">
        <f>IF(T370&lt;0,0,T370)</f>
        <v>10538080.112000003</v>
      </c>
      <c r="V370" s="128">
        <f>SUM(V368:V369)</f>
        <v>265987</v>
      </c>
      <c r="W370" s="188">
        <f>T370/(V370*1000)</f>
        <v>3.9618778782421711E-2</v>
      </c>
    </row>
    <row r="372" spans="1:23" x14ac:dyDescent="0.25">
      <c r="A372" t="s">
        <v>518</v>
      </c>
      <c r="B372" t="s">
        <v>256</v>
      </c>
      <c r="C372" s="128">
        <f>SUM(D372:E372)</f>
        <v>12989</v>
      </c>
      <c r="D372" s="128">
        <v>6462</v>
      </c>
      <c r="E372" s="128">
        <v>6527</v>
      </c>
      <c r="F372" s="128">
        <v>254</v>
      </c>
      <c r="G372" s="128">
        <v>0</v>
      </c>
      <c r="H372" s="128">
        <v>0</v>
      </c>
      <c r="I372" s="128">
        <v>0</v>
      </c>
      <c r="J372" s="128">
        <v>5843</v>
      </c>
      <c r="K372" s="128">
        <v>6494</v>
      </c>
      <c r="L372" s="128">
        <v>458</v>
      </c>
      <c r="M372" s="128">
        <v>140</v>
      </c>
      <c r="N372" s="128">
        <v>1384</v>
      </c>
      <c r="O372" s="128">
        <v>174</v>
      </c>
      <c r="P372" s="128">
        <v>6082</v>
      </c>
      <c r="Q372" s="128">
        <f>P372*1.072</f>
        <v>6519.9040000000005</v>
      </c>
      <c r="R372" s="128">
        <v>1210</v>
      </c>
      <c r="S372" s="128">
        <f>SUM(Q372,R372,R372)*0.1809%*1000000</f>
        <v>16172286.336000003</v>
      </c>
      <c r="T372" s="128">
        <f>SUM(S372,-C372*1000)</f>
        <v>3183286.3360000029</v>
      </c>
      <c r="U372" s="128">
        <f>IF(T372&lt;0,0,T372)</f>
        <v>3183286.3360000029</v>
      </c>
      <c r="V372" s="128">
        <v>163206</v>
      </c>
      <c r="W372" s="188">
        <f>T372/(V372*1000)</f>
        <v>1.9504713895322493E-2</v>
      </c>
    </row>
    <row r="373" spans="1:23" x14ac:dyDescent="0.25">
      <c r="A373" t="s">
        <v>518</v>
      </c>
      <c r="B373" t="s">
        <v>264</v>
      </c>
      <c r="C373" s="128">
        <f>SUM(D373:E373)</f>
        <v>5174</v>
      </c>
      <c r="D373" s="128">
        <v>3476</v>
      </c>
      <c r="E373" s="128">
        <v>1698</v>
      </c>
      <c r="F373" s="128">
        <v>0</v>
      </c>
      <c r="G373" s="128">
        <v>0</v>
      </c>
      <c r="H373" s="128">
        <v>89</v>
      </c>
      <c r="I373" s="128">
        <v>0</v>
      </c>
      <c r="J373" s="128">
        <v>4556</v>
      </c>
      <c r="K373" s="128">
        <v>3135</v>
      </c>
      <c r="L373" s="128">
        <v>458</v>
      </c>
      <c r="M373" s="128">
        <v>270</v>
      </c>
      <c r="N373" s="128">
        <v>634</v>
      </c>
      <c r="O373" s="128">
        <v>47</v>
      </c>
      <c r="P373" s="128">
        <v>3469</v>
      </c>
      <c r="Q373" s="128">
        <f>P373*1.072</f>
        <v>3718.768</v>
      </c>
      <c r="R373" s="128">
        <v>442</v>
      </c>
      <c r="S373" s="128">
        <f>SUM(Q373,R373,R373)*0.1809%*1000000</f>
        <v>8326407.3120000008</v>
      </c>
      <c r="T373" s="128">
        <f>SUM(S373,-C373*1000)</f>
        <v>3152407.3120000008</v>
      </c>
      <c r="U373" s="128">
        <f>IF(T373&lt;0,0,T373)</f>
        <v>3152407.3120000008</v>
      </c>
      <c r="V373" s="128">
        <v>72891</v>
      </c>
      <c r="W373" s="188">
        <f>T373/(V373*1000)</f>
        <v>4.3248237944327847E-2</v>
      </c>
    </row>
    <row r="374" spans="1:23" x14ac:dyDescent="0.25">
      <c r="A374" t="s">
        <v>518</v>
      </c>
      <c r="B374" t="s">
        <v>867</v>
      </c>
      <c r="C374" s="128">
        <f>SUM(C372:C373)</f>
        <v>18163</v>
      </c>
      <c r="D374" s="128">
        <f t="shared" ref="D374:R374" si="45">SUM(D372:D373)</f>
        <v>9938</v>
      </c>
      <c r="E374" s="128">
        <f t="shared" si="45"/>
        <v>8225</v>
      </c>
      <c r="F374" s="128">
        <f t="shared" si="45"/>
        <v>254</v>
      </c>
      <c r="G374" s="128">
        <f t="shared" si="45"/>
        <v>0</v>
      </c>
      <c r="H374" s="128">
        <f t="shared" si="45"/>
        <v>89</v>
      </c>
      <c r="I374" s="128">
        <f t="shared" si="45"/>
        <v>0</v>
      </c>
      <c r="J374" s="128">
        <f t="shared" si="45"/>
        <v>10399</v>
      </c>
      <c r="K374" s="128">
        <f t="shared" si="45"/>
        <v>9629</v>
      </c>
      <c r="L374" s="128">
        <f t="shared" si="45"/>
        <v>916</v>
      </c>
      <c r="M374" s="128">
        <f t="shared" si="45"/>
        <v>410</v>
      </c>
      <c r="N374" s="128">
        <f t="shared" si="45"/>
        <v>2018</v>
      </c>
      <c r="O374" s="128">
        <f t="shared" si="45"/>
        <v>221</v>
      </c>
      <c r="P374" s="128">
        <f t="shared" si="45"/>
        <v>9551</v>
      </c>
      <c r="Q374" s="128">
        <f t="shared" si="45"/>
        <v>10238.672</v>
      </c>
      <c r="R374" s="128">
        <f t="shared" si="45"/>
        <v>1652</v>
      </c>
      <c r="S374" s="128">
        <f>SUM(Q374,R374,R374)*0.1809%*1000000</f>
        <v>24498693.648000002</v>
      </c>
      <c r="T374" s="128">
        <f>SUM(S374,-C374*1000)</f>
        <v>6335693.6480000019</v>
      </c>
      <c r="U374" s="128">
        <f>IF(T374&lt;0,0,T374)</f>
        <v>6335693.6480000019</v>
      </c>
      <c r="V374" s="128">
        <f>SUM(V372:V373)</f>
        <v>236097</v>
      </c>
      <c r="W374" s="188">
        <f>T374/(V374*1000)</f>
        <v>2.6835129832229982E-2</v>
      </c>
    </row>
    <row r="376" spans="1:23" x14ac:dyDescent="0.25">
      <c r="A376" t="s">
        <v>517</v>
      </c>
      <c r="B376" t="s">
        <v>392</v>
      </c>
      <c r="C376" s="128">
        <f>SUM(D376:E376)</f>
        <v>10023</v>
      </c>
      <c r="D376" s="128">
        <v>4890</v>
      </c>
      <c r="E376" s="128">
        <v>5133</v>
      </c>
      <c r="F376" s="128">
        <v>2395</v>
      </c>
      <c r="G376" s="128">
        <v>0</v>
      </c>
      <c r="H376" s="128">
        <v>0</v>
      </c>
      <c r="I376" s="128">
        <v>197</v>
      </c>
      <c r="J376" s="128">
        <v>4542</v>
      </c>
      <c r="K376" s="128">
        <v>4514</v>
      </c>
      <c r="L376" s="128">
        <v>573</v>
      </c>
      <c r="M376" s="128">
        <v>134</v>
      </c>
      <c r="N376" s="128">
        <v>1044</v>
      </c>
      <c r="O376" s="128">
        <v>380</v>
      </c>
      <c r="P376" s="128">
        <v>5243</v>
      </c>
      <c r="Q376" s="128">
        <f>P376*1.079</f>
        <v>5657.1970000000001</v>
      </c>
      <c r="R376" s="128">
        <v>1213</v>
      </c>
      <c r="S376" s="128">
        <f>SUM(Q376,R376,R376)*0.1809%*1000000</f>
        <v>14622503.373000002</v>
      </c>
      <c r="T376" s="128">
        <f>SUM(S376,-C376*1000)</f>
        <v>4599503.3730000015</v>
      </c>
      <c r="U376" s="128">
        <f>IF(T376&lt;0,0,T376)</f>
        <v>4599503.3730000015</v>
      </c>
      <c r="V376" s="128">
        <v>112785</v>
      </c>
      <c r="W376" s="188">
        <f>T376/(V376*1000)</f>
        <v>4.0781162149221985E-2</v>
      </c>
    </row>
    <row r="377" spans="1:23" x14ac:dyDescent="0.25">
      <c r="A377" t="s">
        <v>517</v>
      </c>
      <c r="B377" t="s">
        <v>376</v>
      </c>
      <c r="C377" s="128">
        <f>SUM(D377:E377)</f>
        <v>3546</v>
      </c>
      <c r="D377" s="128">
        <v>1986</v>
      </c>
      <c r="E377" s="128">
        <v>1560</v>
      </c>
      <c r="F377" s="128">
        <v>0</v>
      </c>
      <c r="G377" s="128">
        <v>0</v>
      </c>
      <c r="H377" s="128">
        <v>391</v>
      </c>
      <c r="I377" s="128">
        <v>0</v>
      </c>
      <c r="J377" s="128">
        <v>1023</v>
      </c>
      <c r="K377" s="128">
        <v>1582</v>
      </c>
      <c r="L377" s="128">
        <v>183</v>
      </c>
      <c r="M377" s="128">
        <v>31</v>
      </c>
      <c r="N377" s="128">
        <v>775</v>
      </c>
      <c r="O377" s="128">
        <v>205</v>
      </c>
      <c r="P377" s="128">
        <v>2037</v>
      </c>
      <c r="Q377" s="128">
        <f>P377*1.079</f>
        <v>2197.9229999999998</v>
      </c>
      <c r="R377" s="128">
        <v>324</v>
      </c>
      <c r="S377" s="128">
        <f>SUM(Q377,R377,R377)*0.1809%*1000000</f>
        <v>5148274.7069999995</v>
      </c>
      <c r="T377" s="128">
        <f>SUM(S377,-C377*1000)</f>
        <v>1602274.7069999995</v>
      </c>
      <c r="U377" s="128">
        <f>IF(T377&lt;0,0,T377)</f>
        <v>1602274.7069999995</v>
      </c>
      <c r="V377" s="128">
        <v>36879</v>
      </c>
      <c r="W377" s="188">
        <f>T377/(V377*1000)</f>
        <v>4.3446804604246304E-2</v>
      </c>
    </row>
    <row r="378" spans="1:23" x14ac:dyDescent="0.25">
      <c r="A378" t="s">
        <v>517</v>
      </c>
      <c r="B378" t="s">
        <v>869</v>
      </c>
      <c r="C378" s="128">
        <f>SUM(C376:C377)</f>
        <v>13569</v>
      </c>
      <c r="D378" s="128">
        <f t="shared" ref="D378:R378" si="46">SUM(D376:D377)</f>
        <v>6876</v>
      </c>
      <c r="E378" s="128">
        <f t="shared" si="46"/>
        <v>6693</v>
      </c>
      <c r="F378" s="128">
        <f t="shared" si="46"/>
        <v>2395</v>
      </c>
      <c r="G378" s="128">
        <f t="shared" si="46"/>
        <v>0</v>
      </c>
      <c r="H378" s="128">
        <f t="shared" si="46"/>
        <v>391</v>
      </c>
      <c r="I378" s="128">
        <f t="shared" si="46"/>
        <v>197</v>
      </c>
      <c r="J378" s="128">
        <f t="shared" si="46"/>
        <v>5565</v>
      </c>
      <c r="K378" s="128">
        <f t="shared" si="46"/>
        <v>6096</v>
      </c>
      <c r="L378" s="128">
        <f t="shared" si="46"/>
        <v>756</v>
      </c>
      <c r="M378" s="128">
        <f t="shared" si="46"/>
        <v>165</v>
      </c>
      <c r="N378" s="128">
        <f t="shared" si="46"/>
        <v>1819</v>
      </c>
      <c r="O378" s="128">
        <f t="shared" si="46"/>
        <v>585</v>
      </c>
      <c r="P378" s="128">
        <f t="shared" si="46"/>
        <v>7280</v>
      </c>
      <c r="Q378" s="128">
        <f t="shared" si="46"/>
        <v>7855.12</v>
      </c>
      <c r="R378" s="128">
        <f t="shared" si="46"/>
        <v>1537</v>
      </c>
      <c r="S378" s="128">
        <f>SUM(Q378,R378,R378)*0.1809%*1000000</f>
        <v>19770778.079999998</v>
      </c>
      <c r="T378" s="128">
        <f>SUM(S378,-C378*1000)</f>
        <v>6201778.0799999982</v>
      </c>
      <c r="U378" s="128">
        <f>IF(T378&lt;0,0,T378)</f>
        <v>6201778.0799999982</v>
      </c>
      <c r="V378" s="128">
        <f>SUM(V376:V377)</f>
        <v>149664</v>
      </c>
      <c r="W378" s="188">
        <f>T378/(V378*1000)</f>
        <v>4.1438008338678625E-2</v>
      </c>
    </row>
    <row r="380" spans="1:23" x14ac:dyDescent="0.25">
      <c r="A380" t="s">
        <v>517</v>
      </c>
      <c r="B380" t="s">
        <v>352</v>
      </c>
      <c r="C380" s="128">
        <f>SUM(D380:E380)</f>
        <v>6524</v>
      </c>
      <c r="D380" s="128">
        <v>3751</v>
      </c>
      <c r="E380" s="128">
        <v>2773</v>
      </c>
      <c r="F380" s="128">
        <v>0</v>
      </c>
      <c r="G380" s="128">
        <v>0</v>
      </c>
      <c r="H380" s="128">
        <v>317</v>
      </c>
      <c r="I380" s="128">
        <v>126</v>
      </c>
      <c r="J380" s="128">
        <v>3204</v>
      </c>
      <c r="K380" s="128">
        <v>2243</v>
      </c>
      <c r="L380" s="128">
        <v>411</v>
      </c>
      <c r="M380" s="128">
        <v>75</v>
      </c>
      <c r="N380" s="128">
        <v>824</v>
      </c>
      <c r="O380" s="128">
        <v>103</v>
      </c>
      <c r="P380" s="128">
        <v>3155</v>
      </c>
      <c r="Q380" s="128">
        <f>P380*1.079</f>
        <v>3404.2449999999999</v>
      </c>
      <c r="R380" s="128">
        <v>751</v>
      </c>
      <c r="S380" s="128">
        <f t="shared" ref="S380:S385" si="47">SUM(Q380,R380,R380)*0.1809%*1000000</f>
        <v>8875397.2050000001</v>
      </c>
      <c r="T380" s="128">
        <f t="shared" ref="T380:T385" si="48">SUM(S380,-C380*1000)</f>
        <v>2351397.2050000001</v>
      </c>
      <c r="U380" s="128">
        <f t="shared" ref="U380:U385" si="49">IF(T380&lt;0,0,T380)</f>
        <v>2351397.2050000001</v>
      </c>
      <c r="V380" s="128">
        <v>71330</v>
      </c>
      <c r="W380" s="188">
        <f t="shared" ref="W380:W385" si="50">T380/(V380*1000)</f>
        <v>3.2965052642646854E-2</v>
      </c>
    </row>
    <row r="381" spans="1:23" x14ac:dyDescent="0.25">
      <c r="A381" t="s">
        <v>517</v>
      </c>
      <c r="B381" t="s">
        <v>356</v>
      </c>
      <c r="C381" s="128">
        <f>SUM(D381:E381)</f>
        <v>7593</v>
      </c>
      <c r="D381" s="128">
        <v>6243</v>
      </c>
      <c r="E381" s="128">
        <v>1350</v>
      </c>
      <c r="F381" s="128">
        <v>18</v>
      </c>
      <c r="G381" s="128">
        <v>0</v>
      </c>
      <c r="H381" s="128">
        <v>199</v>
      </c>
      <c r="I381" s="128">
        <v>76</v>
      </c>
      <c r="J381" s="128">
        <v>2132</v>
      </c>
      <c r="K381" s="128">
        <v>2214</v>
      </c>
      <c r="L381" s="128">
        <v>279</v>
      </c>
      <c r="M381" s="128">
        <v>109</v>
      </c>
      <c r="N381" s="128">
        <v>1010</v>
      </c>
      <c r="O381" s="128">
        <v>413</v>
      </c>
      <c r="P381" s="128">
        <v>2609</v>
      </c>
      <c r="Q381" s="128">
        <f>P381*1.079</f>
        <v>2815.1109999999999</v>
      </c>
      <c r="R381" s="128">
        <v>635</v>
      </c>
      <c r="S381" s="128">
        <f t="shared" si="47"/>
        <v>7389965.7989999996</v>
      </c>
      <c r="T381" s="128">
        <f t="shared" si="48"/>
        <v>-203034.20100000035</v>
      </c>
      <c r="U381" s="128">
        <f t="shared" si="49"/>
        <v>0</v>
      </c>
      <c r="V381" s="128">
        <v>77371</v>
      </c>
      <c r="W381" s="188">
        <f t="shared" si="50"/>
        <v>-2.6241641054141778E-3</v>
      </c>
    </row>
    <row r="382" spans="1:23" x14ac:dyDescent="0.25">
      <c r="A382" t="s">
        <v>517</v>
      </c>
      <c r="B382" t="s">
        <v>368</v>
      </c>
      <c r="C382" s="128">
        <f>SUM(D382:E382)</f>
        <v>2976</v>
      </c>
      <c r="D382" s="128">
        <v>2667</v>
      </c>
      <c r="E382" s="128">
        <v>309</v>
      </c>
      <c r="F382" s="128">
        <v>12</v>
      </c>
      <c r="G382" s="128">
        <v>0</v>
      </c>
      <c r="H382" s="128">
        <v>0</v>
      </c>
      <c r="I382" s="128">
        <v>157</v>
      </c>
      <c r="J382" s="128">
        <v>1108</v>
      </c>
      <c r="K382" s="128">
        <v>1203</v>
      </c>
      <c r="L382" s="128">
        <v>139</v>
      </c>
      <c r="M382" s="128">
        <v>46</v>
      </c>
      <c r="N382" s="128">
        <v>320</v>
      </c>
      <c r="O382" s="128">
        <v>214</v>
      </c>
      <c r="P382" s="128">
        <v>1257</v>
      </c>
      <c r="Q382" s="128">
        <f>P382*1.079</f>
        <v>1356.3029999999999</v>
      </c>
      <c r="R382" s="128">
        <v>222</v>
      </c>
      <c r="S382" s="128">
        <f t="shared" si="47"/>
        <v>3256748.1269999999</v>
      </c>
      <c r="T382" s="128">
        <f t="shared" si="48"/>
        <v>280748.12699999986</v>
      </c>
      <c r="U382" s="128">
        <f t="shared" si="49"/>
        <v>280748.12699999986</v>
      </c>
      <c r="V382" s="128">
        <v>29354</v>
      </c>
      <c r="W382" s="188">
        <f t="shared" si="50"/>
        <v>9.5642204469578197E-3</v>
      </c>
    </row>
    <row r="383" spans="1:23" x14ac:dyDescent="0.25">
      <c r="A383" t="s">
        <v>526</v>
      </c>
      <c r="B383" t="s">
        <v>378</v>
      </c>
      <c r="C383" s="128">
        <f>SUM(D383:E383)</f>
        <v>2946</v>
      </c>
      <c r="D383" s="128">
        <v>2500</v>
      </c>
      <c r="E383" s="128">
        <v>446</v>
      </c>
      <c r="F383" s="128">
        <v>0</v>
      </c>
      <c r="G383" s="128">
        <v>0</v>
      </c>
      <c r="H383" s="128">
        <v>48</v>
      </c>
      <c r="I383" s="128">
        <v>0</v>
      </c>
      <c r="J383" s="128">
        <v>1082</v>
      </c>
      <c r="K383" s="128">
        <v>0</v>
      </c>
      <c r="L383" s="128">
        <v>170</v>
      </c>
      <c r="M383" s="128">
        <v>0</v>
      </c>
      <c r="N383" s="128">
        <v>501</v>
      </c>
      <c r="O383" s="128">
        <v>312</v>
      </c>
      <c r="P383" s="128">
        <v>1214</v>
      </c>
      <c r="Q383" s="128">
        <f>P383*1.086</f>
        <v>1318.404</v>
      </c>
      <c r="R383" s="128">
        <v>242</v>
      </c>
      <c r="S383" s="128">
        <f t="shared" si="47"/>
        <v>3260548.8360000001</v>
      </c>
      <c r="T383" s="128">
        <f t="shared" si="48"/>
        <v>314548.83600000013</v>
      </c>
      <c r="U383" s="128">
        <f t="shared" si="49"/>
        <v>314548.83600000013</v>
      </c>
      <c r="V383" s="128">
        <v>29020</v>
      </c>
      <c r="W383" s="188">
        <f t="shared" si="50"/>
        <v>1.0839036388697454E-2</v>
      </c>
    </row>
    <row r="384" spans="1:23" x14ac:dyDescent="0.25">
      <c r="A384" t="s">
        <v>517</v>
      </c>
      <c r="B384" t="s">
        <v>439</v>
      </c>
      <c r="C384" s="128">
        <f>SUM(D384:E384)</f>
        <v>3006</v>
      </c>
      <c r="D384" s="128">
        <v>1596</v>
      </c>
      <c r="E384" s="128">
        <v>1410</v>
      </c>
      <c r="F384" s="128">
        <v>0</v>
      </c>
      <c r="G384" s="128">
        <v>0</v>
      </c>
      <c r="H384" s="128">
        <v>212</v>
      </c>
      <c r="I384" s="128">
        <v>0</v>
      </c>
      <c r="J384" s="128">
        <v>1107</v>
      </c>
      <c r="K384" s="128">
        <v>838</v>
      </c>
      <c r="L384" s="128">
        <v>127</v>
      </c>
      <c r="M384" s="128">
        <v>85</v>
      </c>
      <c r="N384" s="128">
        <v>575</v>
      </c>
      <c r="O384" s="128">
        <v>47</v>
      </c>
      <c r="P384" s="128">
        <v>1330</v>
      </c>
      <c r="Q384" s="128">
        <f>P384*1.079</f>
        <v>1435.07</v>
      </c>
      <c r="R384" s="128">
        <v>362</v>
      </c>
      <c r="S384" s="128">
        <f t="shared" si="47"/>
        <v>3905757.6299999994</v>
      </c>
      <c r="T384" s="128">
        <f t="shared" si="48"/>
        <v>899757.62999999942</v>
      </c>
      <c r="U384" s="128">
        <f t="shared" si="49"/>
        <v>899757.62999999942</v>
      </c>
      <c r="V384" s="128">
        <v>35473</v>
      </c>
      <c r="W384" s="188">
        <f t="shared" si="50"/>
        <v>2.5364576720322482E-2</v>
      </c>
    </row>
    <row r="385" spans="1:23" x14ac:dyDescent="0.25">
      <c r="A385" t="s">
        <v>517</v>
      </c>
      <c r="B385" t="s">
        <v>868</v>
      </c>
      <c r="C385" s="128">
        <f>SUM(C380:C384)</f>
        <v>23045</v>
      </c>
      <c r="D385" s="128">
        <f t="shared" ref="D385:R385" si="51">SUM(D380:D384)</f>
        <v>16757</v>
      </c>
      <c r="E385" s="128">
        <f t="shared" si="51"/>
        <v>6288</v>
      </c>
      <c r="F385" s="128">
        <f t="shared" si="51"/>
        <v>30</v>
      </c>
      <c r="G385" s="128">
        <f t="shared" si="51"/>
        <v>0</v>
      </c>
      <c r="H385" s="128">
        <f t="shared" si="51"/>
        <v>776</v>
      </c>
      <c r="I385" s="128">
        <f t="shared" si="51"/>
        <v>359</v>
      </c>
      <c r="J385" s="128">
        <f t="shared" si="51"/>
        <v>8633</v>
      </c>
      <c r="K385" s="128">
        <f t="shared" si="51"/>
        <v>6498</v>
      </c>
      <c r="L385" s="128">
        <f t="shared" si="51"/>
        <v>1126</v>
      </c>
      <c r="M385" s="128">
        <f t="shared" si="51"/>
        <v>315</v>
      </c>
      <c r="N385" s="128">
        <f t="shared" si="51"/>
        <v>3230</v>
      </c>
      <c r="O385" s="128">
        <f t="shared" si="51"/>
        <v>1089</v>
      </c>
      <c r="P385" s="128">
        <f t="shared" si="51"/>
        <v>9565</v>
      </c>
      <c r="Q385" s="128">
        <f t="shared" si="51"/>
        <v>10329.133</v>
      </c>
      <c r="R385" s="128">
        <f t="shared" si="51"/>
        <v>2212</v>
      </c>
      <c r="S385" s="128">
        <f t="shared" si="47"/>
        <v>26688417.596999999</v>
      </c>
      <c r="T385" s="128">
        <f t="shared" si="48"/>
        <v>3643417.5969999991</v>
      </c>
      <c r="U385" s="128">
        <f t="shared" si="49"/>
        <v>3643417.5969999991</v>
      </c>
      <c r="V385" s="128">
        <f>SUM(V380:V384)</f>
        <v>242548</v>
      </c>
      <c r="W385" s="188">
        <f t="shared" si="50"/>
        <v>1.5021429148044919E-2</v>
      </c>
    </row>
  </sheetData>
  <sheetProtection algorithmName="SHA-512" hashValue="vpPCxHiJXkGgojdFiUDzHAUgutfXFfHDe/nNDtEcq1uClRU9rcIZvrhAPYoqGp6ouscKnnUMhS+9RjK0XxnQ8g==" saltValue="B5zSMgHhKTWhNQIy0sFjuQ==" spinCount="100000" sheet="1" objects="1" scenarios="1"/>
  <sortState xmlns:xlrd2="http://schemas.microsoft.com/office/spreadsheetml/2017/richdata2" ref="AB2:AD346">
    <sortCondition ref="AB2:AB346"/>
  </sortState>
  <pageMargins left="0.7" right="0.7" top="0.75" bottom="0.75" header="0.3" footer="0.3"/>
  <ignoredErrors>
    <ignoredError sqref="C2 C74:C86 C160:C176 C178:C208 C231:C277 C158:C159 C88:C156 C210:C229 C279:C304 C306:C34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B91A2-2295-49AF-BF9B-4EEA28D9F5FA}">
  <dimension ref="A1:AR380"/>
  <sheetViews>
    <sheetView workbookViewId="0">
      <pane xSplit="2" ySplit="1" topLeftCell="C2" activePane="bottomRight" state="frozen"/>
      <selection pane="topRight" activeCell="C1" sqref="C1"/>
      <selection pane="bottomLeft" activeCell="A2" sqref="A2"/>
      <selection pane="bottomRight" activeCell="W350" sqref="W350"/>
    </sheetView>
  </sheetViews>
  <sheetFormatPr defaultRowHeight="12.5" x14ac:dyDescent="0.25"/>
  <cols>
    <col min="1" max="1" width="5" bestFit="1" customWidth="1"/>
    <col min="2" max="2" width="27.7265625" bestFit="1" customWidth="1"/>
    <col min="3" max="3" width="15.90625" style="128" bestFit="1" customWidth="1"/>
    <col min="4" max="4" width="18.81640625" style="128" bestFit="1" customWidth="1"/>
    <col min="5" max="5" width="12.81640625" style="128" bestFit="1" customWidth="1"/>
    <col min="6" max="6" width="18.36328125" style="128" bestFit="1" customWidth="1"/>
    <col min="7" max="7" width="12.453125" style="128" bestFit="1" customWidth="1"/>
    <col min="8" max="8" width="32.1796875" style="128" bestFit="1" customWidth="1"/>
    <col min="9" max="9" width="33.08984375" bestFit="1" customWidth="1"/>
    <col min="11" max="11" width="23.81640625" bestFit="1" customWidth="1"/>
    <col min="12" max="12" width="24.54296875" bestFit="1" customWidth="1"/>
    <col min="13" max="13" width="18.36328125" style="128" bestFit="1" customWidth="1"/>
    <col min="14" max="14" width="10.36328125" style="128" bestFit="1" customWidth="1"/>
    <col min="15" max="15" width="8.90625" style="128" bestFit="1" customWidth="1"/>
    <col min="16" max="16" width="21.08984375" style="128" bestFit="1" customWidth="1"/>
    <col min="17" max="17" width="21.08984375" style="128" customWidth="1"/>
    <col min="18" max="18" width="28.90625" style="128" bestFit="1" customWidth="1"/>
    <col min="19" max="19" width="29.6328125" style="128" bestFit="1" customWidth="1"/>
    <col min="20" max="20" width="28.6328125" style="128" bestFit="1" customWidth="1"/>
    <col min="21" max="21" width="29.453125" style="128" bestFit="1" customWidth="1"/>
    <col min="22" max="22" width="20.36328125" style="188" bestFit="1" customWidth="1"/>
    <col min="23" max="23" width="25.1796875" style="238" bestFit="1" customWidth="1"/>
    <col min="24" max="24" width="8.26953125" style="358" bestFit="1" customWidth="1"/>
    <col min="25" max="25" width="24.08984375" style="188" bestFit="1" customWidth="1"/>
    <col min="26" max="26" width="11.81640625" bestFit="1" customWidth="1"/>
    <col min="27" max="27" width="24.54296875" style="238" bestFit="1" customWidth="1"/>
    <col min="28" max="28" width="24.6328125" style="238" bestFit="1" customWidth="1"/>
    <col min="29" max="29" width="27.54296875" style="274" bestFit="1" customWidth="1"/>
    <col min="31" max="31" width="19.1796875" bestFit="1" customWidth="1"/>
    <col min="32" max="32" width="24.453125" bestFit="1" customWidth="1"/>
    <col min="33" max="33" width="10.6328125" bestFit="1" customWidth="1"/>
    <col min="34" max="34" width="10.6328125" customWidth="1"/>
    <col min="35" max="35" width="28.1796875" bestFit="1" customWidth="1"/>
    <col min="36" max="36" width="23.6328125" bestFit="1" customWidth="1"/>
    <col min="37" max="37" width="26.453125" bestFit="1" customWidth="1"/>
    <col min="38" max="38" width="15.08984375" bestFit="1" customWidth="1"/>
    <col min="39" max="39" width="9.7265625" bestFit="1" customWidth="1"/>
    <col min="40" max="40" width="28.08984375" bestFit="1" customWidth="1"/>
    <col min="41" max="41" width="25.453125" bestFit="1" customWidth="1"/>
    <col min="42" max="42" width="6.90625" bestFit="1" customWidth="1"/>
  </cols>
  <sheetData>
    <row r="1" spans="1:44" x14ac:dyDescent="0.25">
      <c r="A1" t="s">
        <v>795</v>
      </c>
      <c r="B1" t="s">
        <v>530</v>
      </c>
      <c r="C1" s="128" t="s">
        <v>796</v>
      </c>
      <c r="D1" s="128" t="s">
        <v>797</v>
      </c>
      <c r="E1" s="128" t="s">
        <v>799</v>
      </c>
      <c r="F1" s="128" t="s">
        <v>798</v>
      </c>
      <c r="G1" s="128" t="s">
        <v>870</v>
      </c>
      <c r="H1" s="128" t="s">
        <v>800</v>
      </c>
      <c r="I1" s="128" t="s">
        <v>801</v>
      </c>
      <c r="J1" s="128" t="s">
        <v>646</v>
      </c>
      <c r="K1" s="128" t="s">
        <v>647</v>
      </c>
      <c r="L1" s="128" t="s">
        <v>802</v>
      </c>
      <c r="M1" s="128" t="s">
        <v>871</v>
      </c>
      <c r="N1" s="128" t="s">
        <v>872</v>
      </c>
      <c r="O1" s="128" t="s">
        <v>873</v>
      </c>
      <c r="P1" s="128" t="s">
        <v>874</v>
      </c>
      <c r="Q1" s="128" t="s">
        <v>885</v>
      </c>
      <c r="R1" s="128" t="s">
        <v>881</v>
      </c>
      <c r="S1" s="128" t="s">
        <v>882</v>
      </c>
      <c r="T1" s="128" t="s">
        <v>883</v>
      </c>
      <c r="U1" s="128" t="s">
        <v>884</v>
      </c>
      <c r="V1" s="188" t="s">
        <v>1024</v>
      </c>
      <c r="W1" s="238" t="s">
        <v>1025</v>
      </c>
      <c r="X1" s="359" t="s">
        <v>1044</v>
      </c>
    </row>
    <row r="2" spans="1:44" x14ac:dyDescent="0.25">
      <c r="B2" t="s">
        <v>106</v>
      </c>
      <c r="C2" s="128">
        <v>41407497.877850078</v>
      </c>
      <c r="D2" s="128">
        <v>39712042.877850078</v>
      </c>
      <c r="E2" s="128">
        <v>1161990</v>
      </c>
      <c r="F2" s="128">
        <v>0</v>
      </c>
      <c r="G2" s="128">
        <v>135364</v>
      </c>
      <c r="H2" s="128">
        <v>398101</v>
      </c>
      <c r="I2" s="128">
        <v>5326442</v>
      </c>
      <c r="L2" s="128">
        <f>IF(SUM(M2*1000,-I2,-C2)&gt;0,SUM(M2*1000,-I2,-C2),0)</f>
        <v>0</v>
      </c>
      <c r="M2" s="128">
        <v>43789</v>
      </c>
      <c r="N2" s="128">
        <v>36</v>
      </c>
      <c r="O2" s="128">
        <v>523</v>
      </c>
      <c r="P2" s="128">
        <v>285</v>
      </c>
      <c r="Q2" s="128">
        <v>2339</v>
      </c>
      <c r="R2" s="128">
        <v>63549</v>
      </c>
      <c r="S2" s="128">
        <v>63715</v>
      </c>
      <c r="T2" s="128">
        <v>63282</v>
      </c>
      <c r="U2" s="128">
        <v>65186</v>
      </c>
      <c r="V2" s="188">
        <f>M2/R2</f>
        <v>0.68905883648837907</v>
      </c>
      <c r="W2" s="238">
        <v>4.4600000000000001E-2</v>
      </c>
      <c r="X2" s="358">
        <v>7</v>
      </c>
      <c r="AF2" s="238"/>
      <c r="AR2" s="129"/>
    </row>
    <row r="3" spans="1:44" x14ac:dyDescent="0.25">
      <c r="B3" t="s">
        <v>238</v>
      </c>
      <c r="C3" s="128">
        <v>40974260.766881242</v>
      </c>
      <c r="D3" s="128">
        <v>38920353.766881242</v>
      </c>
      <c r="E3" s="128">
        <v>698851</v>
      </c>
      <c r="F3" s="128">
        <v>0</v>
      </c>
      <c r="G3" s="128">
        <v>851561</v>
      </c>
      <c r="H3" s="128">
        <v>503495</v>
      </c>
      <c r="I3" s="128">
        <v>4293026</v>
      </c>
      <c r="L3" s="128">
        <f t="shared" ref="L3:L66" si="0">IF(SUM(M3*1000,-I3,-C3)&gt;0,SUM(M3*1000,-I3,-C3),0)</f>
        <v>0</v>
      </c>
      <c r="M3" s="128">
        <v>42122</v>
      </c>
      <c r="N3" s="128">
        <v>735</v>
      </c>
      <c r="O3" s="128">
        <v>1005</v>
      </c>
      <c r="P3" s="128">
        <v>89</v>
      </c>
      <c r="Q3" s="128">
        <v>5923</v>
      </c>
      <c r="R3" s="128">
        <v>89998</v>
      </c>
      <c r="S3" s="128">
        <v>91347</v>
      </c>
      <c r="T3" s="128">
        <v>108385</v>
      </c>
      <c r="U3" s="128">
        <v>110480</v>
      </c>
      <c r="V3" s="188">
        <f t="shared" ref="V3:V66" si="1">M3/R3</f>
        <v>0.46803262294717662</v>
      </c>
      <c r="W3" s="238">
        <v>4.3299999999999998E-2</v>
      </c>
      <c r="X3" s="358">
        <v>6</v>
      </c>
      <c r="AF3" s="238"/>
      <c r="AR3" s="129"/>
    </row>
    <row r="4" spans="1:44" x14ac:dyDescent="0.25">
      <c r="B4" t="s">
        <v>165</v>
      </c>
      <c r="C4" s="128">
        <v>50202462.994487412</v>
      </c>
      <c r="D4" s="128">
        <v>42941462.994487412</v>
      </c>
      <c r="E4" s="128">
        <v>713276</v>
      </c>
      <c r="F4" s="128">
        <v>0</v>
      </c>
      <c r="G4" s="128">
        <v>6182373</v>
      </c>
      <c r="H4" s="128">
        <v>365351</v>
      </c>
      <c r="I4" s="128">
        <v>4506773</v>
      </c>
      <c r="L4" s="128">
        <f t="shared" si="0"/>
        <v>0</v>
      </c>
      <c r="M4" s="128">
        <v>51733</v>
      </c>
      <c r="N4" s="128">
        <v>104</v>
      </c>
      <c r="O4" s="128">
        <v>387</v>
      </c>
      <c r="P4" s="128">
        <v>412</v>
      </c>
      <c r="Q4" s="128">
        <v>331</v>
      </c>
      <c r="R4" s="128">
        <v>64640</v>
      </c>
      <c r="S4" s="128">
        <v>64693</v>
      </c>
      <c r="T4" s="128">
        <v>63650</v>
      </c>
      <c r="U4" s="128">
        <v>64141</v>
      </c>
      <c r="V4" s="188">
        <f t="shared" si="1"/>
        <v>0.80032487623762372</v>
      </c>
      <c r="W4" s="238">
        <v>5.33E-2</v>
      </c>
      <c r="X4" s="358">
        <v>5</v>
      </c>
      <c r="AF4" s="238"/>
    </row>
    <row r="5" spans="1:44" x14ac:dyDescent="0.25">
      <c r="B5" t="s">
        <v>127</v>
      </c>
      <c r="C5" s="128">
        <v>56735815.498692095</v>
      </c>
      <c r="D5" s="128">
        <v>50843306.498692095</v>
      </c>
      <c r="E5" s="128">
        <v>682824</v>
      </c>
      <c r="F5" s="128">
        <v>0</v>
      </c>
      <c r="G5" s="128">
        <v>4544766</v>
      </c>
      <c r="H5" s="128">
        <v>664919</v>
      </c>
      <c r="I5" s="128">
        <v>10454558</v>
      </c>
      <c r="L5" s="128">
        <f t="shared" si="0"/>
        <v>1000626.5013079047</v>
      </c>
      <c r="M5" s="128">
        <v>68191</v>
      </c>
      <c r="N5" s="128">
        <v>205</v>
      </c>
      <c r="O5" s="128">
        <v>716</v>
      </c>
      <c r="P5" s="128">
        <v>149</v>
      </c>
      <c r="Q5" s="128">
        <v>0</v>
      </c>
      <c r="R5" s="128">
        <v>87399</v>
      </c>
      <c r="S5" s="128">
        <v>89035</v>
      </c>
      <c r="T5" s="128">
        <v>83306</v>
      </c>
      <c r="U5" s="128">
        <v>84690</v>
      </c>
      <c r="V5" s="188">
        <f t="shared" si="1"/>
        <v>0.78022631837892886</v>
      </c>
      <c r="W5" s="238">
        <v>4.3200000000000002E-2</v>
      </c>
      <c r="X5" s="358">
        <v>7.5</v>
      </c>
      <c r="AF5" s="238"/>
    </row>
    <row r="6" spans="1:44" x14ac:dyDescent="0.25">
      <c r="B6" t="s">
        <v>283</v>
      </c>
      <c r="C6" s="128">
        <v>34776394.163237214</v>
      </c>
      <c r="D6" s="128">
        <v>32223234.163237214</v>
      </c>
      <c r="E6" s="128">
        <v>594650</v>
      </c>
      <c r="F6" s="128">
        <v>0</v>
      </c>
      <c r="G6" s="128">
        <v>1470752</v>
      </c>
      <c r="H6" s="128">
        <v>487758</v>
      </c>
      <c r="I6" s="128">
        <v>5721603</v>
      </c>
      <c r="L6" s="128">
        <f t="shared" si="0"/>
        <v>0</v>
      </c>
      <c r="M6" s="128">
        <v>39674</v>
      </c>
      <c r="N6" s="128">
        <v>77</v>
      </c>
      <c r="O6" s="128">
        <v>887</v>
      </c>
      <c r="P6" s="128">
        <v>69</v>
      </c>
      <c r="Q6" s="128">
        <v>354</v>
      </c>
      <c r="R6" s="128">
        <v>55491</v>
      </c>
      <c r="S6" s="128">
        <v>55766</v>
      </c>
      <c r="T6" s="128">
        <v>53626</v>
      </c>
      <c r="U6" s="128">
        <v>55202</v>
      </c>
      <c r="V6" s="188">
        <f t="shared" si="1"/>
        <v>0.71496278675821301</v>
      </c>
      <c r="W6" s="238">
        <v>3.85E-2</v>
      </c>
      <c r="X6" s="358">
        <v>7</v>
      </c>
      <c r="AF6" s="238"/>
    </row>
    <row r="7" spans="1:44" x14ac:dyDescent="0.25">
      <c r="B7" t="s">
        <v>284</v>
      </c>
      <c r="C7" s="128">
        <v>33799067.790684298</v>
      </c>
      <c r="D7" s="128">
        <v>32729798.790684298</v>
      </c>
      <c r="E7" s="128">
        <v>360325</v>
      </c>
      <c r="F7" s="128">
        <v>0</v>
      </c>
      <c r="G7" s="128">
        <v>324731</v>
      </c>
      <c r="H7" s="128">
        <v>384213</v>
      </c>
      <c r="I7" s="128">
        <v>4962304</v>
      </c>
      <c r="L7" s="128">
        <f t="shared" si="0"/>
        <v>0</v>
      </c>
      <c r="M7" s="128">
        <v>36859</v>
      </c>
      <c r="N7" s="128">
        <v>168</v>
      </c>
      <c r="O7" s="128">
        <v>924</v>
      </c>
      <c r="P7" s="128">
        <v>204</v>
      </c>
      <c r="Q7" s="128">
        <v>1663</v>
      </c>
      <c r="R7" s="128">
        <v>57589</v>
      </c>
      <c r="S7" s="128">
        <v>58404</v>
      </c>
      <c r="T7" s="128">
        <v>58529</v>
      </c>
      <c r="U7" s="128">
        <v>59526</v>
      </c>
      <c r="V7" s="188">
        <f t="shared" si="1"/>
        <v>0.64003542343155806</v>
      </c>
      <c r="W7" s="238">
        <v>3.8699999999999998E-2</v>
      </c>
      <c r="X7" s="358">
        <v>6.5</v>
      </c>
      <c r="AF7" s="238"/>
    </row>
    <row r="8" spans="1:44" x14ac:dyDescent="0.25">
      <c r="B8" t="s">
        <v>239</v>
      </c>
      <c r="C8" s="128">
        <v>241516752.50966209</v>
      </c>
      <c r="D8" s="128">
        <v>195435573.50966209</v>
      </c>
      <c r="E8" s="128">
        <v>4749450</v>
      </c>
      <c r="F8" s="128">
        <v>17547372</v>
      </c>
      <c r="G8" s="128">
        <v>12006901</v>
      </c>
      <c r="H8" s="128">
        <v>11777456</v>
      </c>
      <c r="I8" s="128">
        <v>41254944</v>
      </c>
      <c r="L8" s="128">
        <f t="shared" si="0"/>
        <v>436303.49033790827</v>
      </c>
      <c r="M8" s="128">
        <v>283208</v>
      </c>
      <c r="N8" s="128">
        <v>1634</v>
      </c>
      <c r="O8" s="128">
        <v>12610</v>
      </c>
      <c r="P8" s="128">
        <v>1222</v>
      </c>
      <c r="Q8" s="128">
        <v>17225</v>
      </c>
      <c r="R8" s="128">
        <v>393919</v>
      </c>
      <c r="S8" s="128">
        <v>397074</v>
      </c>
      <c r="T8" s="128">
        <v>392539</v>
      </c>
      <c r="U8" s="128">
        <v>398704</v>
      </c>
      <c r="V8" s="188">
        <f t="shared" si="1"/>
        <v>0.71894983486452801</v>
      </c>
      <c r="W8" s="238">
        <v>3.56E-2</v>
      </c>
      <c r="X8" s="358">
        <v>6.5</v>
      </c>
      <c r="AF8" s="238"/>
    </row>
    <row r="9" spans="1:44" x14ac:dyDescent="0.25">
      <c r="B9" t="s">
        <v>141</v>
      </c>
      <c r="C9" s="128">
        <v>186681113.82240188</v>
      </c>
      <c r="D9" s="128">
        <v>151483642.82240188</v>
      </c>
      <c r="E9" s="128">
        <v>5854855</v>
      </c>
      <c r="F9" s="128">
        <v>12233238</v>
      </c>
      <c r="G9" s="128">
        <v>11907410</v>
      </c>
      <c r="H9" s="128">
        <v>5201968</v>
      </c>
      <c r="I9" s="128">
        <v>37696606</v>
      </c>
      <c r="L9" s="128">
        <f t="shared" si="0"/>
        <v>623280.17759811878</v>
      </c>
      <c r="M9" s="128">
        <v>225001</v>
      </c>
      <c r="N9" s="128">
        <v>515</v>
      </c>
      <c r="O9" s="128">
        <v>4837</v>
      </c>
      <c r="P9" s="128">
        <v>2682</v>
      </c>
      <c r="Q9" s="128">
        <v>5967</v>
      </c>
      <c r="R9" s="128">
        <v>314474</v>
      </c>
      <c r="S9" s="128">
        <v>300696</v>
      </c>
      <c r="T9" s="128">
        <v>304951</v>
      </c>
      <c r="U9" s="128">
        <v>299987</v>
      </c>
      <c r="V9" s="188">
        <f t="shared" si="1"/>
        <v>0.71548363298714679</v>
      </c>
      <c r="W9" s="238">
        <v>2.6100000000000002E-2</v>
      </c>
      <c r="X9" s="358">
        <v>8.5</v>
      </c>
      <c r="AF9" s="238"/>
    </row>
    <row r="10" spans="1:44" x14ac:dyDescent="0.25">
      <c r="B10" t="s">
        <v>429</v>
      </c>
      <c r="C10" s="128">
        <v>453096761.82826692</v>
      </c>
      <c r="D10" s="128">
        <v>372303444.82826692</v>
      </c>
      <c r="E10" s="128">
        <v>9337802</v>
      </c>
      <c r="F10" s="128">
        <v>41191706</v>
      </c>
      <c r="G10" s="128">
        <v>10609483</v>
      </c>
      <c r="H10" s="128">
        <v>19654326</v>
      </c>
      <c r="I10" s="128">
        <v>83619458</v>
      </c>
      <c r="L10" s="128">
        <f t="shared" si="0"/>
        <v>58927780.171733081</v>
      </c>
      <c r="M10" s="128">
        <v>595644</v>
      </c>
      <c r="N10" s="128">
        <v>3248</v>
      </c>
      <c r="O10" s="128">
        <v>18643</v>
      </c>
      <c r="P10" s="128">
        <v>558</v>
      </c>
      <c r="Q10" s="128">
        <v>144689</v>
      </c>
      <c r="R10" s="128">
        <v>948569</v>
      </c>
      <c r="S10" s="128">
        <v>971924</v>
      </c>
      <c r="T10" s="128">
        <v>881518</v>
      </c>
      <c r="U10" s="128">
        <v>929218</v>
      </c>
      <c r="V10" s="188">
        <f t="shared" si="1"/>
        <v>0.62793955948381197</v>
      </c>
      <c r="W10" s="238">
        <v>6.6400000000000001E-2</v>
      </c>
      <c r="X10" s="358">
        <v>7.5</v>
      </c>
      <c r="AF10" s="238"/>
    </row>
    <row r="11" spans="1:44" x14ac:dyDescent="0.25">
      <c r="B11" t="s">
        <v>285</v>
      </c>
      <c r="C11" s="128">
        <v>192531180.26581338</v>
      </c>
      <c r="D11" s="128">
        <v>173501613.26581338</v>
      </c>
      <c r="E11" s="128">
        <v>3489864</v>
      </c>
      <c r="F11" s="128">
        <v>0</v>
      </c>
      <c r="G11" s="128">
        <v>13724237</v>
      </c>
      <c r="H11" s="128">
        <v>1815466</v>
      </c>
      <c r="I11" s="128">
        <v>26808365</v>
      </c>
      <c r="L11" s="128">
        <f t="shared" si="0"/>
        <v>0</v>
      </c>
      <c r="M11" s="128">
        <v>216734</v>
      </c>
      <c r="N11" s="128">
        <v>946</v>
      </c>
      <c r="O11" s="128">
        <v>6815</v>
      </c>
      <c r="P11" s="128">
        <v>1680</v>
      </c>
      <c r="Q11" s="128">
        <v>7719</v>
      </c>
      <c r="R11" s="128">
        <v>335894</v>
      </c>
      <c r="S11" s="128">
        <v>341789</v>
      </c>
      <c r="T11" s="128">
        <v>309162</v>
      </c>
      <c r="U11" s="128">
        <v>311025</v>
      </c>
      <c r="V11" s="188">
        <f t="shared" si="1"/>
        <v>0.64524522617254254</v>
      </c>
      <c r="W11" s="238">
        <v>4.07E-2</v>
      </c>
      <c r="X11" s="358">
        <v>6.5</v>
      </c>
      <c r="AF11" s="238"/>
    </row>
    <row r="12" spans="1:44" x14ac:dyDescent="0.25">
      <c r="B12" t="s">
        <v>343</v>
      </c>
      <c r="C12" s="128">
        <v>14516044.96386007</v>
      </c>
      <c r="D12" s="128">
        <v>13653618.96386007</v>
      </c>
      <c r="E12" s="128">
        <v>118898</v>
      </c>
      <c r="F12" s="128">
        <v>0</v>
      </c>
      <c r="G12" s="128">
        <v>494522</v>
      </c>
      <c r="H12" s="128">
        <v>249006</v>
      </c>
      <c r="I12" s="243">
        <v>0</v>
      </c>
      <c r="L12" s="128">
        <f t="shared" si="0"/>
        <v>1460955.0361399297</v>
      </c>
      <c r="M12" s="128">
        <v>15977</v>
      </c>
      <c r="N12" s="128">
        <v>43</v>
      </c>
      <c r="O12" s="128">
        <v>1990</v>
      </c>
      <c r="P12" s="128">
        <v>0</v>
      </c>
      <c r="Q12" s="128">
        <v>2642</v>
      </c>
      <c r="R12" s="128">
        <v>25299</v>
      </c>
      <c r="S12" s="128">
        <v>24491</v>
      </c>
      <c r="T12" s="128">
        <v>22150</v>
      </c>
      <c r="U12" s="128">
        <v>21632</v>
      </c>
      <c r="V12" s="188">
        <f t="shared" si="1"/>
        <v>0.63152693782362934</v>
      </c>
      <c r="W12" s="238">
        <v>4.5699999999999998E-2</v>
      </c>
      <c r="X12" s="358">
        <v>7.5</v>
      </c>
      <c r="AF12" s="238"/>
    </row>
    <row r="13" spans="1:44" x14ac:dyDescent="0.25">
      <c r="B13" t="s">
        <v>598</v>
      </c>
      <c r="C13" s="128">
        <v>82396843.361564234</v>
      </c>
      <c r="D13" s="128">
        <v>77320741.361564234</v>
      </c>
      <c r="E13" s="128">
        <v>553381</v>
      </c>
      <c r="F13" s="128">
        <v>0</v>
      </c>
      <c r="G13" s="128">
        <v>3434967</v>
      </c>
      <c r="H13" s="128">
        <v>1087754</v>
      </c>
      <c r="I13" s="128">
        <v>9362182</v>
      </c>
      <c r="L13" s="128">
        <f t="shared" si="0"/>
        <v>2300974.6384357661</v>
      </c>
      <c r="M13" s="128">
        <v>94060</v>
      </c>
      <c r="N13" s="128">
        <v>757</v>
      </c>
      <c r="O13" s="128">
        <v>1412</v>
      </c>
      <c r="P13" s="128">
        <v>67</v>
      </c>
      <c r="Q13" s="128">
        <v>7253</v>
      </c>
      <c r="R13" s="128">
        <v>135145</v>
      </c>
      <c r="S13" s="128">
        <v>134143</v>
      </c>
      <c r="T13" s="128">
        <v>124531</v>
      </c>
      <c r="U13" s="128">
        <v>125619</v>
      </c>
      <c r="V13" s="188">
        <f t="shared" si="1"/>
        <v>0.69599319249694769</v>
      </c>
      <c r="W13" s="238">
        <v>3.9100000000000003E-2</v>
      </c>
      <c r="X13" s="358">
        <v>8.5</v>
      </c>
      <c r="AF13" s="238"/>
    </row>
    <row r="14" spans="1:44" x14ac:dyDescent="0.25">
      <c r="B14" t="s">
        <v>128</v>
      </c>
      <c r="C14" s="128">
        <v>8406500.9875663687</v>
      </c>
      <c r="D14" s="128">
        <v>7906847.9875663687</v>
      </c>
      <c r="E14" s="128">
        <v>91462</v>
      </c>
      <c r="F14" s="128">
        <v>0</v>
      </c>
      <c r="G14" s="128">
        <v>225538</v>
      </c>
      <c r="H14" s="128">
        <v>182653</v>
      </c>
      <c r="I14" s="243">
        <v>0</v>
      </c>
      <c r="L14" s="128">
        <f t="shared" si="0"/>
        <v>2941499.0124336313</v>
      </c>
      <c r="M14" s="128">
        <v>11348</v>
      </c>
      <c r="N14" s="128">
        <v>69</v>
      </c>
      <c r="O14" s="128">
        <v>2167</v>
      </c>
      <c r="P14" s="128">
        <v>29</v>
      </c>
      <c r="Q14" s="128">
        <v>0</v>
      </c>
      <c r="R14" s="128">
        <v>23068</v>
      </c>
      <c r="S14" s="128">
        <v>29161</v>
      </c>
      <c r="T14" s="128">
        <v>22262</v>
      </c>
      <c r="U14" s="128">
        <v>23673</v>
      </c>
      <c r="V14" s="188">
        <f t="shared" si="1"/>
        <v>0.49193688226114096</v>
      </c>
      <c r="W14" s="238">
        <v>5.9400000000000001E-2</v>
      </c>
      <c r="X14" s="358">
        <v>4</v>
      </c>
      <c r="AF14" s="238"/>
    </row>
    <row r="15" spans="1:44" x14ac:dyDescent="0.25">
      <c r="B15" t="s">
        <v>214</v>
      </c>
      <c r="C15" s="128">
        <v>325225248.54035413</v>
      </c>
      <c r="D15" s="128">
        <v>261761615.5403541</v>
      </c>
      <c r="E15" s="128">
        <v>6961301</v>
      </c>
      <c r="F15" s="128">
        <v>27086805</v>
      </c>
      <c r="G15" s="128">
        <v>17190964</v>
      </c>
      <c r="H15" s="128">
        <v>12224563</v>
      </c>
      <c r="I15" s="128">
        <v>50137726</v>
      </c>
      <c r="L15" s="128">
        <f t="shared" si="0"/>
        <v>9079025.4596458673</v>
      </c>
      <c r="M15" s="128">
        <v>384442</v>
      </c>
      <c r="N15" s="128">
        <v>1788</v>
      </c>
      <c r="O15" s="128">
        <v>12490</v>
      </c>
      <c r="P15" s="128">
        <v>1606</v>
      </c>
      <c r="Q15" s="128">
        <v>29963</v>
      </c>
      <c r="R15" s="128">
        <v>576833</v>
      </c>
      <c r="S15" s="128">
        <v>582286</v>
      </c>
      <c r="T15" s="128">
        <v>537625</v>
      </c>
      <c r="U15" s="128">
        <v>564688</v>
      </c>
      <c r="V15" s="188">
        <f t="shared" si="1"/>
        <v>0.6664701915459067</v>
      </c>
      <c r="W15" s="238">
        <v>4.41E-2</v>
      </c>
      <c r="X15" s="358">
        <v>7</v>
      </c>
      <c r="AF15" s="238"/>
    </row>
    <row r="16" spans="1:44" x14ac:dyDescent="0.25">
      <c r="B16" t="s">
        <v>240</v>
      </c>
      <c r="C16" s="128">
        <v>127340273.33101897</v>
      </c>
      <c r="D16" s="128">
        <v>121782655.33101897</v>
      </c>
      <c r="E16" s="128">
        <v>1934126</v>
      </c>
      <c r="F16" s="128">
        <v>0</v>
      </c>
      <c r="G16" s="128">
        <v>2359679</v>
      </c>
      <c r="H16" s="128">
        <v>1263813</v>
      </c>
      <c r="I16" s="128">
        <v>23158968</v>
      </c>
      <c r="L16" s="128">
        <f t="shared" si="0"/>
        <v>0</v>
      </c>
      <c r="M16" s="128">
        <v>145368</v>
      </c>
      <c r="N16" s="128">
        <v>1323</v>
      </c>
      <c r="O16" s="128">
        <v>6242</v>
      </c>
      <c r="P16" s="128">
        <v>201</v>
      </c>
      <c r="Q16" s="128">
        <v>8648</v>
      </c>
      <c r="R16" s="128">
        <v>265156</v>
      </c>
      <c r="S16" s="128">
        <v>276016</v>
      </c>
      <c r="T16" s="128">
        <v>253450</v>
      </c>
      <c r="U16" s="128">
        <v>262304</v>
      </c>
      <c r="V16" s="188">
        <f t="shared" si="1"/>
        <v>0.54823575555522031</v>
      </c>
      <c r="W16" s="238">
        <v>4.9599999999999998E-2</v>
      </c>
      <c r="X16" s="358">
        <v>6</v>
      </c>
      <c r="AF16" s="238"/>
    </row>
    <row r="17" spans="2:32" x14ac:dyDescent="0.25">
      <c r="B17" t="s">
        <v>241</v>
      </c>
      <c r="C17" s="128">
        <v>2437863154.073607</v>
      </c>
      <c r="D17" s="128">
        <v>2098084602.073607</v>
      </c>
      <c r="E17" s="128">
        <v>46930585</v>
      </c>
      <c r="F17" s="128">
        <v>100767678</v>
      </c>
      <c r="G17" s="128">
        <v>75389313</v>
      </c>
      <c r="H17" s="128">
        <v>116690976</v>
      </c>
      <c r="I17" s="128">
        <v>643245289</v>
      </c>
      <c r="L17" s="128">
        <f t="shared" si="0"/>
        <v>9027556.9263930321</v>
      </c>
      <c r="M17" s="128">
        <v>3090136</v>
      </c>
      <c r="N17" s="128">
        <v>216156</v>
      </c>
      <c r="O17" s="128">
        <v>95472</v>
      </c>
      <c r="P17" s="128">
        <v>32060</v>
      </c>
      <c r="Q17" s="128">
        <v>649425</v>
      </c>
      <c r="R17" s="128">
        <v>5401107</v>
      </c>
      <c r="S17" s="128">
        <v>5646796</v>
      </c>
      <c r="T17" s="128">
        <v>5762273</v>
      </c>
      <c r="U17" s="128">
        <v>5929211</v>
      </c>
      <c r="V17" s="188">
        <f t="shared" si="1"/>
        <v>0.57213012073265723</v>
      </c>
      <c r="W17" s="238">
        <v>3.6600000000000001E-2</v>
      </c>
      <c r="X17" s="358">
        <v>5.5</v>
      </c>
      <c r="AF17" s="238"/>
    </row>
    <row r="18" spans="2:32" x14ac:dyDescent="0.25">
      <c r="B18" t="s">
        <v>166</v>
      </c>
      <c r="C18" s="128">
        <v>364929577.98079509</v>
      </c>
      <c r="D18" s="128">
        <v>282981924.98079509</v>
      </c>
      <c r="E18" s="128">
        <v>9773852</v>
      </c>
      <c r="F18" s="128">
        <v>38430080</v>
      </c>
      <c r="G18" s="128">
        <v>20350655</v>
      </c>
      <c r="H18" s="128">
        <v>13393066</v>
      </c>
      <c r="I18" s="128">
        <v>52872102</v>
      </c>
      <c r="L18" s="128">
        <f t="shared" si="0"/>
        <v>11341320.019204915</v>
      </c>
      <c r="M18" s="128">
        <v>429143</v>
      </c>
      <c r="N18" s="128">
        <v>1375</v>
      </c>
      <c r="O18" s="128">
        <v>15013</v>
      </c>
      <c r="P18" s="128">
        <v>630</v>
      </c>
      <c r="Q18" s="128">
        <v>11614</v>
      </c>
      <c r="R18" s="128">
        <v>593885</v>
      </c>
      <c r="S18" s="128">
        <v>593678</v>
      </c>
      <c r="T18" s="128">
        <v>580638</v>
      </c>
      <c r="U18" s="128">
        <v>569736</v>
      </c>
      <c r="V18" s="188">
        <f t="shared" si="1"/>
        <v>0.72260286082322334</v>
      </c>
      <c r="W18" s="238">
        <v>4.7399999999999998E-2</v>
      </c>
      <c r="X18" s="358">
        <v>8.5</v>
      </c>
      <c r="AF18" s="238"/>
    </row>
    <row r="19" spans="2:32" x14ac:dyDescent="0.25">
      <c r="B19" t="s">
        <v>167</v>
      </c>
      <c r="C19" s="128">
        <v>459950238.65010583</v>
      </c>
      <c r="D19" s="128">
        <v>338649241.65010583</v>
      </c>
      <c r="E19" s="128">
        <v>9998236</v>
      </c>
      <c r="F19" s="128">
        <v>59785947</v>
      </c>
      <c r="G19" s="128">
        <v>29467928</v>
      </c>
      <c r="H19" s="128">
        <v>22048886</v>
      </c>
      <c r="I19" s="128">
        <v>110487069</v>
      </c>
      <c r="L19" s="128">
        <f t="shared" si="0"/>
        <v>2486692.349894166</v>
      </c>
      <c r="M19" s="128">
        <v>572924</v>
      </c>
      <c r="N19" s="128">
        <v>1473</v>
      </c>
      <c r="O19" s="128">
        <v>19296</v>
      </c>
      <c r="P19" s="128">
        <v>1300</v>
      </c>
      <c r="Q19" s="128">
        <v>29727</v>
      </c>
      <c r="R19" s="128">
        <v>763281</v>
      </c>
      <c r="S19" s="128">
        <v>760697</v>
      </c>
      <c r="T19" s="128">
        <v>721414</v>
      </c>
      <c r="U19" s="128">
        <v>732171</v>
      </c>
      <c r="V19" s="188">
        <f t="shared" si="1"/>
        <v>0.75060691933901147</v>
      </c>
      <c r="W19" s="238">
        <v>3.3300000000000003E-2</v>
      </c>
      <c r="X19" s="358">
        <v>8</v>
      </c>
      <c r="AF19" s="238"/>
    </row>
    <row r="20" spans="2:32" x14ac:dyDescent="0.25">
      <c r="B20" t="s">
        <v>107</v>
      </c>
      <c r="C20" s="128">
        <v>194656196.13644415</v>
      </c>
      <c r="D20" s="128">
        <v>131672258.13644414</v>
      </c>
      <c r="E20" s="128">
        <v>5811571</v>
      </c>
      <c r="F20" s="128">
        <v>33031634</v>
      </c>
      <c r="G20" s="128">
        <v>17474275</v>
      </c>
      <c r="H20" s="128">
        <v>6666458</v>
      </c>
      <c r="I20" s="128">
        <v>31843233</v>
      </c>
      <c r="L20" s="128">
        <f t="shared" si="0"/>
        <v>9070570.8635558486</v>
      </c>
      <c r="M20" s="128">
        <v>235570</v>
      </c>
      <c r="N20" s="128">
        <v>90</v>
      </c>
      <c r="O20" s="128">
        <v>9981</v>
      </c>
      <c r="P20" s="128">
        <v>-55</v>
      </c>
      <c r="Q20" s="128">
        <v>11346</v>
      </c>
      <c r="R20" s="128">
        <v>312718</v>
      </c>
      <c r="S20" s="128">
        <v>311466</v>
      </c>
      <c r="T20" s="128">
        <v>289945</v>
      </c>
      <c r="U20" s="128">
        <v>291914</v>
      </c>
      <c r="V20" s="188">
        <f t="shared" si="1"/>
        <v>0.75329849896712053</v>
      </c>
      <c r="W20" s="238">
        <v>4.6399999999999997E-2</v>
      </c>
      <c r="X20" s="358">
        <v>7.5</v>
      </c>
      <c r="AF20" s="238"/>
    </row>
    <row r="21" spans="2:32" x14ac:dyDescent="0.25">
      <c r="B21" t="s">
        <v>344</v>
      </c>
      <c r="C21" s="128">
        <v>26059882.863877375</v>
      </c>
      <c r="D21" s="128">
        <v>23842473.863877375</v>
      </c>
      <c r="E21" s="128">
        <v>218227</v>
      </c>
      <c r="F21" s="128">
        <v>0</v>
      </c>
      <c r="G21" s="128">
        <v>1676912</v>
      </c>
      <c r="H21" s="128">
        <v>322270</v>
      </c>
      <c r="I21" s="128">
        <v>3044191</v>
      </c>
      <c r="L21" s="128">
        <f t="shared" si="0"/>
        <v>513926.13612262532</v>
      </c>
      <c r="M21" s="128">
        <v>29618</v>
      </c>
      <c r="N21" s="128">
        <v>113</v>
      </c>
      <c r="O21" s="128">
        <v>606</v>
      </c>
      <c r="P21" s="128">
        <v>38</v>
      </c>
      <c r="Q21" s="128">
        <v>691</v>
      </c>
      <c r="R21" s="128">
        <v>43424</v>
      </c>
      <c r="S21" s="128">
        <v>43670</v>
      </c>
      <c r="T21" s="128">
        <v>40973</v>
      </c>
      <c r="U21" s="128">
        <v>41575</v>
      </c>
      <c r="V21" s="188">
        <f t="shared" si="1"/>
        <v>0.68206521739130432</v>
      </c>
      <c r="W21" s="238">
        <v>5.1700000000000003E-2</v>
      </c>
      <c r="X21" s="358">
        <v>7</v>
      </c>
      <c r="AF21" s="238"/>
    </row>
    <row r="22" spans="2:32" x14ac:dyDescent="0.25">
      <c r="B22" t="s">
        <v>345</v>
      </c>
      <c r="C22" s="128">
        <v>11862292.560870975</v>
      </c>
      <c r="D22" s="128">
        <v>11521777.560870975</v>
      </c>
      <c r="E22" s="128">
        <v>66681</v>
      </c>
      <c r="F22" s="128">
        <v>0</v>
      </c>
      <c r="G22" s="128">
        <v>33597</v>
      </c>
      <c r="H22" s="128">
        <v>240237</v>
      </c>
      <c r="I22" s="128">
        <v>0</v>
      </c>
      <c r="L22" s="128">
        <f t="shared" si="0"/>
        <v>1623707.4391290247</v>
      </c>
      <c r="M22" s="128">
        <v>13486</v>
      </c>
      <c r="N22" s="128">
        <v>9</v>
      </c>
      <c r="O22" s="128">
        <v>434</v>
      </c>
      <c r="P22" s="128">
        <v>29</v>
      </c>
      <c r="Q22" s="128">
        <v>485</v>
      </c>
      <c r="R22" s="128">
        <v>18968</v>
      </c>
      <c r="S22" s="128">
        <v>19091</v>
      </c>
      <c r="T22" s="128">
        <v>17984</v>
      </c>
      <c r="U22" s="128">
        <v>18451</v>
      </c>
      <c r="V22" s="188">
        <f t="shared" si="1"/>
        <v>0.71098692534795449</v>
      </c>
      <c r="W22" s="238">
        <v>4.9000000000000002E-2</v>
      </c>
      <c r="X22" s="358">
        <v>6.5</v>
      </c>
      <c r="AF22" s="238"/>
    </row>
    <row r="23" spans="2:32" x14ac:dyDescent="0.25">
      <c r="B23" t="s">
        <v>215</v>
      </c>
      <c r="C23" s="128">
        <v>39918555.392991908</v>
      </c>
      <c r="D23" s="128">
        <v>38029685.392991908</v>
      </c>
      <c r="E23" s="128">
        <v>591514</v>
      </c>
      <c r="F23" s="128">
        <v>0</v>
      </c>
      <c r="G23" s="128">
        <v>925808</v>
      </c>
      <c r="H23" s="128">
        <v>371548</v>
      </c>
      <c r="I23" s="243">
        <v>5444007</v>
      </c>
      <c r="L23" s="128">
        <f t="shared" si="0"/>
        <v>0</v>
      </c>
      <c r="M23" s="128">
        <v>44634</v>
      </c>
      <c r="N23" s="128">
        <v>55</v>
      </c>
      <c r="O23" s="128">
        <v>824</v>
      </c>
      <c r="P23" s="128">
        <v>132</v>
      </c>
      <c r="Q23" s="128">
        <v>0</v>
      </c>
      <c r="R23" s="128">
        <v>61091</v>
      </c>
      <c r="S23" s="128">
        <v>61530</v>
      </c>
      <c r="T23" s="128">
        <v>60045</v>
      </c>
      <c r="U23" s="128">
        <v>60715</v>
      </c>
      <c r="V23" s="188">
        <f t="shared" si="1"/>
        <v>0.73061498420389259</v>
      </c>
      <c r="W23" s="238">
        <v>4.02E-2</v>
      </c>
      <c r="X23" s="358">
        <v>6</v>
      </c>
      <c r="AF23" s="238"/>
    </row>
    <row r="24" spans="2:32" x14ac:dyDescent="0.25">
      <c r="B24" t="s">
        <v>286</v>
      </c>
      <c r="C24" s="128">
        <v>69565342.337248281</v>
      </c>
      <c r="D24" s="128">
        <v>67238231.337248281</v>
      </c>
      <c r="E24" s="128">
        <v>1335518</v>
      </c>
      <c r="F24" s="128">
        <v>0</v>
      </c>
      <c r="G24" s="128">
        <v>218197</v>
      </c>
      <c r="H24" s="128">
        <v>773396</v>
      </c>
      <c r="I24" s="128">
        <v>8127364</v>
      </c>
      <c r="L24" s="128">
        <f t="shared" si="0"/>
        <v>0</v>
      </c>
      <c r="M24" s="128">
        <v>72724</v>
      </c>
      <c r="N24" s="128">
        <v>1087</v>
      </c>
      <c r="O24" s="128">
        <v>3719</v>
      </c>
      <c r="P24" s="128">
        <v>384</v>
      </c>
      <c r="Q24" s="128">
        <v>7415</v>
      </c>
      <c r="R24" s="128">
        <v>117439</v>
      </c>
      <c r="S24" s="128">
        <v>117176</v>
      </c>
      <c r="T24" s="128">
        <v>117875</v>
      </c>
      <c r="U24" s="128">
        <v>119620</v>
      </c>
      <c r="V24" s="188">
        <f t="shared" si="1"/>
        <v>0.61924914210781767</v>
      </c>
      <c r="W24" s="238">
        <v>2.92E-2</v>
      </c>
      <c r="X24" s="358">
        <v>9</v>
      </c>
      <c r="AF24" s="238"/>
    </row>
    <row r="25" spans="2:32" x14ac:dyDescent="0.25">
      <c r="B25" t="s">
        <v>168</v>
      </c>
      <c r="C25" s="128">
        <v>88857002.607339233</v>
      </c>
      <c r="D25" s="128">
        <v>84075516.607339233</v>
      </c>
      <c r="E25" s="128">
        <v>1218239</v>
      </c>
      <c r="F25" s="128">
        <v>0</v>
      </c>
      <c r="G25" s="128">
        <v>2664113</v>
      </c>
      <c r="H25" s="128">
        <v>899134</v>
      </c>
      <c r="I25" s="128">
        <v>8494720</v>
      </c>
      <c r="L25" s="128">
        <f t="shared" si="0"/>
        <v>0</v>
      </c>
      <c r="M25" s="128">
        <v>94824</v>
      </c>
      <c r="N25" s="128">
        <v>3294</v>
      </c>
      <c r="O25" s="128">
        <v>4982</v>
      </c>
      <c r="P25" s="128">
        <v>500</v>
      </c>
      <c r="Q25" s="128">
        <v>0</v>
      </c>
      <c r="R25" s="128">
        <v>141706</v>
      </c>
      <c r="S25" s="128">
        <v>146842</v>
      </c>
      <c r="T25" s="128">
        <v>140533</v>
      </c>
      <c r="U25" s="128">
        <v>147476</v>
      </c>
      <c r="V25" s="188">
        <f t="shared" si="1"/>
        <v>0.66916009202150928</v>
      </c>
      <c r="W25" s="238">
        <v>3.2399999999999998E-2</v>
      </c>
      <c r="X25" s="358">
        <v>4.5</v>
      </c>
      <c r="AF25" s="238"/>
    </row>
    <row r="26" spans="2:32" x14ac:dyDescent="0.25">
      <c r="B26" t="s">
        <v>400</v>
      </c>
      <c r="C26" s="128">
        <v>25735379.118347995</v>
      </c>
      <c r="D26" s="128">
        <v>23701192.118347995</v>
      </c>
      <c r="E26" s="128">
        <v>543559</v>
      </c>
      <c r="F26" s="128">
        <v>0</v>
      </c>
      <c r="G26" s="128">
        <v>1148648</v>
      </c>
      <c r="H26" s="128">
        <v>341980</v>
      </c>
      <c r="I26" s="128">
        <v>3676184</v>
      </c>
      <c r="L26" s="128">
        <f t="shared" si="0"/>
        <v>629436.88165200502</v>
      </c>
      <c r="M26" s="128">
        <v>30041</v>
      </c>
      <c r="N26" s="128">
        <v>10</v>
      </c>
      <c r="O26" s="128">
        <v>417</v>
      </c>
      <c r="P26" s="128">
        <v>189</v>
      </c>
      <c r="Q26" s="128">
        <v>16</v>
      </c>
      <c r="R26" s="128">
        <v>42747</v>
      </c>
      <c r="S26" s="128">
        <v>43613</v>
      </c>
      <c r="T26" s="128">
        <v>39542</v>
      </c>
      <c r="U26" s="128">
        <v>41368</v>
      </c>
      <c r="V26" s="188">
        <f t="shared" si="1"/>
        <v>0.7027627669777996</v>
      </c>
      <c r="W26" s="238">
        <v>5.21E-2</v>
      </c>
      <c r="X26" s="358">
        <v>6</v>
      </c>
      <c r="AF26" s="238"/>
    </row>
    <row r="27" spans="2:32" x14ac:dyDescent="0.25">
      <c r="B27" t="s">
        <v>599</v>
      </c>
      <c r="C27" s="128">
        <v>59384465.511989594</v>
      </c>
      <c r="D27" s="128">
        <v>53379705.511989594</v>
      </c>
      <c r="E27" s="128">
        <v>648582</v>
      </c>
      <c r="F27" s="128">
        <v>0</v>
      </c>
      <c r="G27" s="128">
        <v>4774382</v>
      </c>
      <c r="H27" s="128">
        <v>581796</v>
      </c>
      <c r="I27" s="128">
        <v>6776147</v>
      </c>
      <c r="L27" s="128">
        <f t="shared" si="0"/>
        <v>2896387.4880104065</v>
      </c>
      <c r="M27" s="128">
        <v>69057</v>
      </c>
      <c r="N27" s="128">
        <v>11</v>
      </c>
      <c r="O27" s="128">
        <v>776</v>
      </c>
      <c r="P27" s="128">
        <v>765</v>
      </c>
      <c r="Q27" s="128">
        <v>0</v>
      </c>
      <c r="R27" s="128">
        <v>90914</v>
      </c>
      <c r="S27" s="128">
        <v>96055</v>
      </c>
      <c r="T27" s="128">
        <v>85632</v>
      </c>
      <c r="U27" s="128">
        <v>89532</v>
      </c>
      <c r="V27" s="188">
        <f t="shared" si="1"/>
        <v>0.75958598235695274</v>
      </c>
      <c r="W27" s="238">
        <v>5.3999999999999999E-2</v>
      </c>
      <c r="X27" s="358">
        <v>6.5</v>
      </c>
      <c r="AF27" s="238"/>
    </row>
    <row r="28" spans="2:32" x14ac:dyDescent="0.25">
      <c r="B28" t="s">
        <v>401</v>
      </c>
      <c r="C28" s="128">
        <v>23906015.369859733</v>
      </c>
      <c r="D28" s="128">
        <v>21242456.369859733</v>
      </c>
      <c r="E28" s="128">
        <v>879424</v>
      </c>
      <c r="F28" s="128">
        <v>0</v>
      </c>
      <c r="G28" s="128">
        <v>1469052</v>
      </c>
      <c r="H28" s="128">
        <v>315083</v>
      </c>
      <c r="I28" s="128">
        <v>0</v>
      </c>
      <c r="L28" s="128">
        <f t="shared" si="0"/>
        <v>3324984.6301402673</v>
      </c>
      <c r="M28" s="128">
        <v>27231</v>
      </c>
      <c r="N28" s="128">
        <v>89</v>
      </c>
      <c r="O28" s="128">
        <v>219</v>
      </c>
      <c r="P28" s="128">
        <v>120</v>
      </c>
      <c r="Q28" s="128">
        <v>0</v>
      </c>
      <c r="R28" s="128">
        <v>36257</v>
      </c>
      <c r="S28" s="128">
        <v>37328</v>
      </c>
      <c r="T28" s="128">
        <v>32483</v>
      </c>
      <c r="U28" s="128">
        <v>34455</v>
      </c>
      <c r="V28" s="188">
        <f t="shared" si="1"/>
        <v>0.7510549686957001</v>
      </c>
      <c r="W28" s="238">
        <v>6.5699999999999995E-2</v>
      </c>
      <c r="X28" s="358">
        <v>5</v>
      </c>
      <c r="AF28" s="238"/>
    </row>
    <row r="29" spans="2:32" x14ac:dyDescent="0.25">
      <c r="B29" t="s">
        <v>527</v>
      </c>
      <c r="C29" s="128">
        <v>61235985.287045389</v>
      </c>
      <c r="D29" s="128">
        <v>55856245.287045389</v>
      </c>
      <c r="E29" s="128">
        <v>764950</v>
      </c>
      <c r="F29" s="128">
        <v>0</v>
      </c>
      <c r="G29" s="128">
        <v>3974667</v>
      </c>
      <c r="H29" s="128">
        <v>640123</v>
      </c>
      <c r="I29" s="243">
        <v>10546466</v>
      </c>
      <c r="L29" s="128">
        <f t="shared" si="0"/>
        <v>0</v>
      </c>
      <c r="M29" s="128">
        <v>71044</v>
      </c>
      <c r="N29" s="128">
        <v>166</v>
      </c>
      <c r="O29" s="128">
        <v>640</v>
      </c>
      <c r="P29" s="128">
        <v>233</v>
      </c>
      <c r="Q29" s="128">
        <v>0</v>
      </c>
      <c r="R29" s="128">
        <v>97653</v>
      </c>
      <c r="S29" s="128">
        <v>99020</v>
      </c>
      <c r="T29" s="128">
        <v>116931</v>
      </c>
      <c r="U29" s="128">
        <v>120809</v>
      </c>
      <c r="V29" s="188">
        <f t="shared" si="1"/>
        <v>0.72751477169160195</v>
      </c>
      <c r="W29" s="238">
        <v>4.2900000000000001E-2</v>
      </c>
      <c r="X29" s="358">
        <v>7</v>
      </c>
      <c r="AF29" s="238"/>
    </row>
    <row r="30" spans="2:32" x14ac:dyDescent="0.25">
      <c r="B30" t="s">
        <v>346</v>
      </c>
      <c r="C30" s="128">
        <v>28479422.492428541</v>
      </c>
      <c r="D30" s="128">
        <v>25251324.492428541</v>
      </c>
      <c r="E30" s="128">
        <v>661615</v>
      </c>
      <c r="F30" s="128">
        <v>0</v>
      </c>
      <c r="G30" s="128">
        <v>2244912</v>
      </c>
      <c r="H30" s="128">
        <v>321571</v>
      </c>
      <c r="I30" s="243">
        <v>2301877</v>
      </c>
      <c r="L30" s="128">
        <f t="shared" si="0"/>
        <v>0</v>
      </c>
      <c r="M30" s="128">
        <v>29866</v>
      </c>
      <c r="N30" s="128">
        <v>1130</v>
      </c>
      <c r="O30" s="128">
        <v>523</v>
      </c>
      <c r="P30" s="128">
        <v>231</v>
      </c>
      <c r="Q30" s="128">
        <v>4641</v>
      </c>
      <c r="R30" s="128">
        <v>50440</v>
      </c>
      <c r="S30" s="128">
        <v>50524</v>
      </c>
      <c r="T30" s="128">
        <v>48059</v>
      </c>
      <c r="U30" s="128">
        <v>48769</v>
      </c>
      <c r="V30" s="188">
        <f t="shared" si="1"/>
        <v>0.59210943695479779</v>
      </c>
      <c r="W30" s="238">
        <v>4.2200000000000001E-2</v>
      </c>
      <c r="X30" s="358">
        <v>7.5</v>
      </c>
      <c r="AF30" s="238"/>
    </row>
    <row r="31" spans="2:32" x14ac:dyDescent="0.25">
      <c r="B31" t="s">
        <v>436</v>
      </c>
      <c r="C31" s="128">
        <v>23878585.432754345</v>
      </c>
      <c r="D31" s="128">
        <v>20919327.432754345</v>
      </c>
      <c r="E31" s="128">
        <v>251876</v>
      </c>
      <c r="F31" s="128">
        <v>0</v>
      </c>
      <c r="G31" s="128">
        <v>2382788</v>
      </c>
      <c r="H31" s="128">
        <v>324594</v>
      </c>
      <c r="I31" s="128">
        <v>0</v>
      </c>
      <c r="L31" s="128">
        <f t="shared" si="0"/>
        <v>2075414.5672456548</v>
      </c>
      <c r="M31" s="128">
        <v>25954</v>
      </c>
      <c r="N31" s="128">
        <v>599</v>
      </c>
      <c r="O31" s="128">
        <v>150</v>
      </c>
      <c r="P31" s="128">
        <v>200</v>
      </c>
      <c r="Q31" s="128">
        <v>55</v>
      </c>
      <c r="R31" s="128">
        <v>39156</v>
      </c>
      <c r="S31" s="128">
        <v>40156</v>
      </c>
      <c r="T31" s="128">
        <v>37454</v>
      </c>
      <c r="U31" s="128">
        <v>38249</v>
      </c>
      <c r="V31" s="188">
        <f t="shared" si="1"/>
        <v>0.6628358361426091</v>
      </c>
      <c r="W31" s="238">
        <v>4.4600000000000001E-2</v>
      </c>
      <c r="X31" s="358">
        <v>5</v>
      </c>
      <c r="AF31" s="238"/>
    </row>
    <row r="32" spans="2:32" x14ac:dyDescent="0.25">
      <c r="B32" t="s">
        <v>437</v>
      </c>
      <c r="C32" s="128">
        <v>42003815.477422014</v>
      </c>
      <c r="D32" s="128">
        <v>39823648.477422014</v>
      </c>
      <c r="E32" s="128">
        <v>323143</v>
      </c>
      <c r="F32" s="128">
        <v>0</v>
      </c>
      <c r="G32" s="128">
        <v>1413472</v>
      </c>
      <c r="H32" s="128">
        <v>443552</v>
      </c>
      <c r="I32" s="128">
        <v>4812457</v>
      </c>
      <c r="L32" s="128">
        <f t="shared" si="0"/>
        <v>56727.522577986121</v>
      </c>
      <c r="M32" s="128">
        <v>46873</v>
      </c>
      <c r="N32" s="128">
        <v>241</v>
      </c>
      <c r="O32" s="128">
        <v>2057</v>
      </c>
      <c r="P32" s="128">
        <v>475</v>
      </c>
      <c r="Q32" s="128">
        <v>157</v>
      </c>
      <c r="R32" s="128">
        <v>79743</v>
      </c>
      <c r="S32" s="128">
        <v>78761</v>
      </c>
      <c r="T32" s="128">
        <v>82284</v>
      </c>
      <c r="U32" s="128">
        <v>75480</v>
      </c>
      <c r="V32" s="188">
        <f t="shared" si="1"/>
        <v>0.58780081010245411</v>
      </c>
      <c r="W32" s="238">
        <v>2.18E-2</v>
      </c>
      <c r="X32" s="358">
        <v>9.5</v>
      </c>
      <c r="AF32" s="238"/>
    </row>
    <row r="33" spans="2:32" x14ac:dyDescent="0.25">
      <c r="B33" t="s">
        <v>347</v>
      </c>
      <c r="C33" s="128">
        <v>152988097.19035006</v>
      </c>
      <c r="D33" s="128">
        <v>123095290.19035004</v>
      </c>
      <c r="E33" s="128">
        <v>1917825</v>
      </c>
      <c r="F33" s="128">
        <v>12728012</v>
      </c>
      <c r="G33" s="128">
        <v>10942079</v>
      </c>
      <c r="H33" s="128">
        <v>4304891</v>
      </c>
      <c r="I33" s="243">
        <v>30571594</v>
      </c>
      <c r="L33" s="128">
        <f t="shared" si="0"/>
        <v>4986308.8096499443</v>
      </c>
      <c r="M33" s="128">
        <v>188546</v>
      </c>
      <c r="N33" s="128">
        <v>566</v>
      </c>
      <c r="O33" s="128">
        <v>5476</v>
      </c>
      <c r="P33" s="128">
        <v>221</v>
      </c>
      <c r="Q33" s="128">
        <v>15276</v>
      </c>
      <c r="R33" s="128">
        <v>306294</v>
      </c>
      <c r="S33" s="128">
        <v>306295</v>
      </c>
      <c r="T33" s="128">
        <v>298827</v>
      </c>
      <c r="U33" s="128">
        <v>298832</v>
      </c>
      <c r="V33" s="188">
        <f t="shared" si="1"/>
        <v>0.61557196680313686</v>
      </c>
      <c r="W33" s="238">
        <v>3.4000000000000002E-2</v>
      </c>
      <c r="X33" s="358">
        <v>6.5</v>
      </c>
      <c r="AF33" s="238"/>
    </row>
    <row r="34" spans="2:32" x14ac:dyDescent="0.25">
      <c r="B34" t="s">
        <v>169</v>
      </c>
      <c r="C34" s="128">
        <v>77065127.596460968</v>
      </c>
      <c r="D34" s="128">
        <v>69050048.596460968</v>
      </c>
      <c r="E34" s="128">
        <v>1309052</v>
      </c>
      <c r="F34" s="128">
        <v>0</v>
      </c>
      <c r="G34" s="128">
        <v>5898983</v>
      </c>
      <c r="H34" s="128">
        <v>807044</v>
      </c>
      <c r="I34" s="128">
        <v>8467052</v>
      </c>
      <c r="L34" s="128">
        <f t="shared" si="0"/>
        <v>0</v>
      </c>
      <c r="M34" s="128">
        <v>82023</v>
      </c>
      <c r="N34" s="128">
        <v>4</v>
      </c>
      <c r="O34" s="128">
        <v>315</v>
      </c>
      <c r="P34" s="128">
        <v>1390</v>
      </c>
      <c r="Q34" s="128">
        <v>1048</v>
      </c>
      <c r="R34" s="128">
        <v>113974</v>
      </c>
      <c r="S34" s="128">
        <v>126726</v>
      </c>
      <c r="T34" s="128">
        <v>112976</v>
      </c>
      <c r="U34" s="128">
        <v>122659</v>
      </c>
      <c r="V34" s="188">
        <f t="shared" si="1"/>
        <v>0.71966413392528117</v>
      </c>
      <c r="W34" s="238">
        <v>6.3E-2</v>
      </c>
      <c r="X34" s="358">
        <v>6.5</v>
      </c>
      <c r="AF34" s="238"/>
    </row>
    <row r="35" spans="2:32" x14ac:dyDescent="0.25">
      <c r="B35" t="s">
        <v>348</v>
      </c>
      <c r="C35" s="128">
        <v>47105535.141302541</v>
      </c>
      <c r="D35" s="128">
        <v>42054703.141302541</v>
      </c>
      <c r="E35" s="128">
        <v>332795</v>
      </c>
      <c r="F35" s="128">
        <v>0</v>
      </c>
      <c r="G35" s="128">
        <v>4347506</v>
      </c>
      <c r="H35" s="128">
        <v>370531</v>
      </c>
      <c r="I35" s="128">
        <v>4517816</v>
      </c>
      <c r="L35" s="128">
        <f t="shared" si="0"/>
        <v>0</v>
      </c>
      <c r="M35" s="128">
        <v>50578</v>
      </c>
      <c r="N35" s="128">
        <v>256</v>
      </c>
      <c r="O35" s="128">
        <v>1033</v>
      </c>
      <c r="P35" s="128">
        <v>35</v>
      </c>
      <c r="Q35" s="128">
        <v>17509</v>
      </c>
      <c r="R35" s="128">
        <v>87602</v>
      </c>
      <c r="S35" s="128">
        <v>85852</v>
      </c>
      <c r="T35" s="128">
        <v>85377</v>
      </c>
      <c r="U35" s="128">
        <v>85147</v>
      </c>
      <c r="V35" s="188">
        <f t="shared" si="1"/>
        <v>0.57736124746010364</v>
      </c>
      <c r="W35" s="238">
        <v>5.33E-2</v>
      </c>
      <c r="X35" s="358">
        <v>9</v>
      </c>
      <c r="AF35" s="238"/>
    </row>
    <row r="36" spans="2:32" x14ac:dyDescent="0.25">
      <c r="B36" t="s">
        <v>349</v>
      </c>
      <c r="C36" s="128">
        <v>46993690.815247521</v>
      </c>
      <c r="D36" s="128">
        <v>42401208.815247521</v>
      </c>
      <c r="E36" s="128">
        <v>1112896</v>
      </c>
      <c r="F36" s="128">
        <v>0</v>
      </c>
      <c r="G36" s="128">
        <v>3087361</v>
      </c>
      <c r="H36" s="128">
        <v>392225</v>
      </c>
      <c r="I36" s="128">
        <v>6401199</v>
      </c>
      <c r="L36" s="128">
        <f t="shared" si="0"/>
        <v>0</v>
      </c>
      <c r="M36" s="128">
        <v>52457</v>
      </c>
      <c r="N36" s="128">
        <v>121</v>
      </c>
      <c r="O36" s="128">
        <v>1713</v>
      </c>
      <c r="P36" s="128">
        <v>60</v>
      </c>
      <c r="Q36" s="128">
        <v>13465</v>
      </c>
      <c r="R36" s="128">
        <v>85660</v>
      </c>
      <c r="S36" s="128">
        <v>87247</v>
      </c>
      <c r="T36" s="128">
        <v>81256</v>
      </c>
      <c r="U36" s="128">
        <v>83866</v>
      </c>
      <c r="V36" s="188">
        <f t="shared" si="1"/>
        <v>0.61238617791267802</v>
      </c>
      <c r="W36" s="238">
        <v>5.3100000000000001E-2</v>
      </c>
      <c r="X36" s="358">
        <v>6</v>
      </c>
      <c r="AF36" s="238"/>
    </row>
    <row r="37" spans="2:32" x14ac:dyDescent="0.25">
      <c r="B37" t="s">
        <v>170</v>
      </c>
      <c r="C37" s="128">
        <v>40521364.602666445</v>
      </c>
      <c r="D37" s="128">
        <v>36559553.602666445</v>
      </c>
      <c r="E37" s="128">
        <v>746602</v>
      </c>
      <c r="F37" s="128">
        <v>0</v>
      </c>
      <c r="G37" s="128">
        <v>2712455</v>
      </c>
      <c r="H37" s="128">
        <v>502754</v>
      </c>
      <c r="I37" s="128">
        <v>6029943</v>
      </c>
      <c r="L37" s="128">
        <f t="shared" si="0"/>
        <v>0</v>
      </c>
      <c r="M37" s="128">
        <v>45761</v>
      </c>
      <c r="N37" s="128">
        <v>510</v>
      </c>
      <c r="O37" s="128">
        <v>807</v>
      </c>
      <c r="P37" s="128">
        <v>81</v>
      </c>
      <c r="Q37" s="128">
        <v>3365</v>
      </c>
      <c r="R37" s="128">
        <v>69629</v>
      </c>
      <c r="S37" s="128">
        <v>68238</v>
      </c>
      <c r="T37" s="128">
        <v>66730</v>
      </c>
      <c r="U37" s="128">
        <v>64530</v>
      </c>
      <c r="V37" s="188">
        <f t="shared" si="1"/>
        <v>0.65721179393643459</v>
      </c>
      <c r="W37" s="238">
        <v>3.7600000000000001E-2</v>
      </c>
      <c r="X37" s="358">
        <v>8</v>
      </c>
      <c r="AF37" s="238"/>
    </row>
    <row r="38" spans="2:32" x14ac:dyDescent="0.25">
      <c r="B38" t="s">
        <v>243</v>
      </c>
      <c r="C38" s="128">
        <v>79450615.860169277</v>
      </c>
      <c r="D38" s="128">
        <v>72416165.860169277</v>
      </c>
      <c r="E38" s="128">
        <v>1538428</v>
      </c>
      <c r="F38" s="128">
        <v>0</v>
      </c>
      <c r="G38" s="128">
        <v>4720572</v>
      </c>
      <c r="H38" s="128">
        <v>775450</v>
      </c>
      <c r="I38" s="128">
        <v>15990992</v>
      </c>
      <c r="L38" s="128">
        <f t="shared" si="0"/>
        <v>2529392.1398307234</v>
      </c>
      <c r="M38" s="128">
        <v>97971</v>
      </c>
      <c r="N38" s="128">
        <v>284</v>
      </c>
      <c r="O38" s="128">
        <v>1523</v>
      </c>
      <c r="P38" s="128">
        <v>109</v>
      </c>
      <c r="Q38" s="128">
        <v>5060</v>
      </c>
      <c r="R38" s="128">
        <v>134895</v>
      </c>
      <c r="S38" s="128">
        <v>128145</v>
      </c>
      <c r="T38" s="128">
        <v>131945</v>
      </c>
      <c r="U38" s="128">
        <v>129236</v>
      </c>
      <c r="V38" s="188">
        <f t="shared" si="1"/>
        <v>0.72627599243856333</v>
      </c>
      <c r="W38" s="238">
        <v>2.8400000000000002E-2</v>
      </c>
      <c r="X38" s="358">
        <v>9.5</v>
      </c>
      <c r="AF38" s="238"/>
    </row>
    <row r="39" spans="2:32" x14ac:dyDescent="0.25">
      <c r="B39" t="s">
        <v>350</v>
      </c>
      <c r="C39" s="128">
        <v>35348269.159081735</v>
      </c>
      <c r="D39" s="128">
        <v>29341742.159081735</v>
      </c>
      <c r="E39" s="128">
        <v>548830</v>
      </c>
      <c r="F39" s="128">
        <v>0</v>
      </c>
      <c r="G39" s="128">
        <v>5026057</v>
      </c>
      <c r="H39" s="128">
        <v>431640</v>
      </c>
      <c r="I39" s="128">
        <v>2282147</v>
      </c>
      <c r="L39" s="128">
        <f t="shared" si="0"/>
        <v>0</v>
      </c>
      <c r="M39" s="128">
        <v>36882</v>
      </c>
      <c r="N39" s="128">
        <v>100</v>
      </c>
      <c r="O39" s="128">
        <v>888</v>
      </c>
      <c r="P39" s="128">
        <v>169</v>
      </c>
      <c r="Q39" s="128">
        <v>3649</v>
      </c>
      <c r="R39" s="128">
        <v>54633</v>
      </c>
      <c r="S39" s="128">
        <v>53898</v>
      </c>
      <c r="T39" s="128">
        <v>51692</v>
      </c>
      <c r="U39" s="128">
        <v>53123</v>
      </c>
      <c r="V39" s="188">
        <f t="shared" si="1"/>
        <v>0.6750864861896656</v>
      </c>
      <c r="W39" s="238">
        <v>3.8800000000000001E-2</v>
      </c>
      <c r="X39" s="358">
        <v>9</v>
      </c>
      <c r="AF39" s="238"/>
    </row>
    <row r="40" spans="2:32" x14ac:dyDescent="0.25">
      <c r="B40" t="s">
        <v>244</v>
      </c>
      <c r="C40" s="128">
        <v>13737608.152890373</v>
      </c>
      <c r="D40" s="128">
        <v>13202466.152890373</v>
      </c>
      <c r="E40" s="128">
        <v>112827</v>
      </c>
      <c r="F40" s="128">
        <v>0</v>
      </c>
      <c r="G40" s="128">
        <v>158953</v>
      </c>
      <c r="H40" s="128">
        <v>263362</v>
      </c>
      <c r="I40" s="128">
        <v>0</v>
      </c>
      <c r="L40" s="128">
        <f t="shared" si="0"/>
        <v>992391.84710962698</v>
      </c>
      <c r="M40" s="128">
        <v>14730</v>
      </c>
      <c r="N40" s="128">
        <v>93</v>
      </c>
      <c r="O40" s="128">
        <v>169</v>
      </c>
      <c r="P40" s="128">
        <v>10</v>
      </c>
      <c r="Q40" s="128">
        <v>9396</v>
      </c>
      <c r="R40" s="128">
        <v>33379</v>
      </c>
      <c r="S40" s="128">
        <v>34467</v>
      </c>
      <c r="T40" s="128">
        <v>34367</v>
      </c>
      <c r="U40" s="128">
        <v>35331</v>
      </c>
      <c r="V40" s="188">
        <f t="shared" si="1"/>
        <v>0.44129542526738369</v>
      </c>
      <c r="W40" s="238">
        <v>6.4299999999999996E-2</v>
      </c>
      <c r="X40" s="358">
        <v>6.5</v>
      </c>
      <c r="AF40" s="238"/>
    </row>
    <row r="41" spans="2:32" x14ac:dyDescent="0.25">
      <c r="B41" t="s">
        <v>245</v>
      </c>
      <c r="C41" s="128">
        <v>25596778.930680033</v>
      </c>
      <c r="D41" s="128">
        <v>24082308.930680033</v>
      </c>
      <c r="E41" s="128">
        <v>319482</v>
      </c>
      <c r="F41" s="128">
        <v>0</v>
      </c>
      <c r="G41" s="128">
        <v>805879</v>
      </c>
      <c r="H41" s="128">
        <v>389109</v>
      </c>
      <c r="I41" s="128">
        <v>2986794</v>
      </c>
      <c r="L41" s="128">
        <f t="shared" si="0"/>
        <v>0</v>
      </c>
      <c r="M41" s="128">
        <v>28283</v>
      </c>
      <c r="N41" s="128">
        <v>313</v>
      </c>
      <c r="O41" s="128">
        <v>2380</v>
      </c>
      <c r="P41" s="128">
        <v>150</v>
      </c>
      <c r="Q41" s="128">
        <v>0</v>
      </c>
      <c r="R41" s="128">
        <v>56857</v>
      </c>
      <c r="S41" s="128">
        <v>56953</v>
      </c>
      <c r="T41" s="128">
        <v>53920</v>
      </c>
      <c r="U41" s="128">
        <v>54023</v>
      </c>
      <c r="V41" s="188">
        <f t="shared" si="1"/>
        <v>0.4974409483440913</v>
      </c>
      <c r="W41" s="238">
        <v>3.4099999999999998E-2</v>
      </c>
      <c r="X41" s="358">
        <v>8</v>
      </c>
      <c r="AF41" s="238"/>
    </row>
    <row r="42" spans="2:32" x14ac:dyDescent="0.25">
      <c r="B42" t="s">
        <v>287</v>
      </c>
      <c r="C42" s="128">
        <v>49964231.202851735</v>
      </c>
      <c r="D42" s="128">
        <v>47306203.202851735</v>
      </c>
      <c r="E42" s="128">
        <v>904350</v>
      </c>
      <c r="F42" s="128">
        <v>0</v>
      </c>
      <c r="G42" s="128">
        <v>1216807</v>
      </c>
      <c r="H42" s="128">
        <v>536871</v>
      </c>
      <c r="I42" s="243">
        <v>5310401</v>
      </c>
      <c r="L42" s="128">
        <f t="shared" si="0"/>
        <v>0</v>
      </c>
      <c r="M42" s="128">
        <v>55074</v>
      </c>
      <c r="N42" s="128">
        <v>128</v>
      </c>
      <c r="O42" s="128">
        <v>1638</v>
      </c>
      <c r="P42" s="128">
        <v>185</v>
      </c>
      <c r="Q42" s="128">
        <v>8126</v>
      </c>
      <c r="R42" s="128">
        <v>90215</v>
      </c>
      <c r="S42" s="128">
        <v>90542</v>
      </c>
      <c r="T42" s="128">
        <v>86972</v>
      </c>
      <c r="U42" s="128">
        <v>87197</v>
      </c>
      <c r="V42" s="188">
        <f t="shared" si="1"/>
        <v>0.6104749764451588</v>
      </c>
      <c r="W42" s="238">
        <v>2.6100000000000002E-2</v>
      </c>
      <c r="X42" s="358">
        <v>4</v>
      </c>
      <c r="AF42" s="238"/>
    </row>
    <row r="43" spans="2:32" x14ac:dyDescent="0.25">
      <c r="B43" t="s">
        <v>351</v>
      </c>
      <c r="C43" s="128">
        <v>16620183.659595612</v>
      </c>
      <c r="D43" s="128">
        <v>15076436.659595612</v>
      </c>
      <c r="E43" s="128">
        <v>37776</v>
      </c>
      <c r="F43" s="128">
        <v>0</v>
      </c>
      <c r="G43" s="128">
        <v>1264275</v>
      </c>
      <c r="H43" s="128">
        <v>241696</v>
      </c>
      <c r="I43" s="128">
        <v>0</v>
      </c>
      <c r="L43" s="128">
        <f t="shared" si="0"/>
        <v>69816.340404387563</v>
      </c>
      <c r="M43" s="128">
        <v>16690</v>
      </c>
      <c r="N43" s="128">
        <v>21</v>
      </c>
      <c r="O43" s="128">
        <v>414</v>
      </c>
      <c r="P43" s="128">
        <v>0</v>
      </c>
      <c r="Q43" s="128">
        <v>10588</v>
      </c>
      <c r="R43" s="128">
        <v>38915</v>
      </c>
      <c r="S43" s="128">
        <v>38652</v>
      </c>
      <c r="T43" s="128">
        <v>31938</v>
      </c>
      <c r="U43" s="128">
        <v>31881</v>
      </c>
      <c r="V43" s="188">
        <f t="shared" si="1"/>
        <v>0.42888346395991261</v>
      </c>
      <c r="W43" s="238">
        <v>3.9399999999999998E-2</v>
      </c>
      <c r="X43" s="358">
        <v>9</v>
      </c>
      <c r="AF43" s="238"/>
    </row>
    <row r="44" spans="2:32" x14ac:dyDescent="0.25">
      <c r="B44" t="s">
        <v>108</v>
      </c>
      <c r="C44" s="128">
        <v>50119982.956720725</v>
      </c>
      <c r="D44" s="128">
        <v>43721127.956720725</v>
      </c>
      <c r="E44" s="128">
        <v>1253234</v>
      </c>
      <c r="F44" s="128">
        <v>0</v>
      </c>
      <c r="G44" s="128">
        <v>4627841</v>
      </c>
      <c r="H44" s="128">
        <v>517780</v>
      </c>
      <c r="I44" s="128">
        <v>7311353</v>
      </c>
      <c r="L44" s="128">
        <f t="shared" si="0"/>
        <v>48664.043279275298</v>
      </c>
      <c r="M44" s="128">
        <v>57480</v>
      </c>
      <c r="N44" s="128">
        <v>67</v>
      </c>
      <c r="O44" s="128">
        <v>450</v>
      </c>
      <c r="P44" s="128">
        <v>229</v>
      </c>
      <c r="Q44" s="128">
        <v>112</v>
      </c>
      <c r="R44" s="128">
        <v>74509</v>
      </c>
      <c r="S44" s="128">
        <v>73931</v>
      </c>
      <c r="T44" s="128">
        <v>69704</v>
      </c>
      <c r="U44" s="128">
        <v>69220</v>
      </c>
      <c r="V44" s="188">
        <f t="shared" si="1"/>
        <v>0.77145042880725823</v>
      </c>
      <c r="W44" s="238">
        <v>4.07E-2</v>
      </c>
      <c r="X44" s="358">
        <v>9</v>
      </c>
      <c r="AF44" s="238"/>
    </row>
    <row r="45" spans="2:32" x14ac:dyDescent="0.25">
      <c r="B45" t="s">
        <v>142</v>
      </c>
      <c r="C45" s="128">
        <v>37340632.275529906</v>
      </c>
      <c r="D45" s="128">
        <v>33914005.275529906</v>
      </c>
      <c r="E45" s="128">
        <v>459324</v>
      </c>
      <c r="F45" s="128">
        <v>0</v>
      </c>
      <c r="G45" s="128">
        <v>2573740</v>
      </c>
      <c r="H45" s="128">
        <v>393563</v>
      </c>
      <c r="I45" s="243">
        <v>4873770</v>
      </c>
      <c r="L45" s="128">
        <f t="shared" si="0"/>
        <v>0</v>
      </c>
      <c r="M45" s="128">
        <v>41710</v>
      </c>
      <c r="N45" s="128">
        <v>10</v>
      </c>
      <c r="O45" s="128">
        <v>1207</v>
      </c>
      <c r="P45" s="128">
        <v>1087</v>
      </c>
      <c r="Q45" s="128">
        <v>9905</v>
      </c>
      <c r="R45" s="128">
        <v>70892</v>
      </c>
      <c r="S45" s="128">
        <v>70903</v>
      </c>
      <c r="T45" s="128">
        <v>66017</v>
      </c>
      <c r="U45" s="128">
        <v>67364</v>
      </c>
      <c r="V45" s="188">
        <f t="shared" si="1"/>
        <v>0.58835975850589628</v>
      </c>
      <c r="W45" s="238">
        <v>3.3700000000000001E-2</v>
      </c>
      <c r="X45" s="358">
        <v>5.5</v>
      </c>
      <c r="AF45" s="238"/>
    </row>
    <row r="46" spans="2:32" x14ac:dyDescent="0.25">
      <c r="B46" t="s">
        <v>330</v>
      </c>
      <c r="C46" s="128">
        <v>35941960.233014621</v>
      </c>
      <c r="D46" s="128">
        <v>32987647.233014621</v>
      </c>
      <c r="E46" s="128">
        <v>531765</v>
      </c>
      <c r="F46" s="128">
        <v>0</v>
      </c>
      <c r="G46" s="128">
        <v>1559099</v>
      </c>
      <c r="H46" s="128">
        <v>863449</v>
      </c>
      <c r="I46" s="128">
        <v>3379295</v>
      </c>
      <c r="L46" s="128">
        <f t="shared" si="0"/>
        <v>0</v>
      </c>
      <c r="M46" s="128">
        <v>38380</v>
      </c>
      <c r="N46" s="128">
        <v>795</v>
      </c>
      <c r="O46" s="128">
        <v>576</v>
      </c>
      <c r="P46" s="128">
        <v>90</v>
      </c>
      <c r="Q46" s="128">
        <v>1800</v>
      </c>
      <c r="R46" s="128">
        <v>58391</v>
      </c>
      <c r="S46" s="128">
        <v>58986</v>
      </c>
      <c r="T46" s="128">
        <v>56154</v>
      </c>
      <c r="U46" s="128">
        <v>57798</v>
      </c>
      <c r="V46" s="188">
        <f t="shared" si="1"/>
        <v>0.65729307598773778</v>
      </c>
      <c r="W46" s="238">
        <v>5.4300000000000001E-2</v>
      </c>
      <c r="X46" s="358">
        <v>7.5</v>
      </c>
      <c r="AF46" s="238"/>
    </row>
    <row r="47" spans="2:32" x14ac:dyDescent="0.25">
      <c r="B47" t="s">
        <v>353</v>
      </c>
      <c r="C47" s="128">
        <v>60932233.23085063</v>
      </c>
      <c r="D47" s="128">
        <v>51288399.23085063</v>
      </c>
      <c r="E47" s="128">
        <v>452261</v>
      </c>
      <c r="F47" s="128">
        <v>0</v>
      </c>
      <c r="G47" s="128">
        <v>8658295</v>
      </c>
      <c r="H47" s="128">
        <v>533278</v>
      </c>
      <c r="I47" s="128">
        <v>7863852</v>
      </c>
      <c r="L47" s="128">
        <f t="shared" si="0"/>
        <v>0</v>
      </c>
      <c r="M47" s="128">
        <v>65512</v>
      </c>
      <c r="N47" s="128">
        <v>40</v>
      </c>
      <c r="O47" s="128">
        <v>1653</v>
      </c>
      <c r="P47" s="128">
        <v>62</v>
      </c>
      <c r="Q47" s="128">
        <v>1117</v>
      </c>
      <c r="R47" s="128">
        <v>94890</v>
      </c>
      <c r="S47" s="128">
        <v>95748</v>
      </c>
      <c r="T47" s="128">
        <v>92962</v>
      </c>
      <c r="U47" s="128">
        <v>92640</v>
      </c>
      <c r="V47" s="188">
        <f t="shared" si="1"/>
        <v>0.6903994098429761</v>
      </c>
      <c r="W47" s="238">
        <v>3.4799999999999998E-2</v>
      </c>
      <c r="X47" s="358">
        <v>7</v>
      </c>
      <c r="AF47" s="238"/>
    </row>
    <row r="48" spans="2:32" x14ac:dyDescent="0.25">
      <c r="B48" t="s">
        <v>354</v>
      </c>
      <c r="C48" s="128">
        <v>380025738.5955227</v>
      </c>
      <c r="D48" s="128">
        <v>303773918.5955227</v>
      </c>
      <c r="E48" s="128">
        <v>4952220</v>
      </c>
      <c r="F48" s="128">
        <v>29968417</v>
      </c>
      <c r="G48" s="128">
        <v>23244591</v>
      </c>
      <c r="H48" s="128">
        <v>18086592</v>
      </c>
      <c r="I48" s="128">
        <v>71046621</v>
      </c>
      <c r="L48" s="128">
        <f t="shared" si="0"/>
        <v>8485640.4044772983</v>
      </c>
      <c r="M48" s="128">
        <v>459558</v>
      </c>
      <c r="N48" s="128">
        <v>2054</v>
      </c>
      <c r="O48" s="128">
        <v>9659</v>
      </c>
      <c r="P48" s="128">
        <v>866</v>
      </c>
      <c r="Q48" s="128">
        <v>14239</v>
      </c>
      <c r="R48" s="128">
        <v>708912</v>
      </c>
      <c r="S48" s="128">
        <v>711070</v>
      </c>
      <c r="T48" s="128">
        <v>678709</v>
      </c>
      <c r="U48" s="128">
        <v>684848</v>
      </c>
      <c r="V48" s="188">
        <f t="shared" si="1"/>
        <v>0.64825817590899859</v>
      </c>
      <c r="W48" s="238">
        <v>3.8199999999999998E-2</v>
      </c>
      <c r="X48" s="358">
        <v>8</v>
      </c>
      <c r="AF48" s="238"/>
    </row>
    <row r="49" spans="2:32" x14ac:dyDescent="0.25">
      <c r="B49" t="s">
        <v>288</v>
      </c>
      <c r="C49" s="128">
        <v>24867871.209222399</v>
      </c>
      <c r="D49" s="128">
        <v>24245927.209222399</v>
      </c>
      <c r="E49" s="128">
        <v>233570</v>
      </c>
      <c r="F49" s="128">
        <v>0</v>
      </c>
      <c r="G49" s="128">
        <v>77823</v>
      </c>
      <c r="H49" s="128">
        <v>310551</v>
      </c>
      <c r="I49" s="128">
        <v>3264355</v>
      </c>
      <c r="L49" s="128">
        <f t="shared" si="0"/>
        <v>170773.7907776013</v>
      </c>
      <c r="M49" s="128">
        <v>28303</v>
      </c>
      <c r="N49" s="128">
        <v>352</v>
      </c>
      <c r="O49" s="128">
        <v>984</v>
      </c>
      <c r="P49" s="128">
        <v>255</v>
      </c>
      <c r="Q49" s="128">
        <v>1822</v>
      </c>
      <c r="R49" s="128">
        <v>43346</v>
      </c>
      <c r="S49" s="128">
        <v>53066</v>
      </c>
      <c r="T49" s="128">
        <v>44105</v>
      </c>
      <c r="U49" s="128">
        <v>56404</v>
      </c>
      <c r="V49" s="188">
        <f t="shared" si="1"/>
        <v>0.65295528999215613</v>
      </c>
      <c r="W49" s="238">
        <v>6.8599999999999994E-2</v>
      </c>
      <c r="X49" s="358">
        <v>5.5</v>
      </c>
      <c r="AF49" s="238"/>
    </row>
    <row r="50" spans="2:32" x14ac:dyDescent="0.25">
      <c r="B50" t="s">
        <v>171</v>
      </c>
      <c r="C50" s="128">
        <v>57583341.375124417</v>
      </c>
      <c r="D50" s="128">
        <v>52175108.375124417</v>
      </c>
      <c r="E50" s="128">
        <v>684325</v>
      </c>
      <c r="F50" s="128">
        <v>0</v>
      </c>
      <c r="G50" s="128">
        <v>4129673</v>
      </c>
      <c r="H50" s="128">
        <v>594235</v>
      </c>
      <c r="I50" s="128">
        <v>5030055</v>
      </c>
      <c r="L50" s="128">
        <f t="shared" si="0"/>
        <v>0</v>
      </c>
      <c r="M50" s="128">
        <v>59978</v>
      </c>
      <c r="N50" s="128">
        <v>28</v>
      </c>
      <c r="O50" s="128">
        <v>798</v>
      </c>
      <c r="P50" s="128">
        <v>410</v>
      </c>
      <c r="Q50" s="128">
        <v>491</v>
      </c>
      <c r="R50" s="128">
        <v>83275</v>
      </c>
      <c r="S50" s="128">
        <v>84379</v>
      </c>
      <c r="T50" s="128">
        <v>82486</v>
      </c>
      <c r="U50" s="128">
        <v>83677</v>
      </c>
      <c r="V50" s="188">
        <f t="shared" si="1"/>
        <v>0.72024016811768232</v>
      </c>
      <c r="W50" s="238">
        <v>5.2499999999999998E-2</v>
      </c>
      <c r="X50" s="358">
        <v>7</v>
      </c>
      <c r="AF50" s="238"/>
    </row>
    <row r="51" spans="2:32" x14ac:dyDescent="0.25">
      <c r="B51" t="s">
        <v>172</v>
      </c>
      <c r="C51" s="128">
        <v>34959200.240039349</v>
      </c>
      <c r="D51" s="128">
        <v>31972922.240039352</v>
      </c>
      <c r="E51" s="128">
        <v>567278</v>
      </c>
      <c r="F51" s="128">
        <v>0</v>
      </c>
      <c r="G51" s="128">
        <v>2022391</v>
      </c>
      <c r="H51" s="128">
        <v>396609</v>
      </c>
      <c r="I51" s="128">
        <v>4562660</v>
      </c>
      <c r="L51" s="128">
        <f t="shared" si="0"/>
        <v>0</v>
      </c>
      <c r="M51" s="128">
        <v>39195</v>
      </c>
      <c r="N51" s="128">
        <v>17</v>
      </c>
      <c r="O51" s="128">
        <v>497</v>
      </c>
      <c r="P51" s="128">
        <v>0</v>
      </c>
      <c r="Q51" s="128">
        <v>202</v>
      </c>
      <c r="R51" s="128">
        <v>54433</v>
      </c>
      <c r="S51" s="128">
        <v>54364</v>
      </c>
      <c r="T51" s="128">
        <v>51756</v>
      </c>
      <c r="U51" s="128">
        <v>51788</v>
      </c>
      <c r="V51" s="188">
        <f t="shared" si="1"/>
        <v>0.72005952271599949</v>
      </c>
      <c r="W51" s="238">
        <v>3.73E-2</v>
      </c>
      <c r="X51" s="358">
        <v>7</v>
      </c>
      <c r="AF51" s="238"/>
    </row>
    <row r="52" spans="2:32" x14ac:dyDescent="0.25">
      <c r="B52" t="s">
        <v>402</v>
      </c>
      <c r="C52" s="128">
        <v>66466306.676687941</v>
      </c>
      <c r="D52" s="128">
        <v>55691716.676687941</v>
      </c>
      <c r="E52" s="128">
        <v>645484</v>
      </c>
      <c r="F52" s="128">
        <v>0</v>
      </c>
      <c r="G52" s="128">
        <v>9520691</v>
      </c>
      <c r="H52" s="128">
        <v>608415</v>
      </c>
      <c r="I52" s="128">
        <v>11265929</v>
      </c>
      <c r="L52" s="128">
        <f t="shared" si="0"/>
        <v>1183764.323312059</v>
      </c>
      <c r="M52" s="128">
        <v>78916</v>
      </c>
      <c r="N52" s="128">
        <v>40</v>
      </c>
      <c r="O52" s="128">
        <v>2168</v>
      </c>
      <c r="P52" s="128">
        <v>353</v>
      </c>
      <c r="Q52" s="128">
        <v>12506</v>
      </c>
      <c r="R52" s="128">
        <v>111560</v>
      </c>
      <c r="S52" s="128">
        <v>110593</v>
      </c>
      <c r="T52" s="128">
        <v>100525</v>
      </c>
      <c r="U52" s="128">
        <v>105018</v>
      </c>
      <c r="V52" s="188">
        <f t="shared" si="1"/>
        <v>0.7073861599139476</v>
      </c>
      <c r="W52" s="238">
        <v>4.48E-2</v>
      </c>
      <c r="X52" s="358">
        <v>8.5</v>
      </c>
      <c r="AF52" s="238"/>
    </row>
    <row r="53" spans="2:32" x14ac:dyDescent="0.25">
      <c r="B53" t="s">
        <v>216</v>
      </c>
      <c r="C53" s="128">
        <v>18946862.318682749</v>
      </c>
      <c r="D53" s="128">
        <v>18134531.318682749</v>
      </c>
      <c r="E53" s="128">
        <v>105200</v>
      </c>
      <c r="F53" s="128">
        <v>0</v>
      </c>
      <c r="G53" s="128">
        <v>438716</v>
      </c>
      <c r="H53" s="128">
        <v>268415</v>
      </c>
      <c r="I53" s="128">
        <v>2069758</v>
      </c>
      <c r="L53" s="128">
        <f t="shared" si="0"/>
        <v>173379.68131725118</v>
      </c>
      <c r="M53" s="128">
        <v>21190</v>
      </c>
      <c r="N53" s="128">
        <v>1</v>
      </c>
      <c r="O53" s="128">
        <v>881</v>
      </c>
      <c r="P53" s="128">
        <v>52</v>
      </c>
      <c r="Q53" s="128">
        <v>266</v>
      </c>
      <c r="R53" s="128">
        <v>32949</v>
      </c>
      <c r="S53" s="128">
        <v>33124</v>
      </c>
      <c r="T53" s="128">
        <v>31648</v>
      </c>
      <c r="U53" s="128">
        <v>32816</v>
      </c>
      <c r="V53" s="188">
        <f t="shared" si="1"/>
        <v>0.64311511730249782</v>
      </c>
      <c r="W53" s="238">
        <v>4.6899999999999997E-2</v>
      </c>
      <c r="X53" s="358">
        <v>6.5</v>
      </c>
      <c r="AF53" s="238"/>
    </row>
    <row r="54" spans="2:32" x14ac:dyDescent="0.25">
      <c r="B54" t="s">
        <v>217</v>
      </c>
      <c r="C54" s="128">
        <v>29332602.050384</v>
      </c>
      <c r="D54" s="128">
        <v>27419014.050384</v>
      </c>
      <c r="E54" s="128">
        <v>478112</v>
      </c>
      <c r="F54" s="128">
        <v>0</v>
      </c>
      <c r="G54" s="128">
        <v>1015563</v>
      </c>
      <c r="H54" s="128">
        <v>419913</v>
      </c>
      <c r="I54" s="128">
        <v>2725503</v>
      </c>
      <c r="L54" s="128">
        <f t="shared" si="0"/>
        <v>0</v>
      </c>
      <c r="M54" s="128">
        <v>31867</v>
      </c>
      <c r="N54" s="128">
        <v>91</v>
      </c>
      <c r="O54" s="128">
        <v>1146</v>
      </c>
      <c r="P54" s="128">
        <v>86</v>
      </c>
      <c r="Q54" s="128">
        <v>6398</v>
      </c>
      <c r="R54" s="128">
        <v>51886</v>
      </c>
      <c r="S54" s="128">
        <v>50148</v>
      </c>
      <c r="T54" s="128">
        <v>55685</v>
      </c>
      <c r="U54" s="128">
        <v>54421</v>
      </c>
      <c r="V54" s="188">
        <f t="shared" si="1"/>
        <v>0.61417338010253253</v>
      </c>
      <c r="W54" s="238">
        <v>3.95E-2</v>
      </c>
      <c r="X54" s="358">
        <v>7.5</v>
      </c>
      <c r="AF54" s="238"/>
    </row>
    <row r="55" spans="2:32" x14ac:dyDescent="0.25">
      <c r="B55" t="s">
        <v>173</v>
      </c>
      <c r="C55" s="128">
        <v>38714382.00389792</v>
      </c>
      <c r="D55" s="128">
        <v>35612470.00389792</v>
      </c>
      <c r="E55" s="128">
        <v>659585</v>
      </c>
      <c r="F55" s="128">
        <v>0</v>
      </c>
      <c r="G55" s="128">
        <v>1954561</v>
      </c>
      <c r="H55" s="128">
        <v>487766</v>
      </c>
      <c r="I55" s="128">
        <v>3652129</v>
      </c>
      <c r="L55" s="128">
        <f t="shared" si="0"/>
        <v>717488.99610207975</v>
      </c>
      <c r="M55" s="128">
        <v>43084</v>
      </c>
      <c r="N55" s="128">
        <v>133</v>
      </c>
      <c r="O55" s="128">
        <v>240</v>
      </c>
      <c r="P55" s="128">
        <v>60</v>
      </c>
      <c r="Q55" s="128">
        <v>251</v>
      </c>
      <c r="R55" s="128">
        <v>62518</v>
      </c>
      <c r="S55" s="128">
        <v>63481</v>
      </c>
      <c r="T55" s="128">
        <v>62363</v>
      </c>
      <c r="U55" s="128">
        <v>62948</v>
      </c>
      <c r="V55" s="188">
        <f t="shared" si="1"/>
        <v>0.68914552608848656</v>
      </c>
      <c r="W55" s="238">
        <v>5.1999999999999998E-2</v>
      </c>
      <c r="X55" s="358">
        <v>7</v>
      </c>
      <c r="AF55" s="238"/>
    </row>
    <row r="56" spans="2:32" x14ac:dyDescent="0.25">
      <c r="B56" t="s">
        <v>289</v>
      </c>
      <c r="C56" s="128">
        <v>136496463.26975501</v>
      </c>
      <c r="D56" s="128">
        <v>124997373.26975502</v>
      </c>
      <c r="E56" s="128">
        <v>4175468</v>
      </c>
      <c r="F56" s="128">
        <v>0</v>
      </c>
      <c r="G56" s="128">
        <v>6087215</v>
      </c>
      <c r="H56" s="128">
        <v>1236407</v>
      </c>
      <c r="I56" s="128">
        <v>33430680</v>
      </c>
      <c r="L56" s="128">
        <f t="shared" si="0"/>
        <v>0</v>
      </c>
      <c r="M56" s="128">
        <v>161397</v>
      </c>
      <c r="N56" s="128">
        <v>95</v>
      </c>
      <c r="O56" s="128">
        <v>6569</v>
      </c>
      <c r="P56" s="128">
        <v>765</v>
      </c>
      <c r="Q56" s="128">
        <v>13564</v>
      </c>
      <c r="R56" s="128">
        <v>219564</v>
      </c>
      <c r="S56" s="128">
        <v>220474</v>
      </c>
      <c r="T56" s="128">
        <v>217048</v>
      </c>
      <c r="U56" s="128">
        <v>225861</v>
      </c>
      <c r="V56" s="188">
        <f t="shared" si="1"/>
        <v>0.73507952123298903</v>
      </c>
      <c r="W56" s="238">
        <v>3.9899999999999998E-2</v>
      </c>
      <c r="X56" s="358">
        <v>7</v>
      </c>
      <c r="AF56" s="238"/>
    </row>
    <row r="57" spans="2:32" x14ac:dyDescent="0.25">
      <c r="B57" t="s">
        <v>246</v>
      </c>
      <c r="C57" s="128">
        <v>47763024.70326747</v>
      </c>
      <c r="D57" s="128">
        <v>46074135.70326747</v>
      </c>
      <c r="E57" s="128">
        <v>311619</v>
      </c>
      <c r="F57" s="128">
        <v>0</v>
      </c>
      <c r="G57" s="128">
        <v>864468</v>
      </c>
      <c r="H57" s="128">
        <v>512802</v>
      </c>
      <c r="I57" s="128">
        <v>5258943</v>
      </c>
      <c r="L57" s="128">
        <f t="shared" si="0"/>
        <v>0</v>
      </c>
      <c r="M57" s="128">
        <v>52231</v>
      </c>
      <c r="N57" s="128">
        <v>54</v>
      </c>
      <c r="O57" s="128">
        <v>925</v>
      </c>
      <c r="P57" s="128">
        <v>93</v>
      </c>
      <c r="Q57" s="128">
        <v>551</v>
      </c>
      <c r="R57" s="128">
        <v>73875</v>
      </c>
      <c r="S57" s="128">
        <v>74800</v>
      </c>
      <c r="T57" s="128">
        <v>71399</v>
      </c>
      <c r="U57" s="128">
        <v>75903</v>
      </c>
      <c r="V57" s="188">
        <f t="shared" si="1"/>
        <v>0.70701861252115061</v>
      </c>
      <c r="W57" s="238">
        <v>4.3900000000000002E-2</v>
      </c>
      <c r="X57" s="358">
        <v>7</v>
      </c>
      <c r="AF57" s="238"/>
    </row>
    <row r="58" spans="2:32" x14ac:dyDescent="0.25">
      <c r="B58" t="s">
        <v>109</v>
      </c>
      <c r="C58" s="128">
        <v>69026103.091448009</v>
      </c>
      <c r="D58" s="128">
        <v>62009548.091448016</v>
      </c>
      <c r="E58" s="128">
        <v>2003845</v>
      </c>
      <c r="F58" s="128">
        <v>0</v>
      </c>
      <c r="G58" s="128">
        <v>4164206</v>
      </c>
      <c r="H58" s="128">
        <v>848504</v>
      </c>
      <c r="I58" s="128">
        <v>11026729</v>
      </c>
      <c r="L58" s="128">
        <f t="shared" si="0"/>
        <v>1000167.908551991</v>
      </c>
      <c r="M58" s="128">
        <v>81053</v>
      </c>
      <c r="N58" s="128">
        <v>207</v>
      </c>
      <c r="O58" s="128">
        <v>1136</v>
      </c>
      <c r="P58" s="128">
        <v>605</v>
      </c>
      <c r="Q58" s="128">
        <v>3143</v>
      </c>
      <c r="R58" s="128">
        <v>113860</v>
      </c>
      <c r="S58" s="128">
        <v>109936</v>
      </c>
      <c r="T58" s="128">
        <v>107588</v>
      </c>
      <c r="U58" s="128">
        <v>106859</v>
      </c>
      <c r="V58" s="188">
        <f t="shared" si="1"/>
        <v>0.71186544879676794</v>
      </c>
      <c r="W58" s="238">
        <v>2.01E-2</v>
      </c>
      <c r="X58" s="358">
        <v>10</v>
      </c>
      <c r="AF58" s="238"/>
    </row>
    <row r="59" spans="2:32" x14ac:dyDescent="0.25">
      <c r="B59" t="s">
        <v>355</v>
      </c>
      <c r="C59" s="128">
        <v>34671894.055941828</v>
      </c>
      <c r="D59" s="128">
        <v>30103250.055941828</v>
      </c>
      <c r="E59" s="128">
        <v>1058333</v>
      </c>
      <c r="F59" s="128">
        <v>0</v>
      </c>
      <c r="G59" s="128">
        <v>2010156</v>
      </c>
      <c r="H59" s="128">
        <v>1500155</v>
      </c>
      <c r="I59" s="128">
        <v>3719876</v>
      </c>
      <c r="L59" s="128">
        <f t="shared" si="0"/>
        <v>697229.9440581724</v>
      </c>
      <c r="M59" s="128">
        <v>39089</v>
      </c>
      <c r="N59" s="128">
        <v>340</v>
      </c>
      <c r="O59" s="128">
        <v>981</v>
      </c>
      <c r="P59" s="128">
        <v>7</v>
      </c>
      <c r="Q59" s="128">
        <v>2203</v>
      </c>
      <c r="R59" s="128">
        <v>55734</v>
      </c>
      <c r="S59" s="128">
        <v>55441</v>
      </c>
      <c r="T59" s="128">
        <v>65459</v>
      </c>
      <c r="U59" s="128">
        <v>59119</v>
      </c>
      <c r="V59" s="188">
        <f t="shared" si="1"/>
        <v>0.70134926615710336</v>
      </c>
      <c r="W59" s="238">
        <v>4.1200000000000001E-2</v>
      </c>
      <c r="X59" s="358">
        <v>9</v>
      </c>
      <c r="AF59" s="238"/>
    </row>
    <row r="60" spans="2:32" x14ac:dyDescent="0.25">
      <c r="B60" t="s">
        <v>174</v>
      </c>
      <c r="C60" s="128">
        <v>52725684.819767162</v>
      </c>
      <c r="D60" s="128">
        <v>48068049.819767162</v>
      </c>
      <c r="E60" s="128">
        <v>738622</v>
      </c>
      <c r="F60" s="128">
        <v>0</v>
      </c>
      <c r="G60" s="128">
        <v>3424615</v>
      </c>
      <c r="H60" s="128">
        <v>494398</v>
      </c>
      <c r="I60" s="128">
        <v>8011133</v>
      </c>
      <c r="L60" s="128">
        <f t="shared" si="0"/>
        <v>0</v>
      </c>
      <c r="M60" s="128">
        <v>57884</v>
      </c>
      <c r="N60" s="128">
        <v>65</v>
      </c>
      <c r="O60" s="128">
        <v>1118</v>
      </c>
      <c r="P60" s="128">
        <v>11</v>
      </c>
      <c r="Q60" s="128">
        <v>3599</v>
      </c>
      <c r="R60" s="128">
        <v>80567</v>
      </c>
      <c r="S60" s="128">
        <v>81360</v>
      </c>
      <c r="T60" s="128">
        <v>81020</v>
      </c>
      <c r="U60" s="128">
        <v>82342</v>
      </c>
      <c r="V60" s="188">
        <f t="shared" si="1"/>
        <v>0.71845792942519893</v>
      </c>
      <c r="W60" s="238">
        <v>4.1200000000000001E-2</v>
      </c>
      <c r="X60" s="358">
        <v>7.5</v>
      </c>
      <c r="AF60" s="238"/>
    </row>
    <row r="61" spans="2:32" x14ac:dyDescent="0.25">
      <c r="B61" t="s">
        <v>143</v>
      </c>
      <c r="C61" s="128">
        <v>43355634.8839949</v>
      </c>
      <c r="D61" s="128">
        <v>39498347.8839949</v>
      </c>
      <c r="E61" s="128">
        <v>609546</v>
      </c>
      <c r="F61" s="128">
        <v>0</v>
      </c>
      <c r="G61" s="128">
        <v>2930438</v>
      </c>
      <c r="H61" s="128">
        <v>317303</v>
      </c>
      <c r="I61" s="128">
        <v>4154306</v>
      </c>
      <c r="L61" s="128">
        <f t="shared" si="0"/>
        <v>0</v>
      </c>
      <c r="M61" s="128">
        <v>46454</v>
      </c>
      <c r="N61" s="128">
        <v>100</v>
      </c>
      <c r="O61" s="128">
        <v>377</v>
      </c>
      <c r="P61" s="128">
        <v>311</v>
      </c>
      <c r="Q61" s="128">
        <v>4294</v>
      </c>
      <c r="R61" s="128">
        <v>68226</v>
      </c>
      <c r="S61" s="128">
        <v>69652</v>
      </c>
      <c r="T61" s="128">
        <v>67799</v>
      </c>
      <c r="U61" s="128">
        <v>69616</v>
      </c>
      <c r="V61" s="188">
        <f t="shared" si="1"/>
        <v>0.68088412042329904</v>
      </c>
      <c r="W61" s="238">
        <v>5.5199999999999999E-2</v>
      </c>
      <c r="X61" s="358">
        <v>6</v>
      </c>
      <c r="AF61" s="238"/>
    </row>
    <row r="62" spans="2:32" x14ac:dyDescent="0.25">
      <c r="B62" t="s">
        <v>129</v>
      </c>
      <c r="C62" s="128">
        <v>39667977.553582191</v>
      </c>
      <c r="D62" s="128">
        <v>33774833.553582191</v>
      </c>
      <c r="E62" s="128">
        <v>555266</v>
      </c>
      <c r="F62" s="128">
        <v>0</v>
      </c>
      <c r="G62" s="128">
        <v>4868831</v>
      </c>
      <c r="H62" s="128">
        <v>469047</v>
      </c>
      <c r="I62" s="128">
        <v>7381678</v>
      </c>
      <c r="L62" s="128">
        <f t="shared" si="0"/>
        <v>0</v>
      </c>
      <c r="M62" s="128">
        <v>44872</v>
      </c>
      <c r="N62" s="128">
        <v>64</v>
      </c>
      <c r="O62" s="128">
        <v>309</v>
      </c>
      <c r="P62" s="128">
        <v>31</v>
      </c>
      <c r="Q62" s="128">
        <v>55</v>
      </c>
      <c r="R62" s="128">
        <v>56749</v>
      </c>
      <c r="S62" s="128">
        <v>56558</v>
      </c>
      <c r="T62" s="128">
        <v>52595</v>
      </c>
      <c r="U62" s="128">
        <v>52888</v>
      </c>
      <c r="V62" s="188">
        <f t="shared" si="1"/>
        <v>0.790709968457594</v>
      </c>
      <c r="W62" s="238">
        <v>4.2500000000000003E-2</v>
      </c>
      <c r="X62" s="358">
        <v>7.5</v>
      </c>
      <c r="AF62" s="238"/>
    </row>
    <row r="63" spans="2:32" x14ac:dyDescent="0.25">
      <c r="B63" t="s">
        <v>218</v>
      </c>
      <c r="C63" s="128">
        <v>60632257.314770788</v>
      </c>
      <c r="D63" s="128">
        <v>57999132.314770788</v>
      </c>
      <c r="E63" s="128">
        <v>883337</v>
      </c>
      <c r="F63" s="128">
        <v>0</v>
      </c>
      <c r="G63" s="128">
        <v>1183756</v>
      </c>
      <c r="H63" s="128">
        <v>566032</v>
      </c>
      <c r="I63" s="128">
        <v>9800865</v>
      </c>
      <c r="L63" s="128">
        <f t="shared" si="0"/>
        <v>0</v>
      </c>
      <c r="M63" s="128">
        <v>66355</v>
      </c>
      <c r="N63" s="128">
        <v>668</v>
      </c>
      <c r="O63" s="128">
        <v>1310</v>
      </c>
      <c r="P63" s="128">
        <v>339</v>
      </c>
      <c r="Q63" s="128">
        <v>9631</v>
      </c>
      <c r="R63" s="128">
        <v>110862</v>
      </c>
      <c r="S63" s="128">
        <v>110094</v>
      </c>
      <c r="T63" s="128">
        <v>107298</v>
      </c>
      <c r="U63" s="128">
        <v>108364</v>
      </c>
      <c r="V63" s="188">
        <f t="shared" si="1"/>
        <v>0.59853691977413359</v>
      </c>
      <c r="W63" s="238">
        <v>3.5999999999999997E-2</v>
      </c>
      <c r="X63" s="358">
        <v>9.5</v>
      </c>
      <c r="AF63" s="238"/>
    </row>
    <row r="64" spans="2:32" x14ac:dyDescent="0.25">
      <c r="B64" t="s">
        <v>529</v>
      </c>
      <c r="C64" s="128">
        <v>87623803.207330436</v>
      </c>
      <c r="D64" s="128">
        <v>81752159.207330436</v>
      </c>
      <c r="E64" s="128">
        <v>1431589</v>
      </c>
      <c r="F64" s="128">
        <v>0</v>
      </c>
      <c r="G64" s="128">
        <v>3230045</v>
      </c>
      <c r="H64" s="128">
        <v>1210010</v>
      </c>
      <c r="I64" s="128">
        <v>12794476</v>
      </c>
      <c r="L64" s="128">
        <f t="shared" si="0"/>
        <v>0</v>
      </c>
      <c r="M64" s="128">
        <v>100174</v>
      </c>
      <c r="N64" s="128">
        <v>909</v>
      </c>
      <c r="O64" s="128">
        <v>2172</v>
      </c>
      <c r="P64" s="128">
        <v>277</v>
      </c>
      <c r="Q64" s="128">
        <v>948</v>
      </c>
      <c r="R64" s="128">
        <v>138773</v>
      </c>
      <c r="S64" s="128">
        <v>140491</v>
      </c>
      <c r="T64" s="128">
        <v>131223</v>
      </c>
      <c r="U64" s="128">
        <v>135225</v>
      </c>
      <c r="V64" s="188">
        <f t="shared" si="1"/>
        <v>0.72185511590871421</v>
      </c>
      <c r="W64" s="238">
        <v>4.0099999999999997E-2</v>
      </c>
      <c r="X64" s="358">
        <v>7.5</v>
      </c>
      <c r="AF64" s="238"/>
    </row>
    <row r="65" spans="2:44" x14ac:dyDescent="0.25">
      <c r="B65" t="s">
        <v>219</v>
      </c>
      <c r="C65" s="128">
        <v>60354836.691190355</v>
      </c>
      <c r="D65" s="128">
        <v>57160156.691190355</v>
      </c>
      <c r="E65" s="128">
        <v>724569</v>
      </c>
      <c r="F65" s="128">
        <v>0</v>
      </c>
      <c r="G65" s="128">
        <v>1667551</v>
      </c>
      <c r="H65" s="128">
        <v>802560</v>
      </c>
      <c r="I65" s="128">
        <v>7619869</v>
      </c>
      <c r="L65" s="128">
        <f t="shared" si="0"/>
        <v>517294.30880964547</v>
      </c>
      <c r="M65" s="128">
        <v>68492</v>
      </c>
      <c r="N65" s="128">
        <v>83</v>
      </c>
      <c r="O65" s="128">
        <v>686</v>
      </c>
      <c r="P65" s="128">
        <v>47</v>
      </c>
      <c r="Q65" s="128">
        <v>0</v>
      </c>
      <c r="R65" s="128">
        <v>96839</v>
      </c>
      <c r="S65" s="128">
        <v>97243</v>
      </c>
      <c r="T65" s="128">
        <v>91784</v>
      </c>
      <c r="U65" s="128">
        <v>95923</v>
      </c>
      <c r="V65" s="188">
        <f t="shared" si="1"/>
        <v>0.70727702681770777</v>
      </c>
      <c r="W65" s="238">
        <v>4.2900000000000001E-2</v>
      </c>
      <c r="X65" s="358">
        <v>6</v>
      </c>
      <c r="AF65" s="238"/>
    </row>
    <row r="66" spans="2:44" x14ac:dyDescent="0.25">
      <c r="B66" t="s">
        <v>117</v>
      </c>
      <c r="C66" s="128">
        <v>38043711.506377675</v>
      </c>
      <c r="D66" s="128">
        <v>35398389.506377675</v>
      </c>
      <c r="E66" s="128">
        <v>1121151</v>
      </c>
      <c r="F66" s="128">
        <v>0</v>
      </c>
      <c r="G66" s="128">
        <v>1055875</v>
      </c>
      <c r="H66" s="128">
        <v>468296</v>
      </c>
      <c r="I66" s="128">
        <v>3811951</v>
      </c>
      <c r="L66" s="128">
        <f t="shared" si="0"/>
        <v>0</v>
      </c>
      <c r="M66" s="128">
        <v>40947</v>
      </c>
      <c r="N66" s="128">
        <v>37</v>
      </c>
      <c r="O66" s="128">
        <v>568</v>
      </c>
      <c r="P66" s="128">
        <v>742</v>
      </c>
      <c r="Q66" s="128">
        <v>714</v>
      </c>
      <c r="R66" s="128">
        <v>55479</v>
      </c>
      <c r="S66" s="128">
        <v>56034</v>
      </c>
      <c r="T66" s="128">
        <v>52620</v>
      </c>
      <c r="U66" s="128">
        <v>53458</v>
      </c>
      <c r="V66" s="188">
        <f t="shared" si="1"/>
        <v>0.73806305088411828</v>
      </c>
      <c r="W66" s="238">
        <v>4.4699999999999997E-2</v>
      </c>
      <c r="X66" s="358">
        <v>6.5</v>
      </c>
      <c r="AF66" s="238"/>
    </row>
    <row r="67" spans="2:44" x14ac:dyDescent="0.25">
      <c r="B67" t="s">
        <v>290</v>
      </c>
      <c r="C67" s="128">
        <v>227897109.13160074</v>
      </c>
      <c r="D67" s="128">
        <v>186784363.13160074</v>
      </c>
      <c r="E67" s="128">
        <v>4159485</v>
      </c>
      <c r="F67" s="128">
        <v>17069168</v>
      </c>
      <c r="G67" s="128">
        <v>12096881</v>
      </c>
      <c r="H67" s="128">
        <v>7787212</v>
      </c>
      <c r="I67" s="128">
        <v>51776726</v>
      </c>
      <c r="L67" s="128">
        <f t="shared" ref="L67:L130" si="2">IF(SUM(M67*1000,-I67,-C67)&gt;0,SUM(M67*1000,-I67,-C67),0)</f>
        <v>4782164.8683992624</v>
      </c>
      <c r="M67" s="128">
        <v>284456</v>
      </c>
      <c r="N67" s="128">
        <v>1277</v>
      </c>
      <c r="O67" s="128">
        <v>5764</v>
      </c>
      <c r="P67" s="128">
        <v>2195</v>
      </c>
      <c r="Q67" s="128">
        <v>6231</v>
      </c>
      <c r="R67" s="128">
        <v>409558</v>
      </c>
      <c r="S67" s="128">
        <v>419732</v>
      </c>
      <c r="T67" s="128">
        <v>383107</v>
      </c>
      <c r="U67" s="128">
        <v>391949</v>
      </c>
      <c r="V67" s="188">
        <f t="shared" ref="V67:V130" si="3">M67/R67</f>
        <v>0.69454387412771812</v>
      </c>
      <c r="W67" s="238">
        <v>4.36E-2</v>
      </c>
      <c r="X67" s="358">
        <v>7</v>
      </c>
      <c r="AF67" s="238"/>
    </row>
    <row r="68" spans="2:44" x14ac:dyDescent="0.25">
      <c r="B68" t="s">
        <v>247</v>
      </c>
      <c r="C68" s="128">
        <v>131320984.91091004</v>
      </c>
      <c r="D68" s="128">
        <v>108847981.91091004</v>
      </c>
      <c r="E68" s="128">
        <v>3951414</v>
      </c>
      <c r="F68" s="128">
        <v>6825591</v>
      </c>
      <c r="G68" s="128">
        <v>6949046</v>
      </c>
      <c r="H68" s="128">
        <v>4746952</v>
      </c>
      <c r="I68" s="128">
        <v>27733918</v>
      </c>
      <c r="L68" s="128">
        <f t="shared" si="2"/>
        <v>5412097.0890899599</v>
      </c>
      <c r="M68" s="128">
        <v>164467</v>
      </c>
      <c r="N68" s="128">
        <v>788</v>
      </c>
      <c r="O68" s="128">
        <v>1791</v>
      </c>
      <c r="P68" s="128">
        <v>1058</v>
      </c>
      <c r="Q68" s="128">
        <v>6464</v>
      </c>
      <c r="R68" s="128">
        <v>214174</v>
      </c>
      <c r="S68" s="128">
        <v>216155</v>
      </c>
      <c r="T68" s="128">
        <v>196826</v>
      </c>
      <c r="U68" s="128">
        <v>203220</v>
      </c>
      <c r="V68" s="188">
        <f t="shared" si="3"/>
        <v>0.76791300531343676</v>
      </c>
      <c r="W68" s="238">
        <v>5.0299999999999997E-2</v>
      </c>
      <c r="X68" s="358">
        <v>5.5</v>
      </c>
      <c r="AF68" s="238"/>
    </row>
    <row r="69" spans="2:44" x14ac:dyDescent="0.25">
      <c r="B69" t="s">
        <v>357</v>
      </c>
      <c r="C69" s="128">
        <v>55978348.703215681</v>
      </c>
      <c r="D69" s="128">
        <v>50413852.703215681</v>
      </c>
      <c r="E69" s="128">
        <v>882291</v>
      </c>
      <c r="F69" s="128">
        <v>0</v>
      </c>
      <c r="G69" s="128">
        <v>4186101</v>
      </c>
      <c r="H69" s="128">
        <v>496104</v>
      </c>
      <c r="I69" s="128">
        <v>6549983</v>
      </c>
      <c r="L69" s="128">
        <f t="shared" si="2"/>
        <v>0</v>
      </c>
      <c r="M69" s="128">
        <v>62122</v>
      </c>
      <c r="N69" s="128">
        <v>300</v>
      </c>
      <c r="O69" s="128">
        <v>1091</v>
      </c>
      <c r="P69" s="128">
        <v>154</v>
      </c>
      <c r="Q69" s="128">
        <v>17232</v>
      </c>
      <c r="R69" s="128">
        <v>100509</v>
      </c>
      <c r="S69" s="128">
        <v>100089</v>
      </c>
      <c r="T69" s="128">
        <v>99527</v>
      </c>
      <c r="U69" s="128">
        <v>101022</v>
      </c>
      <c r="V69" s="188">
        <f t="shared" si="3"/>
        <v>0.61807400332308549</v>
      </c>
      <c r="W69" s="238">
        <v>4.8899999999999999E-2</v>
      </c>
      <c r="X69" s="358">
        <v>9</v>
      </c>
      <c r="AF69" s="238"/>
    </row>
    <row r="70" spans="2:44" x14ac:dyDescent="0.25">
      <c r="B70" t="s">
        <v>144</v>
      </c>
      <c r="C70" s="128">
        <v>231184235.3405574</v>
      </c>
      <c r="D70" s="128">
        <v>185985778.3405574</v>
      </c>
      <c r="E70" s="128">
        <v>4987563</v>
      </c>
      <c r="F70" s="128">
        <v>16223409</v>
      </c>
      <c r="G70" s="128">
        <v>17594142</v>
      </c>
      <c r="H70" s="128">
        <v>6393343</v>
      </c>
      <c r="I70" s="128">
        <v>39588653</v>
      </c>
      <c r="L70" s="128">
        <f t="shared" si="2"/>
        <v>0</v>
      </c>
      <c r="M70" s="128">
        <v>263610</v>
      </c>
      <c r="N70" s="128">
        <v>1409</v>
      </c>
      <c r="O70" s="128">
        <v>2546</v>
      </c>
      <c r="P70" s="128">
        <v>1289</v>
      </c>
      <c r="Q70" s="128">
        <v>8175</v>
      </c>
      <c r="R70" s="128">
        <v>378726</v>
      </c>
      <c r="S70" s="128">
        <v>380214</v>
      </c>
      <c r="T70" s="128">
        <v>355379</v>
      </c>
      <c r="U70" s="128">
        <v>357687</v>
      </c>
      <c r="V70" s="188">
        <f t="shared" si="3"/>
        <v>0.69604410576511777</v>
      </c>
      <c r="W70" s="238">
        <v>4.2099999999999999E-2</v>
      </c>
      <c r="X70" s="358">
        <v>7.5</v>
      </c>
      <c r="AF70" s="238"/>
    </row>
    <row r="71" spans="2:44" x14ac:dyDescent="0.25">
      <c r="B71" t="s">
        <v>248</v>
      </c>
      <c r="C71" s="128">
        <v>49441635.688286826</v>
      </c>
      <c r="D71" s="128">
        <v>46195488.688286826</v>
      </c>
      <c r="E71" s="128">
        <v>781420</v>
      </c>
      <c r="F71" s="128">
        <v>0</v>
      </c>
      <c r="G71" s="128">
        <v>1901427</v>
      </c>
      <c r="H71" s="128">
        <v>563300</v>
      </c>
      <c r="I71" s="128">
        <v>7569569</v>
      </c>
      <c r="L71" s="128">
        <f t="shared" si="2"/>
        <v>0</v>
      </c>
      <c r="M71" s="128">
        <v>55914</v>
      </c>
      <c r="N71" s="128">
        <v>320</v>
      </c>
      <c r="O71" s="128">
        <v>1952</v>
      </c>
      <c r="P71" s="128">
        <v>104</v>
      </c>
      <c r="Q71" s="128">
        <v>14621</v>
      </c>
      <c r="R71" s="128">
        <v>96754</v>
      </c>
      <c r="S71" s="128">
        <v>97208</v>
      </c>
      <c r="T71" s="128">
        <v>100196</v>
      </c>
      <c r="U71" s="128">
        <v>100769</v>
      </c>
      <c r="V71" s="188">
        <f t="shared" si="3"/>
        <v>0.57789858817206519</v>
      </c>
      <c r="W71" s="238">
        <v>3.1800000000000002E-2</v>
      </c>
      <c r="X71" s="358">
        <v>8</v>
      </c>
      <c r="AF71" s="238"/>
      <c r="AR71" s="129"/>
    </row>
    <row r="72" spans="2:44" x14ac:dyDescent="0.25">
      <c r="B72" t="s">
        <v>867</v>
      </c>
      <c r="C72" s="128">
        <v>144057413.94056925</v>
      </c>
      <c r="D72" s="128">
        <v>132853409.94056925</v>
      </c>
      <c r="E72" s="128">
        <v>3686448</v>
      </c>
      <c r="F72" s="128">
        <v>0</v>
      </c>
      <c r="G72" s="128">
        <v>5881157</v>
      </c>
      <c r="H72" s="128">
        <v>1636399</v>
      </c>
      <c r="I72" s="128">
        <v>19132151</v>
      </c>
      <c r="L72" s="128">
        <f t="shared" si="2"/>
        <v>0</v>
      </c>
      <c r="M72" s="242">
        <v>158601.57404024201</v>
      </c>
      <c r="N72" s="242">
        <v>0</v>
      </c>
      <c r="O72" s="242">
        <v>0</v>
      </c>
      <c r="P72" s="242">
        <v>0</v>
      </c>
      <c r="Q72" s="242">
        <v>23550</v>
      </c>
      <c r="R72" s="242">
        <v>236097</v>
      </c>
      <c r="S72" s="242">
        <v>248795</v>
      </c>
      <c r="T72" s="128">
        <v>236097</v>
      </c>
      <c r="U72" s="128">
        <v>248795</v>
      </c>
      <c r="V72" s="188">
        <f t="shared" si="3"/>
        <v>0.67176446138765844</v>
      </c>
      <c r="W72" s="238">
        <v>5.4399999999999997E-2</v>
      </c>
      <c r="X72" s="358">
        <v>6.5</v>
      </c>
      <c r="AF72" s="238"/>
      <c r="AR72" s="129"/>
    </row>
    <row r="73" spans="2:44" x14ac:dyDescent="0.25">
      <c r="B73" t="s">
        <v>145</v>
      </c>
      <c r="C73" s="128">
        <v>38630454.224646442</v>
      </c>
      <c r="D73" s="128">
        <v>35854505.224646442</v>
      </c>
      <c r="E73" s="128">
        <v>232207</v>
      </c>
      <c r="F73" s="128">
        <v>0</v>
      </c>
      <c r="G73" s="128">
        <v>2132635</v>
      </c>
      <c r="H73" s="128">
        <v>411107</v>
      </c>
      <c r="I73" s="128">
        <v>3498809</v>
      </c>
      <c r="L73" s="128">
        <f t="shared" si="2"/>
        <v>0</v>
      </c>
      <c r="M73" s="128">
        <v>40370</v>
      </c>
      <c r="N73" s="128">
        <v>35</v>
      </c>
      <c r="O73" s="128">
        <v>1163</v>
      </c>
      <c r="P73" s="128">
        <v>1306</v>
      </c>
      <c r="Q73" s="128">
        <v>3370</v>
      </c>
      <c r="R73" s="128">
        <v>60954</v>
      </c>
      <c r="S73" s="128">
        <v>61204</v>
      </c>
      <c r="T73" s="128">
        <v>61105</v>
      </c>
      <c r="U73" s="128">
        <v>62342</v>
      </c>
      <c r="V73" s="188">
        <f t="shared" si="3"/>
        <v>0.66230272008399782</v>
      </c>
      <c r="W73" s="238">
        <v>4.5100000000000001E-2</v>
      </c>
      <c r="X73" s="358">
        <v>6.5</v>
      </c>
      <c r="AF73" s="238"/>
    </row>
    <row r="74" spans="2:44" x14ac:dyDescent="0.25">
      <c r="B74" t="s">
        <v>175</v>
      </c>
      <c r="C74" s="128">
        <v>24175713.799626008</v>
      </c>
      <c r="D74" s="128">
        <v>20764682.799626008</v>
      </c>
      <c r="E74" s="128">
        <v>1539389</v>
      </c>
      <c r="F74" s="128">
        <v>0</v>
      </c>
      <c r="G74" s="128">
        <v>1537500</v>
      </c>
      <c r="H74" s="128">
        <v>334142</v>
      </c>
      <c r="I74" s="128">
        <v>0</v>
      </c>
      <c r="L74" s="128">
        <f t="shared" si="2"/>
        <v>4719286.2003739923</v>
      </c>
      <c r="M74" s="243">
        <v>28895</v>
      </c>
      <c r="N74" s="243">
        <v>126</v>
      </c>
      <c r="O74" s="243">
        <v>204</v>
      </c>
      <c r="P74" s="243">
        <v>218</v>
      </c>
      <c r="Q74" s="243">
        <v>4</v>
      </c>
      <c r="R74" s="243">
        <v>36684</v>
      </c>
      <c r="S74" s="243">
        <v>37159</v>
      </c>
      <c r="T74" s="128">
        <v>33948</v>
      </c>
      <c r="U74" s="128">
        <v>34595</v>
      </c>
      <c r="V74" s="188">
        <f t="shared" si="3"/>
        <v>0.78767309998909607</v>
      </c>
      <c r="W74" s="238">
        <v>6.3799999999999996E-2</v>
      </c>
      <c r="X74" s="358">
        <v>6.5</v>
      </c>
      <c r="AF74" s="238"/>
    </row>
    <row r="75" spans="2:44" x14ac:dyDescent="0.25">
      <c r="B75" t="s">
        <v>176</v>
      </c>
      <c r="C75" s="128">
        <v>146096051.22472578</v>
      </c>
      <c r="D75" s="128">
        <v>104200743.22472578</v>
      </c>
      <c r="E75" s="128">
        <v>3486451</v>
      </c>
      <c r="F75" s="128">
        <v>24738277</v>
      </c>
      <c r="G75" s="128">
        <v>8274560</v>
      </c>
      <c r="H75" s="128">
        <v>5396020</v>
      </c>
      <c r="I75" s="128">
        <v>19778772</v>
      </c>
      <c r="L75" s="128">
        <f t="shared" si="2"/>
        <v>3790176.7752742171</v>
      </c>
      <c r="M75" s="128">
        <v>169665</v>
      </c>
      <c r="N75" s="128">
        <v>111</v>
      </c>
      <c r="O75" s="128">
        <v>1785</v>
      </c>
      <c r="P75" s="128">
        <v>0</v>
      </c>
      <c r="Q75" s="128">
        <v>7691</v>
      </c>
      <c r="R75" s="128">
        <v>248187</v>
      </c>
      <c r="S75" s="128">
        <v>249428</v>
      </c>
      <c r="T75" s="128">
        <v>231025</v>
      </c>
      <c r="U75" s="128">
        <v>230867</v>
      </c>
      <c r="V75" s="188">
        <f t="shared" si="3"/>
        <v>0.68361759479747131</v>
      </c>
      <c r="W75" s="238">
        <v>4.6800000000000001E-2</v>
      </c>
      <c r="X75" s="358">
        <v>8</v>
      </c>
      <c r="AF75" s="238"/>
    </row>
    <row r="76" spans="2:44" x14ac:dyDescent="0.25">
      <c r="B76" t="s">
        <v>358</v>
      </c>
      <c r="C76" s="128">
        <v>40439986.569784075</v>
      </c>
      <c r="D76" s="128">
        <v>37916026.569784075</v>
      </c>
      <c r="E76" s="128">
        <v>590481</v>
      </c>
      <c r="F76" s="128">
        <v>0</v>
      </c>
      <c r="G76" s="128">
        <v>1558397</v>
      </c>
      <c r="H76" s="128">
        <v>375082</v>
      </c>
      <c r="I76" s="128">
        <v>4819030</v>
      </c>
      <c r="L76" s="128">
        <f t="shared" si="2"/>
        <v>0</v>
      </c>
      <c r="M76" s="128">
        <v>45205</v>
      </c>
      <c r="N76" s="128">
        <v>97</v>
      </c>
      <c r="O76" s="128">
        <v>453</v>
      </c>
      <c r="P76" s="128">
        <v>40</v>
      </c>
      <c r="Q76" s="128">
        <v>1356</v>
      </c>
      <c r="R76" s="128">
        <v>64853</v>
      </c>
      <c r="S76" s="128">
        <v>64075</v>
      </c>
      <c r="T76" s="128">
        <v>64186</v>
      </c>
      <c r="U76" s="128">
        <v>64588</v>
      </c>
      <c r="V76" s="188">
        <f t="shared" si="3"/>
        <v>0.69703791651889657</v>
      </c>
      <c r="W76" s="238">
        <v>3.5999999999999997E-2</v>
      </c>
      <c r="X76" s="358">
        <v>8</v>
      </c>
      <c r="AF76" s="238"/>
    </row>
    <row r="77" spans="2:44" x14ac:dyDescent="0.25">
      <c r="B77" t="s">
        <v>291</v>
      </c>
      <c r="C77" s="128">
        <v>313116088.74547207</v>
      </c>
      <c r="D77" s="128">
        <v>235899615.74547204</v>
      </c>
      <c r="E77" s="128">
        <v>7477909</v>
      </c>
      <c r="F77" s="128">
        <v>36504250</v>
      </c>
      <c r="G77" s="128">
        <v>19827964</v>
      </c>
      <c r="H77" s="128">
        <v>13406350</v>
      </c>
      <c r="I77" s="243">
        <v>59766326</v>
      </c>
      <c r="L77" s="128">
        <f t="shared" si="2"/>
        <v>3670585.2545279264</v>
      </c>
      <c r="M77" s="128">
        <v>376553</v>
      </c>
      <c r="N77" s="128">
        <v>5645</v>
      </c>
      <c r="O77" s="128">
        <v>8466</v>
      </c>
      <c r="P77" s="128">
        <v>2528</v>
      </c>
      <c r="Q77" s="128">
        <v>35590</v>
      </c>
      <c r="R77" s="128">
        <v>526349</v>
      </c>
      <c r="S77" s="128">
        <v>545350</v>
      </c>
      <c r="T77" s="128">
        <v>510346</v>
      </c>
      <c r="U77" s="128">
        <v>516175</v>
      </c>
      <c r="V77" s="188">
        <f t="shared" si="3"/>
        <v>0.71540555790929594</v>
      </c>
      <c r="W77" s="238">
        <v>6.0400000000000002E-2</v>
      </c>
      <c r="X77" s="358">
        <v>7</v>
      </c>
      <c r="AF77" s="238"/>
    </row>
    <row r="78" spans="2:44" x14ac:dyDescent="0.25">
      <c r="B78" t="s">
        <v>249</v>
      </c>
      <c r="C78" s="128">
        <v>29449766.84222417</v>
      </c>
      <c r="D78" s="128">
        <v>27262061.84222417</v>
      </c>
      <c r="E78" s="128">
        <v>577117</v>
      </c>
      <c r="F78" s="128">
        <v>0</v>
      </c>
      <c r="G78" s="128">
        <v>1210817</v>
      </c>
      <c r="H78" s="128">
        <v>399771</v>
      </c>
      <c r="I78" s="128">
        <v>2977158</v>
      </c>
      <c r="L78" s="128">
        <f t="shared" si="2"/>
        <v>0</v>
      </c>
      <c r="M78" s="128">
        <v>32310</v>
      </c>
      <c r="N78" s="128">
        <v>26</v>
      </c>
      <c r="O78" s="128">
        <v>673</v>
      </c>
      <c r="P78" s="128">
        <v>166</v>
      </c>
      <c r="Q78" s="128">
        <v>403</v>
      </c>
      <c r="R78" s="128">
        <v>43493</v>
      </c>
      <c r="S78" s="128">
        <v>44657</v>
      </c>
      <c r="T78" s="128">
        <v>51553</v>
      </c>
      <c r="U78" s="128">
        <v>52361</v>
      </c>
      <c r="V78" s="188">
        <f t="shared" si="3"/>
        <v>0.74287816430230147</v>
      </c>
      <c r="W78" s="238">
        <v>5.1499999999999997E-2</v>
      </c>
      <c r="X78" s="358">
        <v>5.5</v>
      </c>
      <c r="AF78" s="238"/>
    </row>
    <row r="79" spans="2:44" x14ac:dyDescent="0.25">
      <c r="B79" t="s">
        <v>359</v>
      </c>
      <c r="C79" s="128">
        <v>38420433.915992655</v>
      </c>
      <c r="D79" s="128">
        <v>36265752.915992655</v>
      </c>
      <c r="E79" s="128">
        <v>367788</v>
      </c>
      <c r="F79" s="128">
        <v>0</v>
      </c>
      <c r="G79" s="128">
        <v>1385216</v>
      </c>
      <c r="H79" s="128">
        <v>401677</v>
      </c>
      <c r="I79" s="128">
        <v>3237357</v>
      </c>
      <c r="L79" s="128">
        <f t="shared" si="2"/>
        <v>301209.08400734514</v>
      </c>
      <c r="M79" s="128">
        <v>41959</v>
      </c>
      <c r="N79" s="128">
        <v>240</v>
      </c>
      <c r="O79" s="128">
        <v>591</v>
      </c>
      <c r="P79" s="128">
        <v>66</v>
      </c>
      <c r="Q79" s="128">
        <v>5384</v>
      </c>
      <c r="R79" s="128">
        <v>64263</v>
      </c>
      <c r="S79" s="128">
        <v>63541</v>
      </c>
      <c r="T79" s="128">
        <v>55141</v>
      </c>
      <c r="U79" s="128">
        <v>56673</v>
      </c>
      <c r="V79" s="188">
        <f t="shared" si="3"/>
        <v>0.65292625616606759</v>
      </c>
      <c r="W79" s="238">
        <v>4.3799999999999999E-2</v>
      </c>
      <c r="X79" s="358">
        <v>7.5</v>
      </c>
      <c r="AF79" s="238"/>
    </row>
    <row r="80" spans="2:44" x14ac:dyDescent="0.25">
      <c r="B80" t="s">
        <v>430</v>
      </c>
      <c r="C80" s="128">
        <v>70765182.487001926</v>
      </c>
      <c r="D80" s="128">
        <v>66888751.487001926</v>
      </c>
      <c r="E80" s="128">
        <v>1296890</v>
      </c>
      <c r="F80" s="128">
        <v>0</v>
      </c>
      <c r="G80" s="128">
        <v>1601627</v>
      </c>
      <c r="H80" s="128">
        <v>977914</v>
      </c>
      <c r="I80" s="128">
        <v>10404067</v>
      </c>
      <c r="L80" s="128">
        <f t="shared" si="2"/>
        <v>0</v>
      </c>
      <c r="M80" s="128">
        <v>79606</v>
      </c>
      <c r="N80" s="128">
        <v>780</v>
      </c>
      <c r="O80" s="128">
        <v>911</v>
      </c>
      <c r="P80" s="128">
        <v>265</v>
      </c>
      <c r="Q80" s="128">
        <v>1958</v>
      </c>
      <c r="R80" s="128">
        <v>108539</v>
      </c>
      <c r="S80" s="128">
        <v>110803</v>
      </c>
      <c r="T80" s="128">
        <v>103468</v>
      </c>
      <c r="U80" s="128">
        <v>110839</v>
      </c>
      <c r="V80" s="188">
        <f t="shared" si="3"/>
        <v>0.73343222251909457</v>
      </c>
      <c r="W80" s="238">
        <v>5.0599999999999999E-2</v>
      </c>
      <c r="X80" s="358">
        <v>6</v>
      </c>
      <c r="AF80" s="238"/>
    </row>
    <row r="81" spans="2:32" x14ac:dyDescent="0.25">
      <c r="B81" t="s">
        <v>177</v>
      </c>
      <c r="C81" s="128">
        <v>33567575.352412343</v>
      </c>
      <c r="D81" s="128">
        <v>30179304.352412347</v>
      </c>
      <c r="E81" s="128">
        <v>918917</v>
      </c>
      <c r="F81" s="128">
        <v>0</v>
      </c>
      <c r="G81" s="128">
        <v>1976853</v>
      </c>
      <c r="H81" s="128">
        <v>492501</v>
      </c>
      <c r="I81" s="128">
        <v>3970503</v>
      </c>
      <c r="L81" s="128">
        <f t="shared" si="2"/>
        <v>0</v>
      </c>
      <c r="M81" s="128">
        <v>36478</v>
      </c>
      <c r="N81" s="128">
        <v>103</v>
      </c>
      <c r="O81" s="128">
        <v>487</v>
      </c>
      <c r="P81" s="128">
        <v>57</v>
      </c>
      <c r="Q81" s="128">
        <v>137</v>
      </c>
      <c r="R81" s="128">
        <v>47301</v>
      </c>
      <c r="S81" s="128">
        <v>49181</v>
      </c>
      <c r="T81" s="128">
        <v>44568</v>
      </c>
      <c r="U81" s="128">
        <v>44154</v>
      </c>
      <c r="V81" s="188">
        <f t="shared" si="3"/>
        <v>0.77118876979345041</v>
      </c>
      <c r="W81" s="238">
        <v>4.9599999999999998E-2</v>
      </c>
      <c r="X81" s="358">
        <v>8</v>
      </c>
      <c r="AF81" s="238"/>
    </row>
    <row r="82" spans="2:32" x14ac:dyDescent="0.25">
      <c r="B82" t="s">
        <v>178</v>
      </c>
      <c r="C82" s="128">
        <v>40837522.267275333</v>
      </c>
      <c r="D82" s="128">
        <v>37593773.267275333</v>
      </c>
      <c r="E82" s="128">
        <v>1007027</v>
      </c>
      <c r="F82" s="128">
        <v>0</v>
      </c>
      <c r="G82" s="128">
        <v>1855641</v>
      </c>
      <c r="H82" s="128">
        <v>381081</v>
      </c>
      <c r="I82" s="128">
        <v>6588079</v>
      </c>
      <c r="L82" s="128">
        <f t="shared" si="2"/>
        <v>0</v>
      </c>
      <c r="M82" s="128">
        <v>44942</v>
      </c>
      <c r="N82" s="128">
        <v>39</v>
      </c>
      <c r="O82" s="128">
        <v>982</v>
      </c>
      <c r="P82" s="128">
        <v>108</v>
      </c>
      <c r="Q82" s="128">
        <v>330</v>
      </c>
      <c r="R82" s="128">
        <v>64484</v>
      </c>
      <c r="S82" s="128">
        <v>65615</v>
      </c>
      <c r="T82" s="128">
        <v>61671</v>
      </c>
      <c r="U82" s="128">
        <v>62704</v>
      </c>
      <c r="V82" s="188">
        <f t="shared" si="3"/>
        <v>0.69694808014391163</v>
      </c>
      <c r="W82" s="238">
        <v>4.4200000000000003E-2</v>
      </c>
      <c r="X82" s="358">
        <v>7.5</v>
      </c>
      <c r="AF82" s="238"/>
    </row>
    <row r="83" spans="2:32" x14ac:dyDescent="0.25">
      <c r="B83" t="s">
        <v>403</v>
      </c>
      <c r="C83" s="128">
        <v>57489200.318484619</v>
      </c>
      <c r="D83" s="128">
        <v>51958699.318484619</v>
      </c>
      <c r="E83" s="128">
        <v>1464948</v>
      </c>
      <c r="F83" s="128">
        <v>0</v>
      </c>
      <c r="G83" s="128">
        <v>3412938</v>
      </c>
      <c r="H83" s="128">
        <v>652615</v>
      </c>
      <c r="I83" s="128">
        <v>6605858</v>
      </c>
      <c r="L83" s="128">
        <f t="shared" si="2"/>
        <v>0</v>
      </c>
      <c r="M83" s="128">
        <v>59346</v>
      </c>
      <c r="N83" s="128">
        <v>592</v>
      </c>
      <c r="O83" s="128">
        <v>443</v>
      </c>
      <c r="P83" s="128">
        <v>286</v>
      </c>
      <c r="Q83" s="128">
        <v>275</v>
      </c>
      <c r="R83" s="128">
        <v>83832</v>
      </c>
      <c r="S83" s="128">
        <v>84039</v>
      </c>
      <c r="T83" s="128">
        <v>75912</v>
      </c>
      <c r="U83" s="128">
        <v>76253</v>
      </c>
      <c r="V83" s="188">
        <f t="shared" si="3"/>
        <v>0.70791583166332661</v>
      </c>
      <c r="W83" s="238">
        <v>4.1200000000000001E-2</v>
      </c>
      <c r="X83" s="358">
        <v>7</v>
      </c>
      <c r="AF83" s="238"/>
    </row>
    <row r="84" spans="2:32" x14ac:dyDescent="0.25">
      <c r="B84" t="s">
        <v>250</v>
      </c>
      <c r="C84" s="128">
        <v>51550530.917198166</v>
      </c>
      <c r="D84" s="128">
        <v>48323616.917198166</v>
      </c>
      <c r="E84" s="128">
        <v>827462</v>
      </c>
      <c r="F84" s="128">
        <v>0</v>
      </c>
      <c r="G84" s="128">
        <v>1827179</v>
      </c>
      <c r="H84" s="128">
        <v>572273</v>
      </c>
      <c r="I84" s="128">
        <v>4632249</v>
      </c>
      <c r="L84" s="128">
        <f t="shared" si="2"/>
        <v>0</v>
      </c>
      <c r="M84" s="128">
        <v>55680</v>
      </c>
      <c r="N84" s="128">
        <v>530</v>
      </c>
      <c r="O84" s="128">
        <v>2286</v>
      </c>
      <c r="P84" s="128">
        <v>330</v>
      </c>
      <c r="Q84" s="128">
        <v>833</v>
      </c>
      <c r="R84" s="128">
        <v>81952</v>
      </c>
      <c r="S84" s="128">
        <v>88252</v>
      </c>
      <c r="T84" s="128">
        <v>80572</v>
      </c>
      <c r="U84" s="128">
        <v>86964</v>
      </c>
      <c r="V84" s="188">
        <f t="shared" si="3"/>
        <v>0.67942210074189768</v>
      </c>
      <c r="W84" s="238">
        <v>4.9099999999999998E-2</v>
      </c>
      <c r="X84" s="358">
        <v>6</v>
      </c>
      <c r="AF84" s="238"/>
    </row>
    <row r="85" spans="2:32" x14ac:dyDescent="0.25">
      <c r="B85" t="s">
        <v>179</v>
      </c>
      <c r="C85" s="128">
        <v>219528986.33862281</v>
      </c>
      <c r="D85" s="128">
        <v>181118671.33862281</v>
      </c>
      <c r="E85" s="128">
        <v>3766377</v>
      </c>
      <c r="F85" s="128">
        <v>16713261</v>
      </c>
      <c r="G85" s="128">
        <v>8935815</v>
      </c>
      <c r="H85" s="128">
        <v>8994862</v>
      </c>
      <c r="I85" s="128">
        <v>26749739</v>
      </c>
      <c r="L85" s="128">
        <f t="shared" si="2"/>
        <v>0</v>
      </c>
      <c r="M85" s="128">
        <v>242880</v>
      </c>
      <c r="N85" s="128">
        <v>1141</v>
      </c>
      <c r="O85" s="128">
        <v>6045</v>
      </c>
      <c r="P85" s="128">
        <v>559</v>
      </c>
      <c r="Q85" s="128">
        <v>13833</v>
      </c>
      <c r="R85" s="128">
        <v>394066</v>
      </c>
      <c r="S85" s="128">
        <v>392274</v>
      </c>
      <c r="T85" s="128">
        <v>381126</v>
      </c>
      <c r="U85" s="128">
        <v>373014</v>
      </c>
      <c r="V85" s="188">
        <f t="shared" si="3"/>
        <v>0.61634345515725797</v>
      </c>
      <c r="W85" s="238">
        <v>3.78E-2</v>
      </c>
      <c r="X85" s="358">
        <v>10</v>
      </c>
      <c r="AF85" s="238"/>
    </row>
    <row r="86" spans="2:32" x14ac:dyDescent="0.25">
      <c r="B86" t="s">
        <v>220</v>
      </c>
      <c r="C86" s="128">
        <v>12845730.906679848</v>
      </c>
      <c r="D86" s="128">
        <v>11950180.906679848</v>
      </c>
      <c r="E86" s="128">
        <v>274598</v>
      </c>
      <c r="F86" s="128">
        <v>0</v>
      </c>
      <c r="G86" s="128">
        <v>318763</v>
      </c>
      <c r="H86" s="128">
        <v>302189</v>
      </c>
      <c r="I86" s="128">
        <v>0</v>
      </c>
      <c r="L86" s="128">
        <f t="shared" si="2"/>
        <v>964269.09332015179</v>
      </c>
      <c r="M86" s="128">
        <v>13810</v>
      </c>
      <c r="N86" s="128">
        <v>61</v>
      </c>
      <c r="O86" s="128">
        <v>476</v>
      </c>
      <c r="P86" s="128">
        <v>150</v>
      </c>
      <c r="Q86" s="128">
        <v>7686</v>
      </c>
      <c r="R86" s="128">
        <v>29607</v>
      </c>
      <c r="S86" s="128">
        <v>28569</v>
      </c>
      <c r="T86" s="128">
        <v>26981</v>
      </c>
      <c r="U86" s="128">
        <v>28479</v>
      </c>
      <c r="V86" s="188">
        <f t="shared" si="3"/>
        <v>0.46644374641132164</v>
      </c>
      <c r="W86" s="238">
        <v>5.7299999999999997E-2</v>
      </c>
      <c r="X86" s="358">
        <v>6.5</v>
      </c>
      <c r="AF86" s="238"/>
    </row>
    <row r="87" spans="2:32" x14ac:dyDescent="0.25">
      <c r="B87" t="s">
        <v>754</v>
      </c>
      <c r="C87" s="128">
        <v>108838088.6110218</v>
      </c>
      <c r="D87" s="128">
        <v>94558733.611021802</v>
      </c>
      <c r="E87" s="128">
        <v>3263309</v>
      </c>
      <c r="F87" s="128">
        <v>0</v>
      </c>
      <c r="G87" s="128">
        <v>9553286</v>
      </c>
      <c r="H87" s="128">
        <v>1462760</v>
      </c>
      <c r="I87" s="128">
        <v>24488119</v>
      </c>
      <c r="L87" s="128">
        <f t="shared" si="2"/>
        <v>15294792.388978198</v>
      </c>
      <c r="M87" s="128">
        <v>148621</v>
      </c>
      <c r="N87" s="128">
        <v>143</v>
      </c>
      <c r="O87" s="128">
        <v>1376</v>
      </c>
      <c r="P87" s="128">
        <v>863</v>
      </c>
      <c r="Q87" s="128">
        <v>4902</v>
      </c>
      <c r="R87" s="128">
        <v>319987</v>
      </c>
      <c r="S87" s="128">
        <v>322333</v>
      </c>
      <c r="T87" s="128">
        <v>232152</v>
      </c>
      <c r="U87" s="128">
        <v>179904</v>
      </c>
      <c r="V87" s="188">
        <f t="shared" si="3"/>
        <v>0.46445949366693023</v>
      </c>
      <c r="W87" s="238">
        <v>3.1300000000000001E-2</v>
      </c>
      <c r="X87" s="358">
        <v>6</v>
      </c>
      <c r="AF87" s="238"/>
    </row>
    <row r="88" spans="2:32" x14ac:dyDescent="0.25">
      <c r="B88" t="s">
        <v>360</v>
      </c>
      <c r="C88" s="128">
        <v>30659103.952185653</v>
      </c>
      <c r="D88" s="128">
        <v>26965166.952185653</v>
      </c>
      <c r="E88" s="128">
        <v>674867</v>
      </c>
      <c r="F88" s="128">
        <v>0</v>
      </c>
      <c r="G88" s="128">
        <v>2609423</v>
      </c>
      <c r="H88" s="128">
        <v>409647</v>
      </c>
      <c r="I88" s="128">
        <v>2195890</v>
      </c>
      <c r="L88" s="128">
        <f t="shared" si="2"/>
        <v>0</v>
      </c>
      <c r="M88" s="128">
        <v>30978</v>
      </c>
      <c r="N88" s="128">
        <v>314</v>
      </c>
      <c r="O88" s="128">
        <v>594</v>
      </c>
      <c r="P88" s="128">
        <v>150</v>
      </c>
      <c r="Q88" s="128">
        <v>7568</v>
      </c>
      <c r="R88" s="128">
        <v>50221</v>
      </c>
      <c r="S88" s="128">
        <v>49183</v>
      </c>
      <c r="T88" s="128">
        <v>45403</v>
      </c>
      <c r="U88" s="128">
        <v>45123</v>
      </c>
      <c r="V88" s="188">
        <f t="shared" si="3"/>
        <v>0.61683359550785533</v>
      </c>
      <c r="W88" s="238">
        <v>5.1499999999999997E-2</v>
      </c>
      <c r="X88" s="358">
        <v>8</v>
      </c>
      <c r="AF88" s="238"/>
    </row>
    <row r="89" spans="2:32" x14ac:dyDescent="0.25">
      <c r="B89" t="s">
        <v>404</v>
      </c>
      <c r="C89" s="128">
        <v>35958843.221522346</v>
      </c>
      <c r="D89" s="128">
        <v>33490656.221522346</v>
      </c>
      <c r="E89" s="128">
        <v>290845</v>
      </c>
      <c r="F89" s="128">
        <v>0</v>
      </c>
      <c r="G89" s="128">
        <v>1881833</v>
      </c>
      <c r="H89" s="128">
        <v>295509</v>
      </c>
      <c r="I89" s="243">
        <v>3216083</v>
      </c>
      <c r="L89" s="128">
        <f t="shared" si="2"/>
        <v>735073.77847765386</v>
      </c>
      <c r="M89" s="128">
        <v>39910</v>
      </c>
      <c r="N89" s="128">
        <v>32</v>
      </c>
      <c r="O89" s="128">
        <v>751</v>
      </c>
      <c r="P89" s="128">
        <v>375</v>
      </c>
      <c r="Q89" s="128">
        <v>2746</v>
      </c>
      <c r="R89" s="243">
        <v>60668</v>
      </c>
      <c r="S89" s="243">
        <v>60742</v>
      </c>
      <c r="T89" s="128">
        <v>58521</v>
      </c>
      <c r="U89" s="128">
        <v>58967</v>
      </c>
      <c r="V89" s="188">
        <f t="shared" si="3"/>
        <v>0.65784268477615881</v>
      </c>
      <c r="W89" s="238">
        <v>3.5099999999999999E-2</v>
      </c>
      <c r="X89" s="358">
        <v>4.5</v>
      </c>
      <c r="AF89" s="238"/>
    </row>
    <row r="90" spans="2:32" x14ac:dyDescent="0.25">
      <c r="B90" t="s">
        <v>361</v>
      </c>
      <c r="C90" s="128">
        <v>536943485.84514928</v>
      </c>
      <c r="D90" s="128">
        <v>421158618.84514922</v>
      </c>
      <c r="E90" s="128">
        <v>14548935</v>
      </c>
      <c r="F90" s="128">
        <v>42504407</v>
      </c>
      <c r="G90" s="128">
        <v>34504009</v>
      </c>
      <c r="H90" s="128">
        <v>24227516</v>
      </c>
      <c r="I90" s="128">
        <v>114912303</v>
      </c>
      <c r="L90" s="128">
        <f t="shared" si="2"/>
        <v>17918211.154850721</v>
      </c>
      <c r="M90" s="128">
        <v>669774</v>
      </c>
      <c r="N90" s="128">
        <v>3648</v>
      </c>
      <c r="O90" s="128">
        <v>22447</v>
      </c>
      <c r="P90" s="128">
        <v>528</v>
      </c>
      <c r="Q90" s="128">
        <v>72838</v>
      </c>
      <c r="R90" s="128">
        <v>965740</v>
      </c>
      <c r="S90" s="128">
        <v>969841</v>
      </c>
      <c r="T90" s="128">
        <v>915847</v>
      </c>
      <c r="U90" s="128">
        <v>923733</v>
      </c>
      <c r="V90" s="188">
        <f t="shared" si="3"/>
        <v>0.69353449168513259</v>
      </c>
      <c r="W90" s="238">
        <v>4.1000000000000002E-2</v>
      </c>
      <c r="X90" s="358">
        <v>8</v>
      </c>
      <c r="AF90" s="238"/>
    </row>
    <row r="91" spans="2:32" x14ac:dyDescent="0.25">
      <c r="B91" t="s">
        <v>180</v>
      </c>
      <c r="C91" s="128">
        <v>39791857.278141819</v>
      </c>
      <c r="D91" s="128">
        <v>35527385.278141819</v>
      </c>
      <c r="E91" s="128">
        <v>564734</v>
      </c>
      <c r="F91" s="128">
        <v>0</v>
      </c>
      <c r="G91" s="128">
        <v>3255885</v>
      </c>
      <c r="H91" s="128">
        <v>443853</v>
      </c>
      <c r="I91" s="128">
        <v>4460677</v>
      </c>
      <c r="L91" s="128">
        <f t="shared" si="2"/>
        <v>0</v>
      </c>
      <c r="M91" s="128">
        <v>40428</v>
      </c>
      <c r="N91" s="128">
        <v>200</v>
      </c>
      <c r="O91" s="128">
        <v>663</v>
      </c>
      <c r="P91" s="128">
        <v>326</v>
      </c>
      <c r="Q91" s="128">
        <v>404</v>
      </c>
      <c r="R91" s="128">
        <v>54754</v>
      </c>
      <c r="S91" s="128">
        <v>56445</v>
      </c>
      <c r="T91" s="128">
        <v>54095</v>
      </c>
      <c r="U91" s="128">
        <v>55301</v>
      </c>
      <c r="V91" s="188">
        <f t="shared" si="3"/>
        <v>0.73835701501260187</v>
      </c>
      <c r="W91" s="238">
        <v>5.5399999999999998E-2</v>
      </c>
      <c r="X91" s="358">
        <v>7</v>
      </c>
      <c r="AF91" s="238"/>
    </row>
    <row r="92" spans="2:32" x14ac:dyDescent="0.25">
      <c r="B92" t="s">
        <v>110</v>
      </c>
      <c r="C92" s="128">
        <v>265637378.55070379</v>
      </c>
      <c r="D92" s="128">
        <v>208841318.55070379</v>
      </c>
      <c r="E92" s="128">
        <v>7653098</v>
      </c>
      <c r="F92" s="128">
        <v>13124693</v>
      </c>
      <c r="G92" s="128">
        <v>24406014</v>
      </c>
      <c r="H92" s="128">
        <v>11612255</v>
      </c>
      <c r="I92" s="128">
        <v>51375418</v>
      </c>
      <c r="L92" s="128">
        <f t="shared" si="2"/>
        <v>11300203.449296206</v>
      </c>
      <c r="M92" s="128">
        <v>328313</v>
      </c>
      <c r="N92" s="128">
        <v>905</v>
      </c>
      <c r="O92" s="128">
        <v>5374</v>
      </c>
      <c r="P92" s="128">
        <v>826</v>
      </c>
      <c r="Q92" s="128">
        <v>5260</v>
      </c>
      <c r="R92" s="128">
        <v>420335</v>
      </c>
      <c r="S92" s="128">
        <v>411124</v>
      </c>
      <c r="T92" s="128">
        <v>424863</v>
      </c>
      <c r="U92" s="128">
        <v>421522</v>
      </c>
      <c r="V92" s="188">
        <f t="shared" si="3"/>
        <v>0.78107461905384989</v>
      </c>
      <c r="W92" s="238">
        <v>3.0599999999999999E-2</v>
      </c>
      <c r="X92" s="358">
        <v>6</v>
      </c>
      <c r="AF92" s="238"/>
    </row>
    <row r="93" spans="2:32" x14ac:dyDescent="0.25">
      <c r="B93" t="s">
        <v>251</v>
      </c>
      <c r="C93" s="128">
        <v>36947351.604295805</v>
      </c>
      <c r="D93" s="128">
        <v>34149765.604295805</v>
      </c>
      <c r="E93" s="128">
        <v>534998</v>
      </c>
      <c r="F93" s="128">
        <v>0</v>
      </c>
      <c r="G93" s="128">
        <v>1810436</v>
      </c>
      <c r="H93" s="128">
        <v>452152</v>
      </c>
      <c r="I93" s="128">
        <v>5119914</v>
      </c>
      <c r="L93" s="128">
        <f t="shared" si="2"/>
        <v>0</v>
      </c>
      <c r="M93" s="128">
        <v>41643</v>
      </c>
      <c r="N93" s="128">
        <v>270</v>
      </c>
      <c r="O93" s="128">
        <v>802</v>
      </c>
      <c r="P93" s="128">
        <v>527</v>
      </c>
      <c r="Q93" s="128">
        <v>0</v>
      </c>
      <c r="R93" s="128">
        <v>56659</v>
      </c>
      <c r="S93" s="128">
        <v>56966</v>
      </c>
      <c r="T93" s="128">
        <v>53615</v>
      </c>
      <c r="U93" s="128">
        <v>55373</v>
      </c>
      <c r="V93" s="188">
        <f t="shared" si="3"/>
        <v>0.73497590850526839</v>
      </c>
      <c r="W93" s="238">
        <v>3.8399999999999997E-2</v>
      </c>
      <c r="X93" s="358">
        <v>6.5</v>
      </c>
      <c r="AF93" s="238"/>
    </row>
    <row r="94" spans="2:32" x14ac:dyDescent="0.25">
      <c r="B94" t="s">
        <v>146</v>
      </c>
      <c r="C94" s="128">
        <v>412636605.95574689</v>
      </c>
      <c r="D94" s="128">
        <v>322393594.95574689</v>
      </c>
      <c r="E94" s="128">
        <v>10279720</v>
      </c>
      <c r="F94" s="128">
        <v>31513155</v>
      </c>
      <c r="G94" s="128">
        <v>26616179</v>
      </c>
      <c r="H94" s="128">
        <v>21833957</v>
      </c>
      <c r="I94" s="128">
        <v>95287286</v>
      </c>
      <c r="L94" s="128">
        <f t="shared" si="2"/>
        <v>20610108.044253111</v>
      </c>
      <c r="M94" s="128">
        <v>528534</v>
      </c>
      <c r="N94" s="128">
        <v>940</v>
      </c>
      <c r="O94" s="128">
        <v>8787</v>
      </c>
      <c r="P94" s="128">
        <v>1250</v>
      </c>
      <c r="Q94" s="128">
        <v>14883</v>
      </c>
      <c r="R94" s="128">
        <v>728839</v>
      </c>
      <c r="S94" s="128">
        <v>727622</v>
      </c>
      <c r="T94" s="128">
        <v>710674</v>
      </c>
      <c r="U94" s="128">
        <v>722442</v>
      </c>
      <c r="V94" s="188">
        <f t="shared" si="3"/>
        <v>0.72517250037388226</v>
      </c>
      <c r="W94" s="238">
        <v>4.1300000000000003E-2</v>
      </c>
      <c r="X94" s="358">
        <v>7</v>
      </c>
      <c r="AF94" s="238"/>
    </row>
    <row r="95" spans="2:32" x14ac:dyDescent="0.25">
      <c r="B95" t="s">
        <v>181</v>
      </c>
      <c r="C95" s="128">
        <v>56447946.87212798</v>
      </c>
      <c r="D95" s="128">
        <v>50335959.87212798</v>
      </c>
      <c r="E95" s="128">
        <v>1488938</v>
      </c>
      <c r="F95" s="128">
        <v>0</v>
      </c>
      <c r="G95" s="128">
        <v>4081775</v>
      </c>
      <c r="H95" s="128">
        <v>541274</v>
      </c>
      <c r="I95" s="128">
        <v>7225172</v>
      </c>
      <c r="L95" s="128">
        <f t="shared" si="2"/>
        <v>0</v>
      </c>
      <c r="M95" s="128">
        <v>62439</v>
      </c>
      <c r="N95" s="128">
        <v>330</v>
      </c>
      <c r="O95" s="128">
        <v>1125</v>
      </c>
      <c r="P95" s="128">
        <v>120</v>
      </c>
      <c r="Q95" s="128">
        <v>865</v>
      </c>
      <c r="R95" s="128">
        <v>82445</v>
      </c>
      <c r="S95" s="128">
        <v>85663</v>
      </c>
      <c r="T95" s="128">
        <v>80153</v>
      </c>
      <c r="U95" s="128">
        <v>78415</v>
      </c>
      <c r="V95" s="188">
        <f t="shared" si="3"/>
        <v>0.7573412578082358</v>
      </c>
      <c r="W95" s="238">
        <v>5.5E-2</v>
      </c>
      <c r="X95" s="358">
        <v>7</v>
      </c>
      <c r="AF95" s="238"/>
    </row>
    <row r="96" spans="2:32" x14ac:dyDescent="0.25">
      <c r="B96" t="s">
        <v>182</v>
      </c>
      <c r="C96" s="128">
        <v>49673499.253569022</v>
      </c>
      <c r="D96" s="128">
        <v>44694812.253569022</v>
      </c>
      <c r="E96" s="128">
        <v>1084738</v>
      </c>
      <c r="F96" s="128">
        <v>0</v>
      </c>
      <c r="G96" s="128">
        <v>3501470</v>
      </c>
      <c r="H96" s="128">
        <v>392479</v>
      </c>
      <c r="I96" s="128">
        <v>5606719</v>
      </c>
      <c r="L96" s="128">
        <f t="shared" si="2"/>
        <v>0</v>
      </c>
      <c r="M96" s="128">
        <v>52885</v>
      </c>
      <c r="N96" s="128">
        <v>337</v>
      </c>
      <c r="O96" s="128">
        <v>401</v>
      </c>
      <c r="P96" s="128">
        <v>460</v>
      </c>
      <c r="Q96" s="128">
        <v>115</v>
      </c>
      <c r="R96" s="128">
        <v>79770</v>
      </c>
      <c r="S96" s="128">
        <v>82271</v>
      </c>
      <c r="T96" s="128">
        <v>76989</v>
      </c>
      <c r="U96" s="128">
        <v>78307</v>
      </c>
      <c r="V96" s="188">
        <f t="shared" si="3"/>
        <v>0.66296853453679327</v>
      </c>
      <c r="W96" s="238">
        <v>5.11E-2</v>
      </c>
      <c r="X96" s="358">
        <v>4</v>
      </c>
      <c r="AF96" s="238"/>
    </row>
    <row r="97" spans="2:32" x14ac:dyDescent="0.25">
      <c r="B97" t="s">
        <v>362</v>
      </c>
      <c r="C97" s="128">
        <v>75643416.144224659</v>
      </c>
      <c r="D97" s="128">
        <v>68669774.144224659</v>
      </c>
      <c r="E97" s="128">
        <v>729309</v>
      </c>
      <c r="F97" s="128">
        <v>0</v>
      </c>
      <c r="G97" s="128">
        <v>5552513</v>
      </c>
      <c r="H97" s="128">
        <v>691820</v>
      </c>
      <c r="I97" s="128">
        <v>10956134</v>
      </c>
      <c r="L97" s="128">
        <f t="shared" si="2"/>
        <v>2480449.8557753414</v>
      </c>
      <c r="M97" s="128">
        <v>89080</v>
      </c>
      <c r="N97" s="128">
        <v>253</v>
      </c>
      <c r="O97" s="128">
        <v>2802</v>
      </c>
      <c r="P97" s="128">
        <v>12</v>
      </c>
      <c r="Q97" s="128">
        <v>13350</v>
      </c>
      <c r="R97" s="128">
        <v>135361</v>
      </c>
      <c r="S97" s="128">
        <v>135272</v>
      </c>
      <c r="T97" s="128">
        <v>124064</v>
      </c>
      <c r="U97" s="128">
        <v>123472</v>
      </c>
      <c r="V97" s="188">
        <f t="shared" si="3"/>
        <v>0.65809206492268824</v>
      </c>
      <c r="W97" s="238">
        <v>3.85E-2</v>
      </c>
      <c r="X97" s="358">
        <v>10</v>
      </c>
      <c r="AF97" s="238"/>
    </row>
    <row r="98" spans="2:32" x14ac:dyDescent="0.25">
      <c r="B98" t="s">
        <v>363</v>
      </c>
      <c r="C98" s="128">
        <v>35668208.347973667</v>
      </c>
      <c r="D98" s="128">
        <v>32481609.347973667</v>
      </c>
      <c r="E98" s="128">
        <v>676616</v>
      </c>
      <c r="F98" s="128">
        <v>0</v>
      </c>
      <c r="G98" s="128">
        <v>1990201</v>
      </c>
      <c r="H98" s="128">
        <v>519782</v>
      </c>
      <c r="I98" s="128">
        <v>5004850</v>
      </c>
      <c r="L98" s="128">
        <f t="shared" si="2"/>
        <v>446941.65202633291</v>
      </c>
      <c r="M98" s="128">
        <v>41120</v>
      </c>
      <c r="N98" s="128">
        <v>145</v>
      </c>
      <c r="O98" s="128">
        <v>383</v>
      </c>
      <c r="P98" s="128">
        <v>300</v>
      </c>
      <c r="Q98" s="128">
        <v>2782</v>
      </c>
      <c r="R98" s="128">
        <v>59039</v>
      </c>
      <c r="S98" s="128">
        <v>58240</v>
      </c>
      <c r="T98" s="128">
        <v>52336</v>
      </c>
      <c r="U98" s="128">
        <v>51882</v>
      </c>
      <c r="V98" s="188">
        <f t="shared" si="3"/>
        <v>0.69648876166601736</v>
      </c>
      <c r="W98" s="238">
        <v>4.1599999999999998E-2</v>
      </c>
      <c r="X98" s="358">
        <v>7.5</v>
      </c>
      <c r="AF98" s="238"/>
    </row>
    <row r="99" spans="2:32" x14ac:dyDescent="0.25">
      <c r="B99" t="s">
        <v>364</v>
      </c>
      <c r="C99" s="128">
        <v>64637133.81779772</v>
      </c>
      <c r="D99" s="128">
        <v>60156020.81779772</v>
      </c>
      <c r="E99" s="128">
        <v>2035615</v>
      </c>
      <c r="F99" s="128">
        <v>0</v>
      </c>
      <c r="G99" s="128">
        <v>1805317</v>
      </c>
      <c r="H99" s="128">
        <v>640181</v>
      </c>
      <c r="I99" s="128">
        <v>10274556</v>
      </c>
      <c r="L99" s="128">
        <f t="shared" si="2"/>
        <v>0</v>
      </c>
      <c r="M99" s="128">
        <v>70482</v>
      </c>
      <c r="N99" s="128">
        <v>75</v>
      </c>
      <c r="O99" s="128">
        <v>2099</v>
      </c>
      <c r="P99" s="128">
        <v>42</v>
      </c>
      <c r="Q99" s="128">
        <v>19145</v>
      </c>
      <c r="R99" s="128">
        <v>112676</v>
      </c>
      <c r="S99" s="128">
        <v>110664</v>
      </c>
      <c r="T99" s="128">
        <v>113244</v>
      </c>
      <c r="U99" s="128">
        <v>114320</v>
      </c>
      <c r="V99" s="188">
        <f t="shared" si="3"/>
        <v>0.62552806276403139</v>
      </c>
      <c r="W99" s="238">
        <v>3.6999999999999998E-2</v>
      </c>
      <c r="X99" s="358">
        <v>8</v>
      </c>
      <c r="AF99" s="238"/>
    </row>
    <row r="100" spans="2:32" x14ac:dyDescent="0.25">
      <c r="B100" t="s">
        <v>365</v>
      </c>
      <c r="C100" s="128">
        <v>51289987.291595466</v>
      </c>
      <c r="D100" s="128">
        <v>45873259.291595466</v>
      </c>
      <c r="E100" s="128">
        <v>346789</v>
      </c>
      <c r="F100" s="128">
        <v>0</v>
      </c>
      <c r="G100" s="128">
        <v>4563976</v>
      </c>
      <c r="H100" s="128">
        <v>505963</v>
      </c>
      <c r="I100" s="128">
        <v>5981751</v>
      </c>
      <c r="L100" s="128">
        <f t="shared" si="2"/>
        <v>640261.70840453357</v>
      </c>
      <c r="M100" s="128">
        <v>57912</v>
      </c>
      <c r="N100" s="128">
        <v>35</v>
      </c>
      <c r="O100" s="128">
        <v>525</v>
      </c>
      <c r="P100" s="128">
        <v>68</v>
      </c>
      <c r="Q100" s="128">
        <v>2022</v>
      </c>
      <c r="R100" s="128">
        <v>83596</v>
      </c>
      <c r="S100" s="128">
        <v>81610</v>
      </c>
      <c r="T100" s="128">
        <v>76648</v>
      </c>
      <c r="U100" s="128">
        <v>75243</v>
      </c>
      <c r="V100" s="188">
        <f t="shared" si="3"/>
        <v>0.69276041915881148</v>
      </c>
      <c r="W100" s="238">
        <v>3.4799999999999998E-2</v>
      </c>
      <c r="X100" s="358">
        <v>9.5</v>
      </c>
      <c r="AF100" s="238"/>
    </row>
    <row r="101" spans="2:32" x14ac:dyDescent="0.25">
      <c r="B101" t="s">
        <v>405</v>
      </c>
      <c r="C101" s="128">
        <v>34658399.563591354</v>
      </c>
      <c r="D101" s="128">
        <v>29310301.563591354</v>
      </c>
      <c r="E101" s="128">
        <v>201092</v>
      </c>
      <c r="F101" s="128">
        <v>0</v>
      </c>
      <c r="G101" s="128">
        <v>4773106</v>
      </c>
      <c r="H101" s="128">
        <v>373900</v>
      </c>
      <c r="I101" s="128">
        <v>3857791</v>
      </c>
      <c r="L101" s="128">
        <f t="shared" si="2"/>
        <v>0</v>
      </c>
      <c r="M101" s="128">
        <v>35910</v>
      </c>
      <c r="N101" s="128">
        <v>30</v>
      </c>
      <c r="O101" s="128">
        <v>555</v>
      </c>
      <c r="P101" s="128">
        <v>154</v>
      </c>
      <c r="Q101" s="128">
        <v>112</v>
      </c>
      <c r="R101" s="128">
        <v>48938</v>
      </c>
      <c r="S101" s="128">
        <v>50170</v>
      </c>
      <c r="T101" s="128">
        <v>47970</v>
      </c>
      <c r="U101" s="128">
        <v>50706</v>
      </c>
      <c r="V101" s="188">
        <f t="shared" si="3"/>
        <v>0.73378560627733047</v>
      </c>
      <c r="W101" s="238">
        <v>4.7E-2</v>
      </c>
      <c r="X101" s="358">
        <v>5.5</v>
      </c>
      <c r="AF101" s="238"/>
    </row>
    <row r="102" spans="2:32" x14ac:dyDescent="0.25">
      <c r="B102" t="s">
        <v>366</v>
      </c>
      <c r="C102" s="128">
        <v>42625499.402660199</v>
      </c>
      <c r="D102" s="128">
        <v>39100372.402660199</v>
      </c>
      <c r="E102" s="128">
        <v>363795</v>
      </c>
      <c r="F102" s="128">
        <v>0</v>
      </c>
      <c r="G102" s="128">
        <v>1901576</v>
      </c>
      <c r="H102" s="128">
        <v>1259756</v>
      </c>
      <c r="I102" s="128">
        <v>6302162</v>
      </c>
      <c r="L102" s="128">
        <f t="shared" si="2"/>
        <v>1560338.5973398015</v>
      </c>
      <c r="M102" s="128">
        <v>50488</v>
      </c>
      <c r="N102" s="128">
        <v>2</v>
      </c>
      <c r="O102" s="128">
        <v>1191</v>
      </c>
      <c r="P102" s="128">
        <v>29</v>
      </c>
      <c r="Q102" s="128">
        <v>5389</v>
      </c>
      <c r="R102" s="128">
        <v>76771</v>
      </c>
      <c r="S102" s="128">
        <v>73854</v>
      </c>
      <c r="T102" s="128">
        <v>68912</v>
      </c>
      <c r="U102" s="128">
        <v>67486</v>
      </c>
      <c r="V102" s="188">
        <f t="shared" si="3"/>
        <v>0.65764416250928082</v>
      </c>
      <c r="W102" s="238">
        <v>3.2599999999999997E-2</v>
      </c>
      <c r="X102" s="358">
        <v>10</v>
      </c>
      <c r="AF102" s="238"/>
    </row>
    <row r="103" spans="2:32" x14ac:dyDescent="0.25">
      <c r="B103" t="s">
        <v>292</v>
      </c>
      <c r="C103" s="128">
        <v>84367922.539108738</v>
      </c>
      <c r="D103" s="128">
        <v>77581161.539108738</v>
      </c>
      <c r="E103" s="128">
        <v>742661</v>
      </c>
      <c r="F103" s="128">
        <v>0</v>
      </c>
      <c r="G103" s="128">
        <v>4996614</v>
      </c>
      <c r="H103" s="128">
        <v>1047486</v>
      </c>
      <c r="I103" s="128">
        <v>8889874</v>
      </c>
      <c r="L103" s="128">
        <f t="shared" si="2"/>
        <v>0</v>
      </c>
      <c r="M103" s="128">
        <v>92174</v>
      </c>
      <c r="N103" s="128">
        <v>532</v>
      </c>
      <c r="O103" s="128">
        <v>3272</v>
      </c>
      <c r="P103" s="128">
        <v>244</v>
      </c>
      <c r="Q103" s="128">
        <v>3434</v>
      </c>
      <c r="R103" s="128">
        <v>135294</v>
      </c>
      <c r="S103" s="128">
        <v>136216</v>
      </c>
      <c r="T103" s="128">
        <v>126744</v>
      </c>
      <c r="U103" s="128">
        <v>130623</v>
      </c>
      <c r="V103" s="188">
        <f t="shared" si="3"/>
        <v>0.68128667937972121</v>
      </c>
      <c r="W103" s="238">
        <v>4.0500000000000001E-2</v>
      </c>
      <c r="X103" s="358">
        <v>7</v>
      </c>
      <c r="AF103" s="238"/>
    </row>
    <row r="104" spans="2:32" x14ac:dyDescent="0.25">
      <c r="B104" t="s">
        <v>331</v>
      </c>
      <c r="C104" s="128">
        <v>78589714.866893858</v>
      </c>
      <c r="D104" s="128">
        <v>70668442.866893858</v>
      </c>
      <c r="E104" s="128">
        <v>731041</v>
      </c>
      <c r="F104" s="128">
        <v>0</v>
      </c>
      <c r="G104" s="128">
        <v>5803058</v>
      </c>
      <c r="H104" s="128">
        <v>1387173</v>
      </c>
      <c r="I104" s="128">
        <v>12807811</v>
      </c>
      <c r="L104" s="128">
        <f t="shared" si="2"/>
        <v>0</v>
      </c>
      <c r="M104" s="128">
        <v>86963</v>
      </c>
      <c r="N104" s="128">
        <v>1655</v>
      </c>
      <c r="O104" s="128">
        <v>1562</v>
      </c>
      <c r="P104" s="128">
        <v>279</v>
      </c>
      <c r="Q104" s="128">
        <v>5974</v>
      </c>
      <c r="R104" s="128">
        <v>140487</v>
      </c>
      <c r="S104" s="128">
        <v>141194</v>
      </c>
      <c r="T104" s="128">
        <v>127848</v>
      </c>
      <c r="U104" s="128">
        <v>129212</v>
      </c>
      <c r="V104" s="188">
        <f t="shared" si="3"/>
        <v>0.61901101169503225</v>
      </c>
      <c r="W104" s="238">
        <v>3.39E-2</v>
      </c>
      <c r="X104" s="358">
        <v>6.5</v>
      </c>
      <c r="AF104" s="238"/>
    </row>
    <row r="105" spans="2:32" x14ac:dyDescent="0.25">
      <c r="B105" t="s">
        <v>367</v>
      </c>
      <c r="C105" s="128">
        <v>39664843.420004636</v>
      </c>
      <c r="D105" s="128">
        <v>34589874.420004636</v>
      </c>
      <c r="E105" s="128">
        <v>2033295</v>
      </c>
      <c r="F105" s="128">
        <v>0</v>
      </c>
      <c r="G105" s="128">
        <v>2604632</v>
      </c>
      <c r="H105" s="128">
        <v>437042</v>
      </c>
      <c r="I105" s="128">
        <v>4465860</v>
      </c>
      <c r="L105" s="128">
        <f t="shared" si="2"/>
        <v>0</v>
      </c>
      <c r="M105" s="128">
        <v>41583</v>
      </c>
      <c r="N105" s="128">
        <v>70</v>
      </c>
      <c r="O105" s="128">
        <v>698</v>
      </c>
      <c r="P105" s="128">
        <v>26</v>
      </c>
      <c r="Q105" s="128">
        <v>2160</v>
      </c>
      <c r="R105" s="128">
        <v>61167</v>
      </c>
      <c r="S105" s="128">
        <v>61735</v>
      </c>
      <c r="T105" s="128">
        <v>59678</v>
      </c>
      <c r="U105" s="128">
        <v>61074</v>
      </c>
      <c r="V105" s="188">
        <f t="shared" si="3"/>
        <v>0.67982735788905779</v>
      </c>
      <c r="W105" s="238">
        <v>4.58E-2</v>
      </c>
      <c r="X105" s="358">
        <v>7</v>
      </c>
      <c r="AF105" s="238"/>
    </row>
    <row r="106" spans="2:32" x14ac:dyDescent="0.25">
      <c r="B106" t="s">
        <v>490</v>
      </c>
      <c r="C106" s="128">
        <v>83362329.391974822</v>
      </c>
      <c r="D106" s="128">
        <v>79550885.391974822</v>
      </c>
      <c r="E106" s="128">
        <v>1129953</v>
      </c>
      <c r="F106" s="128">
        <v>0</v>
      </c>
      <c r="G106" s="128">
        <v>1857803</v>
      </c>
      <c r="H106" s="128">
        <v>823688</v>
      </c>
      <c r="I106" s="128">
        <v>12755253</v>
      </c>
      <c r="L106" s="128">
        <f t="shared" si="2"/>
        <v>0</v>
      </c>
      <c r="M106" s="128">
        <v>95373</v>
      </c>
      <c r="N106" s="128">
        <v>409</v>
      </c>
      <c r="O106" s="128">
        <v>1670</v>
      </c>
      <c r="P106" s="128">
        <v>287</v>
      </c>
      <c r="Q106" s="128">
        <v>2735</v>
      </c>
      <c r="R106" s="128">
        <v>141685</v>
      </c>
      <c r="S106" s="128">
        <v>142514</v>
      </c>
      <c r="T106" s="128">
        <v>136996</v>
      </c>
      <c r="U106" s="128">
        <v>142300</v>
      </c>
      <c r="V106" s="188">
        <f t="shared" si="3"/>
        <v>0.67313406500335249</v>
      </c>
      <c r="W106" s="238">
        <v>3.2399999999999998E-2</v>
      </c>
      <c r="X106" s="358">
        <v>7</v>
      </c>
      <c r="AF106" s="238"/>
    </row>
    <row r="107" spans="2:32" x14ac:dyDescent="0.25">
      <c r="B107" t="s">
        <v>293</v>
      </c>
      <c r="C107" s="128">
        <v>80281554.963559061</v>
      </c>
      <c r="D107" s="128">
        <v>70786444.963559061</v>
      </c>
      <c r="E107" s="128">
        <v>893893</v>
      </c>
      <c r="F107" s="128">
        <v>0</v>
      </c>
      <c r="G107" s="128">
        <v>7336948</v>
      </c>
      <c r="H107" s="128">
        <v>1264269</v>
      </c>
      <c r="I107" s="128">
        <v>14418786</v>
      </c>
      <c r="L107" s="128">
        <f t="shared" si="2"/>
        <v>0</v>
      </c>
      <c r="M107" s="128">
        <v>90357</v>
      </c>
      <c r="N107" s="128">
        <v>894</v>
      </c>
      <c r="O107" s="128">
        <v>3224</v>
      </c>
      <c r="P107" s="128">
        <v>263</v>
      </c>
      <c r="Q107" s="128">
        <v>3826</v>
      </c>
      <c r="R107" s="128">
        <v>143735</v>
      </c>
      <c r="S107" s="128">
        <v>146615</v>
      </c>
      <c r="T107" s="128">
        <v>139521</v>
      </c>
      <c r="U107" s="128">
        <v>140197</v>
      </c>
      <c r="V107" s="188">
        <f t="shared" si="3"/>
        <v>0.62863603158590464</v>
      </c>
      <c r="W107" s="238">
        <v>3.15E-2</v>
      </c>
      <c r="X107" s="358">
        <v>8.5</v>
      </c>
      <c r="AF107" s="238"/>
    </row>
    <row r="108" spans="2:32" x14ac:dyDescent="0.25">
      <c r="B108" t="s">
        <v>294</v>
      </c>
      <c r="C108" s="128">
        <v>175096274.51613387</v>
      </c>
      <c r="D108" s="128">
        <v>140127636.51613387</v>
      </c>
      <c r="E108" s="128">
        <v>3622665</v>
      </c>
      <c r="F108" s="128">
        <v>14882738</v>
      </c>
      <c r="G108" s="128">
        <v>10071839</v>
      </c>
      <c r="H108" s="128">
        <v>6391396</v>
      </c>
      <c r="I108" s="128">
        <v>27019179</v>
      </c>
      <c r="L108" s="128">
        <f t="shared" si="2"/>
        <v>0</v>
      </c>
      <c r="M108" s="128">
        <v>198273</v>
      </c>
      <c r="N108" s="128">
        <v>1095</v>
      </c>
      <c r="O108" s="128">
        <v>6913</v>
      </c>
      <c r="P108" s="128">
        <v>100</v>
      </c>
      <c r="Q108" s="128">
        <v>9972</v>
      </c>
      <c r="R108" s="128">
        <v>284017</v>
      </c>
      <c r="S108" s="128">
        <v>292423</v>
      </c>
      <c r="T108" s="128">
        <v>279655</v>
      </c>
      <c r="U108" s="128">
        <v>294369</v>
      </c>
      <c r="V108" s="188">
        <f t="shared" si="3"/>
        <v>0.69810257836678791</v>
      </c>
      <c r="W108" s="238">
        <v>3.6299999999999999E-2</v>
      </c>
      <c r="X108" s="358">
        <v>6.5</v>
      </c>
      <c r="AF108" s="238"/>
    </row>
    <row r="109" spans="2:32" x14ac:dyDescent="0.25">
      <c r="B109" t="s">
        <v>121</v>
      </c>
      <c r="C109" s="128">
        <v>605977470.1554836</v>
      </c>
      <c r="D109" s="128">
        <v>465531846.1554836</v>
      </c>
      <c r="E109" s="128">
        <v>15443228</v>
      </c>
      <c r="F109" s="128">
        <v>64268097</v>
      </c>
      <c r="G109" s="128">
        <v>29431018</v>
      </c>
      <c r="H109" s="128">
        <v>31303281</v>
      </c>
      <c r="I109" s="128">
        <v>165414500</v>
      </c>
      <c r="L109" s="128">
        <f t="shared" si="2"/>
        <v>2429029.8445163965</v>
      </c>
      <c r="M109" s="128">
        <v>773821</v>
      </c>
      <c r="N109" s="128">
        <v>2150</v>
      </c>
      <c r="O109" s="128">
        <v>20430</v>
      </c>
      <c r="P109" s="128">
        <v>1648</v>
      </c>
      <c r="Q109" s="128">
        <v>1243</v>
      </c>
      <c r="R109" s="128">
        <v>1082150</v>
      </c>
      <c r="S109" s="128">
        <v>1081946</v>
      </c>
      <c r="T109" s="128">
        <v>1014719</v>
      </c>
      <c r="U109" s="128">
        <v>1038490</v>
      </c>
      <c r="V109" s="188">
        <f t="shared" si="3"/>
        <v>0.71507739222843414</v>
      </c>
      <c r="W109" s="238">
        <v>2.6700000000000002E-2</v>
      </c>
      <c r="X109" s="358">
        <v>7.5</v>
      </c>
      <c r="AF109" s="238"/>
    </row>
    <row r="110" spans="2:32" x14ac:dyDescent="0.25">
      <c r="B110" t="s">
        <v>406</v>
      </c>
      <c r="C110" s="128">
        <v>24423484.602476481</v>
      </c>
      <c r="D110" s="128">
        <v>22105543.602476481</v>
      </c>
      <c r="E110" s="128">
        <v>78681</v>
      </c>
      <c r="F110" s="128">
        <v>0</v>
      </c>
      <c r="G110" s="128">
        <v>1982724</v>
      </c>
      <c r="H110" s="128">
        <v>256536</v>
      </c>
      <c r="I110" s="128">
        <v>0</v>
      </c>
      <c r="L110" s="128">
        <f t="shared" si="2"/>
        <v>2458515.3975235187</v>
      </c>
      <c r="M110" s="128">
        <v>26882</v>
      </c>
      <c r="N110" s="128">
        <v>4</v>
      </c>
      <c r="O110" s="128">
        <v>251</v>
      </c>
      <c r="P110" s="128">
        <v>281</v>
      </c>
      <c r="Q110" s="128">
        <v>0</v>
      </c>
      <c r="R110" s="128">
        <v>38478</v>
      </c>
      <c r="S110" s="128">
        <v>38786</v>
      </c>
      <c r="T110" s="128">
        <v>35868</v>
      </c>
      <c r="U110" s="128">
        <v>36748</v>
      </c>
      <c r="V110" s="188">
        <f t="shared" si="3"/>
        <v>0.69863298508238469</v>
      </c>
      <c r="W110" s="238">
        <v>4.6399999999999997E-2</v>
      </c>
      <c r="X110" s="358">
        <v>5</v>
      </c>
      <c r="AF110" s="238"/>
    </row>
    <row r="111" spans="2:32" x14ac:dyDescent="0.25">
      <c r="B111" t="s">
        <v>147</v>
      </c>
      <c r="C111" s="128">
        <v>40401271.005382173</v>
      </c>
      <c r="D111" s="128">
        <v>37162020.005382173</v>
      </c>
      <c r="E111" s="128">
        <v>662142</v>
      </c>
      <c r="F111" s="128">
        <v>0</v>
      </c>
      <c r="G111" s="128">
        <v>2242319</v>
      </c>
      <c r="H111" s="128">
        <v>334790</v>
      </c>
      <c r="I111" s="128">
        <v>5073898</v>
      </c>
      <c r="L111" s="128">
        <f t="shared" si="2"/>
        <v>0</v>
      </c>
      <c r="M111" s="128">
        <v>45098</v>
      </c>
      <c r="N111" s="128">
        <v>11</v>
      </c>
      <c r="O111" s="128">
        <v>614</v>
      </c>
      <c r="P111" s="128">
        <v>359</v>
      </c>
      <c r="Q111" s="128">
        <v>248</v>
      </c>
      <c r="R111" s="128">
        <v>63222</v>
      </c>
      <c r="S111" s="128">
        <v>62340</v>
      </c>
      <c r="T111" s="128">
        <v>59845</v>
      </c>
      <c r="U111" s="128">
        <v>58984</v>
      </c>
      <c r="V111" s="188">
        <f t="shared" si="3"/>
        <v>0.71332763911296704</v>
      </c>
      <c r="W111" s="238">
        <v>3.5400000000000001E-2</v>
      </c>
      <c r="X111" s="358">
        <v>9</v>
      </c>
      <c r="AF111" s="238"/>
    </row>
    <row r="112" spans="2:32" x14ac:dyDescent="0.25">
      <c r="B112" t="s">
        <v>252</v>
      </c>
      <c r="C112" s="128">
        <v>360800044.19653946</v>
      </c>
      <c r="D112" s="128">
        <v>281425188.19653946</v>
      </c>
      <c r="E112" s="128">
        <v>6154658</v>
      </c>
      <c r="F112" s="128">
        <v>38987670</v>
      </c>
      <c r="G112" s="128">
        <v>16370499</v>
      </c>
      <c r="H112" s="128">
        <v>17862029</v>
      </c>
      <c r="I112" s="243">
        <v>58619867</v>
      </c>
      <c r="L112" s="128">
        <f t="shared" si="2"/>
        <v>0</v>
      </c>
      <c r="M112" s="243">
        <v>415344</v>
      </c>
      <c r="N112" s="243">
        <v>3119</v>
      </c>
      <c r="O112" s="243">
        <v>20282</v>
      </c>
      <c r="P112" s="243">
        <v>964</v>
      </c>
      <c r="Q112" s="243">
        <v>11323</v>
      </c>
      <c r="R112" s="243">
        <v>611626</v>
      </c>
      <c r="S112" s="243">
        <v>598728</v>
      </c>
      <c r="T112" s="128">
        <v>582245</v>
      </c>
      <c r="U112" s="128">
        <v>585386</v>
      </c>
      <c r="V112" s="188">
        <f t="shared" si="3"/>
        <v>0.67908166101506473</v>
      </c>
      <c r="W112" s="238">
        <v>2.6700000000000002E-2</v>
      </c>
      <c r="X112" s="358">
        <v>9</v>
      </c>
      <c r="AF112" s="238"/>
    </row>
    <row r="113" spans="2:32" x14ac:dyDescent="0.25">
      <c r="B113" t="s">
        <v>253</v>
      </c>
      <c r="C113" s="128">
        <v>219543405.88322836</v>
      </c>
      <c r="D113" s="128">
        <v>204618364.88322836</v>
      </c>
      <c r="E113" s="128">
        <v>5157688</v>
      </c>
      <c r="F113" s="128">
        <v>0</v>
      </c>
      <c r="G113" s="128">
        <v>6009226</v>
      </c>
      <c r="H113" s="128">
        <v>3758127</v>
      </c>
      <c r="I113" s="128">
        <v>32171820</v>
      </c>
      <c r="L113" s="128">
        <f t="shared" si="2"/>
        <v>0</v>
      </c>
      <c r="M113" s="128">
        <v>245866</v>
      </c>
      <c r="N113" s="128">
        <v>1455</v>
      </c>
      <c r="O113" s="128">
        <v>16342</v>
      </c>
      <c r="P113" s="128">
        <v>1081</v>
      </c>
      <c r="Q113" s="128">
        <v>55348</v>
      </c>
      <c r="R113" s="128">
        <v>498653</v>
      </c>
      <c r="S113" s="128">
        <v>499363</v>
      </c>
      <c r="T113" s="128">
        <v>459070</v>
      </c>
      <c r="U113" s="128">
        <v>461379</v>
      </c>
      <c r="V113" s="188">
        <f t="shared" si="3"/>
        <v>0.49306030446021581</v>
      </c>
      <c r="W113" s="238">
        <v>2.87E-2</v>
      </c>
      <c r="X113" s="358">
        <v>7.5</v>
      </c>
      <c r="AF113" s="238"/>
    </row>
    <row r="114" spans="2:32" x14ac:dyDescent="0.25">
      <c r="B114" t="s">
        <v>370</v>
      </c>
      <c r="C114" s="128">
        <v>51575598.67535685</v>
      </c>
      <c r="D114" s="128">
        <v>45173912.67535685</v>
      </c>
      <c r="E114" s="128">
        <v>871239</v>
      </c>
      <c r="F114" s="128">
        <v>0</v>
      </c>
      <c r="G114" s="128">
        <v>4958819</v>
      </c>
      <c r="H114" s="128">
        <v>571628</v>
      </c>
      <c r="I114" s="243">
        <v>7142442</v>
      </c>
      <c r="L114" s="128">
        <f t="shared" si="2"/>
        <v>1242959.32464315</v>
      </c>
      <c r="M114" s="128">
        <v>59961</v>
      </c>
      <c r="N114" s="128">
        <v>23</v>
      </c>
      <c r="O114" s="128">
        <v>409</v>
      </c>
      <c r="P114" s="128">
        <v>2383</v>
      </c>
      <c r="Q114" s="128">
        <v>9023</v>
      </c>
      <c r="R114" s="128">
        <v>90225</v>
      </c>
      <c r="S114" s="128">
        <v>86852</v>
      </c>
      <c r="T114" s="128">
        <v>81662</v>
      </c>
      <c r="U114" s="128">
        <v>81612</v>
      </c>
      <c r="V114" s="188">
        <f t="shared" si="3"/>
        <v>0.66457190357439733</v>
      </c>
      <c r="W114" s="238">
        <v>3.4500000000000003E-2</v>
      </c>
      <c r="X114" s="358">
        <v>8.5</v>
      </c>
      <c r="AF114" s="238"/>
    </row>
    <row r="115" spans="2:32" x14ac:dyDescent="0.25">
      <c r="B115" t="s">
        <v>148</v>
      </c>
      <c r="C115" s="128">
        <v>109868525.90193228</v>
      </c>
      <c r="D115" s="128">
        <v>96921585.901932284</v>
      </c>
      <c r="E115" s="128">
        <v>2967775</v>
      </c>
      <c r="F115" s="128">
        <v>0</v>
      </c>
      <c r="G115" s="128">
        <v>8724118</v>
      </c>
      <c r="H115" s="128">
        <v>1255047</v>
      </c>
      <c r="I115" s="128">
        <v>12947570</v>
      </c>
      <c r="L115" s="128">
        <f t="shared" si="2"/>
        <v>0</v>
      </c>
      <c r="M115" s="128">
        <v>120180</v>
      </c>
      <c r="N115" s="128">
        <v>81</v>
      </c>
      <c r="O115" s="128">
        <v>2092</v>
      </c>
      <c r="P115" s="128">
        <v>2258</v>
      </c>
      <c r="Q115" s="128">
        <v>15306</v>
      </c>
      <c r="R115" s="128">
        <v>188678</v>
      </c>
      <c r="S115" s="128">
        <v>189984</v>
      </c>
      <c r="T115" s="128">
        <v>177341</v>
      </c>
      <c r="U115" s="128">
        <v>187265</v>
      </c>
      <c r="V115" s="188">
        <f t="shared" si="3"/>
        <v>0.63695820392414593</v>
      </c>
      <c r="W115" s="238">
        <v>4.0800000000000003E-2</v>
      </c>
      <c r="X115" s="358">
        <v>8</v>
      </c>
      <c r="AF115" s="238"/>
    </row>
    <row r="116" spans="2:32" x14ac:dyDescent="0.25">
      <c r="B116" t="s">
        <v>183</v>
      </c>
      <c r="C116" s="128">
        <v>88048854.953309402</v>
      </c>
      <c r="D116" s="128">
        <v>80505743.953309402</v>
      </c>
      <c r="E116" s="128">
        <v>1377741</v>
      </c>
      <c r="F116" s="128">
        <v>0</v>
      </c>
      <c r="G116" s="128">
        <v>5099142</v>
      </c>
      <c r="H116" s="128">
        <v>1066228</v>
      </c>
      <c r="I116" s="128">
        <v>13084254</v>
      </c>
      <c r="L116" s="128">
        <f t="shared" si="2"/>
        <v>1131891.0466905981</v>
      </c>
      <c r="M116" s="128">
        <v>102265</v>
      </c>
      <c r="N116" s="128">
        <v>902</v>
      </c>
      <c r="O116" s="128">
        <v>2047</v>
      </c>
      <c r="P116" s="128">
        <v>510</v>
      </c>
      <c r="Q116" s="128">
        <v>12679</v>
      </c>
      <c r="R116" s="128">
        <v>178980</v>
      </c>
      <c r="S116" s="128">
        <v>180228</v>
      </c>
      <c r="T116" s="128">
        <v>156303</v>
      </c>
      <c r="U116" s="128">
        <v>161431</v>
      </c>
      <c r="V116" s="188">
        <f t="shared" si="3"/>
        <v>0.57137669013297576</v>
      </c>
      <c r="W116" s="238">
        <v>3.9699999999999999E-2</v>
      </c>
      <c r="X116" s="358">
        <v>7.5</v>
      </c>
      <c r="AF116" s="238"/>
    </row>
    <row r="117" spans="2:32" x14ac:dyDescent="0.25">
      <c r="B117" t="s">
        <v>295</v>
      </c>
      <c r="C117" s="128">
        <v>26813450.716560818</v>
      </c>
      <c r="D117" s="128">
        <v>25709666.716560818</v>
      </c>
      <c r="E117" s="128">
        <v>504564</v>
      </c>
      <c r="F117" s="128">
        <v>0</v>
      </c>
      <c r="G117" s="128">
        <v>141107</v>
      </c>
      <c r="H117" s="128">
        <v>458113</v>
      </c>
      <c r="I117" s="128">
        <v>2449461</v>
      </c>
      <c r="L117" s="128">
        <f t="shared" si="2"/>
        <v>0</v>
      </c>
      <c r="M117" s="128">
        <v>28720</v>
      </c>
      <c r="N117" s="128">
        <v>245</v>
      </c>
      <c r="O117" s="128">
        <v>583</v>
      </c>
      <c r="P117" s="128">
        <v>110</v>
      </c>
      <c r="Q117" s="128">
        <v>8249</v>
      </c>
      <c r="R117" s="128">
        <v>48036</v>
      </c>
      <c r="S117" s="128">
        <v>49746</v>
      </c>
      <c r="T117" s="128">
        <v>40679</v>
      </c>
      <c r="U117" s="128">
        <v>42034</v>
      </c>
      <c r="V117" s="188">
        <f t="shared" si="3"/>
        <v>0.59788491964360069</v>
      </c>
      <c r="W117" s="238">
        <v>5.6899999999999999E-2</v>
      </c>
      <c r="X117" s="358">
        <v>7</v>
      </c>
      <c r="AF117" s="238"/>
    </row>
    <row r="118" spans="2:32" x14ac:dyDescent="0.25">
      <c r="B118" t="s">
        <v>130</v>
      </c>
      <c r="C118" s="128">
        <v>35567091.397649422</v>
      </c>
      <c r="D118" s="128">
        <v>32277544.397649426</v>
      </c>
      <c r="E118" s="128">
        <v>571560</v>
      </c>
      <c r="F118" s="128">
        <v>0</v>
      </c>
      <c r="G118" s="128">
        <v>2039921</v>
      </c>
      <c r="H118" s="128">
        <v>678066</v>
      </c>
      <c r="I118" s="128">
        <v>8174309</v>
      </c>
      <c r="L118" s="128">
        <f t="shared" si="2"/>
        <v>0</v>
      </c>
      <c r="M118" s="128">
        <v>42793</v>
      </c>
      <c r="N118" s="128">
        <v>543</v>
      </c>
      <c r="O118" s="128">
        <v>817</v>
      </c>
      <c r="P118" s="128">
        <v>937</v>
      </c>
      <c r="Q118" s="128">
        <v>0</v>
      </c>
      <c r="R118" s="128">
        <v>60444</v>
      </c>
      <c r="S118" s="128">
        <v>60889</v>
      </c>
      <c r="T118" s="128">
        <v>54657</v>
      </c>
      <c r="U118" s="128">
        <v>55733</v>
      </c>
      <c r="V118" s="188">
        <f t="shared" si="3"/>
        <v>0.70797763218847198</v>
      </c>
      <c r="W118" s="238">
        <v>2.7699999999999999E-2</v>
      </c>
      <c r="X118" s="358">
        <v>8.5</v>
      </c>
      <c r="AF118" s="238"/>
    </row>
    <row r="119" spans="2:32" x14ac:dyDescent="0.25">
      <c r="B119" t="s">
        <v>184</v>
      </c>
      <c r="C119" s="128">
        <v>17952193.824580513</v>
      </c>
      <c r="D119" s="128">
        <v>16752775.824580511</v>
      </c>
      <c r="E119" s="128">
        <v>137245</v>
      </c>
      <c r="F119" s="128">
        <v>0</v>
      </c>
      <c r="G119" s="128">
        <v>755662</v>
      </c>
      <c r="H119" s="128">
        <v>306511</v>
      </c>
      <c r="I119" s="128">
        <v>0</v>
      </c>
      <c r="L119" s="128">
        <f t="shared" si="2"/>
        <v>1940806.1754194871</v>
      </c>
      <c r="M119" s="128">
        <v>19893</v>
      </c>
      <c r="N119" s="128">
        <v>32</v>
      </c>
      <c r="O119" s="128">
        <v>270</v>
      </c>
      <c r="P119" s="128">
        <v>162</v>
      </c>
      <c r="Q119" s="128">
        <v>15</v>
      </c>
      <c r="R119" s="128">
        <v>29567</v>
      </c>
      <c r="S119" s="128">
        <v>29315</v>
      </c>
      <c r="T119" s="128">
        <v>27625</v>
      </c>
      <c r="U119" s="128">
        <v>27707</v>
      </c>
      <c r="V119" s="188">
        <f t="shared" si="3"/>
        <v>0.67281090404843236</v>
      </c>
      <c r="W119" s="238">
        <v>4.8399999999999999E-2</v>
      </c>
      <c r="X119" s="358">
        <v>8.5</v>
      </c>
      <c r="AF119" s="238"/>
    </row>
    <row r="120" spans="2:32" x14ac:dyDescent="0.25">
      <c r="B120" t="s">
        <v>254</v>
      </c>
      <c r="C120" s="128">
        <v>68787492.247019708</v>
      </c>
      <c r="D120" s="128">
        <v>62394015.247019716</v>
      </c>
      <c r="E120" s="128">
        <v>1711370</v>
      </c>
      <c r="F120" s="128">
        <v>0</v>
      </c>
      <c r="G120" s="128">
        <v>4019095</v>
      </c>
      <c r="H120" s="128">
        <v>663012</v>
      </c>
      <c r="I120" s="128">
        <v>11836532</v>
      </c>
      <c r="L120" s="128">
        <f t="shared" si="2"/>
        <v>2339975.7529802918</v>
      </c>
      <c r="M120" s="128">
        <v>82964</v>
      </c>
      <c r="N120" s="128">
        <v>257</v>
      </c>
      <c r="O120" s="128">
        <v>798</v>
      </c>
      <c r="P120" s="128">
        <v>156</v>
      </c>
      <c r="Q120" s="128">
        <v>918</v>
      </c>
      <c r="R120" s="128">
        <v>104197</v>
      </c>
      <c r="S120" s="128">
        <v>107064</v>
      </c>
      <c r="T120" s="128">
        <v>101525</v>
      </c>
      <c r="U120" s="128">
        <v>102845</v>
      </c>
      <c r="V120" s="188">
        <f t="shared" si="3"/>
        <v>0.79622253999635306</v>
      </c>
      <c r="W120" s="238">
        <v>5.0299999999999997E-2</v>
      </c>
      <c r="X120" s="358">
        <v>6.5</v>
      </c>
      <c r="AF120" s="238"/>
    </row>
    <row r="121" spans="2:32" x14ac:dyDescent="0.25">
      <c r="B121" t="s">
        <v>255</v>
      </c>
      <c r="C121" s="128">
        <v>36762131.212010115</v>
      </c>
      <c r="D121" s="128">
        <v>34234070.212010115</v>
      </c>
      <c r="E121" s="128">
        <v>786875</v>
      </c>
      <c r="F121" s="128">
        <v>0</v>
      </c>
      <c r="G121" s="128">
        <v>1414077</v>
      </c>
      <c r="H121" s="128">
        <v>327109</v>
      </c>
      <c r="I121" s="128">
        <v>3771597</v>
      </c>
      <c r="L121" s="128">
        <f t="shared" si="2"/>
        <v>0</v>
      </c>
      <c r="M121" s="128">
        <v>39497</v>
      </c>
      <c r="N121" s="128">
        <v>167</v>
      </c>
      <c r="O121" s="128">
        <v>1223</v>
      </c>
      <c r="P121" s="128">
        <v>625</v>
      </c>
      <c r="Q121" s="128">
        <v>0</v>
      </c>
      <c r="R121" s="128">
        <v>63993</v>
      </c>
      <c r="S121" s="128">
        <v>64419</v>
      </c>
      <c r="T121" s="128">
        <v>58384</v>
      </c>
      <c r="U121" s="128">
        <v>58925</v>
      </c>
      <c r="V121" s="188">
        <f t="shared" si="3"/>
        <v>0.6172081321394528</v>
      </c>
      <c r="W121" s="238">
        <v>4.0899999999999999E-2</v>
      </c>
      <c r="X121" s="358">
        <v>8</v>
      </c>
      <c r="AF121" s="238"/>
    </row>
    <row r="122" spans="2:32" x14ac:dyDescent="0.25">
      <c r="B122" t="s">
        <v>185</v>
      </c>
      <c r="C122" s="128">
        <v>31816081.574962839</v>
      </c>
      <c r="D122" s="128">
        <v>27309266.574962839</v>
      </c>
      <c r="E122" s="128">
        <v>1981368</v>
      </c>
      <c r="F122" s="128">
        <v>0</v>
      </c>
      <c r="G122" s="128">
        <v>2169291</v>
      </c>
      <c r="H122" s="128">
        <v>356156</v>
      </c>
      <c r="I122" s="128">
        <v>2878006</v>
      </c>
      <c r="L122" s="128">
        <f t="shared" si="2"/>
        <v>0</v>
      </c>
      <c r="M122" s="128">
        <v>33817</v>
      </c>
      <c r="N122" s="128">
        <v>175</v>
      </c>
      <c r="O122" s="128">
        <v>838</v>
      </c>
      <c r="P122" s="128">
        <v>152</v>
      </c>
      <c r="Q122" s="128">
        <v>362</v>
      </c>
      <c r="R122" s="128">
        <v>46654</v>
      </c>
      <c r="S122" s="128">
        <v>47426</v>
      </c>
      <c r="T122" s="128">
        <v>46863</v>
      </c>
      <c r="U122" s="128">
        <v>46888</v>
      </c>
      <c r="V122" s="188">
        <f t="shared" si="3"/>
        <v>0.72484674411626016</v>
      </c>
      <c r="W122" s="238">
        <v>4.8099999999999997E-2</v>
      </c>
      <c r="X122" s="358">
        <v>7.5</v>
      </c>
      <c r="AF122" s="238"/>
    </row>
    <row r="123" spans="2:32" x14ac:dyDescent="0.25">
      <c r="B123" t="s">
        <v>131</v>
      </c>
      <c r="C123" s="128">
        <v>101085439.98814918</v>
      </c>
      <c r="D123" s="128">
        <v>90463644.988149181</v>
      </c>
      <c r="E123" s="128">
        <v>1926045</v>
      </c>
      <c r="F123" s="128">
        <v>0</v>
      </c>
      <c r="G123" s="128">
        <v>7783853</v>
      </c>
      <c r="H123" s="128">
        <v>911897</v>
      </c>
      <c r="I123" s="243">
        <v>20189760</v>
      </c>
      <c r="L123" s="128">
        <f t="shared" si="2"/>
        <v>0</v>
      </c>
      <c r="M123" s="128">
        <v>120691</v>
      </c>
      <c r="N123" s="128">
        <v>263</v>
      </c>
      <c r="O123" s="128">
        <v>1349</v>
      </c>
      <c r="P123" s="128">
        <v>236</v>
      </c>
      <c r="Q123" s="128">
        <v>9221</v>
      </c>
      <c r="R123" s="128">
        <v>178427</v>
      </c>
      <c r="S123" s="128">
        <v>181594</v>
      </c>
      <c r="T123" s="128">
        <v>159965</v>
      </c>
      <c r="U123" s="128">
        <v>158648</v>
      </c>
      <c r="V123" s="188">
        <f t="shared" si="3"/>
        <v>0.67641668581548753</v>
      </c>
      <c r="W123" s="238">
        <v>4.1599999999999998E-2</v>
      </c>
      <c r="X123" s="358">
        <v>7.5</v>
      </c>
      <c r="AF123" s="238"/>
    </row>
    <row r="124" spans="2:32" x14ac:dyDescent="0.25">
      <c r="B124" t="s">
        <v>407</v>
      </c>
      <c r="C124" s="128">
        <v>276573732.09592664</v>
      </c>
      <c r="D124" s="128">
        <v>203082435.09592664</v>
      </c>
      <c r="E124" s="128">
        <v>5272491</v>
      </c>
      <c r="F124" s="128">
        <v>28034326</v>
      </c>
      <c r="G124" s="128">
        <v>28057968</v>
      </c>
      <c r="H124" s="128">
        <v>12126512</v>
      </c>
      <c r="I124" s="128">
        <v>64476874</v>
      </c>
      <c r="L124" s="128">
        <f t="shared" si="2"/>
        <v>8123393.9040733576</v>
      </c>
      <c r="M124" s="128">
        <v>349174</v>
      </c>
      <c r="N124" s="128">
        <v>116</v>
      </c>
      <c r="O124" s="128">
        <v>3635</v>
      </c>
      <c r="P124" s="128">
        <v>925</v>
      </c>
      <c r="Q124" s="128">
        <v>37</v>
      </c>
      <c r="R124" s="128">
        <v>424894</v>
      </c>
      <c r="S124" s="128">
        <v>426201</v>
      </c>
      <c r="T124" s="128">
        <v>398913</v>
      </c>
      <c r="U124" s="128">
        <v>397610</v>
      </c>
      <c r="V124" s="188">
        <f t="shared" si="3"/>
        <v>0.82179084665822533</v>
      </c>
      <c r="W124" s="238">
        <v>3.9100000000000003E-2</v>
      </c>
      <c r="X124" s="358">
        <v>5.5</v>
      </c>
      <c r="AF124" s="238"/>
    </row>
    <row r="125" spans="2:32" x14ac:dyDescent="0.25">
      <c r="B125" t="s">
        <v>371</v>
      </c>
      <c r="C125" s="128">
        <v>23852645.156917743</v>
      </c>
      <c r="D125" s="128">
        <v>22210300.156917743</v>
      </c>
      <c r="E125" s="128">
        <v>293638</v>
      </c>
      <c r="F125" s="128">
        <v>0</v>
      </c>
      <c r="G125" s="128">
        <v>1044787</v>
      </c>
      <c r="H125" s="128">
        <v>303920</v>
      </c>
      <c r="I125" s="128">
        <v>1817015</v>
      </c>
      <c r="L125" s="128">
        <f t="shared" si="2"/>
        <v>0</v>
      </c>
      <c r="M125" s="128">
        <v>25596</v>
      </c>
      <c r="N125" s="128">
        <v>15</v>
      </c>
      <c r="O125" s="128">
        <v>484</v>
      </c>
      <c r="P125" s="128">
        <v>10</v>
      </c>
      <c r="Q125" s="128">
        <v>131</v>
      </c>
      <c r="R125" s="128">
        <v>35841</v>
      </c>
      <c r="S125" s="128">
        <v>35725</v>
      </c>
      <c r="T125" s="128">
        <v>34363</v>
      </c>
      <c r="U125" s="128">
        <v>35449</v>
      </c>
      <c r="V125" s="188">
        <f t="shared" si="3"/>
        <v>0.71415418096593286</v>
      </c>
      <c r="W125" s="238">
        <v>4.41E-2</v>
      </c>
      <c r="X125" s="358">
        <v>8.5</v>
      </c>
      <c r="AF125" s="238"/>
    </row>
    <row r="126" spans="2:32" x14ac:dyDescent="0.25">
      <c r="B126" t="s">
        <v>257</v>
      </c>
      <c r="C126" s="128">
        <v>32300002.528462429</v>
      </c>
      <c r="D126" s="128">
        <v>30463673.528462429</v>
      </c>
      <c r="E126" s="128">
        <v>302536</v>
      </c>
      <c r="F126" s="128">
        <v>0</v>
      </c>
      <c r="G126" s="128">
        <v>1164883</v>
      </c>
      <c r="H126" s="128">
        <v>368910</v>
      </c>
      <c r="I126" s="128">
        <v>3770243</v>
      </c>
      <c r="L126" s="128">
        <f t="shared" si="2"/>
        <v>136754.4715375714</v>
      </c>
      <c r="M126" s="128">
        <v>36207</v>
      </c>
      <c r="N126" s="128">
        <v>23</v>
      </c>
      <c r="O126" s="128">
        <v>916</v>
      </c>
      <c r="P126" s="128">
        <v>150</v>
      </c>
      <c r="Q126" s="128">
        <v>4216</v>
      </c>
      <c r="R126" s="128">
        <v>57643</v>
      </c>
      <c r="S126" s="128">
        <v>57154</v>
      </c>
      <c r="T126" s="128">
        <v>58530</v>
      </c>
      <c r="U126" s="128">
        <v>56794</v>
      </c>
      <c r="V126" s="188">
        <f t="shared" si="3"/>
        <v>0.62812483736099789</v>
      </c>
      <c r="W126" s="238">
        <v>3.61E-2</v>
      </c>
      <c r="X126" s="358">
        <v>9</v>
      </c>
      <c r="AF126" s="238"/>
    </row>
    <row r="127" spans="2:32" x14ac:dyDescent="0.25">
      <c r="B127" t="s">
        <v>149</v>
      </c>
      <c r="C127" s="128">
        <v>60569257.087045565</v>
      </c>
      <c r="D127" s="128">
        <v>55624607.087045565</v>
      </c>
      <c r="E127" s="128">
        <v>768385</v>
      </c>
      <c r="F127" s="128">
        <v>0</v>
      </c>
      <c r="G127" s="128">
        <v>3543481</v>
      </c>
      <c r="H127" s="128">
        <v>632784</v>
      </c>
      <c r="I127" s="128">
        <v>6553685</v>
      </c>
      <c r="L127" s="128">
        <f t="shared" si="2"/>
        <v>0</v>
      </c>
      <c r="M127" s="128">
        <v>65497</v>
      </c>
      <c r="N127" s="128">
        <v>202</v>
      </c>
      <c r="O127" s="128">
        <v>2738</v>
      </c>
      <c r="P127" s="128">
        <v>424</v>
      </c>
      <c r="Q127" s="128">
        <v>1204</v>
      </c>
      <c r="R127" s="128">
        <v>97997</v>
      </c>
      <c r="S127" s="128">
        <v>98725</v>
      </c>
      <c r="T127" s="128">
        <v>94760</v>
      </c>
      <c r="U127" s="128">
        <v>94399</v>
      </c>
      <c r="V127" s="188">
        <f t="shared" si="3"/>
        <v>0.66835719460799825</v>
      </c>
      <c r="W127" s="238">
        <v>2.98E-2</v>
      </c>
      <c r="X127" s="358">
        <v>7.5</v>
      </c>
      <c r="AF127" s="238"/>
    </row>
    <row r="128" spans="2:32" x14ac:dyDescent="0.25">
      <c r="B128" t="s">
        <v>296</v>
      </c>
      <c r="C128" s="128">
        <v>65612297.456798002</v>
      </c>
      <c r="D128" s="128">
        <v>63833074.456798002</v>
      </c>
      <c r="E128" s="128">
        <v>914232</v>
      </c>
      <c r="F128" s="128">
        <v>0</v>
      </c>
      <c r="G128" s="128">
        <v>301763</v>
      </c>
      <c r="H128" s="128">
        <v>563228</v>
      </c>
      <c r="I128" s="128">
        <v>12245749</v>
      </c>
      <c r="L128" s="128">
        <f t="shared" si="2"/>
        <v>0</v>
      </c>
      <c r="M128" s="128">
        <v>73590</v>
      </c>
      <c r="N128" s="128">
        <v>172</v>
      </c>
      <c r="O128" s="128">
        <v>2016</v>
      </c>
      <c r="P128" s="128">
        <v>650</v>
      </c>
      <c r="Q128" s="128">
        <v>25493</v>
      </c>
      <c r="R128" s="128">
        <v>119869</v>
      </c>
      <c r="S128" s="128">
        <v>122216</v>
      </c>
      <c r="T128" s="128">
        <v>121033</v>
      </c>
      <c r="U128" s="128">
        <v>124916</v>
      </c>
      <c r="V128" s="188">
        <f t="shared" si="3"/>
        <v>0.61392019621420046</v>
      </c>
      <c r="W128" s="238">
        <v>3.1699999999999999E-2</v>
      </c>
      <c r="X128" s="358">
        <v>5</v>
      </c>
      <c r="AF128" s="238"/>
    </row>
    <row r="129" spans="2:32" x14ac:dyDescent="0.25">
      <c r="B129" t="s">
        <v>372</v>
      </c>
      <c r="C129" s="128">
        <v>212328043.02445546</v>
      </c>
      <c r="D129" s="128">
        <v>166452346.02445546</v>
      </c>
      <c r="E129" s="128">
        <v>3946105</v>
      </c>
      <c r="F129" s="128">
        <v>16611050</v>
      </c>
      <c r="G129" s="128">
        <v>17547759</v>
      </c>
      <c r="H129" s="128">
        <v>7770783</v>
      </c>
      <c r="I129" s="128">
        <v>42002568</v>
      </c>
      <c r="L129" s="128">
        <f t="shared" si="2"/>
        <v>2299388.9755445421</v>
      </c>
      <c r="M129" s="128">
        <v>256630</v>
      </c>
      <c r="N129" s="128">
        <v>1012</v>
      </c>
      <c r="O129" s="128">
        <v>7844</v>
      </c>
      <c r="P129" s="128">
        <v>0</v>
      </c>
      <c r="Q129" s="128">
        <v>41877</v>
      </c>
      <c r="R129" s="128">
        <v>380028</v>
      </c>
      <c r="S129" s="128">
        <v>388841</v>
      </c>
      <c r="T129" s="128">
        <v>341002</v>
      </c>
      <c r="U129" s="128">
        <v>347687</v>
      </c>
      <c r="V129" s="188">
        <f t="shared" si="3"/>
        <v>0.67529234687970363</v>
      </c>
      <c r="W129" s="238">
        <v>5.2600000000000001E-2</v>
      </c>
      <c r="X129" s="358">
        <v>7.5</v>
      </c>
      <c r="AF129" s="238"/>
    </row>
    <row r="130" spans="2:32" x14ac:dyDescent="0.25">
      <c r="B130" t="s">
        <v>297</v>
      </c>
      <c r="C130" s="128">
        <v>44992167.143904567</v>
      </c>
      <c r="D130" s="128">
        <v>42919526.143904567</v>
      </c>
      <c r="E130" s="128">
        <v>507235</v>
      </c>
      <c r="F130" s="128">
        <v>0</v>
      </c>
      <c r="G130" s="128">
        <v>953009</v>
      </c>
      <c r="H130" s="128">
        <v>612397</v>
      </c>
      <c r="I130" s="128">
        <v>5318637</v>
      </c>
      <c r="L130" s="128">
        <f t="shared" si="2"/>
        <v>0</v>
      </c>
      <c r="M130" s="128">
        <v>49919</v>
      </c>
      <c r="N130" s="128">
        <v>0</v>
      </c>
      <c r="O130" s="128">
        <v>1482</v>
      </c>
      <c r="P130" s="128">
        <v>92</v>
      </c>
      <c r="Q130" s="128">
        <v>18788</v>
      </c>
      <c r="R130" s="128">
        <v>95497</v>
      </c>
      <c r="S130" s="128">
        <v>96771</v>
      </c>
      <c r="T130" s="128">
        <v>86491</v>
      </c>
      <c r="U130" s="128">
        <v>87254</v>
      </c>
      <c r="V130" s="188">
        <f t="shared" si="3"/>
        <v>0.52272846267422013</v>
      </c>
      <c r="W130" s="238">
        <v>3.7400000000000003E-2</v>
      </c>
      <c r="X130" s="358">
        <v>7</v>
      </c>
      <c r="AF130" s="238"/>
    </row>
    <row r="131" spans="2:32" x14ac:dyDescent="0.25">
      <c r="B131" t="s">
        <v>444</v>
      </c>
      <c r="C131" s="128">
        <v>166208889.18876651</v>
      </c>
      <c r="D131" s="128">
        <v>147369056.18876651</v>
      </c>
      <c r="E131" s="128">
        <v>4330934</v>
      </c>
      <c r="F131" s="128">
        <v>0</v>
      </c>
      <c r="G131" s="128">
        <v>12675670</v>
      </c>
      <c r="H131" s="128">
        <v>1833229</v>
      </c>
      <c r="I131" s="128">
        <v>34771977</v>
      </c>
      <c r="L131" s="128">
        <f t="shared" ref="L131:L194" si="4">IF(SUM(M131*1000,-I131,-C131)&gt;0,SUM(M131*1000,-I131,-C131),0)</f>
        <v>3520133.8112334907</v>
      </c>
      <c r="M131" s="128">
        <v>204501</v>
      </c>
      <c r="N131" s="128">
        <v>1626</v>
      </c>
      <c r="O131" s="128">
        <v>4999</v>
      </c>
      <c r="P131" s="128">
        <v>1247</v>
      </c>
      <c r="Q131" s="128">
        <v>18817</v>
      </c>
      <c r="R131" s="128">
        <v>312919</v>
      </c>
      <c r="S131" s="128">
        <v>315002</v>
      </c>
      <c r="T131" s="128">
        <v>309290</v>
      </c>
      <c r="U131" s="128">
        <v>310532</v>
      </c>
      <c r="V131" s="188">
        <f t="shared" ref="V131:V194" si="5">M131/R131</f>
        <v>0.65352695106401337</v>
      </c>
      <c r="W131" s="238">
        <v>3.4799999999999998E-2</v>
      </c>
      <c r="X131" s="358">
        <v>7</v>
      </c>
      <c r="AF131" s="238"/>
    </row>
    <row r="132" spans="2:32" x14ac:dyDescent="0.25">
      <c r="B132" t="s">
        <v>600</v>
      </c>
      <c r="C132" s="128">
        <v>100238052.64951797</v>
      </c>
      <c r="D132" s="128">
        <v>88607140.649517968</v>
      </c>
      <c r="E132" s="128">
        <v>2347799</v>
      </c>
      <c r="F132" s="128">
        <v>0</v>
      </c>
      <c r="G132" s="128">
        <v>8161441</v>
      </c>
      <c r="H132" s="128">
        <v>1121672</v>
      </c>
      <c r="I132" s="128">
        <v>17790748</v>
      </c>
      <c r="L132" s="128">
        <f t="shared" si="4"/>
        <v>4991199.3504820317</v>
      </c>
      <c r="M132" s="128">
        <v>123020</v>
      </c>
      <c r="N132" s="128">
        <v>91</v>
      </c>
      <c r="O132" s="128">
        <v>1230</v>
      </c>
      <c r="P132" s="128">
        <v>330</v>
      </c>
      <c r="Q132" s="128">
        <v>182</v>
      </c>
      <c r="R132" s="128">
        <v>173277</v>
      </c>
      <c r="S132" s="128">
        <v>165571</v>
      </c>
      <c r="T132" s="128">
        <v>162179</v>
      </c>
      <c r="U132" s="128">
        <v>159366</v>
      </c>
      <c r="V132" s="188">
        <f t="shared" si="5"/>
        <v>0.70996150672045333</v>
      </c>
      <c r="W132" s="238">
        <v>2.7799999999999998E-2</v>
      </c>
      <c r="X132" s="358">
        <v>7</v>
      </c>
      <c r="AF132" s="238"/>
    </row>
    <row r="133" spans="2:32" x14ac:dyDescent="0.25">
      <c r="B133" t="s">
        <v>186</v>
      </c>
      <c r="C133" s="128">
        <v>24656170.161557071</v>
      </c>
      <c r="D133" s="128">
        <v>22698103.161557071</v>
      </c>
      <c r="E133" s="128">
        <v>256002</v>
      </c>
      <c r="F133" s="128">
        <v>0</v>
      </c>
      <c r="G133" s="128">
        <v>1342629</v>
      </c>
      <c r="H133" s="128">
        <v>359436</v>
      </c>
      <c r="I133" s="128">
        <v>3795050</v>
      </c>
      <c r="L133" s="128">
        <f t="shared" si="4"/>
        <v>0</v>
      </c>
      <c r="M133" s="128">
        <v>27742</v>
      </c>
      <c r="N133" s="128">
        <v>94</v>
      </c>
      <c r="O133" s="128">
        <v>545</v>
      </c>
      <c r="P133" s="128">
        <v>376</v>
      </c>
      <c r="Q133" s="128">
        <v>147</v>
      </c>
      <c r="R133" s="128">
        <v>41253</v>
      </c>
      <c r="S133" s="128">
        <v>40175</v>
      </c>
      <c r="T133" s="128">
        <v>42957</v>
      </c>
      <c r="U133" s="128">
        <v>43189</v>
      </c>
      <c r="V133" s="188">
        <f t="shared" si="5"/>
        <v>0.67248442537512421</v>
      </c>
      <c r="W133" s="238">
        <v>3.7100000000000001E-2</v>
      </c>
      <c r="X133" s="358">
        <v>8.5</v>
      </c>
      <c r="AF133" s="238"/>
    </row>
    <row r="134" spans="2:32" x14ac:dyDescent="0.25">
      <c r="B134" t="s">
        <v>373</v>
      </c>
      <c r="C134" s="128">
        <v>68545292.698623925</v>
      </c>
      <c r="D134" s="128">
        <v>63157670.698623925</v>
      </c>
      <c r="E134" s="128">
        <v>1204356</v>
      </c>
      <c r="F134" s="128">
        <v>0</v>
      </c>
      <c r="G134" s="128">
        <v>3524311</v>
      </c>
      <c r="H134" s="128">
        <v>658955</v>
      </c>
      <c r="I134" s="128">
        <v>8625621</v>
      </c>
      <c r="L134" s="128">
        <f t="shared" si="4"/>
        <v>0</v>
      </c>
      <c r="M134" s="128">
        <v>74344</v>
      </c>
      <c r="N134" s="128">
        <v>670</v>
      </c>
      <c r="O134" s="128">
        <v>1831</v>
      </c>
      <c r="P134" s="128">
        <v>57</v>
      </c>
      <c r="Q134" s="128">
        <v>16852</v>
      </c>
      <c r="R134" s="128">
        <v>122464</v>
      </c>
      <c r="S134" s="128">
        <v>120261</v>
      </c>
      <c r="T134" s="128">
        <v>110177</v>
      </c>
      <c r="U134" s="128">
        <v>108275</v>
      </c>
      <c r="V134" s="188">
        <f t="shared" si="5"/>
        <v>0.60706819963417824</v>
      </c>
      <c r="W134" s="238">
        <v>4.2099999999999999E-2</v>
      </c>
      <c r="X134" s="358">
        <v>9</v>
      </c>
      <c r="AF134" s="238"/>
    </row>
    <row r="135" spans="2:32" x14ac:dyDescent="0.25">
      <c r="B135" t="s">
        <v>298</v>
      </c>
      <c r="C135" s="128">
        <v>34758499.472502396</v>
      </c>
      <c r="D135" s="128">
        <v>32196276.472502396</v>
      </c>
      <c r="E135" s="128">
        <v>343292</v>
      </c>
      <c r="F135" s="128">
        <v>0</v>
      </c>
      <c r="G135" s="128">
        <v>1809559</v>
      </c>
      <c r="H135" s="128">
        <v>409372</v>
      </c>
      <c r="I135" s="128">
        <v>3912563</v>
      </c>
      <c r="L135" s="128">
        <f t="shared" si="4"/>
        <v>0</v>
      </c>
      <c r="M135" s="128">
        <v>38603</v>
      </c>
      <c r="N135" s="128">
        <v>66</v>
      </c>
      <c r="O135" s="128">
        <v>484</v>
      </c>
      <c r="P135" s="128">
        <v>751</v>
      </c>
      <c r="Q135" s="128">
        <v>4008</v>
      </c>
      <c r="R135" s="128">
        <v>56368</v>
      </c>
      <c r="S135" s="128">
        <v>57733</v>
      </c>
      <c r="T135" s="128">
        <v>54359</v>
      </c>
      <c r="U135" s="128">
        <v>56759</v>
      </c>
      <c r="V135" s="188">
        <f t="shared" si="5"/>
        <v>0.68483891569684929</v>
      </c>
      <c r="W135" s="238">
        <v>4.6600000000000003E-2</v>
      </c>
      <c r="X135" s="358">
        <v>6.5</v>
      </c>
      <c r="AF135" s="238"/>
    </row>
    <row r="136" spans="2:32" x14ac:dyDescent="0.25">
      <c r="B136" t="s">
        <v>374</v>
      </c>
      <c r="C136" s="128">
        <v>22525736.117351867</v>
      </c>
      <c r="D136" s="128">
        <v>20661811.117351867</v>
      </c>
      <c r="E136" s="128">
        <v>266330</v>
      </c>
      <c r="F136" s="128">
        <v>0</v>
      </c>
      <c r="G136" s="128">
        <v>1214850</v>
      </c>
      <c r="H136" s="128">
        <v>382745</v>
      </c>
      <c r="I136" s="128">
        <v>1841754</v>
      </c>
      <c r="L136" s="128">
        <f t="shared" si="4"/>
        <v>24509.882648132741</v>
      </c>
      <c r="M136" s="128">
        <v>24392</v>
      </c>
      <c r="N136" s="128">
        <v>79</v>
      </c>
      <c r="O136" s="128">
        <v>686</v>
      </c>
      <c r="P136" s="128">
        <v>40</v>
      </c>
      <c r="Q136" s="128">
        <v>2872</v>
      </c>
      <c r="R136" s="128">
        <v>39187</v>
      </c>
      <c r="S136" s="128">
        <v>39412</v>
      </c>
      <c r="T136" s="128">
        <v>38433</v>
      </c>
      <c r="U136" s="128">
        <v>38058</v>
      </c>
      <c r="V136" s="188">
        <f t="shared" si="5"/>
        <v>0.62245132314287899</v>
      </c>
      <c r="W136" s="238">
        <v>4.3999999999999997E-2</v>
      </c>
      <c r="X136" s="358">
        <v>8</v>
      </c>
      <c r="AF136" s="238"/>
    </row>
    <row r="137" spans="2:32" x14ac:dyDescent="0.25">
      <c r="B137" t="s">
        <v>258</v>
      </c>
      <c r="C137" s="128">
        <v>177300401.59616503</v>
      </c>
      <c r="D137" s="128">
        <v>148585970.59616503</v>
      </c>
      <c r="E137" s="128">
        <v>2938320</v>
      </c>
      <c r="F137" s="128">
        <v>11395337</v>
      </c>
      <c r="G137" s="128">
        <v>6987246</v>
      </c>
      <c r="H137" s="128">
        <v>7393528</v>
      </c>
      <c r="I137" s="128">
        <v>32179629</v>
      </c>
      <c r="L137" s="128">
        <f t="shared" si="4"/>
        <v>4350969.4038349688</v>
      </c>
      <c r="M137" s="128">
        <v>213831</v>
      </c>
      <c r="N137" s="128">
        <v>890</v>
      </c>
      <c r="O137" s="128">
        <v>2759</v>
      </c>
      <c r="P137" s="128">
        <v>250</v>
      </c>
      <c r="Q137" s="128">
        <v>5111</v>
      </c>
      <c r="R137" s="128">
        <v>285904</v>
      </c>
      <c r="S137" s="128">
        <v>284610</v>
      </c>
      <c r="T137" s="128">
        <v>258222</v>
      </c>
      <c r="U137" s="128">
        <v>264645</v>
      </c>
      <c r="V137" s="188">
        <f t="shared" si="5"/>
        <v>0.74791188650735907</v>
      </c>
      <c r="W137" s="238">
        <v>0.04</v>
      </c>
      <c r="X137" s="358">
        <v>7</v>
      </c>
      <c r="AF137" s="238"/>
    </row>
    <row r="138" spans="2:32" x14ac:dyDescent="0.25">
      <c r="B138" t="s">
        <v>601</v>
      </c>
      <c r="C138" s="128">
        <v>125763469.77348347</v>
      </c>
      <c r="D138" s="128">
        <v>118548588.77348347</v>
      </c>
      <c r="E138" s="128">
        <v>1185202</v>
      </c>
      <c r="F138" s="128">
        <v>0</v>
      </c>
      <c r="G138" s="128">
        <v>4537630</v>
      </c>
      <c r="H138" s="128">
        <v>1492049</v>
      </c>
      <c r="I138" s="128">
        <v>14035325</v>
      </c>
      <c r="L138" s="128">
        <f t="shared" si="4"/>
        <v>0</v>
      </c>
      <c r="M138" s="128">
        <v>137246</v>
      </c>
      <c r="N138" s="128">
        <v>45</v>
      </c>
      <c r="O138" s="128">
        <v>2497</v>
      </c>
      <c r="P138" s="128">
        <v>920</v>
      </c>
      <c r="Q138" s="128">
        <v>3715</v>
      </c>
      <c r="R138" s="128">
        <v>193788</v>
      </c>
      <c r="S138" s="128">
        <v>204027</v>
      </c>
      <c r="T138" s="128">
        <v>190153</v>
      </c>
      <c r="U138" s="128">
        <v>202542</v>
      </c>
      <c r="V138" s="188">
        <f t="shared" si="5"/>
        <v>0.70822754762936813</v>
      </c>
      <c r="W138" s="238">
        <v>5.6599999999999998E-2</v>
      </c>
      <c r="X138" s="358">
        <v>6.5</v>
      </c>
      <c r="AF138" s="238"/>
    </row>
    <row r="139" spans="2:32" x14ac:dyDescent="0.25">
      <c r="B139" t="s">
        <v>150</v>
      </c>
      <c r="C139" s="128">
        <v>56108999.01634872</v>
      </c>
      <c r="D139" s="128">
        <v>51633412.01634872</v>
      </c>
      <c r="E139" s="128">
        <v>1283911</v>
      </c>
      <c r="F139" s="128">
        <v>0</v>
      </c>
      <c r="G139" s="128">
        <v>2605267</v>
      </c>
      <c r="H139" s="128">
        <v>586409</v>
      </c>
      <c r="I139" s="128">
        <v>6226992</v>
      </c>
      <c r="L139" s="128">
        <f t="shared" si="4"/>
        <v>0</v>
      </c>
      <c r="M139" s="128">
        <v>59798</v>
      </c>
      <c r="N139" s="128">
        <v>18</v>
      </c>
      <c r="O139" s="128">
        <v>1242</v>
      </c>
      <c r="P139" s="128">
        <v>1861</v>
      </c>
      <c r="Q139" s="128">
        <v>195</v>
      </c>
      <c r="R139" s="128">
        <v>85566</v>
      </c>
      <c r="S139" s="128">
        <v>91282</v>
      </c>
      <c r="T139" s="128">
        <v>81415</v>
      </c>
      <c r="U139" s="128">
        <v>84960</v>
      </c>
      <c r="V139" s="188">
        <f t="shared" si="5"/>
        <v>0.69885234789519202</v>
      </c>
      <c r="W139" s="238">
        <v>5.4199999999999998E-2</v>
      </c>
      <c r="X139" s="358">
        <v>6.5</v>
      </c>
      <c r="AF139" s="238"/>
    </row>
    <row r="140" spans="2:32" x14ac:dyDescent="0.25">
      <c r="B140" t="s">
        <v>259</v>
      </c>
      <c r="C140" s="128">
        <v>77195191.351828963</v>
      </c>
      <c r="D140" s="128">
        <v>71728689.351828963</v>
      </c>
      <c r="E140" s="128">
        <v>1199707</v>
      </c>
      <c r="F140" s="128">
        <v>0</v>
      </c>
      <c r="G140" s="128">
        <v>3042369</v>
      </c>
      <c r="H140" s="128">
        <v>1224426</v>
      </c>
      <c r="I140" s="128">
        <v>9450845</v>
      </c>
      <c r="L140" s="128">
        <f t="shared" si="4"/>
        <v>1076963.6481710374</v>
      </c>
      <c r="M140" s="128">
        <v>87723</v>
      </c>
      <c r="N140" s="128">
        <v>53</v>
      </c>
      <c r="O140" s="128">
        <v>873</v>
      </c>
      <c r="P140" s="128">
        <v>461</v>
      </c>
      <c r="Q140" s="128">
        <v>349</v>
      </c>
      <c r="R140" s="128">
        <v>118411</v>
      </c>
      <c r="S140" s="128">
        <v>116545</v>
      </c>
      <c r="T140" s="128">
        <v>107385</v>
      </c>
      <c r="U140" s="128">
        <v>107939</v>
      </c>
      <c r="V140" s="188">
        <f t="shared" si="5"/>
        <v>0.7408348886505477</v>
      </c>
      <c r="W140" s="238">
        <v>4.2599999999999999E-2</v>
      </c>
      <c r="X140" s="358">
        <v>8</v>
      </c>
      <c r="AF140" s="238"/>
    </row>
    <row r="141" spans="2:32" x14ac:dyDescent="0.25">
      <c r="B141" t="s">
        <v>111</v>
      </c>
      <c r="C141" s="128">
        <v>127067595.44946076</v>
      </c>
      <c r="D141" s="128">
        <v>102562503.44946076</v>
      </c>
      <c r="E141" s="128">
        <v>4405679</v>
      </c>
      <c r="F141" s="128">
        <v>0</v>
      </c>
      <c r="G141" s="128">
        <v>18774612</v>
      </c>
      <c r="H141" s="128">
        <v>1324801</v>
      </c>
      <c r="I141" s="128">
        <v>19538468</v>
      </c>
      <c r="L141" s="128">
        <f t="shared" si="4"/>
        <v>1439936.5505392402</v>
      </c>
      <c r="M141" s="128">
        <v>148046</v>
      </c>
      <c r="N141" s="128">
        <v>241</v>
      </c>
      <c r="O141" s="128">
        <v>1694</v>
      </c>
      <c r="P141" s="128">
        <v>2646</v>
      </c>
      <c r="Q141" s="128">
        <v>5606</v>
      </c>
      <c r="R141" s="128">
        <v>195785</v>
      </c>
      <c r="S141" s="128">
        <v>194782</v>
      </c>
      <c r="T141" s="128">
        <v>188430</v>
      </c>
      <c r="U141" s="128">
        <v>186397</v>
      </c>
      <c r="V141" s="188">
        <f t="shared" si="5"/>
        <v>0.756166202722374</v>
      </c>
      <c r="W141" s="238">
        <v>4.02E-2</v>
      </c>
      <c r="X141" s="358">
        <v>7</v>
      </c>
      <c r="AF141" s="238"/>
    </row>
    <row r="142" spans="2:32" x14ac:dyDescent="0.25">
      <c r="B142" t="s">
        <v>260</v>
      </c>
      <c r="C142" s="128">
        <v>155813601.70072901</v>
      </c>
      <c r="D142" s="128">
        <v>133551323.700729</v>
      </c>
      <c r="E142" s="128">
        <v>2865516</v>
      </c>
      <c r="F142" s="128">
        <v>9501501</v>
      </c>
      <c r="G142" s="128">
        <v>6299903</v>
      </c>
      <c r="H142" s="128">
        <v>3595358</v>
      </c>
      <c r="I142" s="128">
        <v>25993429</v>
      </c>
      <c r="L142" s="128">
        <f t="shared" si="4"/>
        <v>5078969.2992709875</v>
      </c>
      <c r="M142" s="128">
        <v>186886</v>
      </c>
      <c r="N142" s="128">
        <v>931</v>
      </c>
      <c r="O142" s="128">
        <v>5572</v>
      </c>
      <c r="P142" s="128">
        <v>153</v>
      </c>
      <c r="Q142" s="128">
        <v>11163</v>
      </c>
      <c r="R142" s="128">
        <v>260171</v>
      </c>
      <c r="S142" s="128">
        <v>259485</v>
      </c>
      <c r="T142" s="128">
        <v>242258</v>
      </c>
      <c r="U142" s="128">
        <v>244664</v>
      </c>
      <c r="V142" s="188">
        <f t="shared" si="5"/>
        <v>0.71831987423655985</v>
      </c>
      <c r="W142" s="238">
        <v>3.9899999999999998E-2</v>
      </c>
      <c r="X142" s="358">
        <v>9.5</v>
      </c>
      <c r="AF142" s="238"/>
    </row>
    <row r="143" spans="2:32" x14ac:dyDescent="0.25">
      <c r="B143" t="s">
        <v>408</v>
      </c>
      <c r="C143" s="128">
        <v>65174549.739164934</v>
      </c>
      <c r="D143" s="128">
        <v>59820734.739164934</v>
      </c>
      <c r="E143" s="128">
        <v>584645</v>
      </c>
      <c r="F143" s="128">
        <v>0</v>
      </c>
      <c r="G143" s="128">
        <v>4077873</v>
      </c>
      <c r="H143" s="128">
        <v>691297</v>
      </c>
      <c r="I143" s="128">
        <v>5999809</v>
      </c>
      <c r="L143" s="128">
        <f t="shared" si="4"/>
        <v>380641.26083506644</v>
      </c>
      <c r="M143" s="128">
        <v>71555</v>
      </c>
      <c r="N143" s="128">
        <v>514</v>
      </c>
      <c r="O143" s="128">
        <v>1549</v>
      </c>
      <c r="P143" s="128">
        <v>590</v>
      </c>
      <c r="Q143" s="128">
        <v>4666</v>
      </c>
      <c r="R143" s="128">
        <v>116794</v>
      </c>
      <c r="S143" s="128">
        <v>117668</v>
      </c>
      <c r="T143" s="128">
        <v>107635</v>
      </c>
      <c r="U143" s="128">
        <v>107596</v>
      </c>
      <c r="V143" s="188">
        <f t="shared" si="5"/>
        <v>0.61265989691251266</v>
      </c>
      <c r="W143" s="238">
        <v>4.3700000000000003E-2</v>
      </c>
      <c r="X143" s="358">
        <v>7.5</v>
      </c>
      <c r="AF143" s="238"/>
    </row>
    <row r="144" spans="2:32" x14ac:dyDescent="0.25">
      <c r="B144" t="s">
        <v>221</v>
      </c>
      <c r="C144" s="128">
        <v>69368447.137697011</v>
      </c>
      <c r="D144" s="128">
        <v>66630568.137697019</v>
      </c>
      <c r="E144" s="128">
        <v>1109921</v>
      </c>
      <c r="F144" s="128">
        <v>0</v>
      </c>
      <c r="G144" s="128">
        <v>859073</v>
      </c>
      <c r="H144" s="128">
        <v>768885</v>
      </c>
      <c r="I144" s="128">
        <v>7919123</v>
      </c>
      <c r="L144" s="128">
        <f t="shared" si="4"/>
        <v>0</v>
      </c>
      <c r="M144" s="128">
        <v>75844</v>
      </c>
      <c r="N144" s="128">
        <v>73</v>
      </c>
      <c r="O144" s="128">
        <v>3036</v>
      </c>
      <c r="P144" s="128">
        <v>10</v>
      </c>
      <c r="Q144" s="128">
        <v>26026</v>
      </c>
      <c r="R144" s="128">
        <v>139586</v>
      </c>
      <c r="S144" s="128">
        <v>140986</v>
      </c>
      <c r="T144" s="128">
        <v>119865</v>
      </c>
      <c r="U144" s="128">
        <v>121486</v>
      </c>
      <c r="V144" s="188">
        <f t="shared" si="5"/>
        <v>0.54334961958935712</v>
      </c>
      <c r="W144" s="238">
        <v>4.2000000000000003E-2</v>
      </c>
      <c r="X144" s="358">
        <v>7</v>
      </c>
      <c r="AF144" s="238"/>
    </row>
    <row r="145" spans="2:32" x14ac:dyDescent="0.25">
      <c r="B145" t="s">
        <v>261</v>
      </c>
      <c r="C145" s="128">
        <v>65798921.517596155</v>
      </c>
      <c r="D145" s="128">
        <v>61572047.517596155</v>
      </c>
      <c r="E145" s="128">
        <v>1686779</v>
      </c>
      <c r="F145" s="128">
        <v>0</v>
      </c>
      <c r="G145" s="128">
        <v>1924857</v>
      </c>
      <c r="H145" s="128">
        <v>615238</v>
      </c>
      <c r="I145" s="128">
        <v>10929199</v>
      </c>
      <c r="L145" s="128">
        <f t="shared" si="4"/>
        <v>0</v>
      </c>
      <c r="M145" s="243">
        <v>73034</v>
      </c>
      <c r="N145" s="243">
        <v>734</v>
      </c>
      <c r="O145" s="243">
        <v>2152</v>
      </c>
      <c r="P145" s="243">
        <v>150</v>
      </c>
      <c r="Q145" s="243">
        <v>65</v>
      </c>
      <c r="R145" s="128">
        <v>100407</v>
      </c>
      <c r="S145" s="128">
        <v>105790</v>
      </c>
      <c r="T145" s="128">
        <v>95669</v>
      </c>
      <c r="U145" s="128">
        <v>102025</v>
      </c>
      <c r="V145" s="188">
        <f t="shared" si="5"/>
        <v>0.7273795651697591</v>
      </c>
      <c r="W145" s="238">
        <v>5.6000000000000001E-2</v>
      </c>
      <c r="X145" s="358">
        <v>6</v>
      </c>
      <c r="AF145" s="238"/>
    </row>
    <row r="146" spans="2:32" x14ac:dyDescent="0.25">
      <c r="B146" t="s">
        <v>332</v>
      </c>
      <c r="C146" s="128">
        <v>49858541.039330333</v>
      </c>
      <c r="D146" s="128">
        <v>44241320.039330333</v>
      </c>
      <c r="E146" s="128">
        <v>1001880</v>
      </c>
      <c r="F146" s="128">
        <v>0</v>
      </c>
      <c r="G146" s="128">
        <v>3913547</v>
      </c>
      <c r="H146" s="128">
        <v>701794</v>
      </c>
      <c r="I146" s="128">
        <v>5258614</v>
      </c>
      <c r="L146" s="128">
        <f t="shared" si="4"/>
        <v>186844.96066966653</v>
      </c>
      <c r="M146" s="128">
        <v>55304</v>
      </c>
      <c r="N146" s="128">
        <v>1884</v>
      </c>
      <c r="O146" s="128">
        <v>335</v>
      </c>
      <c r="P146" s="128">
        <v>85</v>
      </c>
      <c r="Q146" s="128">
        <v>2030</v>
      </c>
      <c r="R146" s="128">
        <v>74540</v>
      </c>
      <c r="S146" s="128">
        <v>75520</v>
      </c>
      <c r="T146" s="128">
        <v>73855</v>
      </c>
      <c r="U146" s="128">
        <v>73666</v>
      </c>
      <c r="V146" s="188">
        <f t="shared" si="5"/>
        <v>0.74193721491816478</v>
      </c>
      <c r="W146" s="238">
        <v>4.7399999999999998E-2</v>
      </c>
      <c r="X146" s="358">
        <v>8</v>
      </c>
      <c r="AF146" s="238"/>
    </row>
    <row r="147" spans="2:32" x14ac:dyDescent="0.25">
      <c r="B147" t="s">
        <v>222</v>
      </c>
      <c r="C147" s="128">
        <v>55338064.371145688</v>
      </c>
      <c r="D147" s="128">
        <v>50914216.371145688</v>
      </c>
      <c r="E147" s="128">
        <v>1321225</v>
      </c>
      <c r="F147" s="128">
        <v>0</v>
      </c>
      <c r="G147" s="128">
        <v>2561690</v>
      </c>
      <c r="H147" s="128">
        <v>540933</v>
      </c>
      <c r="I147" s="128">
        <v>7804514</v>
      </c>
      <c r="L147" s="128">
        <f t="shared" si="4"/>
        <v>0</v>
      </c>
      <c r="M147" s="128">
        <v>59896</v>
      </c>
      <c r="N147" s="128">
        <v>61</v>
      </c>
      <c r="O147" s="128">
        <v>2285</v>
      </c>
      <c r="P147" s="128">
        <v>0</v>
      </c>
      <c r="Q147" s="128">
        <v>53</v>
      </c>
      <c r="R147" s="128">
        <v>83590</v>
      </c>
      <c r="S147" s="128">
        <v>83084</v>
      </c>
      <c r="T147" s="128">
        <v>79020</v>
      </c>
      <c r="U147" s="128">
        <v>81421</v>
      </c>
      <c r="V147" s="188">
        <f t="shared" si="5"/>
        <v>0.71654504127287955</v>
      </c>
      <c r="W147" s="238">
        <v>4.0399999999999998E-2</v>
      </c>
      <c r="X147" s="358">
        <v>8.5</v>
      </c>
      <c r="AF147" s="238"/>
    </row>
    <row r="148" spans="2:32" x14ac:dyDescent="0.25">
      <c r="B148" t="s">
        <v>299</v>
      </c>
      <c r="C148" s="128">
        <v>36524403.052371353</v>
      </c>
      <c r="D148" s="128">
        <v>35088117.052371353</v>
      </c>
      <c r="E148" s="128">
        <v>942424</v>
      </c>
      <c r="F148" s="128">
        <v>0</v>
      </c>
      <c r="G148" s="128">
        <v>116306</v>
      </c>
      <c r="H148" s="128">
        <v>377556</v>
      </c>
      <c r="I148" s="128">
        <v>4335034</v>
      </c>
      <c r="L148" s="128">
        <f t="shared" si="4"/>
        <v>0</v>
      </c>
      <c r="M148" s="128">
        <v>39719</v>
      </c>
      <c r="N148" s="128">
        <v>207</v>
      </c>
      <c r="O148" s="128">
        <v>1057</v>
      </c>
      <c r="P148" s="128">
        <v>695</v>
      </c>
      <c r="Q148" s="128">
        <v>2346</v>
      </c>
      <c r="R148" s="128">
        <v>61104</v>
      </c>
      <c r="S148" s="128">
        <v>62280</v>
      </c>
      <c r="T148" s="128">
        <v>58440</v>
      </c>
      <c r="U148" s="128">
        <v>59325</v>
      </c>
      <c r="V148" s="188">
        <f t="shared" si="5"/>
        <v>0.65002291175700444</v>
      </c>
      <c r="W148" s="238">
        <v>4.2599999999999999E-2</v>
      </c>
      <c r="X148" s="358">
        <v>6</v>
      </c>
      <c r="AF148" s="238"/>
    </row>
    <row r="149" spans="2:32" x14ac:dyDescent="0.25">
      <c r="B149" t="s">
        <v>151</v>
      </c>
      <c r="C149" s="128">
        <v>99935550.044891253</v>
      </c>
      <c r="D149" s="128">
        <v>90720077.044891253</v>
      </c>
      <c r="E149" s="128">
        <v>2476461</v>
      </c>
      <c r="F149" s="128">
        <v>0</v>
      </c>
      <c r="G149" s="128">
        <v>5595682</v>
      </c>
      <c r="H149" s="128">
        <v>1143330</v>
      </c>
      <c r="I149" s="128">
        <v>12420566</v>
      </c>
      <c r="L149" s="128">
        <f t="shared" si="4"/>
        <v>0</v>
      </c>
      <c r="M149" s="128">
        <v>110712</v>
      </c>
      <c r="N149" s="128">
        <v>293</v>
      </c>
      <c r="O149" s="128">
        <v>3388</v>
      </c>
      <c r="P149" s="128">
        <v>1173</v>
      </c>
      <c r="Q149" s="128">
        <v>10761</v>
      </c>
      <c r="R149" s="128">
        <v>158870</v>
      </c>
      <c r="S149" s="128">
        <v>157476</v>
      </c>
      <c r="T149" s="128">
        <v>157268</v>
      </c>
      <c r="U149" s="128">
        <v>156093</v>
      </c>
      <c r="V149" s="188">
        <f t="shared" si="5"/>
        <v>0.69687165607100143</v>
      </c>
      <c r="W149" s="238">
        <v>3.6200000000000003E-2</v>
      </c>
      <c r="X149" s="358">
        <v>8.5</v>
      </c>
      <c r="AF149" s="238"/>
    </row>
    <row r="150" spans="2:32" x14ac:dyDescent="0.25">
      <c r="B150" t="s">
        <v>333</v>
      </c>
      <c r="C150" s="128">
        <v>19617154.055581585</v>
      </c>
      <c r="D150" s="128">
        <v>18585093.055581585</v>
      </c>
      <c r="E150" s="128">
        <v>120498</v>
      </c>
      <c r="F150" s="128">
        <v>0</v>
      </c>
      <c r="G150" s="128">
        <v>517107</v>
      </c>
      <c r="H150" s="128">
        <v>394456</v>
      </c>
      <c r="I150" s="128">
        <v>0</v>
      </c>
      <c r="L150" s="128">
        <f t="shared" si="4"/>
        <v>1435845.9444184154</v>
      </c>
      <c r="M150" s="128">
        <v>21053</v>
      </c>
      <c r="N150" s="128">
        <v>281</v>
      </c>
      <c r="O150" s="128">
        <v>367</v>
      </c>
      <c r="P150" s="128">
        <v>155</v>
      </c>
      <c r="Q150" s="128">
        <v>2170</v>
      </c>
      <c r="R150" s="128">
        <v>34162</v>
      </c>
      <c r="S150" s="128">
        <v>35357</v>
      </c>
      <c r="T150" s="128">
        <v>34347</v>
      </c>
      <c r="U150" s="128">
        <v>34751</v>
      </c>
      <c r="V150" s="188">
        <f t="shared" si="5"/>
        <v>0.61626953925414207</v>
      </c>
      <c r="W150" s="238">
        <v>4.48E-2</v>
      </c>
      <c r="X150" s="358">
        <v>7.5</v>
      </c>
      <c r="AF150" s="238"/>
    </row>
    <row r="151" spans="2:32" x14ac:dyDescent="0.25">
      <c r="B151" t="s">
        <v>300</v>
      </c>
      <c r="C151" s="128">
        <v>103165977.41811725</v>
      </c>
      <c r="D151" s="128">
        <v>94306366.418117255</v>
      </c>
      <c r="E151" s="128">
        <v>1319740</v>
      </c>
      <c r="F151" s="128">
        <v>0</v>
      </c>
      <c r="G151" s="128">
        <v>6363452</v>
      </c>
      <c r="H151" s="128">
        <v>1176419</v>
      </c>
      <c r="I151" s="128">
        <v>13495384</v>
      </c>
      <c r="L151" s="128">
        <f t="shared" si="4"/>
        <v>0</v>
      </c>
      <c r="M151" s="128">
        <v>114349</v>
      </c>
      <c r="N151" s="128">
        <v>336</v>
      </c>
      <c r="O151" s="128">
        <v>4600</v>
      </c>
      <c r="P151" s="128">
        <v>1484</v>
      </c>
      <c r="Q151" s="128">
        <v>7060</v>
      </c>
      <c r="R151" s="128">
        <v>173339</v>
      </c>
      <c r="S151" s="128">
        <v>174550</v>
      </c>
      <c r="T151" s="128">
        <v>173838</v>
      </c>
      <c r="U151" s="128">
        <v>171710</v>
      </c>
      <c r="V151" s="188">
        <f t="shared" si="5"/>
        <v>0.65968420263183702</v>
      </c>
      <c r="W151" s="238">
        <v>3.4099999999999998E-2</v>
      </c>
      <c r="X151" s="358">
        <v>7.5</v>
      </c>
      <c r="AF151" s="238"/>
    </row>
    <row r="152" spans="2:32" x14ac:dyDescent="0.25">
      <c r="B152" t="s">
        <v>409</v>
      </c>
      <c r="C152" s="128">
        <v>118527906.67313492</v>
      </c>
      <c r="D152" s="128">
        <v>95817194.673134923</v>
      </c>
      <c r="E152" s="128">
        <v>3510683</v>
      </c>
      <c r="F152" s="128">
        <v>0</v>
      </c>
      <c r="G152" s="128">
        <v>18206421</v>
      </c>
      <c r="H152" s="128">
        <v>993608</v>
      </c>
      <c r="I152" s="128">
        <v>27450052</v>
      </c>
      <c r="L152" s="128">
        <f t="shared" si="4"/>
        <v>1875041.326865077</v>
      </c>
      <c r="M152" s="128">
        <v>147853</v>
      </c>
      <c r="N152" s="128">
        <v>304</v>
      </c>
      <c r="O152" s="128">
        <v>1386</v>
      </c>
      <c r="P152" s="128">
        <v>720</v>
      </c>
      <c r="Q152" s="128">
        <v>327</v>
      </c>
      <c r="R152" s="128">
        <v>181147</v>
      </c>
      <c r="S152" s="128">
        <v>180217</v>
      </c>
      <c r="T152" s="128">
        <v>170918</v>
      </c>
      <c r="U152" s="128">
        <v>170810</v>
      </c>
      <c r="V152" s="188">
        <f t="shared" si="5"/>
        <v>0.81620451898182145</v>
      </c>
      <c r="W152" s="238">
        <v>3.6299999999999999E-2</v>
      </c>
      <c r="X152" s="358">
        <v>8</v>
      </c>
      <c r="AF152" s="238"/>
    </row>
    <row r="153" spans="2:32" x14ac:dyDescent="0.25">
      <c r="B153" t="s">
        <v>262</v>
      </c>
      <c r="C153" s="128">
        <v>32088965.63581543</v>
      </c>
      <c r="D153" s="128">
        <v>30252084.63581543</v>
      </c>
      <c r="E153" s="128">
        <v>560667</v>
      </c>
      <c r="F153" s="128">
        <v>0</v>
      </c>
      <c r="G153" s="128">
        <v>766007</v>
      </c>
      <c r="H153" s="128">
        <v>510207</v>
      </c>
      <c r="I153" s="128">
        <v>2999253</v>
      </c>
      <c r="L153" s="128">
        <f t="shared" si="4"/>
        <v>568781.36418456957</v>
      </c>
      <c r="M153" s="128">
        <v>35657</v>
      </c>
      <c r="N153" s="128">
        <v>20</v>
      </c>
      <c r="O153" s="128">
        <v>5743</v>
      </c>
      <c r="P153" s="128">
        <v>228</v>
      </c>
      <c r="Q153" s="128">
        <v>4862</v>
      </c>
      <c r="R153" s="128">
        <v>66249</v>
      </c>
      <c r="S153" s="128">
        <v>66760</v>
      </c>
      <c r="T153" s="128">
        <v>59325</v>
      </c>
      <c r="U153" s="128">
        <v>68405</v>
      </c>
      <c r="V153" s="188">
        <f t="shared" si="5"/>
        <v>0.53822699210554126</v>
      </c>
      <c r="W153" s="238">
        <v>3.7999999999999999E-2</v>
      </c>
      <c r="X153" s="358">
        <v>7</v>
      </c>
      <c r="AF153" s="238"/>
    </row>
    <row r="154" spans="2:32" x14ac:dyDescent="0.25">
      <c r="B154" t="s">
        <v>301</v>
      </c>
      <c r="C154" s="128">
        <v>49748700.793671772</v>
      </c>
      <c r="D154" s="128">
        <v>45844522.793671772</v>
      </c>
      <c r="E154" s="128">
        <v>1145263</v>
      </c>
      <c r="F154" s="128">
        <v>0</v>
      </c>
      <c r="G154" s="128">
        <v>2213818</v>
      </c>
      <c r="H154" s="128">
        <v>545097</v>
      </c>
      <c r="I154" s="128">
        <v>7809627</v>
      </c>
      <c r="L154" s="128">
        <f t="shared" si="4"/>
        <v>0</v>
      </c>
      <c r="M154" s="128">
        <v>55561</v>
      </c>
      <c r="N154" s="128">
        <v>57</v>
      </c>
      <c r="O154" s="128">
        <v>2112</v>
      </c>
      <c r="P154" s="128">
        <v>69</v>
      </c>
      <c r="Q154" s="128">
        <v>9</v>
      </c>
      <c r="R154" s="128">
        <v>76477</v>
      </c>
      <c r="S154" s="128">
        <v>75442</v>
      </c>
      <c r="T154" s="128">
        <v>75359</v>
      </c>
      <c r="U154" s="128">
        <v>73597</v>
      </c>
      <c r="V154" s="188">
        <f t="shared" si="5"/>
        <v>0.72650600834237744</v>
      </c>
      <c r="W154" s="238">
        <v>4.1000000000000002E-2</v>
      </c>
      <c r="X154" s="358">
        <v>8</v>
      </c>
      <c r="AF154" s="238"/>
    </row>
    <row r="155" spans="2:32" x14ac:dyDescent="0.25">
      <c r="B155" t="s">
        <v>478</v>
      </c>
      <c r="C155" s="128">
        <v>89019898.500653282</v>
      </c>
      <c r="D155" s="128">
        <v>83327358.500653282</v>
      </c>
      <c r="E155" s="128">
        <v>1295059</v>
      </c>
      <c r="F155" s="128">
        <v>0</v>
      </c>
      <c r="G155" s="128">
        <v>3373675</v>
      </c>
      <c r="H155" s="128">
        <v>1023806</v>
      </c>
      <c r="I155" s="243">
        <v>10715462</v>
      </c>
      <c r="L155" s="128">
        <f t="shared" si="4"/>
        <v>0</v>
      </c>
      <c r="M155" s="128">
        <v>98452</v>
      </c>
      <c r="N155" s="128">
        <v>58</v>
      </c>
      <c r="O155" s="128">
        <v>1996</v>
      </c>
      <c r="P155" s="128">
        <v>189</v>
      </c>
      <c r="Q155" s="128">
        <v>8984</v>
      </c>
      <c r="R155" s="128">
        <v>143315</v>
      </c>
      <c r="S155" s="128">
        <v>148053</v>
      </c>
      <c r="T155" s="128">
        <v>131852</v>
      </c>
      <c r="U155" s="128">
        <v>135404</v>
      </c>
      <c r="V155" s="188">
        <f t="shared" si="5"/>
        <v>0.6869622858737745</v>
      </c>
      <c r="W155" s="238">
        <v>5.3199999999999997E-2</v>
      </c>
      <c r="X155" s="358">
        <v>7.5</v>
      </c>
      <c r="AF155" s="238"/>
    </row>
    <row r="156" spans="2:32" x14ac:dyDescent="0.25">
      <c r="B156" t="s">
        <v>375</v>
      </c>
      <c r="C156" s="128">
        <v>34690627.473697007</v>
      </c>
      <c r="D156" s="128">
        <v>31227035.473697003</v>
      </c>
      <c r="E156" s="128">
        <v>571431</v>
      </c>
      <c r="F156" s="128">
        <v>0</v>
      </c>
      <c r="G156" s="128">
        <v>2438066</v>
      </c>
      <c r="H156" s="128">
        <v>454095</v>
      </c>
      <c r="I156" s="128">
        <v>3610146</v>
      </c>
      <c r="L156" s="128">
        <f t="shared" si="4"/>
        <v>304226.5263029933</v>
      </c>
      <c r="M156" s="128">
        <v>38605</v>
      </c>
      <c r="N156" s="128">
        <v>84</v>
      </c>
      <c r="O156" s="128">
        <v>545</v>
      </c>
      <c r="P156" s="128">
        <v>26</v>
      </c>
      <c r="Q156" s="128">
        <v>4237</v>
      </c>
      <c r="R156" s="128">
        <v>60827</v>
      </c>
      <c r="S156" s="128">
        <v>61626</v>
      </c>
      <c r="T156" s="128">
        <v>56196</v>
      </c>
      <c r="U156" s="128">
        <v>56815</v>
      </c>
      <c r="V156" s="188">
        <f t="shared" si="5"/>
        <v>0.63466881483551707</v>
      </c>
      <c r="W156" s="238">
        <v>4.8099999999999997E-2</v>
      </c>
      <c r="X156" s="358">
        <v>8</v>
      </c>
      <c r="AF156" s="238"/>
    </row>
    <row r="157" spans="2:32" x14ac:dyDescent="0.25">
      <c r="B157" t="s">
        <v>868</v>
      </c>
      <c r="C157" s="128">
        <v>158487444.33285576</v>
      </c>
      <c r="D157" s="128">
        <v>138868193.33285576</v>
      </c>
      <c r="E157" s="128">
        <v>2387152</v>
      </c>
      <c r="F157" s="128">
        <v>0</v>
      </c>
      <c r="G157" s="128">
        <v>14846384</v>
      </c>
      <c r="H157" s="128">
        <v>2385715</v>
      </c>
      <c r="I157" s="128">
        <v>18588347</v>
      </c>
      <c r="L157" s="128">
        <f t="shared" si="4"/>
        <v>0</v>
      </c>
      <c r="M157" s="242">
        <v>170725</v>
      </c>
      <c r="N157" s="242">
        <v>0</v>
      </c>
      <c r="O157" s="242">
        <v>0</v>
      </c>
      <c r="P157" s="242">
        <v>0</v>
      </c>
      <c r="Q157" s="242">
        <v>17573</v>
      </c>
      <c r="R157" s="242">
        <v>242548</v>
      </c>
      <c r="S157" s="242">
        <v>241877</v>
      </c>
      <c r="T157" s="128">
        <v>242548</v>
      </c>
      <c r="U157" s="128">
        <v>241877</v>
      </c>
      <c r="V157" s="188">
        <f t="shared" si="5"/>
        <v>0.70388129359961737</v>
      </c>
      <c r="W157" s="238">
        <v>3.9399999999999998E-2</v>
      </c>
      <c r="X157" s="358">
        <v>8</v>
      </c>
      <c r="AF157" s="238"/>
    </row>
    <row r="158" spans="2:32" x14ac:dyDescent="0.25">
      <c r="B158" t="s">
        <v>410</v>
      </c>
      <c r="C158" s="128">
        <v>83998547.169205785</v>
      </c>
      <c r="D158" s="128">
        <v>71633452.169205785</v>
      </c>
      <c r="E158" s="128">
        <v>1793984</v>
      </c>
      <c r="F158" s="128">
        <v>0</v>
      </c>
      <c r="G158" s="128">
        <v>9885154</v>
      </c>
      <c r="H158" s="128">
        <v>685957</v>
      </c>
      <c r="I158" s="128">
        <v>13951988</v>
      </c>
      <c r="L158" s="128">
        <f t="shared" si="4"/>
        <v>437464.8307942152</v>
      </c>
      <c r="M158" s="128">
        <v>98388</v>
      </c>
      <c r="N158" s="128">
        <v>69</v>
      </c>
      <c r="O158" s="128">
        <v>789</v>
      </c>
      <c r="P158" s="128">
        <v>397</v>
      </c>
      <c r="Q158" s="128">
        <v>145</v>
      </c>
      <c r="R158" s="128">
        <v>121312</v>
      </c>
      <c r="S158" s="128">
        <v>124220</v>
      </c>
      <c r="T158" s="128">
        <v>112136</v>
      </c>
      <c r="U158" s="128">
        <v>113874</v>
      </c>
      <c r="V158" s="188">
        <f t="shared" si="5"/>
        <v>0.8110327090477446</v>
      </c>
      <c r="W158" s="238">
        <v>4.8399999999999999E-2</v>
      </c>
      <c r="X158" s="358">
        <v>6.5</v>
      </c>
      <c r="AF158" s="238"/>
    </row>
    <row r="159" spans="2:32" x14ac:dyDescent="0.25">
      <c r="B159" t="s">
        <v>263</v>
      </c>
      <c r="C159" s="128">
        <v>16156062.026856121</v>
      </c>
      <c r="D159" s="128">
        <v>15299254.026856121</v>
      </c>
      <c r="E159" s="128">
        <v>260068</v>
      </c>
      <c r="F159" s="128">
        <v>0</v>
      </c>
      <c r="G159" s="128">
        <v>282191</v>
      </c>
      <c r="H159" s="128">
        <v>314549</v>
      </c>
      <c r="I159" s="128">
        <v>0</v>
      </c>
      <c r="L159" s="128">
        <f t="shared" si="4"/>
        <v>1800937.9731438793</v>
      </c>
      <c r="M159" s="128">
        <v>17957</v>
      </c>
      <c r="N159" s="128">
        <v>81</v>
      </c>
      <c r="O159" s="128">
        <v>220</v>
      </c>
      <c r="P159" s="128">
        <v>48</v>
      </c>
      <c r="Q159" s="128">
        <v>216</v>
      </c>
      <c r="R159" s="128">
        <v>25924</v>
      </c>
      <c r="S159" s="128">
        <v>26095</v>
      </c>
      <c r="T159" s="128">
        <v>23365</v>
      </c>
      <c r="U159" s="128">
        <v>24217</v>
      </c>
      <c r="V159" s="188">
        <f t="shared" si="5"/>
        <v>0.69267859898163864</v>
      </c>
      <c r="W159" s="238">
        <v>4.9599999999999998E-2</v>
      </c>
      <c r="X159" s="358">
        <v>5.5</v>
      </c>
      <c r="AF159" s="238"/>
    </row>
    <row r="160" spans="2:32" x14ac:dyDescent="0.25">
      <c r="B160" t="s">
        <v>302</v>
      </c>
      <c r="C160" s="128">
        <v>80831858.027311832</v>
      </c>
      <c r="D160" s="128">
        <v>79034834.027311832</v>
      </c>
      <c r="E160" s="128">
        <v>724216</v>
      </c>
      <c r="F160" s="128">
        <v>0</v>
      </c>
      <c r="G160" s="128">
        <v>232562</v>
      </c>
      <c r="H160" s="128">
        <v>840246</v>
      </c>
      <c r="I160" s="128">
        <v>8937283</v>
      </c>
      <c r="L160" s="128">
        <f t="shared" si="4"/>
        <v>0</v>
      </c>
      <c r="M160" s="243">
        <v>89170</v>
      </c>
      <c r="N160" s="243">
        <v>224</v>
      </c>
      <c r="O160" s="243">
        <v>1861</v>
      </c>
      <c r="P160" s="243">
        <v>450</v>
      </c>
      <c r="Q160" s="243">
        <v>38143</v>
      </c>
      <c r="R160" s="243">
        <v>169783</v>
      </c>
      <c r="S160" s="243">
        <v>178580</v>
      </c>
      <c r="T160" s="128">
        <v>178485</v>
      </c>
      <c r="U160" s="128">
        <v>190553</v>
      </c>
      <c r="V160" s="188">
        <f t="shared" si="5"/>
        <v>0.52519981388007042</v>
      </c>
      <c r="W160" s="238">
        <v>5.11E-2</v>
      </c>
      <c r="X160" s="358">
        <v>7</v>
      </c>
      <c r="AF160" s="238"/>
    </row>
    <row r="161" spans="2:32" x14ac:dyDescent="0.25">
      <c r="B161" t="s">
        <v>265</v>
      </c>
      <c r="C161" s="128">
        <v>14288945.72208938</v>
      </c>
      <c r="D161" s="128">
        <v>13562053.72208938</v>
      </c>
      <c r="E161" s="128">
        <v>150984</v>
      </c>
      <c r="F161" s="128">
        <v>0</v>
      </c>
      <c r="G161" s="128">
        <v>315382</v>
      </c>
      <c r="H161" s="128">
        <v>260526</v>
      </c>
      <c r="I161" s="128">
        <v>0</v>
      </c>
      <c r="L161" s="128">
        <f t="shared" si="4"/>
        <v>1331054.27791062</v>
      </c>
      <c r="M161" s="128">
        <v>15620</v>
      </c>
      <c r="N161" s="128">
        <v>46</v>
      </c>
      <c r="O161" s="128">
        <v>802</v>
      </c>
      <c r="P161" s="128">
        <v>0</v>
      </c>
      <c r="Q161" s="128">
        <v>0</v>
      </c>
      <c r="R161" s="128">
        <v>26018</v>
      </c>
      <c r="S161" s="128">
        <v>27230</v>
      </c>
      <c r="T161" s="128">
        <v>25346</v>
      </c>
      <c r="U161" s="128">
        <v>25892</v>
      </c>
      <c r="V161" s="188">
        <f t="shared" si="5"/>
        <v>0.60035360135290949</v>
      </c>
      <c r="W161" s="238">
        <v>4.48E-2</v>
      </c>
      <c r="X161" s="358">
        <v>6.5</v>
      </c>
      <c r="AF161" s="238"/>
    </row>
    <row r="162" spans="2:32" x14ac:dyDescent="0.25">
      <c r="B162" t="s">
        <v>132</v>
      </c>
      <c r="C162" s="128">
        <v>346289768.81278622</v>
      </c>
      <c r="D162" s="128">
        <v>259687133.81278622</v>
      </c>
      <c r="E162" s="128">
        <v>8925045</v>
      </c>
      <c r="F162" s="128">
        <v>39446494</v>
      </c>
      <c r="G162" s="128">
        <v>13760772</v>
      </c>
      <c r="H162" s="128">
        <v>24470324</v>
      </c>
      <c r="I162" s="128">
        <v>79064831</v>
      </c>
      <c r="L162" s="128">
        <f t="shared" si="4"/>
        <v>20774400.187213778</v>
      </c>
      <c r="M162" s="128">
        <v>446129</v>
      </c>
      <c r="N162" s="128">
        <v>1841</v>
      </c>
      <c r="O162" s="128">
        <v>8953</v>
      </c>
      <c r="P162" s="128">
        <v>302</v>
      </c>
      <c r="Q162" s="128">
        <v>23384</v>
      </c>
      <c r="R162" s="128">
        <v>584924</v>
      </c>
      <c r="S162" s="128">
        <v>582083</v>
      </c>
      <c r="T162" s="128">
        <v>575746</v>
      </c>
      <c r="U162" s="128">
        <v>574938</v>
      </c>
      <c r="V162" s="188">
        <f t="shared" si="5"/>
        <v>0.76271276268369903</v>
      </c>
      <c r="W162" s="238">
        <v>4.0500000000000001E-2</v>
      </c>
      <c r="X162" s="358">
        <v>7.5</v>
      </c>
      <c r="AF162" s="238"/>
    </row>
    <row r="163" spans="2:32" x14ac:dyDescent="0.25">
      <c r="B163" t="s">
        <v>303</v>
      </c>
      <c r="C163" s="128">
        <v>291644284.32254887</v>
      </c>
      <c r="D163" s="128">
        <v>220581203.32254887</v>
      </c>
      <c r="E163" s="128">
        <v>4385683</v>
      </c>
      <c r="F163" s="128">
        <v>29763515</v>
      </c>
      <c r="G163" s="128">
        <v>19953011</v>
      </c>
      <c r="H163" s="128">
        <v>16960872</v>
      </c>
      <c r="I163" s="128">
        <v>53185029</v>
      </c>
      <c r="L163" s="128">
        <f t="shared" si="4"/>
        <v>10979686.677451134</v>
      </c>
      <c r="M163" s="128">
        <v>355809</v>
      </c>
      <c r="N163" s="128">
        <v>2920</v>
      </c>
      <c r="O163" s="128">
        <v>12267</v>
      </c>
      <c r="P163" s="128">
        <v>2830</v>
      </c>
      <c r="Q163" s="128">
        <v>20540</v>
      </c>
      <c r="R163" s="128">
        <v>526416</v>
      </c>
      <c r="S163" s="128">
        <v>532569</v>
      </c>
      <c r="T163" s="128">
        <v>508615</v>
      </c>
      <c r="U163" s="128">
        <v>515828</v>
      </c>
      <c r="V163" s="188">
        <f t="shared" si="5"/>
        <v>0.67590840703929966</v>
      </c>
      <c r="W163" s="238">
        <v>3.4500000000000003E-2</v>
      </c>
      <c r="X163" s="358">
        <v>4.5</v>
      </c>
      <c r="AF163" s="238"/>
    </row>
    <row r="164" spans="2:32" x14ac:dyDescent="0.25">
      <c r="B164" t="s">
        <v>304</v>
      </c>
      <c r="C164" s="128">
        <v>40807718.315726414</v>
      </c>
      <c r="D164" s="128">
        <v>39656736.315726414</v>
      </c>
      <c r="E164" s="128">
        <v>610413</v>
      </c>
      <c r="F164" s="128">
        <v>0</v>
      </c>
      <c r="G164" s="128">
        <v>228335</v>
      </c>
      <c r="H164" s="128">
        <v>312234</v>
      </c>
      <c r="I164" s="243">
        <v>5741846</v>
      </c>
      <c r="L164" s="128">
        <f t="shared" si="4"/>
        <v>0</v>
      </c>
      <c r="M164" s="128">
        <v>46043</v>
      </c>
      <c r="N164" s="128">
        <v>74</v>
      </c>
      <c r="O164" s="128">
        <v>1678</v>
      </c>
      <c r="P164" s="128">
        <v>592</v>
      </c>
      <c r="Q164" s="128">
        <v>2145</v>
      </c>
      <c r="R164" s="128">
        <v>67258</v>
      </c>
      <c r="S164" s="128">
        <v>68006</v>
      </c>
      <c r="T164" s="128">
        <v>68221</v>
      </c>
      <c r="U164" s="128">
        <v>68279</v>
      </c>
      <c r="V164" s="188">
        <f t="shared" si="5"/>
        <v>0.68457283891879028</v>
      </c>
      <c r="W164" s="238">
        <v>4.3999999999999997E-2</v>
      </c>
      <c r="X164" s="358">
        <v>6.5</v>
      </c>
      <c r="AF164" s="238"/>
    </row>
    <row r="165" spans="2:32" x14ac:dyDescent="0.25">
      <c r="B165" t="s">
        <v>305</v>
      </c>
      <c r="C165" s="128">
        <v>129592302.10903549</v>
      </c>
      <c r="D165" s="128">
        <v>123378041.10903549</v>
      </c>
      <c r="E165" s="128">
        <v>1890466</v>
      </c>
      <c r="F165" s="128">
        <v>0</v>
      </c>
      <c r="G165" s="128">
        <v>3070937</v>
      </c>
      <c r="H165" s="128">
        <v>1252858</v>
      </c>
      <c r="I165" s="128">
        <v>27115992</v>
      </c>
      <c r="L165" s="128">
        <f t="shared" si="4"/>
        <v>2187705.8909645081</v>
      </c>
      <c r="M165" s="128">
        <v>158896</v>
      </c>
      <c r="N165" s="128">
        <v>167</v>
      </c>
      <c r="O165" s="128">
        <v>4686</v>
      </c>
      <c r="P165" s="128">
        <v>906</v>
      </c>
      <c r="Q165" s="128">
        <v>16304</v>
      </c>
      <c r="R165" s="128">
        <v>229929</v>
      </c>
      <c r="S165" s="128">
        <v>242332</v>
      </c>
      <c r="T165" s="128">
        <v>217824</v>
      </c>
      <c r="U165" s="128">
        <v>228177</v>
      </c>
      <c r="V165" s="188">
        <f t="shared" si="5"/>
        <v>0.69106550282913426</v>
      </c>
      <c r="W165" s="238">
        <v>4.9399999999999999E-2</v>
      </c>
      <c r="X165" s="358">
        <v>8</v>
      </c>
      <c r="AF165" s="238"/>
    </row>
    <row r="166" spans="2:32" x14ac:dyDescent="0.25">
      <c r="B166" t="s">
        <v>431</v>
      </c>
      <c r="C166" s="128">
        <v>163754317.95085353</v>
      </c>
      <c r="D166" s="128">
        <v>149386149.95085353</v>
      </c>
      <c r="E166" s="128">
        <v>4841049</v>
      </c>
      <c r="F166" s="128">
        <v>0</v>
      </c>
      <c r="G166" s="128">
        <v>7017259</v>
      </c>
      <c r="H166" s="128">
        <v>2509860</v>
      </c>
      <c r="I166" s="128">
        <v>33079640</v>
      </c>
      <c r="L166" s="128">
        <f t="shared" si="4"/>
        <v>1760042.0491464734</v>
      </c>
      <c r="M166" s="128">
        <v>198594</v>
      </c>
      <c r="N166" s="128">
        <v>758</v>
      </c>
      <c r="O166" s="128">
        <v>4195</v>
      </c>
      <c r="P166" s="128">
        <v>600</v>
      </c>
      <c r="Q166" s="128">
        <v>20432</v>
      </c>
      <c r="R166" s="128">
        <v>291483</v>
      </c>
      <c r="S166" s="128">
        <v>299304</v>
      </c>
      <c r="T166" s="128">
        <v>285290</v>
      </c>
      <c r="U166" s="128">
        <v>290821</v>
      </c>
      <c r="V166" s="188">
        <f t="shared" si="5"/>
        <v>0.68132275295643319</v>
      </c>
      <c r="W166" s="238">
        <v>4.2900000000000001E-2</v>
      </c>
      <c r="X166" s="358">
        <v>5.5</v>
      </c>
      <c r="AF166" s="238"/>
    </row>
    <row r="167" spans="2:32" x14ac:dyDescent="0.25">
      <c r="B167" t="s">
        <v>411</v>
      </c>
      <c r="C167" s="128">
        <v>57328906.799400032</v>
      </c>
      <c r="D167" s="128">
        <v>51599186.799400032</v>
      </c>
      <c r="E167" s="128">
        <v>2208103</v>
      </c>
      <c r="F167" s="128">
        <v>0</v>
      </c>
      <c r="G167" s="128">
        <v>2881419</v>
      </c>
      <c r="H167" s="128">
        <v>640198</v>
      </c>
      <c r="I167" s="243">
        <v>5189574</v>
      </c>
      <c r="L167" s="128">
        <f t="shared" si="4"/>
        <v>0</v>
      </c>
      <c r="M167" s="128">
        <v>59576</v>
      </c>
      <c r="N167" s="128">
        <v>134</v>
      </c>
      <c r="O167" s="128">
        <v>847</v>
      </c>
      <c r="P167" s="128">
        <v>825</v>
      </c>
      <c r="Q167" s="128">
        <v>39</v>
      </c>
      <c r="R167" s="128">
        <v>82817</v>
      </c>
      <c r="S167" s="128">
        <v>84084</v>
      </c>
      <c r="T167" s="128">
        <v>81773</v>
      </c>
      <c r="U167" s="128">
        <v>84763</v>
      </c>
      <c r="V167" s="188">
        <f t="shared" si="5"/>
        <v>0.71936921163529222</v>
      </c>
      <c r="W167" s="238">
        <v>4.19E-2</v>
      </c>
      <c r="X167" s="358">
        <v>7</v>
      </c>
      <c r="AF167" s="238"/>
    </row>
    <row r="168" spans="2:32" x14ac:dyDescent="0.25">
      <c r="B168" t="s">
        <v>223</v>
      </c>
      <c r="C168" s="128">
        <v>40909448.637493789</v>
      </c>
      <c r="D168" s="128">
        <v>38441594.637493789</v>
      </c>
      <c r="E168" s="128">
        <v>590922</v>
      </c>
      <c r="F168" s="128">
        <v>0</v>
      </c>
      <c r="G168" s="128">
        <v>1434156</v>
      </c>
      <c r="H168" s="128">
        <v>442776</v>
      </c>
      <c r="I168" s="128">
        <v>4721228</v>
      </c>
      <c r="L168" s="128">
        <f t="shared" si="4"/>
        <v>0</v>
      </c>
      <c r="M168" s="128">
        <v>42869</v>
      </c>
      <c r="N168" s="128">
        <v>3</v>
      </c>
      <c r="O168" s="128">
        <v>1802</v>
      </c>
      <c r="P168" s="128">
        <v>0</v>
      </c>
      <c r="Q168" s="128">
        <v>401</v>
      </c>
      <c r="R168" s="128">
        <v>62212</v>
      </c>
      <c r="S168" s="128">
        <v>63782</v>
      </c>
      <c r="T168" s="128">
        <v>61637</v>
      </c>
      <c r="U168" s="128">
        <v>63902</v>
      </c>
      <c r="V168" s="188">
        <f t="shared" si="5"/>
        <v>0.68907927730984375</v>
      </c>
      <c r="W168" s="238">
        <v>5.1799999999999999E-2</v>
      </c>
      <c r="X168" s="358">
        <v>5</v>
      </c>
      <c r="AF168" s="238"/>
    </row>
    <row r="169" spans="2:32" x14ac:dyDescent="0.25">
      <c r="B169" t="s">
        <v>187</v>
      </c>
      <c r="C169" s="128">
        <v>71870805.659126788</v>
      </c>
      <c r="D169" s="128">
        <v>66168166.659126781</v>
      </c>
      <c r="E169" s="128">
        <v>960256</v>
      </c>
      <c r="F169" s="128">
        <v>0</v>
      </c>
      <c r="G169" s="128">
        <v>3980561</v>
      </c>
      <c r="H169" s="128">
        <v>761822</v>
      </c>
      <c r="I169" s="128">
        <v>7609969</v>
      </c>
      <c r="L169" s="128">
        <f t="shared" si="4"/>
        <v>0</v>
      </c>
      <c r="M169" s="128">
        <v>79249</v>
      </c>
      <c r="N169" s="128">
        <v>166</v>
      </c>
      <c r="O169" s="128">
        <v>1272</v>
      </c>
      <c r="P169" s="128">
        <v>24</v>
      </c>
      <c r="Q169" s="128">
        <v>446</v>
      </c>
      <c r="R169" s="128">
        <v>113331</v>
      </c>
      <c r="S169" s="128">
        <v>112800</v>
      </c>
      <c r="T169" s="128">
        <v>110546</v>
      </c>
      <c r="U169" s="128">
        <v>115185</v>
      </c>
      <c r="V169" s="188">
        <f t="shared" si="5"/>
        <v>0.69927027909398132</v>
      </c>
      <c r="W169" s="238">
        <v>4.2799999999999998E-2</v>
      </c>
      <c r="X169" s="358">
        <v>8.5</v>
      </c>
      <c r="AF169" s="238"/>
    </row>
    <row r="170" spans="2:32" x14ac:dyDescent="0.25">
      <c r="B170" t="s">
        <v>306</v>
      </c>
      <c r="C170" s="128">
        <v>34540034.195049182</v>
      </c>
      <c r="D170" s="128">
        <v>31927153.195049182</v>
      </c>
      <c r="E170" s="128">
        <v>518676</v>
      </c>
      <c r="F170" s="128">
        <v>0</v>
      </c>
      <c r="G170" s="128">
        <v>1701791</v>
      </c>
      <c r="H170" s="128">
        <v>392414</v>
      </c>
      <c r="I170" s="128">
        <v>3772993</v>
      </c>
      <c r="L170" s="128">
        <f t="shared" si="4"/>
        <v>0</v>
      </c>
      <c r="M170" s="128">
        <v>37061</v>
      </c>
      <c r="N170" s="128">
        <v>132</v>
      </c>
      <c r="O170" s="128">
        <v>965</v>
      </c>
      <c r="P170" s="128">
        <v>444</v>
      </c>
      <c r="Q170" s="128">
        <v>0</v>
      </c>
      <c r="R170" s="128">
        <v>53414</v>
      </c>
      <c r="S170" s="128">
        <v>55445</v>
      </c>
      <c r="T170" s="128">
        <v>51525</v>
      </c>
      <c r="U170" s="128">
        <v>55933</v>
      </c>
      <c r="V170" s="188">
        <f t="shared" si="5"/>
        <v>0.69384431048039841</v>
      </c>
      <c r="W170" s="238">
        <v>3.7499999999999999E-2</v>
      </c>
      <c r="X170" s="358">
        <v>5.5</v>
      </c>
      <c r="AF170" s="238"/>
    </row>
    <row r="171" spans="2:32" x14ac:dyDescent="0.25">
      <c r="B171" t="s">
        <v>188</v>
      </c>
      <c r="C171" s="128">
        <v>53862401.532662466</v>
      </c>
      <c r="D171" s="128">
        <v>50042702.532662466</v>
      </c>
      <c r="E171" s="128">
        <v>671019</v>
      </c>
      <c r="F171" s="128">
        <v>0</v>
      </c>
      <c r="G171" s="128">
        <v>2580721</v>
      </c>
      <c r="H171" s="128">
        <v>567959</v>
      </c>
      <c r="I171" s="128">
        <v>6502282</v>
      </c>
      <c r="L171" s="128">
        <f t="shared" si="4"/>
        <v>0</v>
      </c>
      <c r="M171" s="128">
        <v>57227</v>
      </c>
      <c r="N171" s="128">
        <v>140</v>
      </c>
      <c r="O171" s="128">
        <v>796</v>
      </c>
      <c r="P171" s="128">
        <v>442</v>
      </c>
      <c r="Q171" s="128">
        <v>1461</v>
      </c>
      <c r="R171" s="128">
        <v>81453</v>
      </c>
      <c r="S171" s="128">
        <v>84750</v>
      </c>
      <c r="T171" s="128">
        <v>83930</v>
      </c>
      <c r="U171" s="128">
        <v>85525</v>
      </c>
      <c r="V171" s="188">
        <f t="shared" si="5"/>
        <v>0.70257694621438127</v>
      </c>
      <c r="W171" s="238">
        <v>5.1700000000000003E-2</v>
      </c>
      <c r="X171" s="358">
        <v>6.5</v>
      </c>
      <c r="AF171" s="238"/>
    </row>
    <row r="172" spans="2:32" x14ac:dyDescent="0.25">
      <c r="B172" t="s">
        <v>377</v>
      </c>
      <c r="C172" s="128">
        <v>38139232.284105651</v>
      </c>
      <c r="D172" s="128">
        <v>33960083.284105651</v>
      </c>
      <c r="E172" s="128">
        <v>813488</v>
      </c>
      <c r="F172" s="128">
        <v>0</v>
      </c>
      <c r="G172" s="128">
        <v>2924895</v>
      </c>
      <c r="H172" s="128">
        <v>440766</v>
      </c>
      <c r="I172" s="128">
        <v>3707984</v>
      </c>
      <c r="L172" s="128">
        <f t="shared" si="4"/>
        <v>0</v>
      </c>
      <c r="M172" s="128">
        <v>41268</v>
      </c>
      <c r="N172" s="128">
        <v>42</v>
      </c>
      <c r="O172" s="128">
        <v>591</v>
      </c>
      <c r="P172" s="128">
        <v>58</v>
      </c>
      <c r="Q172" s="128">
        <v>43</v>
      </c>
      <c r="R172" s="128">
        <v>59738</v>
      </c>
      <c r="S172" s="128">
        <v>59683</v>
      </c>
      <c r="T172" s="128">
        <v>56726</v>
      </c>
      <c r="U172" s="128">
        <v>57521</v>
      </c>
      <c r="V172" s="188">
        <f t="shared" si="5"/>
        <v>0.69081656567009275</v>
      </c>
      <c r="W172" s="238">
        <v>3.9699999999999999E-2</v>
      </c>
      <c r="X172" s="358">
        <v>10</v>
      </c>
      <c r="AF172" s="238"/>
    </row>
    <row r="173" spans="2:32" x14ac:dyDescent="0.25">
      <c r="B173" t="s">
        <v>224</v>
      </c>
      <c r="C173" s="128">
        <v>21109024.550240163</v>
      </c>
      <c r="D173" s="128">
        <v>19816155.550240163</v>
      </c>
      <c r="E173" s="128">
        <v>172672</v>
      </c>
      <c r="F173" s="128">
        <v>0</v>
      </c>
      <c r="G173" s="128">
        <v>763643</v>
      </c>
      <c r="H173" s="128">
        <v>356554</v>
      </c>
      <c r="I173" s="128">
        <v>0</v>
      </c>
      <c r="L173" s="128">
        <f t="shared" si="4"/>
        <v>1401975.4497598372</v>
      </c>
      <c r="M173" s="128">
        <v>22511</v>
      </c>
      <c r="N173" s="128">
        <v>32</v>
      </c>
      <c r="O173" s="128">
        <v>522</v>
      </c>
      <c r="P173" s="128">
        <v>70</v>
      </c>
      <c r="Q173" s="128">
        <v>0</v>
      </c>
      <c r="R173" s="128">
        <v>32010</v>
      </c>
      <c r="S173" s="128">
        <v>33619</v>
      </c>
      <c r="T173" s="128">
        <v>30690</v>
      </c>
      <c r="U173" s="128">
        <v>30571</v>
      </c>
      <c r="V173" s="188">
        <f t="shared" si="5"/>
        <v>0.7032489846922837</v>
      </c>
      <c r="W173" s="238">
        <v>5.96E-2</v>
      </c>
      <c r="X173" s="358">
        <v>6.5</v>
      </c>
      <c r="AF173" s="238"/>
    </row>
    <row r="174" spans="2:32" x14ac:dyDescent="0.25">
      <c r="B174" t="s">
        <v>152</v>
      </c>
      <c r="C174" s="128">
        <v>40172295.00706818</v>
      </c>
      <c r="D174" s="128">
        <v>35855635.00706818</v>
      </c>
      <c r="E174" s="128">
        <v>739103</v>
      </c>
      <c r="F174" s="128">
        <v>0</v>
      </c>
      <c r="G174" s="128">
        <v>3024538</v>
      </c>
      <c r="H174" s="128">
        <v>553019</v>
      </c>
      <c r="I174" s="128">
        <v>4918221</v>
      </c>
      <c r="L174" s="128">
        <f t="shared" si="4"/>
        <v>266483.99293182045</v>
      </c>
      <c r="M174" s="128">
        <v>45357</v>
      </c>
      <c r="N174" s="128">
        <v>18</v>
      </c>
      <c r="O174" s="128">
        <v>480</v>
      </c>
      <c r="P174" s="128">
        <v>338</v>
      </c>
      <c r="Q174" s="128">
        <v>5359</v>
      </c>
      <c r="R174" s="128">
        <v>65135</v>
      </c>
      <c r="S174" s="128">
        <v>64998</v>
      </c>
      <c r="T174" s="128">
        <v>62104</v>
      </c>
      <c r="U174" s="128">
        <v>61765</v>
      </c>
      <c r="V174" s="188">
        <f t="shared" si="5"/>
        <v>0.69635372687495201</v>
      </c>
      <c r="W174" s="238">
        <v>4.53E-2</v>
      </c>
      <c r="X174" s="358">
        <v>8</v>
      </c>
      <c r="AF174" s="238"/>
    </row>
    <row r="175" spans="2:32" x14ac:dyDescent="0.25">
      <c r="B175" t="s">
        <v>189</v>
      </c>
      <c r="C175" s="128">
        <v>36543992.144886315</v>
      </c>
      <c r="D175" s="128">
        <v>33804106.144886315</v>
      </c>
      <c r="E175" s="128">
        <v>617880</v>
      </c>
      <c r="F175" s="128">
        <v>0</v>
      </c>
      <c r="G175" s="128">
        <v>1775590</v>
      </c>
      <c r="H175" s="128">
        <v>346416</v>
      </c>
      <c r="I175" s="128">
        <v>4083118</v>
      </c>
      <c r="L175" s="128">
        <f t="shared" si="4"/>
        <v>0</v>
      </c>
      <c r="M175" s="128">
        <v>40405</v>
      </c>
      <c r="N175" s="128">
        <v>215</v>
      </c>
      <c r="O175" s="128">
        <v>741</v>
      </c>
      <c r="P175" s="128">
        <v>59</v>
      </c>
      <c r="Q175" s="128">
        <v>2350</v>
      </c>
      <c r="R175" s="128">
        <v>59786</v>
      </c>
      <c r="S175" s="128">
        <v>59523</v>
      </c>
      <c r="T175" s="128">
        <v>57979</v>
      </c>
      <c r="U175" s="128">
        <v>57668</v>
      </c>
      <c r="V175" s="188">
        <f t="shared" si="5"/>
        <v>0.67582711671628815</v>
      </c>
      <c r="W175" s="238">
        <v>4.2000000000000003E-2</v>
      </c>
      <c r="X175" s="358">
        <v>8.5</v>
      </c>
      <c r="AF175" s="238"/>
    </row>
    <row r="176" spans="2:32" x14ac:dyDescent="0.25">
      <c r="B176" t="s">
        <v>412</v>
      </c>
      <c r="C176" s="128">
        <v>40264821.217574112</v>
      </c>
      <c r="D176" s="128">
        <v>35718450.217574112</v>
      </c>
      <c r="E176" s="128">
        <v>1275978</v>
      </c>
      <c r="F176" s="128">
        <v>0</v>
      </c>
      <c r="G176" s="128">
        <v>2385667</v>
      </c>
      <c r="H176" s="128">
        <v>884726</v>
      </c>
      <c r="I176" s="128">
        <v>3892291</v>
      </c>
      <c r="L176" s="128">
        <f t="shared" si="4"/>
        <v>0</v>
      </c>
      <c r="M176" s="128">
        <v>43787</v>
      </c>
      <c r="N176" s="128">
        <v>155</v>
      </c>
      <c r="O176" s="128">
        <v>1034</v>
      </c>
      <c r="P176" s="128">
        <v>92</v>
      </c>
      <c r="Q176" s="128">
        <v>0</v>
      </c>
      <c r="R176" s="128">
        <v>59797</v>
      </c>
      <c r="S176" s="128">
        <v>61051</v>
      </c>
      <c r="T176" s="128">
        <v>57465</v>
      </c>
      <c r="U176" s="128">
        <v>59772</v>
      </c>
      <c r="V176" s="188">
        <f t="shared" si="5"/>
        <v>0.73226081575998792</v>
      </c>
      <c r="W176" s="238">
        <v>4.3700000000000003E-2</v>
      </c>
      <c r="X176" s="358">
        <v>6.5</v>
      </c>
      <c r="AF176" s="238"/>
    </row>
    <row r="177" spans="2:32" x14ac:dyDescent="0.25">
      <c r="B177" t="s">
        <v>869</v>
      </c>
      <c r="C177" s="128">
        <v>102646523.31209144</v>
      </c>
      <c r="D177" s="128">
        <v>90079472.31209144</v>
      </c>
      <c r="E177" s="128">
        <v>1804918</v>
      </c>
      <c r="F177" s="128">
        <v>0</v>
      </c>
      <c r="G177" s="128">
        <v>9564038</v>
      </c>
      <c r="H177" s="128">
        <v>1198095</v>
      </c>
      <c r="I177" s="128">
        <v>13473492</v>
      </c>
      <c r="L177" s="128">
        <f t="shared" si="4"/>
        <v>19248.687908574939</v>
      </c>
      <c r="M177" s="242">
        <f>0.776*R177</f>
        <v>116139.26400000001</v>
      </c>
      <c r="N177" s="242">
        <v>0</v>
      </c>
      <c r="O177" s="242">
        <v>0</v>
      </c>
      <c r="P177" s="242">
        <v>0</v>
      </c>
      <c r="Q177" s="242">
        <v>346</v>
      </c>
      <c r="R177" s="242">
        <v>149664</v>
      </c>
      <c r="S177" s="242">
        <v>154696</v>
      </c>
      <c r="T177" s="128">
        <v>149664</v>
      </c>
      <c r="U177" s="128">
        <v>154696</v>
      </c>
      <c r="V177" s="341">
        <v>0.77600000000000002</v>
      </c>
      <c r="W177" s="238">
        <v>5.0799999999999998E-2</v>
      </c>
      <c r="X177" s="358">
        <v>7</v>
      </c>
      <c r="AF177" s="238"/>
    </row>
    <row r="178" spans="2:32" x14ac:dyDescent="0.25">
      <c r="B178" t="s">
        <v>307</v>
      </c>
      <c r="C178" s="128">
        <v>62759149.109958924</v>
      </c>
      <c r="D178" s="128">
        <v>57087247.109958924</v>
      </c>
      <c r="E178" s="128">
        <v>933794</v>
      </c>
      <c r="F178" s="128">
        <v>0</v>
      </c>
      <c r="G178" s="128">
        <v>4165962</v>
      </c>
      <c r="H178" s="128">
        <v>572146</v>
      </c>
      <c r="I178" s="128">
        <v>12803053</v>
      </c>
      <c r="L178" s="128">
        <f t="shared" si="4"/>
        <v>913797.89004107565</v>
      </c>
      <c r="M178" s="128">
        <v>76476</v>
      </c>
      <c r="N178" s="128">
        <v>639</v>
      </c>
      <c r="O178" s="128">
        <v>1494</v>
      </c>
      <c r="P178" s="128">
        <v>354</v>
      </c>
      <c r="Q178" s="128">
        <v>4064</v>
      </c>
      <c r="R178" s="128">
        <v>104154</v>
      </c>
      <c r="S178" s="128">
        <v>103700</v>
      </c>
      <c r="T178" s="128">
        <v>95642</v>
      </c>
      <c r="U178" s="128">
        <v>97973</v>
      </c>
      <c r="V178" s="188">
        <f t="shared" si="5"/>
        <v>0.73425888588052313</v>
      </c>
      <c r="W178" s="238">
        <v>3.78E-2</v>
      </c>
      <c r="X178" s="358">
        <v>9.5</v>
      </c>
      <c r="AF178" s="238"/>
    </row>
    <row r="179" spans="2:32" x14ac:dyDescent="0.25">
      <c r="B179" t="s">
        <v>413</v>
      </c>
      <c r="C179" s="128">
        <v>283153901.90923804</v>
      </c>
      <c r="D179" s="128">
        <v>224429560.90923804</v>
      </c>
      <c r="E179" s="128">
        <v>5446765</v>
      </c>
      <c r="F179" s="128">
        <v>20317557</v>
      </c>
      <c r="G179" s="128">
        <v>19680356</v>
      </c>
      <c r="H179" s="128">
        <v>13279663</v>
      </c>
      <c r="I179" s="243">
        <v>62991722</v>
      </c>
      <c r="L179" s="128">
        <f t="shared" si="4"/>
        <v>7782376.0907619596</v>
      </c>
      <c r="M179" s="128">
        <v>353928</v>
      </c>
      <c r="N179" s="128">
        <v>1013</v>
      </c>
      <c r="O179" s="128">
        <v>5114</v>
      </c>
      <c r="P179" s="128">
        <v>688</v>
      </c>
      <c r="Q179" s="128">
        <v>9370</v>
      </c>
      <c r="R179" s="128">
        <v>529732</v>
      </c>
      <c r="S179" s="128">
        <v>534184</v>
      </c>
      <c r="T179" s="128">
        <v>627454</v>
      </c>
      <c r="U179" s="128">
        <v>658635</v>
      </c>
      <c r="V179" s="188">
        <f t="shared" si="5"/>
        <v>0.66812652435571196</v>
      </c>
      <c r="W179" s="238">
        <v>3.1600000000000003E-2</v>
      </c>
      <c r="X179" s="358">
        <v>8</v>
      </c>
      <c r="AF179" s="238"/>
    </row>
    <row r="180" spans="2:32" x14ac:dyDescent="0.25">
      <c r="B180" t="s">
        <v>266</v>
      </c>
      <c r="C180" s="128">
        <v>72045499.092259318</v>
      </c>
      <c r="D180" s="128">
        <v>67327088.092259318</v>
      </c>
      <c r="E180" s="128">
        <v>1213308</v>
      </c>
      <c r="F180" s="128">
        <v>0</v>
      </c>
      <c r="G180" s="128">
        <v>2664305</v>
      </c>
      <c r="H180" s="128">
        <v>840798</v>
      </c>
      <c r="I180" s="128">
        <v>9442763</v>
      </c>
      <c r="L180" s="128">
        <f t="shared" si="4"/>
        <v>0</v>
      </c>
      <c r="M180" s="128">
        <v>80390</v>
      </c>
      <c r="N180" s="128">
        <v>220</v>
      </c>
      <c r="O180" s="128">
        <v>1163</v>
      </c>
      <c r="P180" s="128">
        <v>316</v>
      </c>
      <c r="Q180" s="128">
        <v>466</v>
      </c>
      <c r="R180" s="128">
        <v>122555</v>
      </c>
      <c r="S180" s="128">
        <v>110371</v>
      </c>
      <c r="T180" s="128">
        <v>101500</v>
      </c>
      <c r="U180" s="128">
        <v>105353</v>
      </c>
      <c r="V180" s="188">
        <f t="shared" si="5"/>
        <v>0.65595038962098651</v>
      </c>
      <c r="W180" s="238">
        <v>2.1000000000000001E-2</v>
      </c>
      <c r="X180" s="358">
        <v>8.5</v>
      </c>
      <c r="AF180" s="238"/>
    </row>
    <row r="181" spans="2:32" x14ac:dyDescent="0.25">
      <c r="B181" t="s">
        <v>414</v>
      </c>
      <c r="C181" s="128">
        <v>29562324.223244227</v>
      </c>
      <c r="D181" s="128">
        <v>27234079.223244227</v>
      </c>
      <c r="E181" s="128">
        <v>153204</v>
      </c>
      <c r="F181" s="128">
        <v>0</v>
      </c>
      <c r="G181" s="128">
        <v>1826253</v>
      </c>
      <c r="H181" s="128">
        <v>348788</v>
      </c>
      <c r="I181" s="128">
        <v>3386405</v>
      </c>
      <c r="L181" s="128">
        <f t="shared" si="4"/>
        <v>305270.77675577253</v>
      </c>
      <c r="M181" s="128">
        <v>33254</v>
      </c>
      <c r="N181" s="128">
        <v>61</v>
      </c>
      <c r="O181" s="128">
        <v>1048</v>
      </c>
      <c r="P181" s="128">
        <v>270</v>
      </c>
      <c r="Q181" s="128">
        <v>0</v>
      </c>
      <c r="R181" s="128">
        <v>49840</v>
      </c>
      <c r="S181" s="128">
        <v>49824</v>
      </c>
      <c r="T181" s="128">
        <v>46124</v>
      </c>
      <c r="U181" s="128">
        <v>47873</v>
      </c>
      <c r="V181" s="188">
        <f t="shared" si="5"/>
        <v>0.66721508828250398</v>
      </c>
      <c r="W181" s="238">
        <v>4.48E-2</v>
      </c>
      <c r="X181" s="358">
        <v>8.5</v>
      </c>
      <c r="AF181" s="238"/>
    </row>
    <row r="182" spans="2:32" x14ac:dyDescent="0.25">
      <c r="B182" t="s">
        <v>587</v>
      </c>
      <c r="C182" s="128">
        <v>136313714.20673358</v>
      </c>
      <c r="D182" s="128">
        <v>118093986.2067336</v>
      </c>
      <c r="E182" s="128">
        <v>2165485</v>
      </c>
      <c r="F182" s="128">
        <v>0</v>
      </c>
      <c r="G182" s="128">
        <v>14683973</v>
      </c>
      <c r="H182" s="128">
        <v>1370270</v>
      </c>
      <c r="I182" s="128">
        <v>14126789</v>
      </c>
      <c r="L182" s="128">
        <f t="shared" si="4"/>
        <v>0</v>
      </c>
      <c r="M182" s="128">
        <v>142353</v>
      </c>
      <c r="N182" s="128">
        <v>302</v>
      </c>
      <c r="O182" s="128">
        <v>5454</v>
      </c>
      <c r="P182" s="128">
        <v>225</v>
      </c>
      <c r="Q182" s="128">
        <v>13997</v>
      </c>
      <c r="R182" s="128">
        <v>236098</v>
      </c>
      <c r="S182" s="128">
        <v>245944</v>
      </c>
      <c r="T182" s="128">
        <v>223169</v>
      </c>
      <c r="U182" s="128">
        <v>227107</v>
      </c>
      <c r="V182" s="188">
        <f t="shared" si="5"/>
        <v>0.60294030444984714</v>
      </c>
      <c r="W182" s="238">
        <v>4.7E-2</v>
      </c>
      <c r="X182" s="358">
        <v>7</v>
      </c>
      <c r="AF182" s="238"/>
    </row>
    <row r="183" spans="2:32" x14ac:dyDescent="0.25">
      <c r="B183" t="s">
        <v>112</v>
      </c>
      <c r="C183" s="128">
        <v>71467559.925418735</v>
      </c>
      <c r="D183" s="128">
        <v>61499880.925418727</v>
      </c>
      <c r="E183" s="128">
        <v>2331621</v>
      </c>
      <c r="F183" s="128">
        <v>0</v>
      </c>
      <c r="G183" s="128">
        <v>6899939</v>
      </c>
      <c r="H183" s="128">
        <v>736119</v>
      </c>
      <c r="I183" s="128">
        <v>11268316</v>
      </c>
      <c r="L183" s="128">
        <f t="shared" si="4"/>
        <v>0</v>
      </c>
      <c r="M183" s="128">
        <v>81705</v>
      </c>
      <c r="N183" s="128">
        <v>98</v>
      </c>
      <c r="O183" s="128">
        <v>2261</v>
      </c>
      <c r="P183" s="128">
        <v>1005</v>
      </c>
      <c r="Q183" s="128">
        <v>5321</v>
      </c>
      <c r="R183" s="128">
        <v>115315</v>
      </c>
      <c r="S183" s="128">
        <v>114289</v>
      </c>
      <c r="T183" s="128">
        <v>112597</v>
      </c>
      <c r="U183" s="128">
        <v>111710</v>
      </c>
      <c r="V183" s="188">
        <f t="shared" si="5"/>
        <v>0.70853748428218355</v>
      </c>
      <c r="W183" s="238">
        <v>3.0200000000000001E-2</v>
      </c>
      <c r="X183" s="358">
        <v>8</v>
      </c>
      <c r="AF183" s="238"/>
    </row>
    <row r="184" spans="2:32" x14ac:dyDescent="0.25">
      <c r="B184" t="s">
        <v>334</v>
      </c>
      <c r="C184" s="128">
        <v>100056224.18798889</v>
      </c>
      <c r="D184" s="128">
        <v>90161737.187988892</v>
      </c>
      <c r="E184" s="128">
        <v>2818277</v>
      </c>
      <c r="F184" s="128">
        <v>0</v>
      </c>
      <c r="G184" s="128">
        <v>5712860</v>
      </c>
      <c r="H184" s="128">
        <v>1363350</v>
      </c>
      <c r="I184" s="128">
        <v>19580442</v>
      </c>
      <c r="L184" s="128">
        <f t="shared" si="4"/>
        <v>2170333.8120111078</v>
      </c>
      <c r="M184" s="128">
        <v>121807</v>
      </c>
      <c r="N184" s="128">
        <v>439</v>
      </c>
      <c r="O184" s="128">
        <v>3824</v>
      </c>
      <c r="P184" s="128">
        <v>172</v>
      </c>
      <c r="Q184" s="128">
        <v>5356</v>
      </c>
      <c r="R184" s="128">
        <v>179431</v>
      </c>
      <c r="S184" s="128">
        <v>177991</v>
      </c>
      <c r="T184" s="128">
        <v>171823</v>
      </c>
      <c r="U184" s="128">
        <v>172146</v>
      </c>
      <c r="V184" s="188">
        <f t="shared" si="5"/>
        <v>0.67885148051340072</v>
      </c>
      <c r="W184" s="238">
        <v>2.8500000000000001E-2</v>
      </c>
      <c r="X184" s="358">
        <v>7.5</v>
      </c>
      <c r="AF184" s="238"/>
    </row>
    <row r="185" spans="2:32" x14ac:dyDescent="0.25">
      <c r="B185" t="s">
        <v>308</v>
      </c>
      <c r="C185" s="128">
        <v>23496020.597156104</v>
      </c>
      <c r="D185" s="128">
        <v>22762877.597156104</v>
      </c>
      <c r="E185" s="128">
        <v>294323</v>
      </c>
      <c r="F185" s="128">
        <v>0</v>
      </c>
      <c r="G185" s="128">
        <v>118139</v>
      </c>
      <c r="H185" s="128">
        <v>320681</v>
      </c>
      <c r="I185" s="128">
        <v>2150885</v>
      </c>
      <c r="L185" s="128">
        <f t="shared" si="4"/>
        <v>0</v>
      </c>
      <c r="M185" s="128">
        <v>25454</v>
      </c>
      <c r="N185" s="128">
        <v>2640</v>
      </c>
      <c r="O185" s="128">
        <v>834</v>
      </c>
      <c r="P185" s="128">
        <v>1969</v>
      </c>
      <c r="Q185" s="128">
        <v>1995</v>
      </c>
      <c r="R185" s="128">
        <v>47801</v>
      </c>
      <c r="S185" s="128">
        <v>49795</v>
      </c>
      <c r="T185" s="128">
        <v>46959</v>
      </c>
      <c r="U185" s="128">
        <v>48939</v>
      </c>
      <c r="V185" s="188">
        <f t="shared" si="5"/>
        <v>0.5324993200979059</v>
      </c>
      <c r="W185" s="238">
        <v>3.4599999999999999E-2</v>
      </c>
      <c r="X185" s="358">
        <v>5</v>
      </c>
      <c r="AF185" s="238"/>
    </row>
    <row r="186" spans="2:32" x14ac:dyDescent="0.25">
      <c r="B186" t="s">
        <v>113</v>
      </c>
      <c r="C186" s="128">
        <v>56087963.828652501</v>
      </c>
      <c r="D186" s="128">
        <v>53496276.828652501</v>
      </c>
      <c r="E186" s="128">
        <v>1711673</v>
      </c>
      <c r="F186" s="128">
        <v>0</v>
      </c>
      <c r="G186" s="128">
        <v>243362</v>
      </c>
      <c r="H186" s="128">
        <v>636652</v>
      </c>
      <c r="I186" s="128">
        <v>7684170</v>
      </c>
      <c r="L186" s="128">
        <f t="shared" si="4"/>
        <v>822.17134749889374</v>
      </c>
      <c r="M186" s="242">
        <f>0.774*R186</f>
        <v>63772.955999999998</v>
      </c>
      <c r="N186" s="242">
        <v>0</v>
      </c>
      <c r="O186" s="242">
        <v>0</v>
      </c>
      <c r="P186" s="242">
        <v>0</v>
      </c>
      <c r="Q186" s="242">
        <v>2357</v>
      </c>
      <c r="R186" s="242">
        <v>82394</v>
      </c>
      <c r="S186" s="242">
        <v>81024</v>
      </c>
      <c r="T186" s="128">
        <v>82394</v>
      </c>
      <c r="U186" s="128">
        <v>81034</v>
      </c>
      <c r="V186" s="341">
        <v>0.77400000000000002</v>
      </c>
      <c r="W186" s="238">
        <v>3.7900000000000003E-2</v>
      </c>
      <c r="X186" s="358">
        <v>8.5</v>
      </c>
      <c r="AF186" s="238"/>
    </row>
    <row r="187" spans="2:32" x14ac:dyDescent="0.25">
      <c r="B187" t="s">
        <v>602</v>
      </c>
      <c r="C187" s="128">
        <v>135105675.12743303</v>
      </c>
      <c r="D187" s="128">
        <v>118008481.12743303</v>
      </c>
      <c r="E187" s="128">
        <v>4238611</v>
      </c>
      <c r="F187" s="128">
        <v>0</v>
      </c>
      <c r="G187" s="128">
        <v>11041354</v>
      </c>
      <c r="H187" s="128">
        <v>1817229</v>
      </c>
      <c r="I187" s="128">
        <v>30843569</v>
      </c>
      <c r="L187" s="128">
        <f t="shared" si="4"/>
        <v>20444755.872566968</v>
      </c>
      <c r="M187" s="128">
        <v>186394</v>
      </c>
      <c r="N187" s="128">
        <v>53</v>
      </c>
      <c r="O187" s="128">
        <v>1684</v>
      </c>
      <c r="P187" s="128">
        <v>255</v>
      </c>
      <c r="Q187" s="128">
        <v>5548</v>
      </c>
      <c r="R187" s="128">
        <v>242669</v>
      </c>
      <c r="S187" s="128">
        <v>245053</v>
      </c>
      <c r="T187" s="128">
        <v>228401</v>
      </c>
      <c r="U187" s="128">
        <v>232205</v>
      </c>
      <c r="V187" s="188">
        <f t="shared" si="5"/>
        <v>0.76809975728255364</v>
      </c>
      <c r="W187" s="238">
        <v>4.3400000000000001E-2</v>
      </c>
      <c r="X187" s="358">
        <v>5.5</v>
      </c>
      <c r="AF187" s="238"/>
    </row>
    <row r="188" spans="2:32" x14ac:dyDescent="0.25">
      <c r="B188" t="s">
        <v>379</v>
      </c>
      <c r="C188" s="128">
        <v>59194728.665697806</v>
      </c>
      <c r="D188" s="128">
        <v>54542638.665697806</v>
      </c>
      <c r="E188" s="128">
        <v>657314</v>
      </c>
      <c r="F188" s="128">
        <v>0</v>
      </c>
      <c r="G188" s="128">
        <v>2752363</v>
      </c>
      <c r="H188" s="128">
        <v>1242413</v>
      </c>
      <c r="I188" s="128">
        <v>8080202</v>
      </c>
      <c r="L188" s="128">
        <f t="shared" si="4"/>
        <v>0</v>
      </c>
      <c r="M188" s="128">
        <v>66728</v>
      </c>
      <c r="N188" s="128">
        <v>10</v>
      </c>
      <c r="O188" s="128">
        <v>1146</v>
      </c>
      <c r="P188" s="128">
        <v>34</v>
      </c>
      <c r="Q188" s="128">
        <v>5400</v>
      </c>
      <c r="R188" s="128">
        <v>108476</v>
      </c>
      <c r="S188" s="128">
        <v>106875</v>
      </c>
      <c r="T188" s="128">
        <v>105129</v>
      </c>
      <c r="U188" s="128">
        <v>110048</v>
      </c>
      <c r="V188" s="188">
        <f t="shared" si="5"/>
        <v>0.61514067627862379</v>
      </c>
      <c r="W188" s="238">
        <v>4.4299999999999999E-2</v>
      </c>
      <c r="X188" s="358">
        <v>7.5</v>
      </c>
      <c r="AF188" s="238"/>
    </row>
    <row r="189" spans="2:32" x14ac:dyDescent="0.25">
      <c r="B189" t="s">
        <v>603</v>
      </c>
      <c r="C189" s="128">
        <v>62666240.914247759</v>
      </c>
      <c r="D189" s="128">
        <v>59166564.914247759</v>
      </c>
      <c r="E189" s="128">
        <v>1239996</v>
      </c>
      <c r="F189" s="128">
        <v>0</v>
      </c>
      <c r="G189" s="128">
        <v>1273826</v>
      </c>
      <c r="H189" s="128">
        <v>985854</v>
      </c>
      <c r="I189" s="128">
        <v>6030661</v>
      </c>
      <c r="L189" s="128">
        <f t="shared" si="4"/>
        <v>2211098.0857522413</v>
      </c>
      <c r="M189" s="128">
        <v>70908</v>
      </c>
      <c r="N189" s="128">
        <v>17</v>
      </c>
      <c r="O189" s="128">
        <v>861</v>
      </c>
      <c r="P189" s="128">
        <v>453</v>
      </c>
      <c r="Q189" s="128">
        <v>3294</v>
      </c>
      <c r="R189" s="128">
        <v>105714</v>
      </c>
      <c r="S189" s="128">
        <v>108714</v>
      </c>
      <c r="T189" s="128">
        <v>100764</v>
      </c>
      <c r="U189" s="128">
        <v>103265</v>
      </c>
      <c r="V189" s="188">
        <f t="shared" si="5"/>
        <v>0.67075316419774111</v>
      </c>
      <c r="W189" s="238">
        <v>5.33E-2</v>
      </c>
      <c r="X189" s="358">
        <v>6.5</v>
      </c>
      <c r="AF189" s="238"/>
    </row>
    <row r="190" spans="2:32" x14ac:dyDescent="0.25">
      <c r="B190" t="s">
        <v>190</v>
      </c>
      <c r="C190" s="128">
        <v>62790700.295603335</v>
      </c>
      <c r="D190" s="128">
        <v>56021890.295603335</v>
      </c>
      <c r="E190" s="128">
        <v>1772497</v>
      </c>
      <c r="F190" s="128">
        <v>0</v>
      </c>
      <c r="G190" s="128">
        <v>4446819</v>
      </c>
      <c r="H190" s="128">
        <v>549494</v>
      </c>
      <c r="I190" s="128">
        <v>6935624</v>
      </c>
      <c r="L190" s="128">
        <f t="shared" si="4"/>
        <v>0</v>
      </c>
      <c r="M190" s="128">
        <v>68671</v>
      </c>
      <c r="N190" s="128">
        <v>59</v>
      </c>
      <c r="O190" s="128">
        <v>1143</v>
      </c>
      <c r="P190" s="128">
        <v>325</v>
      </c>
      <c r="Q190" s="128">
        <v>49</v>
      </c>
      <c r="R190" s="128">
        <v>91821</v>
      </c>
      <c r="S190" s="128">
        <v>89260</v>
      </c>
      <c r="T190" s="128">
        <v>85435</v>
      </c>
      <c r="U190" s="128">
        <v>87828</v>
      </c>
      <c r="V190" s="188">
        <f t="shared" si="5"/>
        <v>0.74787902549525709</v>
      </c>
      <c r="W190" s="238">
        <v>3.6499999999999998E-2</v>
      </c>
      <c r="X190" s="358">
        <v>8.5</v>
      </c>
      <c r="AF190" s="238"/>
    </row>
    <row r="191" spans="2:32" x14ac:dyDescent="0.25">
      <c r="B191" t="s">
        <v>438</v>
      </c>
      <c r="C191" s="128">
        <v>18606419.607132815</v>
      </c>
      <c r="D191" s="128">
        <v>17297058.607132815</v>
      </c>
      <c r="E191" s="128">
        <v>423320</v>
      </c>
      <c r="F191" s="128">
        <v>0</v>
      </c>
      <c r="G191" s="128">
        <v>481287</v>
      </c>
      <c r="H191" s="128">
        <v>404754</v>
      </c>
      <c r="I191" s="128">
        <v>0</v>
      </c>
      <c r="L191" s="128">
        <f t="shared" si="4"/>
        <v>1501580.3928671852</v>
      </c>
      <c r="M191" s="128">
        <v>20108</v>
      </c>
      <c r="N191" s="128">
        <v>8</v>
      </c>
      <c r="O191" s="128">
        <v>593</v>
      </c>
      <c r="P191" s="128">
        <v>0</v>
      </c>
      <c r="Q191" s="128">
        <v>0</v>
      </c>
      <c r="R191" s="128">
        <v>29748</v>
      </c>
      <c r="S191" s="128">
        <v>29210</v>
      </c>
      <c r="T191" s="128">
        <v>26884</v>
      </c>
      <c r="U191" s="128">
        <v>27961</v>
      </c>
      <c r="V191" s="188">
        <f t="shared" si="5"/>
        <v>0.67594460131773559</v>
      </c>
      <c r="W191" s="238">
        <v>5.0099999999999999E-2</v>
      </c>
      <c r="X191" s="358">
        <v>6</v>
      </c>
      <c r="AF191" s="238"/>
    </row>
    <row r="192" spans="2:32" x14ac:dyDescent="0.25">
      <c r="B192" t="s">
        <v>415</v>
      </c>
      <c r="C192" s="128">
        <v>10727663.654175807</v>
      </c>
      <c r="D192" s="128">
        <v>9785129.6541758068</v>
      </c>
      <c r="E192" s="128">
        <v>237635</v>
      </c>
      <c r="F192" s="128">
        <v>0</v>
      </c>
      <c r="G192" s="128">
        <v>456228</v>
      </c>
      <c r="H192" s="128">
        <v>248671</v>
      </c>
      <c r="I192" s="128">
        <v>0</v>
      </c>
      <c r="L192" s="128">
        <f t="shared" si="4"/>
        <v>2284336.3458241932</v>
      </c>
      <c r="M192" s="128">
        <v>13012</v>
      </c>
      <c r="N192" s="128">
        <v>25</v>
      </c>
      <c r="O192" s="128">
        <v>37</v>
      </c>
      <c r="P192" s="128">
        <v>288</v>
      </c>
      <c r="Q192" s="128">
        <v>0</v>
      </c>
      <c r="R192" s="128">
        <v>17653</v>
      </c>
      <c r="S192" s="128">
        <v>17648</v>
      </c>
      <c r="T192" s="128">
        <v>16425</v>
      </c>
      <c r="U192" s="128">
        <v>17018</v>
      </c>
      <c r="V192" s="188">
        <f t="shared" si="5"/>
        <v>0.73709851016824335</v>
      </c>
      <c r="W192" s="238">
        <v>6.5699999999999995E-2</v>
      </c>
      <c r="X192" s="358">
        <v>7</v>
      </c>
      <c r="AF192" s="238"/>
    </row>
    <row r="193" spans="2:32" x14ac:dyDescent="0.25">
      <c r="B193" t="s">
        <v>191</v>
      </c>
      <c r="C193" s="128">
        <v>37900269.266720206</v>
      </c>
      <c r="D193" s="128">
        <v>35559584.266720206</v>
      </c>
      <c r="E193" s="128">
        <v>671629</v>
      </c>
      <c r="F193" s="128">
        <v>0</v>
      </c>
      <c r="G193" s="128">
        <v>1206668</v>
      </c>
      <c r="H193" s="128">
        <v>462388</v>
      </c>
      <c r="I193" s="243">
        <v>4333469</v>
      </c>
      <c r="L193" s="128">
        <f t="shared" si="4"/>
        <v>0</v>
      </c>
      <c r="M193" s="128">
        <v>39998</v>
      </c>
      <c r="N193" s="128">
        <v>107</v>
      </c>
      <c r="O193" s="128">
        <v>736</v>
      </c>
      <c r="P193" s="128">
        <v>36</v>
      </c>
      <c r="Q193" s="128">
        <v>1313</v>
      </c>
      <c r="R193" s="128">
        <v>59441</v>
      </c>
      <c r="S193" s="128">
        <v>60764</v>
      </c>
      <c r="T193" s="128">
        <v>58791</v>
      </c>
      <c r="U193" s="128">
        <v>60441</v>
      </c>
      <c r="V193" s="188">
        <f t="shared" si="5"/>
        <v>0.67290254201645328</v>
      </c>
      <c r="W193" s="238">
        <v>4.8399999999999999E-2</v>
      </c>
      <c r="X193" s="358">
        <v>8</v>
      </c>
      <c r="AF193" s="238"/>
    </row>
    <row r="194" spans="2:32" x14ac:dyDescent="0.25">
      <c r="B194" t="s">
        <v>416</v>
      </c>
      <c r="C194" s="128">
        <v>28143639.232517947</v>
      </c>
      <c r="D194" s="128">
        <v>25021477.232517947</v>
      </c>
      <c r="E194" s="128">
        <v>452854</v>
      </c>
      <c r="F194" s="128">
        <v>0</v>
      </c>
      <c r="G194" s="128">
        <v>2287366</v>
      </c>
      <c r="H194" s="128">
        <v>381942</v>
      </c>
      <c r="I194" s="128">
        <v>2178077</v>
      </c>
      <c r="L194" s="128">
        <f t="shared" si="4"/>
        <v>438283.76748205349</v>
      </c>
      <c r="M194" s="128">
        <v>30760</v>
      </c>
      <c r="N194" s="128">
        <v>7</v>
      </c>
      <c r="O194" s="128">
        <v>278</v>
      </c>
      <c r="P194" s="128">
        <v>115</v>
      </c>
      <c r="Q194" s="128">
        <v>4746</v>
      </c>
      <c r="R194" s="128">
        <v>46271</v>
      </c>
      <c r="S194" s="128">
        <v>45374</v>
      </c>
      <c r="T194" s="128">
        <v>40092</v>
      </c>
      <c r="U194" s="128">
        <v>39683</v>
      </c>
      <c r="V194" s="188">
        <f t="shared" si="5"/>
        <v>0.66477923537420847</v>
      </c>
      <c r="W194" s="238">
        <v>5.3600000000000002E-2</v>
      </c>
      <c r="X194" s="358">
        <v>9</v>
      </c>
      <c r="AF194" s="238"/>
    </row>
    <row r="195" spans="2:32" x14ac:dyDescent="0.25">
      <c r="B195" t="s">
        <v>225</v>
      </c>
      <c r="C195" s="128">
        <v>110374987.49671648</v>
      </c>
      <c r="D195" s="128">
        <v>103636828.49671648</v>
      </c>
      <c r="E195" s="128">
        <v>2391687</v>
      </c>
      <c r="F195" s="128">
        <v>0</v>
      </c>
      <c r="G195" s="128">
        <v>3253453</v>
      </c>
      <c r="H195" s="128">
        <v>1093019</v>
      </c>
      <c r="I195" s="128">
        <v>18217020</v>
      </c>
      <c r="L195" s="128">
        <f t="shared" ref="L195:L258" si="6">IF(SUM(M195*1000,-I195,-C195)&gt;0,SUM(M195*1000,-I195,-C195),0)</f>
        <v>4056992.5032835156</v>
      </c>
      <c r="M195" s="128">
        <v>132649</v>
      </c>
      <c r="N195" s="128">
        <v>705</v>
      </c>
      <c r="O195" s="128">
        <v>5060</v>
      </c>
      <c r="P195" s="128">
        <v>236</v>
      </c>
      <c r="Q195" s="128">
        <v>26921</v>
      </c>
      <c r="R195" s="128">
        <v>229749</v>
      </c>
      <c r="S195" s="128">
        <v>232027</v>
      </c>
      <c r="T195" s="128">
        <v>212877</v>
      </c>
      <c r="U195" s="128">
        <v>217914</v>
      </c>
      <c r="V195" s="188">
        <f t="shared" ref="V195:V258" si="7">M195/R195</f>
        <v>0.57736486339439996</v>
      </c>
      <c r="W195" s="238">
        <v>3.3099999999999997E-2</v>
      </c>
      <c r="X195" s="358">
        <v>8.5</v>
      </c>
      <c r="AF195" s="238"/>
    </row>
    <row r="196" spans="2:32" x14ac:dyDescent="0.25">
      <c r="B196" t="s">
        <v>309</v>
      </c>
      <c r="C196" s="128">
        <v>39311879.663259514</v>
      </c>
      <c r="D196" s="128">
        <v>38362229.663259514</v>
      </c>
      <c r="E196" s="128">
        <v>394603</v>
      </c>
      <c r="F196" s="128">
        <v>0</v>
      </c>
      <c r="G196" s="128">
        <v>163098</v>
      </c>
      <c r="H196" s="128">
        <v>391949</v>
      </c>
      <c r="I196" s="128">
        <v>3923540</v>
      </c>
      <c r="L196" s="128">
        <f t="shared" si="6"/>
        <v>0</v>
      </c>
      <c r="M196" s="128">
        <v>40785</v>
      </c>
      <c r="N196" s="128">
        <v>118</v>
      </c>
      <c r="O196" s="128">
        <v>838</v>
      </c>
      <c r="P196" s="128">
        <v>480</v>
      </c>
      <c r="Q196" s="128">
        <v>7640</v>
      </c>
      <c r="R196" s="128">
        <v>75030</v>
      </c>
      <c r="S196" s="128">
        <v>75776</v>
      </c>
      <c r="T196" s="128">
        <v>75951</v>
      </c>
      <c r="U196" s="128">
        <v>75396</v>
      </c>
      <c r="V196" s="188">
        <f t="shared" si="7"/>
        <v>0.54358256697321072</v>
      </c>
      <c r="W196" s="238">
        <v>4.2500000000000003E-2</v>
      </c>
      <c r="X196" s="358">
        <v>7.5</v>
      </c>
      <c r="AF196" s="238"/>
    </row>
    <row r="197" spans="2:32" x14ac:dyDescent="0.25">
      <c r="B197" t="s">
        <v>192</v>
      </c>
      <c r="C197" s="128">
        <v>64124533.463970304</v>
      </c>
      <c r="D197" s="128">
        <v>60151841.463970304</v>
      </c>
      <c r="E197" s="128">
        <v>1161122</v>
      </c>
      <c r="F197" s="128">
        <v>0</v>
      </c>
      <c r="G197" s="128">
        <v>2086201</v>
      </c>
      <c r="H197" s="128">
        <v>725369</v>
      </c>
      <c r="I197" s="243">
        <v>7247333</v>
      </c>
      <c r="L197" s="128">
        <f t="shared" si="6"/>
        <v>0</v>
      </c>
      <c r="M197" s="128">
        <v>66802</v>
      </c>
      <c r="N197" s="128">
        <v>5</v>
      </c>
      <c r="O197" s="128">
        <v>754</v>
      </c>
      <c r="P197" s="128">
        <v>320</v>
      </c>
      <c r="Q197" s="128">
        <v>6639</v>
      </c>
      <c r="R197" s="128">
        <v>102386</v>
      </c>
      <c r="S197" s="128">
        <v>103901</v>
      </c>
      <c r="T197" s="128">
        <v>100274</v>
      </c>
      <c r="U197" s="128">
        <v>101475</v>
      </c>
      <c r="V197" s="188">
        <f t="shared" si="7"/>
        <v>0.65245248373801101</v>
      </c>
      <c r="W197" s="238">
        <v>4.3700000000000003E-2</v>
      </c>
      <c r="X197" s="358">
        <v>6.5</v>
      </c>
      <c r="AF197" s="238"/>
    </row>
    <row r="198" spans="2:32" x14ac:dyDescent="0.25">
      <c r="B198" t="s">
        <v>193</v>
      </c>
      <c r="C198" s="128">
        <v>443577692.05606657</v>
      </c>
      <c r="D198" s="128">
        <v>338010289.05606657</v>
      </c>
      <c r="E198" s="128">
        <v>10306130</v>
      </c>
      <c r="F198" s="128">
        <v>50525311</v>
      </c>
      <c r="G198" s="128">
        <v>23714908</v>
      </c>
      <c r="H198" s="128">
        <v>21021054</v>
      </c>
      <c r="I198" s="243">
        <v>107128394</v>
      </c>
      <c r="L198" s="128">
        <f t="shared" si="6"/>
        <v>4169913.9439334273</v>
      </c>
      <c r="M198" s="243">
        <v>554876</v>
      </c>
      <c r="N198" s="243">
        <v>833</v>
      </c>
      <c r="O198" s="243">
        <v>16124</v>
      </c>
      <c r="P198" s="243">
        <v>861</v>
      </c>
      <c r="Q198" s="243">
        <v>75575</v>
      </c>
      <c r="R198" s="243">
        <v>815863</v>
      </c>
      <c r="S198" s="243">
        <v>803072</v>
      </c>
      <c r="T198" s="128">
        <v>811173</v>
      </c>
      <c r="U198" s="128">
        <v>811179</v>
      </c>
      <c r="V198" s="188">
        <f t="shared" si="7"/>
        <v>0.68010928305364993</v>
      </c>
      <c r="W198" s="238">
        <v>2.7799999999999998E-2</v>
      </c>
      <c r="X198" s="358">
        <v>8</v>
      </c>
      <c r="AF198" s="238"/>
    </row>
    <row r="199" spans="2:32" x14ac:dyDescent="0.25">
      <c r="B199" t="s">
        <v>479</v>
      </c>
      <c r="C199" s="128">
        <v>187717711.67025942</v>
      </c>
      <c r="D199" s="128">
        <v>151586855.67025942</v>
      </c>
      <c r="E199" s="128">
        <v>6999200</v>
      </c>
      <c r="F199" s="128">
        <v>12984809</v>
      </c>
      <c r="G199" s="128">
        <v>8891173</v>
      </c>
      <c r="H199" s="128">
        <v>7255674</v>
      </c>
      <c r="I199" s="128">
        <v>34567910</v>
      </c>
      <c r="L199" s="128">
        <f t="shared" si="6"/>
        <v>4369378.3297405839</v>
      </c>
      <c r="M199" s="128">
        <v>226655</v>
      </c>
      <c r="N199" s="128">
        <v>763</v>
      </c>
      <c r="O199" s="128">
        <v>5624</v>
      </c>
      <c r="P199" s="128">
        <v>1400</v>
      </c>
      <c r="Q199" s="128">
        <v>19128</v>
      </c>
      <c r="R199" s="128">
        <v>310996</v>
      </c>
      <c r="S199" s="128">
        <v>317577</v>
      </c>
      <c r="T199" s="128">
        <v>291314</v>
      </c>
      <c r="U199" s="128">
        <v>299203</v>
      </c>
      <c r="V199" s="188">
        <f t="shared" si="7"/>
        <v>0.72880358589821093</v>
      </c>
      <c r="W199" s="238">
        <v>4.82E-2</v>
      </c>
      <c r="X199" s="358">
        <v>6.5</v>
      </c>
      <c r="AF199" s="238"/>
    </row>
    <row r="200" spans="2:32" x14ac:dyDescent="0.25">
      <c r="B200" t="s">
        <v>604</v>
      </c>
      <c r="C200" s="128">
        <v>99508649.001891002</v>
      </c>
      <c r="D200" s="128">
        <v>86807160.001891002</v>
      </c>
      <c r="E200" s="128">
        <v>1761770</v>
      </c>
      <c r="F200" s="128">
        <v>0</v>
      </c>
      <c r="G200" s="128">
        <v>10081546</v>
      </c>
      <c r="H200" s="128">
        <v>858173</v>
      </c>
      <c r="I200" s="128">
        <v>15990648</v>
      </c>
      <c r="L200" s="128">
        <f t="shared" si="6"/>
        <v>0</v>
      </c>
      <c r="M200" s="128">
        <v>111427</v>
      </c>
      <c r="N200" s="128">
        <v>108</v>
      </c>
      <c r="O200" s="128">
        <v>781</v>
      </c>
      <c r="P200" s="128">
        <v>511</v>
      </c>
      <c r="Q200" s="128">
        <v>35</v>
      </c>
      <c r="R200" s="128">
        <v>160636</v>
      </c>
      <c r="S200" s="128">
        <v>161466</v>
      </c>
      <c r="T200" s="128">
        <v>162686</v>
      </c>
      <c r="U200" s="128">
        <v>160056</v>
      </c>
      <c r="V200" s="188">
        <f t="shared" si="7"/>
        <v>0.69366144575313127</v>
      </c>
      <c r="W200" s="238">
        <v>3.8100000000000002E-2</v>
      </c>
      <c r="X200" s="358">
        <v>8</v>
      </c>
      <c r="AF200" s="238"/>
    </row>
    <row r="201" spans="2:32" x14ac:dyDescent="0.25">
      <c r="B201" t="s">
        <v>335</v>
      </c>
      <c r="C201" s="128">
        <v>13644961.619830683</v>
      </c>
      <c r="D201" s="128">
        <v>12261874.619830683</v>
      </c>
      <c r="E201" s="128">
        <v>442470</v>
      </c>
      <c r="F201" s="128">
        <v>0</v>
      </c>
      <c r="G201" s="128">
        <v>583063</v>
      </c>
      <c r="H201" s="128">
        <v>357554</v>
      </c>
      <c r="I201" s="128">
        <v>0</v>
      </c>
      <c r="L201" s="128">
        <f t="shared" si="6"/>
        <v>1786038.3801693171</v>
      </c>
      <c r="M201" s="128">
        <v>15431</v>
      </c>
      <c r="N201" s="128">
        <v>58</v>
      </c>
      <c r="O201" s="128">
        <v>483</v>
      </c>
      <c r="P201" s="128">
        <v>24</v>
      </c>
      <c r="Q201" s="128">
        <v>1529</v>
      </c>
      <c r="R201" s="128">
        <v>27944</v>
      </c>
      <c r="S201" s="128">
        <v>28643</v>
      </c>
      <c r="T201" s="128">
        <v>27996</v>
      </c>
      <c r="U201" s="128">
        <v>28678</v>
      </c>
      <c r="V201" s="188">
        <f t="shared" si="7"/>
        <v>0.55221156598912113</v>
      </c>
      <c r="W201" s="238">
        <v>3.7100000000000001E-2</v>
      </c>
      <c r="X201" s="358">
        <v>8.5</v>
      </c>
      <c r="AF201" s="238"/>
    </row>
    <row r="202" spans="2:32" x14ac:dyDescent="0.25">
      <c r="B202" t="s">
        <v>114</v>
      </c>
      <c r="C202" s="128">
        <v>54424706.65034046</v>
      </c>
      <c r="D202" s="128">
        <v>49464061.65034046</v>
      </c>
      <c r="E202" s="128">
        <v>1334589</v>
      </c>
      <c r="F202" s="128">
        <v>0</v>
      </c>
      <c r="G202" s="128">
        <v>3074530</v>
      </c>
      <c r="H202" s="128">
        <v>551526</v>
      </c>
      <c r="I202" s="128">
        <v>8050017</v>
      </c>
      <c r="L202" s="128">
        <f t="shared" si="6"/>
        <v>12594276.34965954</v>
      </c>
      <c r="M202" s="128">
        <v>75069</v>
      </c>
      <c r="N202" s="128">
        <v>228</v>
      </c>
      <c r="O202" s="128">
        <v>734</v>
      </c>
      <c r="P202" s="128">
        <v>117</v>
      </c>
      <c r="Q202" s="128">
        <v>3666</v>
      </c>
      <c r="R202" s="128">
        <v>101474</v>
      </c>
      <c r="S202" s="128">
        <v>101479</v>
      </c>
      <c r="T202" s="128">
        <v>93743</v>
      </c>
      <c r="U202" s="128">
        <v>95050</v>
      </c>
      <c r="V202" s="188">
        <f t="shared" si="7"/>
        <v>0.73978556083331692</v>
      </c>
      <c r="W202" s="238">
        <v>4.0300000000000002E-2</v>
      </c>
      <c r="X202" s="358">
        <v>6</v>
      </c>
      <c r="AF202" s="238"/>
    </row>
    <row r="203" spans="2:32" x14ac:dyDescent="0.25">
      <c r="B203" t="s">
        <v>432</v>
      </c>
      <c r="C203" s="128">
        <v>89764909.341624051</v>
      </c>
      <c r="D203" s="128">
        <v>81051308.341624051</v>
      </c>
      <c r="E203" s="128">
        <v>2045208</v>
      </c>
      <c r="F203" s="128">
        <v>0</v>
      </c>
      <c r="G203" s="128">
        <v>5272524</v>
      </c>
      <c r="H203" s="128">
        <v>1395869</v>
      </c>
      <c r="I203" s="128">
        <v>13954276</v>
      </c>
      <c r="L203" s="128">
        <f t="shared" si="6"/>
        <v>1692814.6583759487</v>
      </c>
      <c r="M203" s="128">
        <v>105412</v>
      </c>
      <c r="N203" s="128">
        <v>265</v>
      </c>
      <c r="O203" s="128">
        <v>1591</v>
      </c>
      <c r="P203" s="128">
        <v>30</v>
      </c>
      <c r="Q203" s="128">
        <v>5233</v>
      </c>
      <c r="R203" s="128">
        <v>143634</v>
      </c>
      <c r="S203" s="128">
        <v>141219</v>
      </c>
      <c r="T203" s="128">
        <v>133397</v>
      </c>
      <c r="U203" s="128">
        <v>137507</v>
      </c>
      <c r="V203" s="188">
        <f t="shared" si="7"/>
        <v>0.73389308937995179</v>
      </c>
      <c r="W203" s="238">
        <v>4.2799999999999998E-2</v>
      </c>
      <c r="X203" s="358">
        <v>8.5</v>
      </c>
      <c r="AF203" s="238"/>
    </row>
    <row r="204" spans="2:32" x14ac:dyDescent="0.25">
      <c r="B204" t="s">
        <v>310</v>
      </c>
      <c r="C204" s="128">
        <v>62816336.564783171</v>
      </c>
      <c r="D204" s="128">
        <v>59074827.564783171</v>
      </c>
      <c r="E204" s="128">
        <v>553556</v>
      </c>
      <c r="F204" s="128">
        <v>0</v>
      </c>
      <c r="G204" s="128">
        <v>2612912</v>
      </c>
      <c r="H204" s="128">
        <v>575041</v>
      </c>
      <c r="I204" s="128">
        <v>8224771</v>
      </c>
      <c r="L204" s="128">
        <f t="shared" si="6"/>
        <v>2305892.4352168292</v>
      </c>
      <c r="M204" s="128">
        <v>73347</v>
      </c>
      <c r="N204" s="128">
        <v>262</v>
      </c>
      <c r="O204" s="128">
        <v>3717</v>
      </c>
      <c r="P204" s="128">
        <v>782</v>
      </c>
      <c r="Q204" s="128">
        <v>19475</v>
      </c>
      <c r="R204" s="128">
        <v>139670</v>
      </c>
      <c r="S204" s="128">
        <v>142499</v>
      </c>
      <c r="T204" s="128">
        <v>121976</v>
      </c>
      <c r="U204" s="128">
        <v>124892</v>
      </c>
      <c r="V204" s="188">
        <f t="shared" si="7"/>
        <v>0.52514498460657266</v>
      </c>
      <c r="W204" s="238">
        <v>3.5299999999999998E-2</v>
      </c>
      <c r="X204" s="358">
        <v>8.5</v>
      </c>
      <c r="AF204" s="238"/>
    </row>
    <row r="205" spans="2:32" x14ac:dyDescent="0.25">
      <c r="B205" t="s">
        <v>435</v>
      </c>
      <c r="C205" s="128">
        <v>32861733.751219548</v>
      </c>
      <c r="D205" s="128">
        <v>30038927.751219548</v>
      </c>
      <c r="E205" s="128">
        <v>958527</v>
      </c>
      <c r="F205" s="128">
        <v>0</v>
      </c>
      <c r="G205" s="128">
        <v>1511201</v>
      </c>
      <c r="H205" s="128">
        <v>353078</v>
      </c>
      <c r="I205" s="128">
        <v>4768294</v>
      </c>
      <c r="L205" s="128">
        <f t="shared" si="6"/>
        <v>0</v>
      </c>
      <c r="M205" s="128">
        <v>35751</v>
      </c>
      <c r="N205" s="128">
        <v>101</v>
      </c>
      <c r="O205" s="128">
        <v>496</v>
      </c>
      <c r="P205" s="128">
        <v>3</v>
      </c>
      <c r="Q205" s="128">
        <v>3765</v>
      </c>
      <c r="R205" s="128">
        <v>55260</v>
      </c>
      <c r="S205" s="128">
        <v>55758</v>
      </c>
      <c r="T205" s="128">
        <v>56167</v>
      </c>
      <c r="U205" s="128">
        <v>56285</v>
      </c>
      <c r="V205" s="188">
        <f t="shared" si="7"/>
        <v>0.64695982627578719</v>
      </c>
      <c r="W205" s="238">
        <v>3.9899999999999998E-2</v>
      </c>
      <c r="X205" s="358">
        <v>5</v>
      </c>
      <c r="AF205" s="238"/>
    </row>
    <row r="206" spans="2:32" x14ac:dyDescent="0.25">
      <c r="B206" t="s">
        <v>194</v>
      </c>
      <c r="C206" s="128">
        <v>46880987.263162307</v>
      </c>
      <c r="D206" s="128">
        <v>42245787.263162307</v>
      </c>
      <c r="E206" s="128">
        <v>473926</v>
      </c>
      <c r="F206" s="128">
        <v>0</v>
      </c>
      <c r="G206" s="128">
        <v>3730120</v>
      </c>
      <c r="H206" s="128">
        <v>431154</v>
      </c>
      <c r="I206" s="128">
        <v>4490110</v>
      </c>
      <c r="L206" s="128">
        <f t="shared" si="6"/>
        <v>0</v>
      </c>
      <c r="M206" s="128">
        <v>48356</v>
      </c>
      <c r="N206" s="128">
        <v>159</v>
      </c>
      <c r="O206" s="128">
        <v>436</v>
      </c>
      <c r="P206" s="128">
        <v>0</v>
      </c>
      <c r="Q206" s="128">
        <v>605</v>
      </c>
      <c r="R206" s="128">
        <v>66254</v>
      </c>
      <c r="S206" s="128">
        <v>68202</v>
      </c>
      <c r="T206" s="128">
        <v>65387</v>
      </c>
      <c r="U206" s="128">
        <v>67912</v>
      </c>
      <c r="V206" s="188">
        <f t="shared" si="7"/>
        <v>0.72985781990521326</v>
      </c>
      <c r="W206" s="238">
        <v>5.2400000000000002E-2</v>
      </c>
      <c r="X206" s="358">
        <v>6</v>
      </c>
      <c r="AF206" s="238"/>
    </row>
    <row r="207" spans="2:32" x14ac:dyDescent="0.25">
      <c r="B207" t="s">
        <v>311</v>
      </c>
      <c r="C207" s="128">
        <v>32327762.095883857</v>
      </c>
      <c r="D207" s="128">
        <v>30965676.095883857</v>
      </c>
      <c r="E207" s="128">
        <v>424515</v>
      </c>
      <c r="F207" s="128">
        <v>0</v>
      </c>
      <c r="G207" s="128">
        <v>727811</v>
      </c>
      <c r="H207" s="128">
        <v>209760</v>
      </c>
      <c r="I207" s="243">
        <v>4847866</v>
      </c>
      <c r="L207" s="128">
        <f t="shared" si="6"/>
        <v>200371.90411614254</v>
      </c>
      <c r="M207" s="128">
        <v>37376</v>
      </c>
      <c r="N207" s="128">
        <v>42</v>
      </c>
      <c r="O207" s="128">
        <v>755</v>
      </c>
      <c r="P207" s="128">
        <v>495</v>
      </c>
      <c r="Q207" s="128">
        <v>2174</v>
      </c>
      <c r="R207" s="128">
        <v>59324</v>
      </c>
      <c r="S207" s="128">
        <v>59727</v>
      </c>
      <c r="T207" s="128">
        <v>60864</v>
      </c>
      <c r="U207" s="128">
        <v>62269</v>
      </c>
      <c r="V207" s="188">
        <f t="shared" si="7"/>
        <v>0.63003169037826179</v>
      </c>
      <c r="W207" s="238">
        <v>3.8199999999999998E-2</v>
      </c>
      <c r="X207" s="358">
        <v>7.5</v>
      </c>
      <c r="AF207" s="238"/>
    </row>
    <row r="208" spans="2:32" x14ac:dyDescent="0.25">
      <c r="B208" t="s">
        <v>380</v>
      </c>
      <c r="C208" s="128">
        <v>27050675.534166828</v>
      </c>
      <c r="D208" s="128">
        <v>24013228.534166828</v>
      </c>
      <c r="E208" s="128">
        <v>351924</v>
      </c>
      <c r="F208" s="128">
        <v>0</v>
      </c>
      <c r="G208" s="128">
        <v>2336418</v>
      </c>
      <c r="H208" s="128">
        <v>349105</v>
      </c>
      <c r="I208" s="128">
        <v>2280784</v>
      </c>
      <c r="L208" s="128">
        <f t="shared" si="6"/>
        <v>176540.4658331722</v>
      </c>
      <c r="M208" s="243">
        <v>29508</v>
      </c>
      <c r="N208" s="243">
        <v>173</v>
      </c>
      <c r="O208" s="243">
        <v>739</v>
      </c>
      <c r="P208" s="243">
        <v>38</v>
      </c>
      <c r="Q208" s="243">
        <v>316</v>
      </c>
      <c r="R208" s="243">
        <v>43434</v>
      </c>
      <c r="S208" s="243">
        <v>47517</v>
      </c>
      <c r="T208" s="128">
        <v>39933</v>
      </c>
      <c r="U208" s="128">
        <v>41218</v>
      </c>
      <c r="V208" s="188">
        <f t="shared" si="7"/>
        <v>0.6793756043652438</v>
      </c>
      <c r="W208" s="238">
        <v>6.0100000000000001E-2</v>
      </c>
      <c r="X208" s="358">
        <v>6</v>
      </c>
      <c r="AF208" s="238"/>
    </row>
    <row r="209" spans="2:32" x14ac:dyDescent="0.25">
      <c r="B209" t="s">
        <v>381</v>
      </c>
      <c r="C209" s="128">
        <v>49967832.221085116</v>
      </c>
      <c r="D209" s="128">
        <v>45106721.221085116</v>
      </c>
      <c r="E209" s="128">
        <v>561920</v>
      </c>
      <c r="F209" s="128">
        <v>0</v>
      </c>
      <c r="G209" s="128">
        <v>3846778</v>
      </c>
      <c r="H209" s="128">
        <v>452413</v>
      </c>
      <c r="I209" s="128">
        <v>5157152</v>
      </c>
      <c r="L209" s="128">
        <f t="shared" si="6"/>
        <v>0</v>
      </c>
      <c r="M209" s="128">
        <v>53567</v>
      </c>
      <c r="N209" s="128">
        <v>300</v>
      </c>
      <c r="O209" s="128">
        <v>1711</v>
      </c>
      <c r="P209" s="128">
        <v>16</v>
      </c>
      <c r="Q209" s="128">
        <v>9434</v>
      </c>
      <c r="R209" s="128">
        <v>88044</v>
      </c>
      <c r="S209" s="128">
        <v>84630</v>
      </c>
      <c r="T209" s="128">
        <v>70530</v>
      </c>
      <c r="U209" s="128">
        <v>69485</v>
      </c>
      <c r="V209" s="188">
        <f t="shared" si="7"/>
        <v>0.60841170323928939</v>
      </c>
      <c r="W209" s="238">
        <v>3.6700000000000003E-2</v>
      </c>
      <c r="X209" s="358">
        <v>9.5</v>
      </c>
      <c r="AF209" s="238"/>
    </row>
    <row r="210" spans="2:32" x14ac:dyDescent="0.25">
      <c r="B210" t="s">
        <v>123</v>
      </c>
      <c r="C210" s="128">
        <v>99966155.674552053</v>
      </c>
      <c r="D210" s="128">
        <v>82620590.674552053</v>
      </c>
      <c r="E210" s="128">
        <v>2927188</v>
      </c>
      <c r="F210" s="128">
        <v>0</v>
      </c>
      <c r="G210" s="128">
        <v>13446626</v>
      </c>
      <c r="H210" s="128">
        <v>971751</v>
      </c>
      <c r="I210" s="128">
        <v>19686976</v>
      </c>
      <c r="L210" s="128">
        <f t="shared" si="6"/>
        <v>1578868.3254479468</v>
      </c>
      <c r="M210" s="128">
        <v>121232</v>
      </c>
      <c r="N210" s="128">
        <v>72</v>
      </c>
      <c r="O210" s="128">
        <v>1194</v>
      </c>
      <c r="P210" s="128">
        <v>509</v>
      </c>
      <c r="Q210" s="128">
        <v>47</v>
      </c>
      <c r="R210" s="128">
        <v>151781</v>
      </c>
      <c r="S210" s="128">
        <v>156944</v>
      </c>
      <c r="T210" s="128">
        <v>143823</v>
      </c>
      <c r="U210" s="128">
        <v>146131</v>
      </c>
      <c r="V210" s="188">
        <f t="shared" si="7"/>
        <v>0.79872974878278569</v>
      </c>
      <c r="W210" s="238">
        <v>4.8500000000000001E-2</v>
      </c>
      <c r="X210" s="358">
        <v>6.5</v>
      </c>
      <c r="AF210" s="238"/>
    </row>
    <row r="211" spans="2:32" x14ac:dyDescent="0.25">
      <c r="B211" t="s">
        <v>195</v>
      </c>
      <c r="C211" s="128">
        <v>37833032.984819278</v>
      </c>
      <c r="D211" s="128">
        <v>34078502.984819278</v>
      </c>
      <c r="E211" s="128">
        <v>1176097</v>
      </c>
      <c r="F211" s="128">
        <v>0</v>
      </c>
      <c r="G211" s="128">
        <v>2156613</v>
      </c>
      <c r="H211" s="128">
        <v>421820</v>
      </c>
      <c r="I211" s="128">
        <v>4321864</v>
      </c>
      <c r="L211" s="128">
        <f t="shared" si="6"/>
        <v>0</v>
      </c>
      <c r="M211" s="128">
        <v>41794</v>
      </c>
      <c r="N211" s="128">
        <v>162</v>
      </c>
      <c r="O211" s="128">
        <v>345</v>
      </c>
      <c r="P211" s="128">
        <v>175</v>
      </c>
      <c r="Q211" s="128">
        <v>851</v>
      </c>
      <c r="R211" s="128">
        <v>71094</v>
      </c>
      <c r="S211" s="128">
        <v>71708</v>
      </c>
      <c r="T211" s="128">
        <v>68212</v>
      </c>
      <c r="U211" s="128">
        <v>68807</v>
      </c>
      <c r="V211" s="188">
        <f t="shared" si="7"/>
        <v>0.58786958111795651</v>
      </c>
      <c r="W211" s="238">
        <v>3.6400000000000002E-2</v>
      </c>
      <c r="X211" s="358">
        <v>6</v>
      </c>
      <c r="AF211" s="238"/>
    </row>
    <row r="212" spans="2:32" x14ac:dyDescent="0.25">
      <c r="B212" t="s">
        <v>153</v>
      </c>
      <c r="C212" s="128">
        <v>60984885.40050853</v>
      </c>
      <c r="D212" s="128">
        <v>52782505.40050853</v>
      </c>
      <c r="E212" s="128">
        <v>1394738</v>
      </c>
      <c r="F212" s="128">
        <v>0</v>
      </c>
      <c r="G212" s="128">
        <v>6215280</v>
      </c>
      <c r="H212" s="128">
        <v>592362</v>
      </c>
      <c r="I212" s="128">
        <v>8792054</v>
      </c>
      <c r="L212" s="128">
        <f t="shared" si="6"/>
        <v>0</v>
      </c>
      <c r="M212" s="128">
        <v>69747</v>
      </c>
      <c r="N212" s="128">
        <v>26</v>
      </c>
      <c r="O212" s="128">
        <v>1873</v>
      </c>
      <c r="P212" s="128">
        <v>1400</v>
      </c>
      <c r="Q212" s="128">
        <v>1425</v>
      </c>
      <c r="R212" s="128">
        <v>96089</v>
      </c>
      <c r="S212" s="128">
        <v>96494</v>
      </c>
      <c r="T212" s="128">
        <v>90541</v>
      </c>
      <c r="U212" s="128">
        <v>91818</v>
      </c>
      <c r="V212" s="188">
        <f t="shared" si="7"/>
        <v>0.72585831885023255</v>
      </c>
      <c r="W212" s="238">
        <v>4.2900000000000001E-2</v>
      </c>
      <c r="X212" s="358">
        <v>7.5</v>
      </c>
      <c r="AF212" s="238"/>
    </row>
    <row r="213" spans="2:32" x14ac:dyDescent="0.25">
      <c r="B213" t="s">
        <v>154</v>
      </c>
      <c r="C213" s="128">
        <v>30305923.401816055</v>
      </c>
      <c r="D213" s="128">
        <v>27475790.401816055</v>
      </c>
      <c r="E213" s="128">
        <v>480196</v>
      </c>
      <c r="F213" s="128">
        <v>0</v>
      </c>
      <c r="G213" s="128">
        <v>2002416</v>
      </c>
      <c r="H213" s="128">
        <v>347521</v>
      </c>
      <c r="I213" s="128">
        <v>2965076</v>
      </c>
      <c r="L213" s="128">
        <f t="shared" si="6"/>
        <v>0</v>
      </c>
      <c r="M213" s="128">
        <v>31410</v>
      </c>
      <c r="N213" s="128">
        <v>49</v>
      </c>
      <c r="O213" s="128">
        <v>314</v>
      </c>
      <c r="P213" s="128">
        <v>139</v>
      </c>
      <c r="Q213" s="128">
        <v>2839</v>
      </c>
      <c r="R213" s="128">
        <v>47490</v>
      </c>
      <c r="S213" s="128">
        <v>47758</v>
      </c>
      <c r="T213" s="128">
        <v>44314</v>
      </c>
      <c r="U213" s="128">
        <v>44679</v>
      </c>
      <c r="V213" s="188">
        <f t="shared" si="7"/>
        <v>0.66140240050536958</v>
      </c>
      <c r="W213" s="238">
        <v>4.6899999999999997E-2</v>
      </c>
      <c r="X213" s="358">
        <v>7.5</v>
      </c>
      <c r="AF213" s="238"/>
    </row>
    <row r="214" spans="2:32" x14ac:dyDescent="0.25">
      <c r="B214" t="s">
        <v>155</v>
      </c>
      <c r="C214" s="128">
        <v>32979586.570988633</v>
      </c>
      <c r="D214" s="128">
        <v>29552550.570988633</v>
      </c>
      <c r="E214" s="128">
        <v>313843</v>
      </c>
      <c r="F214" s="128">
        <v>0</v>
      </c>
      <c r="G214" s="128">
        <v>2767824</v>
      </c>
      <c r="H214" s="128">
        <v>345369</v>
      </c>
      <c r="I214" s="128">
        <v>3687251</v>
      </c>
      <c r="L214" s="128">
        <f t="shared" si="6"/>
        <v>0</v>
      </c>
      <c r="M214" s="128">
        <v>36185</v>
      </c>
      <c r="N214" s="128">
        <v>37</v>
      </c>
      <c r="O214" s="128">
        <v>852</v>
      </c>
      <c r="P214" s="128">
        <v>202</v>
      </c>
      <c r="Q214" s="128">
        <v>3259</v>
      </c>
      <c r="R214" s="128">
        <v>53492</v>
      </c>
      <c r="S214" s="128">
        <v>52903</v>
      </c>
      <c r="T214" s="128">
        <v>47360</v>
      </c>
      <c r="U214" s="128">
        <v>47096</v>
      </c>
      <c r="V214" s="188">
        <f t="shared" si="7"/>
        <v>0.67645629252972406</v>
      </c>
      <c r="W214" s="238">
        <v>3.44E-2</v>
      </c>
      <c r="X214" s="358">
        <v>10</v>
      </c>
      <c r="AF214" s="238"/>
    </row>
    <row r="215" spans="2:32" x14ac:dyDescent="0.25">
      <c r="B215" t="s">
        <v>196</v>
      </c>
      <c r="C215" s="128">
        <v>51693351.520189114</v>
      </c>
      <c r="D215" s="128">
        <v>44458034.520189114</v>
      </c>
      <c r="E215" s="128">
        <v>926536</v>
      </c>
      <c r="F215" s="128">
        <v>0</v>
      </c>
      <c r="G215" s="128">
        <v>5812851</v>
      </c>
      <c r="H215" s="128">
        <v>495930</v>
      </c>
      <c r="I215" s="128">
        <v>4308926</v>
      </c>
      <c r="L215" s="128">
        <f t="shared" si="6"/>
        <v>0</v>
      </c>
      <c r="M215" s="128">
        <v>55231</v>
      </c>
      <c r="N215" s="128">
        <v>497</v>
      </c>
      <c r="O215" s="128">
        <v>351</v>
      </c>
      <c r="P215" s="128">
        <v>585</v>
      </c>
      <c r="Q215" s="128">
        <v>768</v>
      </c>
      <c r="R215" s="128">
        <v>74521</v>
      </c>
      <c r="S215" s="128">
        <v>74655</v>
      </c>
      <c r="T215" s="128">
        <v>75751</v>
      </c>
      <c r="U215" s="128">
        <v>78650</v>
      </c>
      <c r="V215" s="188">
        <f t="shared" si="7"/>
        <v>0.74114679083748203</v>
      </c>
      <c r="W215" s="238">
        <v>3.9300000000000002E-2</v>
      </c>
      <c r="X215" s="358">
        <v>5.5</v>
      </c>
      <c r="AF215" s="238"/>
    </row>
    <row r="216" spans="2:32" x14ac:dyDescent="0.25">
      <c r="B216" t="s">
        <v>382</v>
      </c>
      <c r="C216" s="128">
        <v>98347806.475758135</v>
      </c>
      <c r="D216" s="128">
        <v>89269048.475758135</v>
      </c>
      <c r="E216" s="128">
        <v>1732125</v>
      </c>
      <c r="F216" s="128">
        <v>0</v>
      </c>
      <c r="G216" s="128">
        <v>6197495</v>
      </c>
      <c r="H216" s="128">
        <v>1149138</v>
      </c>
      <c r="I216" s="128">
        <v>15942004</v>
      </c>
      <c r="L216" s="128">
        <f t="shared" si="6"/>
        <v>1475189.5242418647</v>
      </c>
      <c r="M216" s="128">
        <v>115765</v>
      </c>
      <c r="N216" s="128">
        <v>339</v>
      </c>
      <c r="O216" s="128">
        <v>3759</v>
      </c>
      <c r="P216" s="128">
        <v>40</v>
      </c>
      <c r="Q216" s="128">
        <v>6475</v>
      </c>
      <c r="R216" s="128">
        <v>163559</v>
      </c>
      <c r="S216" s="128">
        <v>162345</v>
      </c>
      <c r="T216" s="128">
        <v>157960</v>
      </c>
      <c r="U216" s="128">
        <v>158859</v>
      </c>
      <c r="V216" s="188">
        <f t="shared" si="7"/>
        <v>0.70778740393374873</v>
      </c>
      <c r="W216" s="238">
        <v>2.52E-2</v>
      </c>
      <c r="X216" s="358">
        <v>10</v>
      </c>
      <c r="AF216" s="238"/>
    </row>
    <row r="217" spans="2:32" x14ac:dyDescent="0.25">
      <c r="B217" t="s">
        <v>133</v>
      </c>
      <c r="C217" s="128">
        <v>51843761.106509224</v>
      </c>
      <c r="D217" s="128">
        <v>46820342.106509224</v>
      </c>
      <c r="E217" s="128">
        <v>1396311</v>
      </c>
      <c r="F217" s="128">
        <v>0</v>
      </c>
      <c r="G217" s="128">
        <v>3086894</v>
      </c>
      <c r="H217" s="128">
        <v>540214</v>
      </c>
      <c r="I217" s="128">
        <v>9035378</v>
      </c>
      <c r="L217" s="128">
        <f t="shared" si="6"/>
        <v>0</v>
      </c>
      <c r="M217" s="128">
        <v>59085</v>
      </c>
      <c r="N217" s="128">
        <v>1</v>
      </c>
      <c r="O217" s="128">
        <v>477</v>
      </c>
      <c r="P217" s="128">
        <v>31</v>
      </c>
      <c r="Q217" s="128">
        <v>144</v>
      </c>
      <c r="R217" s="128">
        <v>77041</v>
      </c>
      <c r="S217" s="128">
        <v>80212</v>
      </c>
      <c r="T217" s="128">
        <v>73717</v>
      </c>
      <c r="U217" s="128">
        <v>72613</v>
      </c>
      <c r="V217" s="188">
        <f t="shared" si="7"/>
        <v>0.76692929738710558</v>
      </c>
      <c r="W217" s="238">
        <v>4.7500000000000001E-2</v>
      </c>
      <c r="X217" s="358">
        <v>7</v>
      </c>
      <c r="AF217" s="238"/>
    </row>
    <row r="218" spans="2:32" x14ac:dyDescent="0.25">
      <c r="B218" t="s">
        <v>267</v>
      </c>
      <c r="C218" s="128">
        <v>13451687.31750844</v>
      </c>
      <c r="D218" s="128">
        <v>13028371.31750844</v>
      </c>
      <c r="E218" s="128">
        <v>106104</v>
      </c>
      <c r="F218" s="128">
        <v>0</v>
      </c>
      <c r="G218" s="128">
        <v>44470</v>
      </c>
      <c r="H218" s="128">
        <v>272742</v>
      </c>
      <c r="I218" s="128">
        <v>0</v>
      </c>
      <c r="L218" s="128">
        <f t="shared" si="6"/>
        <v>1742312.6824915595</v>
      </c>
      <c r="M218" s="128">
        <v>15194</v>
      </c>
      <c r="N218" s="128">
        <v>101</v>
      </c>
      <c r="O218" s="128">
        <v>771</v>
      </c>
      <c r="P218" s="128">
        <v>60</v>
      </c>
      <c r="Q218" s="128">
        <v>0</v>
      </c>
      <c r="R218" s="128">
        <v>23043</v>
      </c>
      <c r="S218" s="128">
        <v>23504</v>
      </c>
      <c r="T218" s="128">
        <v>22314</v>
      </c>
      <c r="U218" s="128">
        <v>21931</v>
      </c>
      <c r="V218" s="188">
        <f t="shared" si="7"/>
        <v>0.65937594931215548</v>
      </c>
      <c r="W218" s="238">
        <v>3.9899999999999998E-2</v>
      </c>
      <c r="X218" s="358">
        <v>5.5</v>
      </c>
      <c r="AF218" s="238"/>
    </row>
    <row r="219" spans="2:32" x14ac:dyDescent="0.25">
      <c r="B219" t="s">
        <v>268</v>
      </c>
      <c r="C219" s="128">
        <v>17238589.62099494</v>
      </c>
      <c r="D219" s="128">
        <v>16096071.620994942</v>
      </c>
      <c r="E219" s="128">
        <v>433338</v>
      </c>
      <c r="F219" s="128">
        <v>0</v>
      </c>
      <c r="G219" s="128">
        <v>415095</v>
      </c>
      <c r="H219" s="128">
        <v>294085</v>
      </c>
      <c r="I219" s="128">
        <v>0</v>
      </c>
      <c r="L219" s="128">
        <f t="shared" si="6"/>
        <v>1167410.3790050596</v>
      </c>
      <c r="M219" s="128">
        <v>18406</v>
      </c>
      <c r="N219" s="128">
        <v>8</v>
      </c>
      <c r="O219" s="128">
        <v>6654</v>
      </c>
      <c r="P219" s="128">
        <v>0</v>
      </c>
      <c r="Q219" s="128">
        <v>1066</v>
      </c>
      <c r="R219" s="128">
        <v>38550</v>
      </c>
      <c r="S219" s="128">
        <v>38104</v>
      </c>
      <c r="T219" s="128">
        <v>36363</v>
      </c>
      <c r="U219" s="128">
        <v>41114</v>
      </c>
      <c r="V219" s="188">
        <f t="shared" si="7"/>
        <v>0.47745784695201038</v>
      </c>
      <c r="W219" s="238">
        <v>3.1800000000000002E-2</v>
      </c>
      <c r="X219" s="358">
        <v>9</v>
      </c>
      <c r="AF219" s="238"/>
    </row>
    <row r="220" spans="2:32" x14ac:dyDescent="0.25">
      <c r="B220" t="s">
        <v>134</v>
      </c>
      <c r="C220" s="128">
        <v>54435640.905010864</v>
      </c>
      <c r="D220" s="128">
        <v>49156285.905010864</v>
      </c>
      <c r="E220" s="128">
        <v>1361324</v>
      </c>
      <c r="F220" s="128">
        <v>0</v>
      </c>
      <c r="G220" s="128">
        <v>3304805</v>
      </c>
      <c r="H220" s="128">
        <v>613226</v>
      </c>
      <c r="I220" s="128">
        <v>8170274</v>
      </c>
      <c r="L220" s="128">
        <f t="shared" si="6"/>
        <v>0</v>
      </c>
      <c r="M220" s="128">
        <v>61889</v>
      </c>
      <c r="N220" s="128">
        <v>79</v>
      </c>
      <c r="O220" s="128">
        <v>301</v>
      </c>
      <c r="P220" s="128">
        <v>210</v>
      </c>
      <c r="Q220" s="128">
        <v>1989</v>
      </c>
      <c r="R220" s="128">
        <v>81198</v>
      </c>
      <c r="S220" s="128">
        <v>81260</v>
      </c>
      <c r="T220" s="128">
        <v>79486</v>
      </c>
      <c r="U220" s="128">
        <v>78014</v>
      </c>
      <c r="V220" s="188">
        <f t="shared" si="7"/>
        <v>0.76219857631961374</v>
      </c>
      <c r="W220" s="238">
        <v>4.4699999999999997E-2</v>
      </c>
      <c r="X220" s="358">
        <v>8</v>
      </c>
      <c r="AF220" s="238"/>
    </row>
    <row r="221" spans="2:32" x14ac:dyDescent="0.25">
      <c r="B221" t="s">
        <v>383</v>
      </c>
      <c r="C221" s="128">
        <v>200832496.78415391</v>
      </c>
      <c r="D221" s="128">
        <v>156175083.78415391</v>
      </c>
      <c r="E221" s="128">
        <v>4341506</v>
      </c>
      <c r="F221" s="128">
        <v>16521500</v>
      </c>
      <c r="G221" s="128">
        <v>18722538</v>
      </c>
      <c r="H221" s="128">
        <v>5071869</v>
      </c>
      <c r="I221" s="128">
        <v>29461696</v>
      </c>
      <c r="L221" s="128">
        <f t="shared" si="6"/>
        <v>1798807.2158460915</v>
      </c>
      <c r="M221" s="243">
        <v>232093</v>
      </c>
      <c r="N221" s="243">
        <v>1077</v>
      </c>
      <c r="O221" s="243">
        <v>2548</v>
      </c>
      <c r="P221" s="243">
        <v>947</v>
      </c>
      <c r="Q221" s="243">
        <v>9328</v>
      </c>
      <c r="R221" s="243">
        <v>342720</v>
      </c>
      <c r="S221" s="243">
        <v>344986</v>
      </c>
      <c r="T221" s="128">
        <v>300514</v>
      </c>
      <c r="U221" s="128">
        <v>300143</v>
      </c>
      <c r="V221" s="188">
        <f t="shared" si="7"/>
        <v>0.67720880018674134</v>
      </c>
      <c r="W221" s="238">
        <v>5.1999999999999998E-2</v>
      </c>
      <c r="X221" s="358">
        <v>8</v>
      </c>
      <c r="AF221" s="238"/>
    </row>
    <row r="222" spans="2:32" x14ac:dyDescent="0.25">
      <c r="B222" t="s">
        <v>197</v>
      </c>
      <c r="C222" s="128">
        <v>71000370.914112195</v>
      </c>
      <c r="D222" s="128">
        <v>63767917.914112195</v>
      </c>
      <c r="E222" s="128">
        <v>1418765</v>
      </c>
      <c r="F222" s="128">
        <v>0</v>
      </c>
      <c r="G222" s="128">
        <v>5078898</v>
      </c>
      <c r="H222" s="128">
        <v>734790</v>
      </c>
      <c r="I222" s="128">
        <v>9099583</v>
      </c>
      <c r="L222" s="128">
        <f t="shared" si="6"/>
        <v>0</v>
      </c>
      <c r="M222" s="128">
        <v>77172</v>
      </c>
      <c r="N222" s="128">
        <v>268</v>
      </c>
      <c r="O222" s="128">
        <v>1819</v>
      </c>
      <c r="P222" s="128">
        <v>600</v>
      </c>
      <c r="Q222" s="128">
        <v>240</v>
      </c>
      <c r="R222" s="128">
        <v>107641</v>
      </c>
      <c r="S222" s="128">
        <v>106929</v>
      </c>
      <c r="T222" s="128">
        <v>102390</v>
      </c>
      <c r="U222" s="128">
        <v>100987</v>
      </c>
      <c r="V222" s="188">
        <f t="shared" si="7"/>
        <v>0.71693871294395262</v>
      </c>
      <c r="W222" s="238">
        <v>3.1399999999999997E-2</v>
      </c>
      <c r="X222" s="358">
        <v>8</v>
      </c>
      <c r="AF222" s="238"/>
    </row>
    <row r="223" spans="2:32" x14ac:dyDescent="0.25">
      <c r="B223" t="s">
        <v>269</v>
      </c>
      <c r="C223" s="128">
        <v>18885720.40071056</v>
      </c>
      <c r="D223" s="128">
        <v>18018784.40071056</v>
      </c>
      <c r="E223" s="128">
        <v>249195</v>
      </c>
      <c r="F223" s="128">
        <v>0</v>
      </c>
      <c r="G223" s="128">
        <v>245176</v>
      </c>
      <c r="H223" s="128">
        <v>372565</v>
      </c>
      <c r="I223" s="128">
        <v>0</v>
      </c>
      <c r="L223" s="128">
        <f t="shared" si="6"/>
        <v>2380279.5992894396</v>
      </c>
      <c r="M223" s="128">
        <v>21266</v>
      </c>
      <c r="N223" s="128">
        <v>2</v>
      </c>
      <c r="O223" s="128">
        <v>698</v>
      </c>
      <c r="P223" s="128">
        <v>3</v>
      </c>
      <c r="Q223" s="128">
        <v>0</v>
      </c>
      <c r="R223" s="128">
        <v>37781</v>
      </c>
      <c r="S223" s="128">
        <v>38118</v>
      </c>
      <c r="T223" s="128">
        <v>35189</v>
      </c>
      <c r="U223" s="128">
        <v>36757</v>
      </c>
      <c r="V223" s="188">
        <f t="shared" si="7"/>
        <v>0.5628755194409889</v>
      </c>
      <c r="W223" s="238">
        <v>5.3600000000000002E-2</v>
      </c>
      <c r="X223" s="358">
        <v>6</v>
      </c>
      <c r="AF223" s="238"/>
    </row>
    <row r="224" spans="2:32" x14ac:dyDescent="0.25">
      <c r="B224" t="s">
        <v>226</v>
      </c>
      <c r="C224" s="128">
        <v>15352274.088566348</v>
      </c>
      <c r="D224" s="128">
        <v>14425378.088566348</v>
      </c>
      <c r="E224" s="128">
        <v>112896</v>
      </c>
      <c r="F224" s="128">
        <v>0</v>
      </c>
      <c r="G224" s="128">
        <v>501147</v>
      </c>
      <c r="H224" s="128">
        <v>312853</v>
      </c>
      <c r="I224" s="243">
        <v>0</v>
      </c>
      <c r="L224" s="128">
        <f t="shared" si="6"/>
        <v>1150725.911433652</v>
      </c>
      <c r="M224" s="128">
        <v>16503</v>
      </c>
      <c r="N224" s="128">
        <v>20</v>
      </c>
      <c r="O224" s="128">
        <v>164</v>
      </c>
      <c r="P224" s="128">
        <v>35</v>
      </c>
      <c r="Q224" s="128">
        <v>0</v>
      </c>
      <c r="R224" s="128">
        <v>24950</v>
      </c>
      <c r="S224" s="128">
        <v>25212</v>
      </c>
      <c r="T224" s="128">
        <v>23992</v>
      </c>
      <c r="U224" s="128">
        <v>24181</v>
      </c>
      <c r="V224" s="188">
        <f t="shared" si="7"/>
        <v>0.66144288577154309</v>
      </c>
      <c r="W224" s="238">
        <v>4.9399999999999999E-2</v>
      </c>
      <c r="X224" s="358">
        <v>6</v>
      </c>
      <c r="AF224" s="238"/>
    </row>
    <row r="225" spans="2:44" x14ac:dyDescent="0.25">
      <c r="B225" t="s">
        <v>198</v>
      </c>
      <c r="C225" s="128">
        <v>74916753.765056476</v>
      </c>
      <c r="D225" s="128">
        <v>68812316.765056476</v>
      </c>
      <c r="E225" s="128">
        <v>1514970</v>
      </c>
      <c r="F225" s="128">
        <v>0</v>
      </c>
      <c r="G225" s="128">
        <v>3813016</v>
      </c>
      <c r="H225" s="128">
        <v>776451</v>
      </c>
      <c r="I225" s="243">
        <v>9043360</v>
      </c>
      <c r="L225" s="128">
        <f t="shared" si="6"/>
        <v>0</v>
      </c>
      <c r="M225" s="128">
        <v>82934</v>
      </c>
      <c r="N225" s="128">
        <v>61</v>
      </c>
      <c r="O225" s="128">
        <v>1222</v>
      </c>
      <c r="P225" s="128">
        <v>10</v>
      </c>
      <c r="Q225" s="128">
        <v>745</v>
      </c>
      <c r="R225" s="128">
        <v>113661</v>
      </c>
      <c r="S225" s="128">
        <v>114728</v>
      </c>
      <c r="T225" s="128">
        <v>111992</v>
      </c>
      <c r="U225" s="128">
        <v>112192</v>
      </c>
      <c r="V225" s="188">
        <f t="shared" si="7"/>
        <v>0.72966100949314183</v>
      </c>
      <c r="W225" s="238">
        <v>4.3700000000000003E-2</v>
      </c>
      <c r="X225" s="358">
        <v>5</v>
      </c>
      <c r="AF225" s="238"/>
    </row>
    <row r="226" spans="2:44" x14ac:dyDescent="0.25">
      <c r="B226" t="s">
        <v>312</v>
      </c>
      <c r="C226" s="128">
        <v>54293810.549790755</v>
      </c>
      <c r="D226" s="128">
        <v>51131589.549790755</v>
      </c>
      <c r="E226" s="128">
        <v>736539</v>
      </c>
      <c r="F226" s="128">
        <v>0</v>
      </c>
      <c r="G226" s="128">
        <v>1867191</v>
      </c>
      <c r="H226" s="128">
        <v>558491</v>
      </c>
      <c r="I226" s="128">
        <v>8097267</v>
      </c>
      <c r="L226" s="128">
        <f t="shared" si="6"/>
        <v>0</v>
      </c>
      <c r="M226" s="128">
        <v>61650</v>
      </c>
      <c r="N226" s="128">
        <v>1355</v>
      </c>
      <c r="O226" s="128">
        <v>1859</v>
      </c>
      <c r="P226" s="128">
        <v>251</v>
      </c>
      <c r="Q226" s="128">
        <v>2064</v>
      </c>
      <c r="R226" s="128">
        <v>88301</v>
      </c>
      <c r="S226" s="128">
        <v>88289</v>
      </c>
      <c r="T226" s="128">
        <v>90954</v>
      </c>
      <c r="U226" s="128">
        <v>91476</v>
      </c>
      <c r="V226" s="188">
        <f t="shared" si="7"/>
        <v>0.69818008856071845</v>
      </c>
      <c r="W226" s="238">
        <v>3.6900000000000002E-2</v>
      </c>
      <c r="X226" s="358">
        <v>9</v>
      </c>
      <c r="AF226" s="238"/>
    </row>
    <row r="227" spans="2:44" x14ac:dyDescent="0.25">
      <c r="B227" t="s">
        <v>417</v>
      </c>
      <c r="C227" s="128">
        <v>68912166.359454215</v>
      </c>
      <c r="D227" s="128">
        <v>61814485.359454215</v>
      </c>
      <c r="E227" s="128">
        <v>563470</v>
      </c>
      <c r="F227" s="128">
        <v>0</v>
      </c>
      <c r="G227" s="128">
        <v>5823810</v>
      </c>
      <c r="H227" s="128">
        <v>710401</v>
      </c>
      <c r="I227" s="128">
        <v>6723550</v>
      </c>
      <c r="L227" s="128">
        <f t="shared" si="6"/>
        <v>1434283.6405457854</v>
      </c>
      <c r="M227" s="128">
        <v>77070</v>
      </c>
      <c r="N227" s="128">
        <v>392</v>
      </c>
      <c r="O227" s="128">
        <v>1109</v>
      </c>
      <c r="P227" s="128">
        <v>562</v>
      </c>
      <c r="Q227" s="128">
        <v>367</v>
      </c>
      <c r="R227" s="128">
        <v>102350</v>
      </c>
      <c r="S227" s="128">
        <v>101980</v>
      </c>
      <c r="T227" s="128">
        <v>94924</v>
      </c>
      <c r="U227" s="128">
        <v>97381</v>
      </c>
      <c r="V227" s="188">
        <f t="shared" si="7"/>
        <v>0.75300439667806551</v>
      </c>
      <c r="W227" s="238">
        <v>3.5700000000000003E-2</v>
      </c>
      <c r="X227" s="358">
        <v>8</v>
      </c>
      <c r="AF227" s="238"/>
    </row>
    <row r="228" spans="2:44" x14ac:dyDescent="0.25">
      <c r="B228" t="s">
        <v>124</v>
      </c>
      <c r="C228" s="128">
        <v>32855476.903101221</v>
      </c>
      <c r="D228" s="128">
        <v>26352930.903101221</v>
      </c>
      <c r="E228" s="128">
        <v>1187391</v>
      </c>
      <c r="F228" s="128">
        <v>0</v>
      </c>
      <c r="G228" s="128">
        <v>4894200</v>
      </c>
      <c r="H228" s="128">
        <v>420955</v>
      </c>
      <c r="I228" s="128">
        <v>0</v>
      </c>
      <c r="L228" s="128">
        <f t="shared" si="6"/>
        <v>7039523.0968987793</v>
      </c>
      <c r="M228" s="128">
        <v>39895</v>
      </c>
      <c r="N228" s="128">
        <v>5</v>
      </c>
      <c r="O228" s="128">
        <v>348</v>
      </c>
      <c r="P228" s="128">
        <v>91</v>
      </c>
      <c r="Q228" s="128">
        <v>0</v>
      </c>
      <c r="R228" s="128">
        <v>47401</v>
      </c>
      <c r="S228" s="128">
        <v>47399</v>
      </c>
      <c r="T228" s="128">
        <v>43542</v>
      </c>
      <c r="U228" s="128">
        <v>44474</v>
      </c>
      <c r="V228" s="188">
        <f t="shared" si="7"/>
        <v>0.8416489103605409</v>
      </c>
      <c r="W228" s="238">
        <v>7.0000000000000007E-2</v>
      </c>
      <c r="X228" s="358">
        <v>7.5</v>
      </c>
      <c r="AF228" s="238"/>
    </row>
    <row r="229" spans="2:44" x14ac:dyDescent="0.25">
      <c r="B229" t="s">
        <v>313</v>
      </c>
      <c r="C229" s="128">
        <v>73704496.950646624</v>
      </c>
      <c r="D229" s="128">
        <v>71574473.950646624</v>
      </c>
      <c r="E229" s="128">
        <v>1095614</v>
      </c>
      <c r="F229" s="128">
        <v>0</v>
      </c>
      <c r="G229" s="128">
        <v>292967</v>
      </c>
      <c r="H229" s="128">
        <v>741442</v>
      </c>
      <c r="I229" s="243">
        <v>7530024</v>
      </c>
      <c r="L229" s="128">
        <f t="shared" si="6"/>
        <v>0</v>
      </c>
      <c r="M229" s="128">
        <v>80210</v>
      </c>
      <c r="N229" s="128">
        <v>59</v>
      </c>
      <c r="O229" s="128">
        <v>2289</v>
      </c>
      <c r="P229" s="128">
        <v>264</v>
      </c>
      <c r="Q229" s="128">
        <v>40320</v>
      </c>
      <c r="R229" s="128">
        <v>162381</v>
      </c>
      <c r="S229" s="128">
        <v>162609</v>
      </c>
      <c r="T229" s="128">
        <v>158280</v>
      </c>
      <c r="U229" s="128">
        <v>159684</v>
      </c>
      <c r="V229" s="188">
        <f t="shared" si="7"/>
        <v>0.49396173197603166</v>
      </c>
      <c r="W229" s="238">
        <v>4.2500000000000003E-2</v>
      </c>
      <c r="X229" s="358">
        <v>8</v>
      </c>
      <c r="AF229" s="238"/>
    </row>
    <row r="230" spans="2:44" x14ac:dyDescent="0.25">
      <c r="B230" t="s">
        <v>270</v>
      </c>
      <c r="C230" s="128">
        <v>174113955.80686763</v>
      </c>
      <c r="D230" s="128">
        <v>155886130.80686763</v>
      </c>
      <c r="E230" s="128">
        <v>3068396</v>
      </c>
      <c r="F230" s="128">
        <v>5243603</v>
      </c>
      <c r="G230" s="128">
        <v>6692257</v>
      </c>
      <c r="H230" s="128">
        <v>3223569</v>
      </c>
      <c r="I230" s="243">
        <v>23797972</v>
      </c>
      <c r="L230" s="128">
        <f t="shared" si="6"/>
        <v>0</v>
      </c>
      <c r="M230" s="128">
        <v>195766</v>
      </c>
      <c r="N230" s="128">
        <v>818</v>
      </c>
      <c r="O230" s="128">
        <v>4704</v>
      </c>
      <c r="P230" s="128">
        <v>1009</v>
      </c>
      <c r="Q230" s="128">
        <v>1145</v>
      </c>
      <c r="R230" s="128">
        <v>295002</v>
      </c>
      <c r="S230" s="128">
        <v>293690</v>
      </c>
      <c r="T230" s="128">
        <v>265987</v>
      </c>
      <c r="U230" s="128">
        <v>266445</v>
      </c>
      <c r="V230" s="188">
        <f t="shared" si="7"/>
        <v>0.66360906027755739</v>
      </c>
      <c r="W230" s="238">
        <v>3.04E-2</v>
      </c>
      <c r="X230" s="358">
        <v>9</v>
      </c>
      <c r="AF230" s="238"/>
    </row>
    <row r="231" spans="2:44" x14ac:dyDescent="0.25">
      <c r="B231" t="s">
        <v>199</v>
      </c>
      <c r="C231" s="128">
        <v>37768028.519850239</v>
      </c>
      <c r="D231" s="128">
        <v>34366302.519850239</v>
      </c>
      <c r="E231" s="128">
        <v>965115</v>
      </c>
      <c r="F231" s="128">
        <v>0</v>
      </c>
      <c r="G231" s="128">
        <v>1991602</v>
      </c>
      <c r="H231" s="128">
        <v>445009</v>
      </c>
      <c r="I231" s="128">
        <v>3336847</v>
      </c>
      <c r="L231" s="128">
        <f t="shared" si="6"/>
        <v>0</v>
      </c>
      <c r="M231" s="128">
        <v>38585</v>
      </c>
      <c r="N231" s="128">
        <v>57</v>
      </c>
      <c r="O231" s="128">
        <v>85</v>
      </c>
      <c r="P231" s="128">
        <v>240</v>
      </c>
      <c r="Q231" s="128">
        <v>3110</v>
      </c>
      <c r="R231" s="128">
        <v>57399</v>
      </c>
      <c r="S231" s="128">
        <v>56456</v>
      </c>
      <c r="T231" s="128">
        <v>55833</v>
      </c>
      <c r="U231" s="128">
        <v>54451</v>
      </c>
      <c r="V231" s="188">
        <f t="shared" si="7"/>
        <v>0.67222425477795777</v>
      </c>
      <c r="W231" s="238">
        <v>4.0399999999999998E-2</v>
      </c>
      <c r="X231" s="358">
        <v>7.5</v>
      </c>
      <c r="AF231" s="238"/>
    </row>
    <row r="232" spans="2:44" x14ac:dyDescent="0.25">
      <c r="B232" t="s">
        <v>156</v>
      </c>
      <c r="C232" s="128">
        <v>62853158.630084716</v>
      </c>
      <c r="D232" s="128">
        <v>56335011.630084716</v>
      </c>
      <c r="E232" s="128">
        <v>1743224</v>
      </c>
      <c r="F232" s="128">
        <v>0</v>
      </c>
      <c r="G232" s="128">
        <v>4119736</v>
      </c>
      <c r="H232" s="128">
        <v>655187</v>
      </c>
      <c r="I232" s="128">
        <v>6043238</v>
      </c>
      <c r="L232" s="128">
        <f t="shared" si="6"/>
        <v>0</v>
      </c>
      <c r="M232" s="128">
        <v>67709</v>
      </c>
      <c r="N232" s="128">
        <v>49</v>
      </c>
      <c r="O232" s="128">
        <v>662</v>
      </c>
      <c r="P232" s="128">
        <v>252</v>
      </c>
      <c r="Q232" s="128">
        <v>8476</v>
      </c>
      <c r="R232" s="128">
        <v>98414</v>
      </c>
      <c r="S232" s="128">
        <v>99200</v>
      </c>
      <c r="T232" s="128">
        <v>89027</v>
      </c>
      <c r="U232" s="128">
        <v>94469</v>
      </c>
      <c r="V232" s="188">
        <f t="shared" si="7"/>
        <v>0.68800170707419672</v>
      </c>
      <c r="W232" s="238">
        <v>5.0299999999999997E-2</v>
      </c>
      <c r="X232" s="358">
        <v>7</v>
      </c>
      <c r="AF232" s="238"/>
    </row>
    <row r="233" spans="2:44" x14ac:dyDescent="0.25">
      <c r="B233" t="s">
        <v>336</v>
      </c>
      <c r="C233" s="128">
        <v>37861838.357598431</v>
      </c>
      <c r="D233" s="128">
        <v>35634104.357598431</v>
      </c>
      <c r="E233" s="128">
        <v>358436</v>
      </c>
      <c r="F233" s="128">
        <v>0</v>
      </c>
      <c r="G233" s="128">
        <v>1255239</v>
      </c>
      <c r="H233" s="128">
        <v>614059</v>
      </c>
      <c r="I233" s="128">
        <v>3932417</v>
      </c>
      <c r="L233" s="128">
        <f t="shared" si="6"/>
        <v>0</v>
      </c>
      <c r="M233" s="128">
        <v>38770</v>
      </c>
      <c r="N233" s="128">
        <v>278</v>
      </c>
      <c r="O233" s="128">
        <v>473</v>
      </c>
      <c r="P233" s="128">
        <v>19</v>
      </c>
      <c r="Q233" s="128">
        <v>463</v>
      </c>
      <c r="R233" s="128">
        <v>53290</v>
      </c>
      <c r="S233" s="128">
        <v>54914</v>
      </c>
      <c r="T233" s="128">
        <v>56157</v>
      </c>
      <c r="U233" s="128">
        <v>56556</v>
      </c>
      <c r="V233" s="188">
        <f t="shared" si="7"/>
        <v>0.72752861700131355</v>
      </c>
      <c r="W233" s="238">
        <v>5.0700000000000002E-2</v>
      </c>
      <c r="X233" s="358">
        <v>6</v>
      </c>
      <c r="AF233" s="238"/>
    </row>
    <row r="234" spans="2:44" x14ac:dyDescent="0.25">
      <c r="B234" t="s">
        <v>200</v>
      </c>
      <c r="C234" s="128">
        <v>52074671.334063187</v>
      </c>
      <c r="D234" s="128">
        <v>48122605.334063187</v>
      </c>
      <c r="E234" s="128">
        <v>1194327</v>
      </c>
      <c r="F234" s="128">
        <v>0</v>
      </c>
      <c r="G234" s="128">
        <v>2270352</v>
      </c>
      <c r="H234" s="128">
        <v>487387</v>
      </c>
      <c r="I234" s="243">
        <v>8911949</v>
      </c>
      <c r="L234" s="128">
        <f t="shared" si="6"/>
        <v>0</v>
      </c>
      <c r="M234" s="128">
        <v>60984</v>
      </c>
      <c r="N234" s="128">
        <v>11</v>
      </c>
      <c r="O234" s="128">
        <v>482</v>
      </c>
      <c r="P234" s="128">
        <v>194</v>
      </c>
      <c r="Q234" s="128">
        <v>259</v>
      </c>
      <c r="R234" s="128">
        <v>84813</v>
      </c>
      <c r="S234" s="128">
        <v>85583</v>
      </c>
      <c r="T234" s="128">
        <v>81099</v>
      </c>
      <c r="U234" s="128">
        <v>82987</v>
      </c>
      <c r="V234" s="188">
        <f t="shared" si="7"/>
        <v>0.71904071309822781</v>
      </c>
      <c r="W234" s="238">
        <v>4.4999999999999998E-2</v>
      </c>
      <c r="X234" s="358">
        <v>7</v>
      </c>
      <c r="AF234" s="238"/>
    </row>
    <row r="235" spans="2:44" x14ac:dyDescent="0.25">
      <c r="B235" t="s">
        <v>227</v>
      </c>
      <c r="C235" s="128">
        <v>7116758.4235494779</v>
      </c>
      <c r="D235" s="128">
        <v>6569682.4235494779</v>
      </c>
      <c r="E235" s="128">
        <v>140359</v>
      </c>
      <c r="F235" s="128">
        <v>0</v>
      </c>
      <c r="G235" s="128">
        <v>264885</v>
      </c>
      <c r="H235" s="128">
        <v>141832</v>
      </c>
      <c r="I235" s="128">
        <v>0</v>
      </c>
      <c r="L235" s="128">
        <f t="shared" si="6"/>
        <v>402241.57645052206</v>
      </c>
      <c r="M235" s="243">
        <v>7519</v>
      </c>
      <c r="N235" s="243">
        <v>0</v>
      </c>
      <c r="O235" s="243">
        <v>2852</v>
      </c>
      <c r="P235" s="243">
        <v>0</v>
      </c>
      <c r="Q235" s="243">
        <v>0</v>
      </c>
      <c r="R235" s="243">
        <v>14237</v>
      </c>
      <c r="S235" s="243">
        <v>14898</v>
      </c>
      <c r="T235" s="128">
        <v>13852</v>
      </c>
      <c r="U235" s="128">
        <v>13988</v>
      </c>
      <c r="V235" s="188">
        <f t="shared" si="7"/>
        <v>0.52813092645922599</v>
      </c>
      <c r="W235" s="238">
        <v>2.8000000000000001E-2</v>
      </c>
      <c r="X235" s="358">
        <v>5.5</v>
      </c>
      <c r="AF235" s="238"/>
    </row>
    <row r="236" spans="2:44" x14ac:dyDescent="0.25">
      <c r="B236" t="s">
        <v>384</v>
      </c>
      <c r="C236" s="128">
        <v>22035337.366790369</v>
      </c>
      <c r="D236" s="128">
        <v>18921194.366790369</v>
      </c>
      <c r="E236" s="128">
        <v>308016</v>
      </c>
      <c r="F236" s="128">
        <v>0</v>
      </c>
      <c r="G236" s="128">
        <v>2529294</v>
      </c>
      <c r="H236" s="128">
        <v>276833</v>
      </c>
      <c r="I236" s="128">
        <v>0</v>
      </c>
      <c r="L236" s="128">
        <f t="shared" si="6"/>
        <v>1378662.6332096308</v>
      </c>
      <c r="M236" s="128">
        <v>23414</v>
      </c>
      <c r="N236" s="128">
        <v>151</v>
      </c>
      <c r="O236" s="128">
        <v>296</v>
      </c>
      <c r="P236" s="128">
        <v>26</v>
      </c>
      <c r="Q236" s="128">
        <v>2353</v>
      </c>
      <c r="R236" s="128">
        <v>35400</v>
      </c>
      <c r="S236" s="128">
        <v>35624</v>
      </c>
      <c r="T236" s="128">
        <v>33134</v>
      </c>
      <c r="U236" s="128">
        <v>33760</v>
      </c>
      <c r="V236" s="188">
        <f t="shared" si="7"/>
        <v>0.66141242937853106</v>
      </c>
      <c r="W236" s="238">
        <v>4.8500000000000001E-2</v>
      </c>
      <c r="X236" s="358">
        <v>7</v>
      </c>
      <c r="AF236" s="238"/>
    </row>
    <row r="237" spans="2:44" x14ac:dyDescent="0.25">
      <c r="B237" t="s">
        <v>201</v>
      </c>
      <c r="C237" s="128">
        <v>86209563.828427792</v>
      </c>
      <c r="D237" s="128">
        <v>77303658.828427792</v>
      </c>
      <c r="E237" s="128">
        <v>1978680</v>
      </c>
      <c r="F237" s="128">
        <v>0</v>
      </c>
      <c r="G237" s="128">
        <v>6104871</v>
      </c>
      <c r="H237" s="128">
        <v>822354</v>
      </c>
      <c r="I237" s="128">
        <v>14301288</v>
      </c>
      <c r="L237" s="128">
        <f t="shared" si="6"/>
        <v>0</v>
      </c>
      <c r="M237" s="128">
        <v>99968</v>
      </c>
      <c r="N237" s="128">
        <v>149</v>
      </c>
      <c r="O237" s="128">
        <v>844</v>
      </c>
      <c r="P237" s="128">
        <v>518</v>
      </c>
      <c r="Q237" s="128">
        <v>129</v>
      </c>
      <c r="R237" s="128">
        <v>126298</v>
      </c>
      <c r="S237" s="128">
        <v>124825</v>
      </c>
      <c r="T237" s="128">
        <v>121760</v>
      </c>
      <c r="U237" s="128">
        <v>120842</v>
      </c>
      <c r="V237" s="188">
        <f t="shared" si="7"/>
        <v>0.79152480641023615</v>
      </c>
      <c r="W237" s="238">
        <v>3.85E-2</v>
      </c>
      <c r="X237" s="358">
        <v>9</v>
      </c>
      <c r="AF237" s="238"/>
      <c r="AR237" s="129"/>
    </row>
    <row r="238" spans="2:44" x14ac:dyDescent="0.25">
      <c r="B238" t="s">
        <v>228</v>
      </c>
      <c r="C238" s="128">
        <v>30847260.44576633</v>
      </c>
      <c r="D238" s="128">
        <v>28550505.44576633</v>
      </c>
      <c r="E238" s="128">
        <v>535651</v>
      </c>
      <c r="F238" s="128">
        <v>0</v>
      </c>
      <c r="G238" s="128">
        <v>1389478</v>
      </c>
      <c r="H238" s="128">
        <v>371626</v>
      </c>
      <c r="I238" s="128">
        <v>3921395</v>
      </c>
      <c r="L238" s="128">
        <f t="shared" si="6"/>
        <v>0</v>
      </c>
      <c r="M238" s="128">
        <v>34383</v>
      </c>
      <c r="N238" s="128">
        <v>283</v>
      </c>
      <c r="O238" s="128">
        <v>760</v>
      </c>
      <c r="P238" s="128">
        <v>125</v>
      </c>
      <c r="Q238" s="128">
        <v>419</v>
      </c>
      <c r="R238" s="128">
        <v>48856</v>
      </c>
      <c r="S238" s="128">
        <v>47848</v>
      </c>
      <c r="T238" s="128">
        <v>46076</v>
      </c>
      <c r="U238" s="128">
        <v>45481</v>
      </c>
      <c r="V238" s="188">
        <f t="shared" si="7"/>
        <v>0.7037620763058785</v>
      </c>
      <c r="W238" s="238">
        <v>3.8100000000000002E-2</v>
      </c>
      <c r="X238" s="358">
        <v>10</v>
      </c>
      <c r="AF238" s="238"/>
      <c r="AR238" s="129"/>
    </row>
    <row r="239" spans="2:44" x14ac:dyDescent="0.25">
      <c r="B239" t="s">
        <v>314</v>
      </c>
      <c r="C239" s="128">
        <v>77737442.239272758</v>
      </c>
      <c r="D239" s="128">
        <v>75479751.239272758</v>
      </c>
      <c r="E239" s="128">
        <v>1172191</v>
      </c>
      <c r="F239" s="128">
        <v>0</v>
      </c>
      <c r="G239" s="128">
        <v>339026</v>
      </c>
      <c r="H239" s="128">
        <v>746474</v>
      </c>
      <c r="I239" s="128">
        <v>13893333</v>
      </c>
      <c r="L239" s="128">
        <f t="shared" si="6"/>
        <v>0</v>
      </c>
      <c r="M239" s="128">
        <v>91490</v>
      </c>
      <c r="N239" s="128">
        <v>880</v>
      </c>
      <c r="O239" s="128">
        <v>2058</v>
      </c>
      <c r="P239" s="128">
        <v>334</v>
      </c>
      <c r="Q239" s="128">
        <v>3384</v>
      </c>
      <c r="R239" s="128">
        <v>129794</v>
      </c>
      <c r="S239" s="128">
        <v>132582</v>
      </c>
      <c r="T239" s="128">
        <v>126569</v>
      </c>
      <c r="U239" s="128">
        <v>132337</v>
      </c>
      <c r="V239" s="188">
        <f t="shared" si="7"/>
        <v>0.70488620429295656</v>
      </c>
      <c r="W239" s="238">
        <v>4.3999999999999997E-2</v>
      </c>
      <c r="X239" s="358">
        <v>7</v>
      </c>
      <c r="AF239" s="238"/>
    </row>
    <row r="240" spans="2:44" x14ac:dyDescent="0.25">
      <c r="B240" t="s">
        <v>157</v>
      </c>
      <c r="C240" s="128">
        <v>63290267.836504869</v>
      </c>
      <c r="D240" s="128">
        <v>59083367.836504869</v>
      </c>
      <c r="E240" s="128">
        <v>759707</v>
      </c>
      <c r="F240" s="128">
        <v>0</v>
      </c>
      <c r="G240" s="128">
        <v>2901737</v>
      </c>
      <c r="H240" s="128">
        <v>545456</v>
      </c>
      <c r="I240" s="128">
        <v>6354329</v>
      </c>
      <c r="L240" s="128">
        <f t="shared" si="6"/>
        <v>0</v>
      </c>
      <c r="M240" s="128">
        <v>65179</v>
      </c>
      <c r="N240" s="128">
        <v>119</v>
      </c>
      <c r="O240" s="128">
        <v>1560</v>
      </c>
      <c r="P240" s="128">
        <v>995</v>
      </c>
      <c r="Q240" s="128">
        <v>739</v>
      </c>
      <c r="R240" s="128">
        <v>92071</v>
      </c>
      <c r="S240" s="128">
        <v>93207</v>
      </c>
      <c r="T240" s="128">
        <v>91733</v>
      </c>
      <c r="U240" s="128">
        <v>92587</v>
      </c>
      <c r="V240" s="188">
        <f t="shared" si="7"/>
        <v>0.70792106092037665</v>
      </c>
      <c r="W240" s="238">
        <v>4.5600000000000002E-2</v>
      </c>
      <c r="X240" s="358">
        <v>6.5</v>
      </c>
      <c r="AF240" s="238"/>
    </row>
    <row r="241" spans="2:32" x14ac:dyDescent="0.25">
      <c r="B241" t="s">
        <v>315</v>
      </c>
      <c r="C241" s="128">
        <v>103533279.43435195</v>
      </c>
      <c r="D241" s="128">
        <v>99054361.434351951</v>
      </c>
      <c r="E241" s="128">
        <v>1223293</v>
      </c>
      <c r="F241" s="128">
        <v>0</v>
      </c>
      <c r="G241" s="128">
        <v>2279240</v>
      </c>
      <c r="H241" s="128">
        <v>976385</v>
      </c>
      <c r="I241" s="243">
        <v>22651209</v>
      </c>
      <c r="L241" s="128">
        <f t="shared" si="6"/>
        <v>2870511.5656480491</v>
      </c>
      <c r="M241" s="128">
        <v>129055</v>
      </c>
      <c r="N241" s="128">
        <v>821</v>
      </c>
      <c r="O241" s="128">
        <v>4515</v>
      </c>
      <c r="P241" s="128">
        <v>465</v>
      </c>
      <c r="Q241" s="128">
        <v>31810</v>
      </c>
      <c r="R241" s="128">
        <v>207186</v>
      </c>
      <c r="S241" s="128">
        <v>205010</v>
      </c>
      <c r="T241" s="128">
        <v>200771</v>
      </c>
      <c r="U241" s="128">
        <v>200095</v>
      </c>
      <c r="V241" s="188">
        <f t="shared" si="7"/>
        <v>0.62289440406205054</v>
      </c>
      <c r="W241" s="238">
        <v>2.06E-2</v>
      </c>
      <c r="X241" s="358">
        <v>8.5</v>
      </c>
      <c r="AF241" s="238"/>
    </row>
    <row r="242" spans="2:32" x14ac:dyDescent="0.25">
      <c r="B242" t="s">
        <v>418</v>
      </c>
      <c r="C242" s="128">
        <v>35063372.269919023</v>
      </c>
      <c r="D242" s="128">
        <v>31230221.269919027</v>
      </c>
      <c r="E242" s="128">
        <v>747834</v>
      </c>
      <c r="F242" s="128">
        <v>0</v>
      </c>
      <c r="G242" s="128">
        <v>2651676</v>
      </c>
      <c r="H242" s="128">
        <v>433641</v>
      </c>
      <c r="I242" s="243">
        <v>4056454</v>
      </c>
      <c r="L242" s="128">
        <f t="shared" si="6"/>
        <v>309173.73008097708</v>
      </c>
      <c r="M242" s="128">
        <v>39429</v>
      </c>
      <c r="N242" s="128">
        <v>334</v>
      </c>
      <c r="O242" s="128">
        <v>150</v>
      </c>
      <c r="P242" s="128">
        <v>631</v>
      </c>
      <c r="Q242" s="128">
        <v>2234</v>
      </c>
      <c r="R242" s="128">
        <v>57816</v>
      </c>
      <c r="S242" s="128">
        <v>59729</v>
      </c>
      <c r="T242" s="128">
        <v>51333</v>
      </c>
      <c r="U242" s="128">
        <v>53949</v>
      </c>
      <c r="V242" s="188">
        <f t="shared" si="7"/>
        <v>0.68197384806973849</v>
      </c>
      <c r="W242" s="238">
        <v>3.5099999999999999E-2</v>
      </c>
      <c r="X242" s="358">
        <v>7.5</v>
      </c>
      <c r="AF242" s="238"/>
    </row>
    <row r="243" spans="2:32" x14ac:dyDescent="0.25">
      <c r="B243" t="s">
        <v>419</v>
      </c>
      <c r="C243" s="128">
        <v>128719369.17374778</v>
      </c>
      <c r="D243" s="128">
        <v>111637331.17374778</v>
      </c>
      <c r="E243" s="128">
        <v>4096118</v>
      </c>
      <c r="F243" s="128">
        <v>0</v>
      </c>
      <c r="G243" s="128">
        <v>11168129</v>
      </c>
      <c r="H243" s="128">
        <v>1817791</v>
      </c>
      <c r="I243" s="242">
        <v>26176274</v>
      </c>
      <c r="L243" s="128">
        <f t="shared" si="6"/>
        <v>0</v>
      </c>
      <c r="M243" s="243">
        <v>150615</v>
      </c>
      <c r="N243" s="243">
        <v>1035</v>
      </c>
      <c r="O243" s="243">
        <v>3180</v>
      </c>
      <c r="P243" s="243">
        <v>198</v>
      </c>
      <c r="Q243" s="243">
        <v>76</v>
      </c>
      <c r="R243" s="128">
        <v>205888</v>
      </c>
      <c r="S243" s="128">
        <v>210973</v>
      </c>
      <c r="T243" s="128">
        <v>193720</v>
      </c>
      <c r="U243" s="128">
        <v>198367</v>
      </c>
      <c r="V243" s="188">
        <f t="shared" si="7"/>
        <v>0.73153850637239659</v>
      </c>
      <c r="W243" s="238">
        <v>0.04</v>
      </c>
      <c r="X243" s="358">
        <v>7.5</v>
      </c>
      <c r="AF243" s="238"/>
    </row>
    <row r="244" spans="2:32" x14ac:dyDescent="0.25">
      <c r="B244" t="s">
        <v>385</v>
      </c>
      <c r="C244" s="128">
        <v>153664977.18836066</v>
      </c>
      <c r="D244" s="128">
        <v>134986503.18836066</v>
      </c>
      <c r="E244" s="128">
        <v>2676821</v>
      </c>
      <c r="F244" s="128">
        <v>0</v>
      </c>
      <c r="G244" s="128">
        <v>14416024</v>
      </c>
      <c r="H244" s="128">
        <v>1585629</v>
      </c>
      <c r="I244" s="128">
        <v>32498945</v>
      </c>
      <c r="L244" s="128">
        <f t="shared" si="6"/>
        <v>6770077.8116393387</v>
      </c>
      <c r="M244" s="128">
        <v>192934</v>
      </c>
      <c r="N244" s="128">
        <v>273</v>
      </c>
      <c r="O244" s="128">
        <v>1926</v>
      </c>
      <c r="P244" s="128">
        <v>635</v>
      </c>
      <c r="Q244" s="128">
        <v>0</v>
      </c>
      <c r="R244" s="128">
        <v>266077</v>
      </c>
      <c r="S244" s="128">
        <v>253483</v>
      </c>
      <c r="T244" s="128">
        <v>240804</v>
      </c>
      <c r="U244" s="128">
        <v>239835</v>
      </c>
      <c r="V244" s="188">
        <f t="shared" si="7"/>
        <v>0.72510589040014728</v>
      </c>
      <c r="W244" s="238">
        <v>2.9399999999999999E-2</v>
      </c>
      <c r="X244" s="358">
        <v>8.5</v>
      </c>
      <c r="AF244" s="238"/>
    </row>
    <row r="245" spans="2:32" x14ac:dyDescent="0.25">
      <c r="B245" t="s">
        <v>316</v>
      </c>
      <c r="C245" s="128">
        <v>1924256605.1431859</v>
      </c>
      <c r="D245" s="128">
        <v>1644369507.1431859</v>
      </c>
      <c r="E245" s="128">
        <v>41634767</v>
      </c>
      <c r="F245" s="128">
        <v>97601356</v>
      </c>
      <c r="G245" s="128">
        <v>52482441</v>
      </c>
      <c r="H245" s="128">
        <v>88168534</v>
      </c>
      <c r="I245" s="128">
        <v>561739542</v>
      </c>
      <c r="L245" s="128">
        <f t="shared" si="6"/>
        <v>0</v>
      </c>
      <c r="M245" s="128">
        <v>2480288</v>
      </c>
      <c r="N245" s="128">
        <v>25561</v>
      </c>
      <c r="O245" s="128">
        <v>72378</v>
      </c>
      <c r="P245" s="128">
        <v>87575</v>
      </c>
      <c r="Q245" s="128">
        <v>55513</v>
      </c>
      <c r="R245" s="128">
        <v>3576929</v>
      </c>
      <c r="S245" s="128">
        <v>3623954</v>
      </c>
      <c r="T245" s="128">
        <v>3663028</v>
      </c>
      <c r="U245" s="128">
        <v>3850155</v>
      </c>
      <c r="V245" s="188">
        <f t="shared" si="7"/>
        <v>0.69341270123058074</v>
      </c>
      <c r="W245" s="238">
        <v>3.15E-2</v>
      </c>
      <c r="X245" s="358">
        <v>7.5</v>
      </c>
      <c r="AF245" s="238"/>
    </row>
    <row r="246" spans="2:32" x14ac:dyDescent="0.25">
      <c r="B246" t="s">
        <v>202</v>
      </c>
      <c r="C246" s="128">
        <v>2867879.7575983517</v>
      </c>
      <c r="D246" s="128">
        <v>2700555.7575983517</v>
      </c>
      <c r="E246" s="128">
        <v>17315</v>
      </c>
      <c r="F246" s="128">
        <v>0</v>
      </c>
      <c r="G246" s="128">
        <v>55473</v>
      </c>
      <c r="H246" s="128">
        <v>94536</v>
      </c>
      <c r="I246" s="128">
        <v>0</v>
      </c>
      <c r="L246" s="128">
        <f t="shared" si="6"/>
        <v>278120.24240164831</v>
      </c>
      <c r="M246" s="128">
        <v>3146</v>
      </c>
      <c r="N246" s="128">
        <v>11</v>
      </c>
      <c r="O246" s="128">
        <v>50</v>
      </c>
      <c r="P246" s="128">
        <v>0</v>
      </c>
      <c r="Q246" s="128">
        <v>0</v>
      </c>
      <c r="R246" s="128">
        <v>4262</v>
      </c>
      <c r="S246" s="128">
        <v>4548</v>
      </c>
      <c r="T246" s="128">
        <v>3981</v>
      </c>
      <c r="U246" s="128">
        <v>4170</v>
      </c>
      <c r="V246" s="188">
        <f t="shared" si="7"/>
        <v>0.73815110276865326</v>
      </c>
      <c r="W246" s="238">
        <v>6.0600000000000001E-2</v>
      </c>
      <c r="X246" s="358">
        <v>5</v>
      </c>
      <c r="AF246" s="238"/>
    </row>
    <row r="247" spans="2:32" x14ac:dyDescent="0.25">
      <c r="B247" t="s">
        <v>386</v>
      </c>
      <c r="C247" s="128">
        <v>41936720.410756759</v>
      </c>
      <c r="D247" s="128">
        <v>34797808.410756759</v>
      </c>
      <c r="E247" s="128">
        <v>616283</v>
      </c>
      <c r="F247" s="128">
        <v>0</v>
      </c>
      <c r="G247" s="128">
        <v>6113720</v>
      </c>
      <c r="H247" s="128">
        <v>408909</v>
      </c>
      <c r="I247" s="128">
        <v>5041182</v>
      </c>
      <c r="L247" s="128">
        <f t="shared" si="6"/>
        <v>853097.58924324065</v>
      </c>
      <c r="M247" s="128">
        <v>47831</v>
      </c>
      <c r="N247" s="128">
        <v>58</v>
      </c>
      <c r="O247" s="128">
        <v>563</v>
      </c>
      <c r="P247" s="128">
        <v>38</v>
      </c>
      <c r="Q247" s="128">
        <v>9380</v>
      </c>
      <c r="R247" s="128">
        <v>69827</v>
      </c>
      <c r="S247" s="128">
        <v>71257</v>
      </c>
      <c r="T247" s="128">
        <v>62208</v>
      </c>
      <c r="U247" s="128">
        <v>64058</v>
      </c>
      <c r="V247" s="188">
        <f t="shared" si="7"/>
        <v>0.68499291105159898</v>
      </c>
      <c r="W247" s="238">
        <v>4.7500000000000001E-2</v>
      </c>
      <c r="X247" s="358">
        <v>7</v>
      </c>
      <c r="AF247" s="238"/>
    </row>
    <row r="248" spans="2:32" x14ac:dyDescent="0.25">
      <c r="B248" t="s">
        <v>271</v>
      </c>
      <c r="C248" s="128">
        <v>78084965.467549711</v>
      </c>
      <c r="D248" s="128">
        <v>71575539.467549711</v>
      </c>
      <c r="E248" s="128">
        <v>1060974</v>
      </c>
      <c r="F248" s="128">
        <v>0</v>
      </c>
      <c r="G248" s="128">
        <v>4558508</v>
      </c>
      <c r="H248" s="128">
        <v>889944</v>
      </c>
      <c r="I248" s="128">
        <v>8592038</v>
      </c>
      <c r="L248" s="128">
        <f t="shared" si="6"/>
        <v>826996.53245028853</v>
      </c>
      <c r="M248" s="243">
        <v>87504</v>
      </c>
      <c r="N248" s="243">
        <v>377</v>
      </c>
      <c r="O248" s="243">
        <v>774</v>
      </c>
      <c r="P248" s="243">
        <v>0</v>
      </c>
      <c r="Q248" s="243">
        <v>669</v>
      </c>
      <c r="R248" s="243">
        <v>124787</v>
      </c>
      <c r="S248" s="243">
        <v>128298</v>
      </c>
      <c r="T248" s="128">
        <v>118140</v>
      </c>
      <c r="U248" s="128">
        <v>115773</v>
      </c>
      <c r="V248" s="188">
        <f t="shared" si="7"/>
        <v>0.70122689062161925</v>
      </c>
      <c r="W248" s="238">
        <v>4.3999999999999997E-2</v>
      </c>
      <c r="X248" s="358">
        <v>8.5</v>
      </c>
      <c r="AF248" s="238"/>
    </row>
    <row r="249" spans="2:32" x14ac:dyDescent="0.25">
      <c r="B249" t="s">
        <v>203</v>
      </c>
      <c r="C249" s="128">
        <v>14352728.862654384</v>
      </c>
      <c r="D249" s="128">
        <v>13870481.862654384</v>
      </c>
      <c r="E249" s="128">
        <v>58835</v>
      </c>
      <c r="F249" s="128">
        <v>0</v>
      </c>
      <c r="G249" s="128">
        <v>208218</v>
      </c>
      <c r="H249" s="128">
        <v>215194</v>
      </c>
      <c r="I249" s="128">
        <v>0</v>
      </c>
      <c r="L249" s="128">
        <f t="shared" si="6"/>
        <v>720271.13734561577</v>
      </c>
      <c r="M249" s="128">
        <v>15073</v>
      </c>
      <c r="N249" s="128">
        <v>28</v>
      </c>
      <c r="O249" s="128">
        <v>101</v>
      </c>
      <c r="P249" s="128">
        <v>7</v>
      </c>
      <c r="Q249" s="128">
        <v>1941</v>
      </c>
      <c r="R249" s="128">
        <v>23305</v>
      </c>
      <c r="S249" s="128">
        <v>23739</v>
      </c>
      <c r="T249" s="128">
        <v>24368</v>
      </c>
      <c r="U249" s="128">
        <v>25011</v>
      </c>
      <c r="V249" s="188">
        <f t="shared" si="7"/>
        <v>0.6467710791675606</v>
      </c>
      <c r="W249" s="238">
        <v>6.1400000000000003E-2</v>
      </c>
      <c r="X249" s="358">
        <v>7</v>
      </c>
      <c r="AF249" s="238"/>
    </row>
    <row r="250" spans="2:32" x14ac:dyDescent="0.25">
      <c r="B250" t="s">
        <v>317</v>
      </c>
      <c r="C250" s="128">
        <v>171527539.20828277</v>
      </c>
      <c r="D250" s="128">
        <v>155341953.20828277</v>
      </c>
      <c r="E250" s="128">
        <v>4332134</v>
      </c>
      <c r="F250" s="128">
        <v>0</v>
      </c>
      <c r="G250" s="128">
        <v>9791498</v>
      </c>
      <c r="H250" s="128">
        <v>2061954</v>
      </c>
      <c r="I250" s="128">
        <v>39628474</v>
      </c>
      <c r="L250" s="128">
        <f t="shared" si="6"/>
        <v>9280986.7917172313</v>
      </c>
      <c r="M250" s="128">
        <v>220437</v>
      </c>
      <c r="N250" s="128">
        <v>7529</v>
      </c>
      <c r="O250" s="128">
        <v>6579</v>
      </c>
      <c r="P250" s="128">
        <v>0</v>
      </c>
      <c r="Q250" s="128">
        <v>14041</v>
      </c>
      <c r="R250" s="128">
        <v>322326</v>
      </c>
      <c r="S250" s="128">
        <v>327705</v>
      </c>
      <c r="T250" s="128">
        <v>297163</v>
      </c>
      <c r="U250" s="128">
        <v>299538</v>
      </c>
      <c r="V250" s="188">
        <f t="shared" si="7"/>
        <v>0.68389456637069301</v>
      </c>
      <c r="W250" s="238">
        <v>2.7900000000000001E-2</v>
      </c>
      <c r="X250" s="358">
        <v>5</v>
      </c>
      <c r="AF250" s="238"/>
    </row>
    <row r="251" spans="2:32" x14ac:dyDescent="0.25">
      <c r="B251" t="s">
        <v>135</v>
      </c>
      <c r="C251" s="128">
        <v>3468465.5009202748</v>
      </c>
      <c r="D251" s="128">
        <v>3324155.5009202748</v>
      </c>
      <c r="E251" s="128">
        <v>7126</v>
      </c>
      <c r="F251" s="128">
        <v>0</v>
      </c>
      <c r="G251" s="128">
        <v>7798</v>
      </c>
      <c r="H251" s="128">
        <v>129386</v>
      </c>
      <c r="I251" s="128">
        <v>0</v>
      </c>
      <c r="L251" s="128">
        <f t="shared" si="6"/>
        <v>296534.49907972524</v>
      </c>
      <c r="M251" s="128">
        <v>3765</v>
      </c>
      <c r="N251" s="128">
        <v>100</v>
      </c>
      <c r="O251" s="128">
        <v>324</v>
      </c>
      <c r="P251" s="128">
        <v>18</v>
      </c>
      <c r="Q251" s="128">
        <v>0</v>
      </c>
      <c r="R251" s="128">
        <v>8113</v>
      </c>
      <c r="S251" s="128">
        <v>7981</v>
      </c>
      <c r="T251" s="128">
        <v>7438</v>
      </c>
      <c r="U251" s="128">
        <v>7715</v>
      </c>
      <c r="V251" s="188">
        <f t="shared" si="7"/>
        <v>0.46407001109330703</v>
      </c>
      <c r="W251" s="238">
        <v>6.3E-3</v>
      </c>
      <c r="X251" s="358">
        <v>8</v>
      </c>
      <c r="AF251" s="238"/>
    </row>
    <row r="252" spans="2:32" x14ac:dyDescent="0.25">
      <c r="B252" t="s">
        <v>337</v>
      </c>
      <c r="C252" s="128">
        <v>60699846.275759131</v>
      </c>
      <c r="D252" s="128">
        <v>54615715.275759131</v>
      </c>
      <c r="E252" s="128">
        <v>738201</v>
      </c>
      <c r="F252" s="128">
        <v>0</v>
      </c>
      <c r="G252" s="128">
        <v>4532897</v>
      </c>
      <c r="H252" s="128">
        <v>813033</v>
      </c>
      <c r="I252" s="243">
        <v>7834961</v>
      </c>
      <c r="L252" s="128">
        <f t="shared" si="6"/>
        <v>0</v>
      </c>
      <c r="M252" s="128">
        <v>65191</v>
      </c>
      <c r="N252" s="128">
        <v>1440</v>
      </c>
      <c r="O252" s="128">
        <v>956</v>
      </c>
      <c r="P252" s="128">
        <v>28</v>
      </c>
      <c r="Q252" s="128">
        <v>843</v>
      </c>
      <c r="R252" s="128">
        <v>121305</v>
      </c>
      <c r="S252" s="128">
        <v>122438</v>
      </c>
      <c r="T252" s="128">
        <v>115051</v>
      </c>
      <c r="U252" s="128">
        <v>115828</v>
      </c>
      <c r="V252" s="188">
        <f t="shared" si="7"/>
        <v>0.53741395655578916</v>
      </c>
      <c r="W252" s="238">
        <v>2.52E-2</v>
      </c>
      <c r="X252" s="358">
        <v>8.5</v>
      </c>
      <c r="AF252" s="238"/>
    </row>
    <row r="253" spans="2:32" x14ac:dyDescent="0.25">
      <c r="B253" t="s">
        <v>443</v>
      </c>
      <c r="C253" s="128">
        <v>1517104671.7930815</v>
      </c>
      <c r="D253" s="128">
        <v>1322316213.7930815</v>
      </c>
      <c r="E253" s="128">
        <v>19555931</v>
      </c>
      <c r="F253" s="128">
        <v>68161406</v>
      </c>
      <c r="G253" s="128">
        <v>42689224</v>
      </c>
      <c r="H253" s="128">
        <v>64381897</v>
      </c>
      <c r="I253" s="128">
        <v>387234341</v>
      </c>
      <c r="L253" s="128">
        <f t="shared" si="6"/>
        <v>0</v>
      </c>
      <c r="M253" s="128">
        <v>1866954</v>
      </c>
      <c r="N253" s="128">
        <v>19522</v>
      </c>
      <c r="O253" s="128">
        <v>32668</v>
      </c>
      <c r="P253" s="128">
        <v>5903</v>
      </c>
      <c r="Q253" s="128">
        <v>59778</v>
      </c>
      <c r="R253" s="128">
        <v>2529529</v>
      </c>
      <c r="S253" s="128">
        <v>2736623</v>
      </c>
      <c r="T253" s="128">
        <v>2518819</v>
      </c>
      <c r="U253" s="128">
        <v>2563997</v>
      </c>
      <c r="V253" s="188">
        <f t="shared" si="7"/>
        <v>0.7380638846204175</v>
      </c>
      <c r="W253" s="238">
        <v>4.6699999999999998E-2</v>
      </c>
      <c r="X253" s="358">
        <v>6.5</v>
      </c>
      <c r="AF253" s="238"/>
    </row>
    <row r="254" spans="2:32" x14ac:dyDescent="0.25">
      <c r="B254" t="s">
        <v>480</v>
      </c>
      <c r="C254" s="128">
        <v>332301011.03939998</v>
      </c>
      <c r="D254" s="128">
        <v>258736680.03939995</v>
      </c>
      <c r="E254" s="128">
        <v>6256307</v>
      </c>
      <c r="F254" s="128">
        <v>27753288</v>
      </c>
      <c r="G254" s="128">
        <v>23116982</v>
      </c>
      <c r="H254" s="128">
        <v>16437754</v>
      </c>
      <c r="I254" s="128">
        <v>60906351</v>
      </c>
      <c r="L254" s="128">
        <f t="shared" si="6"/>
        <v>10141637.960600019</v>
      </c>
      <c r="M254" s="128">
        <v>403349</v>
      </c>
      <c r="N254" s="128">
        <v>4058</v>
      </c>
      <c r="O254" s="128">
        <v>14867</v>
      </c>
      <c r="P254" s="128">
        <v>3064</v>
      </c>
      <c r="Q254" s="128">
        <v>46239</v>
      </c>
      <c r="R254" s="128">
        <v>695433</v>
      </c>
      <c r="S254" s="128">
        <v>708831</v>
      </c>
      <c r="T254" s="128">
        <v>758889</v>
      </c>
      <c r="U254" s="128">
        <v>770995</v>
      </c>
      <c r="V254" s="188">
        <f t="shared" si="7"/>
        <v>0.57999692278048354</v>
      </c>
      <c r="W254" s="238">
        <v>3.7900000000000003E-2</v>
      </c>
      <c r="X254" s="358">
        <v>7.5</v>
      </c>
      <c r="AF254" s="238"/>
    </row>
    <row r="255" spans="2:32" x14ac:dyDescent="0.25">
      <c r="B255" t="s">
        <v>420</v>
      </c>
      <c r="C255" s="128">
        <v>19418068.184148468</v>
      </c>
      <c r="D255" s="128">
        <v>16727318.184148468</v>
      </c>
      <c r="E255" s="128">
        <v>162026</v>
      </c>
      <c r="F255" s="128">
        <v>0</v>
      </c>
      <c r="G255" s="128">
        <v>2268954</v>
      </c>
      <c r="H255" s="128">
        <v>259770</v>
      </c>
      <c r="I255" s="243">
        <v>0</v>
      </c>
      <c r="L255" s="128">
        <f t="shared" si="6"/>
        <v>1641931.8158515319</v>
      </c>
      <c r="M255" s="128">
        <v>21060</v>
      </c>
      <c r="N255" s="128">
        <v>35</v>
      </c>
      <c r="O255" s="128">
        <v>314</v>
      </c>
      <c r="P255" s="128">
        <v>146</v>
      </c>
      <c r="Q255" s="128">
        <v>75</v>
      </c>
      <c r="R255" s="128">
        <v>26726</v>
      </c>
      <c r="S255" s="128">
        <v>26580</v>
      </c>
      <c r="T255" s="128">
        <v>26114</v>
      </c>
      <c r="U255" s="128">
        <v>26385</v>
      </c>
      <c r="V255" s="188">
        <f t="shared" si="7"/>
        <v>0.7879967073261992</v>
      </c>
      <c r="W255" s="238">
        <v>5.6599999999999998E-2</v>
      </c>
      <c r="X255" s="358">
        <v>8</v>
      </c>
      <c r="AF255" s="238"/>
    </row>
    <row r="256" spans="2:32" x14ac:dyDescent="0.25">
      <c r="B256" t="s">
        <v>387</v>
      </c>
      <c r="C256" s="128">
        <v>43448010.03839612</v>
      </c>
      <c r="D256" s="128">
        <v>38746009.03839612</v>
      </c>
      <c r="E256" s="128">
        <v>267190</v>
      </c>
      <c r="F256" s="128">
        <v>0</v>
      </c>
      <c r="G256" s="128">
        <v>4058955</v>
      </c>
      <c r="H256" s="128">
        <v>375856</v>
      </c>
      <c r="I256" s="128">
        <v>3874513</v>
      </c>
      <c r="L256" s="128">
        <f t="shared" si="6"/>
        <v>0</v>
      </c>
      <c r="M256" s="128">
        <v>44184</v>
      </c>
      <c r="N256" s="128">
        <v>31</v>
      </c>
      <c r="O256" s="128">
        <v>1359</v>
      </c>
      <c r="P256" s="128">
        <v>30</v>
      </c>
      <c r="Q256" s="128">
        <v>1268</v>
      </c>
      <c r="R256" s="128">
        <v>66651</v>
      </c>
      <c r="S256" s="128">
        <v>66855</v>
      </c>
      <c r="T256" s="128">
        <v>69246</v>
      </c>
      <c r="U256" s="128">
        <v>69594</v>
      </c>
      <c r="V256" s="188">
        <f t="shared" si="7"/>
        <v>0.66291578520952421</v>
      </c>
      <c r="W256" s="238">
        <v>4.6800000000000001E-2</v>
      </c>
      <c r="X256" s="358">
        <v>7.5</v>
      </c>
      <c r="AF256" s="238"/>
    </row>
    <row r="257" spans="2:32" x14ac:dyDescent="0.25">
      <c r="B257" t="s">
        <v>421</v>
      </c>
      <c r="C257" s="128">
        <v>193678450.26875734</v>
      </c>
      <c r="D257" s="128">
        <v>174201970.26875734</v>
      </c>
      <c r="E257" s="128">
        <v>3739716</v>
      </c>
      <c r="F257" s="128">
        <v>0</v>
      </c>
      <c r="G257" s="128">
        <v>13632516</v>
      </c>
      <c r="H257" s="128">
        <v>2104248</v>
      </c>
      <c r="I257" s="243">
        <v>40605616</v>
      </c>
      <c r="L257" s="128">
        <f t="shared" si="6"/>
        <v>4544933.7312426567</v>
      </c>
      <c r="M257" s="128">
        <v>238829</v>
      </c>
      <c r="N257" s="128">
        <v>1176</v>
      </c>
      <c r="O257" s="128">
        <v>6925</v>
      </c>
      <c r="P257" s="128">
        <v>868</v>
      </c>
      <c r="Q257" s="128">
        <v>14</v>
      </c>
      <c r="R257" s="128">
        <v>367317</v>
      </c>
      <c r="S257" s="128">
        <v>364208</v>
      </c>
      <c r="T257" s="128">
        <v>330096</v>
      </c>
      <c r="U257" s="128">
        <v>326873</v>
      </c>
      <c r="V257" s="188">
        <f t="shared" si="7"/>
        <v>0.65019860229719828</v>
      </c>
      <c r="W257" s="238">
        <v>2.81E-2</v>
      </c>
      <c r="X257" s="358">
        <v>7</v>
      </c>
      <c r="AF257" s="238"/>
    </row>
    <row r="258" spans="2:32" x14ac:dyDescent="0.25">
      <c r="B258" t="s">
        <v>318</v>
      </c>
      <c r="C258" s="128">
        <v>49099538.129836291</v>
      </c>
      <c r="D258" s="128">
        <v>45414921.129836291</v>
      </c>
      <c r="E258" s="128">
        <v>765154</v>
      </c>
      <c r="F258" s="128">
        <v>0</v>
      </c>
      <c r="G258" s="128">
        <v>2385294</v>
      </c>
      <c r="H258" s="128">
        <v>534169</v>
      </c>
      <c r="I258" s="128">
        <v>7848625</v>
      </c>
      <c r="L258" s="128">
        <f t="shared" si="6"/>
        <v>0</v>
      </c>
      <c r="M258" s="128">
        <v>52803</v>
      </c>
      <c r="N258" s="128">
        <v>171</v>
      </c>
      <c r="O258" s="128">
        <v>1572</v>
      </c>
      <c r="P258" s="128">
        <v>44</v>
      </c>
      <c r="Q258" s="128">
        <v>0</v>
      </c>
      <c r="R258" s="128">
        <v>73174</v>
      </c>
      <c r="S258" s="128">
        <v>75998</v>
      </c>
      <c r="T258" s="128">
        <v>72748</v>
      </c>
      <c r="U258" s="128">
        <v>71679</v>
      </c>
      <c r="V258" s="188">
        <f t="shared" si="7"/>
        <v>0.72160876814168962</v>
      </c>
      <c r="W258" s="238">
        <v>5.0299999999999997E-2</v>
      </c>
      <c r="X258" s="358">
        <v>7</v>
      </c>
      <c r="AF258" s="238"/>
    </row>
    <row r="259" spans="2:32" x14ac:dyDescent="0.25">
      <c r="B259" t="s">
        <v>338</v>
      </c>
      <c r="C259" s="128">
        <v>42367968.602358207</v>
      </c>
      <c r="D259" s="128">
        <v>38825294.602358207</v>
      </c>
      <c r="E259" s="128">
        <v>776868</v>
      </c>
      <c r="F259" s="128">
        <v>0</v>
      </c>
      <c r="G259" s="128">
        <v>2030634</v>
      </c>
      <c r="H259" s="128">
        <v>735172</v>
      </c>
      <c r="I259" s="128">
        <v>4492967</v>
      </c>
      <c r="L259" s="128">
        <f t="shared" ref="L259:L322" si="8">IF(SUM(M259*1000,-I259,-C259)&gt;0,SUM(M259*1000,-I259,-C259),0)</f>
        <v>0</v>
      </c>
      <c r="M259" s="128">
        <v>45197</v>
      </c>
      <c r="N259" s="128">
        <v>640</v>
      </c>
      <c r="O259" s="128">
        <v>753</v>
      </c>
      <c r="P259" s="128">
        <v>12</v>
      </c>
      <c r="Q259" s="128">
        <v>341</v>
      </c>
      <c r="R259" s="128">
        <v>77206</v>
      </c>
      <c r="S259" s="128">
        <v>74739</v>
      </c>
      <c r="T259" s="128">
        <v>74763</v>
      </c>
      <c r="U259" s="128">
        <v>73451</v>
      </c>
      <c r="V259" s="188">
        <f t="shared" ref="V259:V322" si="9">M259/R259</f>
        <v>0.58540786985467452</v>
      </c>
      <c r="W259" s="238">
        <v>1.1299999999999999E-2</v>
      </c>
      <c r="X259" s="358">
        <v>10</v>
      </c>
      <c r="AF259" s="238"/>
    </row>
    <row r="260" spans="2:32" x14ac:dyDescent="0.25">
      <c r="B260" t="s">
        <v>136</v>
      </c>
      <c r="C260" s="128">
        <v>126108209.45596959</v>
      </c>
      <c r="D260" s="128">
        <v>110050956.45596959</v>
      </c>
      <c r="E260" s="128">
        <v>3913331</v>
      </c>
      <c r="F260" s="128">
        <v>0</v>
      </c>
      <c r="G260" s="128">
        <v>10846816</v>
      </c>
      <c r="H260" s="128">
        <v>1297106</v>
      </c>
      <c r="I260" s="128">
        <v>26267403</v>
      </c>
      <c r="L260" s="128">
        <f t="shared" si="8"/>
        <v>1564387.544030413</v>
      </c>
      <c r="M260" s="128">
        <v>153940</v>
      </c>
      <c r="N260" s="128">
        <v>219</v>
      </c>
      <c r="O260" s="128">
        <v>2040</v>
      </c>
      <c r="P260" s="128">
        <v>485</v>
      </c>
      <c r="Q260" s="128">
        <v>1033</v>
      </c>
      <c r="R260" s="128">
        <v>197127</v>
      </c>
      <c r="S260" s="128">
        <v>199506</v>
      </c>
      <c r="T260" s="128">
        <v>189852</v>
      </c>
      <c r="U260" s="128">
        <v>192642</v>
      </c>
      <c r="V260" s="188">
        <f t="shared" si="9"/>
        <v>0.78091788542411744</v>
      </c>
      <c r="W260" s="238">
        <v>4.3499999999999997E-2</v>
      </c>
      <c r="X260" s="358">
        <v>5.5</v>
      </c>
      <c r="AF260" s="238"/>
    </row>
    <row r="261" spans="2:32" x14ac:dyDescent="0.25">
      <c r="B261" t="s">
        <v>229</v>
      </c>
      <c r="C261" s="128">
        <v>71917110.722023994</v>
      </c>
      <c r="D261" s="128">
        <v>66775058.722023994</v>
      </c>
      <c r="E261" s="128">
        <v>1390140</v>
      </c>
      <c r="F261" s="128">
        <v>0</v>
      </c>
      <c r="G261" s="128">
        <v>2980690</v>
      </c>
      <c r="H261" s="128">
        <v>771222</v>
      </c>
      <c r="I261" s="243">
        <v>11294677</v>
      </c>
      <c r="L261" s="128">
        <f t="shared" si="8"/>
        <v>0</v>
      </c>
      <c r="M261" s="128">
        <v>80748</v>
      </c>
      <c r="N261" s="128">
        <v>139</v>
      </c>
      <c r="O261" s="128">
        <v>2150</v>
      </c>
      <c r="P261" s="128">
        <v>220</v>
      </c>
      <c r="Q261" s="128">
        <v>16009</v>
      </c>
      <c r="R261" s="128">
        <v>141152</v>
      </c>
      <c r="S261" s="128">
        <v>141821</v>
      </c>
      <c r="T261" s="128">
        <v>123265</v>
      </c>
      <c r="U261" s="128">
        <v>126894</v>
      </c>
      <c r="V261" s="188">
        <f t="shared" si="9"/>
        <v>0.57206415778734976</v>
      </c>
      <c r="W261" s="238">
        <v>3.4200000000000001E-2</v>
      </c>
      <c r="X261" s="358">
        <v>8</v>
      </c>
      <c r="AF261" s="238"/>
    </row>
    <row r="262" spans="2:32" x14ac:dyDescent="0.25">
      <c r="B262" t="s">
        <v>388</v>
      </c>
      <c r="C262" s="128">
        <v>29123960.447848246</v>
      </c>
      <c r="D262" s="128">
        <v>26758792.447848246</v>
      </c>
      <c r="E262" s="128">
        <v>326001</v>
      </c>
      <c r="F262" s="128">
        <v>0</v>
      </c>
      <c r="G262" s="128">
        <v>1696104</v>
      </c>
      <c r="H262" s="128">
        <v>343063</v>
      </c>
      <c r="I262" s="243">
        <v>3032109</v>
      </c>
      <c r="L262" s="128">
        <f t="shared" si="8"/>
        <v>0</v>
      </c>
      <c r="M262" s="128">
        <v>31783</v>
      </c>
      <c r="N262" s="128">
        <v>69</v>
      </c>
      <c r="O262" s="128">
        <v>763</v>
      </c>
      <c r="P262" s="128">
        <v>39</v>
      </c>
      <c r="Q262" s="128">
        <v>4745</v>
      </c>
      <c r="R262" s="128">
        <v>49530</v>
      </c>
      <c r="S262" s="128">
        <v>50735</v>
      </c>
      <c r="T262" s="128">
        <v>46890</v>
      </c>
      <c r="U262" s="128">
        <v>46718</v>
      </c>
      <c r="V262" s="188">
        <f t="shared" si="9"/>
        <v>0.64169190389662834</v>
      </c>
      <c r="W262" s="238">
        <v>5.8299999999999998E-2</v>
      </c>
      <c r="X262" s="358">
        <v>7</v>
      </c>
      <c r="AF262" s="238"/>
    </row>
    <row r="263" spans="2:32" x14ac:dyDescent="0.25">
      <c r="B263" t="s">
        <v>389</v>
      </c>
      <c r="C263" s="128">
        <v>23996432.490381896</v>
      </c>
      <c r="D263" s="128">
        <v>22241982.490381896</v>
      </c>
      <c r="E263" s="128">
        <v>585464</v>
      </c>
      <c r="F263" s="128">
        <v>0</v>
      </c>
      <c r="G263" s="128">
        <v>851096</v>
      </c>
      <c r="H263" s="128">
        <v>317890</v>
      </c>
      <c r="I263" s="128">
        <v>3211151</v>
      </c>
      <c r="L263" s="128">
        <f t="shared" si="8"/>
        <v>0</v>
      </c>
      <c r="M263" s="128">
        <v>25828</v>
      </c>
      <c r="N263" s="128">
        <v>162</v>
      </c>
      <c r="O263" s="128">
        <v>550</v>
      </c>
      <c r="P263" s="128">
        <v>56</v>
      </c>
      <c r="Q263" s="128">
        <v>3548</v>
      </c>
      <c r="R263" s="128">
        <v>42251</v>
      </c>
      <c r="S263" s="128">
        <v>43038</v>
      </c>
      <c r="T263" s="128">
        <v>38990</v>
      </c>
      <c r="U263" s="128">
        <v>40232</v>
      </c>
      <c r="V263" s="188">
        <f t="shared" si="9"/>
        <v>0.61129914084873727</v>
      </c>
      <c r="W263" s="238">
        <v>4.99E-2</v>
      </c>
      <c r="X263" s="358">
        <v>6.5</v>
      </c>
      <c r="AF263" s="238"/>
    </row>
    <row r="264" spans="2:32" x14ac:dyDescent="0.25">
      <c r="B264" t="s">
        <v>125</v>
      </c>
      <c r="C264" s="128">
        <v>86837132.973121673</v>
      </c>
      <c r="D264" s="128">
        <v>67164289.973121673</v>
      </c>
      <c r="E264" s="128">
        <v>2047649</v>
      </c>
      <c r="F264" s="128">
        <v>0</v>
      </c>
      <c r="G264" s="128">
        <v>16795575</v>
      </c>
      <c r="H264" s="128">
        <v>829619</v>
      </c>
      <c r="I264" s="128">
        <v>15672265</v>
      </c>
      <c r="L264" s="128">
        <f t="shared" si="8"/>
        <v>0</v>
      </c>
      <c r="M264" s="128">
        <v>100636</v>
      </c>
      <c r="N264" s="128">
        <v>50</v>
      </c>
      <c r="O264" s="128">
        <v>360</v>
      </c>
      <c r="P264" s="128">
        <v>460</v>
      </c>
      <c r="Q264" s="128">
        <v>569</v>
      </c>
      <c r="R264" s="128">
        <v>120376</v>
      </c>
      <c r="S264" s="128">
        <v>123626</v>
      </c>
      <c r="T264" s="128">
        <v>114156</v>
      </c>
      <c r="U264" s="128">
        <v>121905</v>
      </c>
      <c r="V264" s="188">
        <f t="shared" si="9"/>
        <v>0.83601382335349239</v>
      </c>
      <c r="W264" s="238">
        <v>5.6000000000000001E-2</v>
      </c>
      <c r="X264" s="358">
        <v>5.5</v>
      </c>
      <c r="AF264" s="238"/>
    </row>
    <row r="265" spans="2:32" x14ac:dyDescent="0.25">
      <c r="B265" t="s">
        <v>158</v>
      </c>
      <c r="C265" s="128">
        <v>25472668.505559832</v>
      </c>
      <c r="D265" s="128">
        <v>23136698.505559832</v>
      </c>
      <c r="E265" s="128">
        <v>789844</v>
      </c>
      <c r="F265" s="128">
        <v>0</v>
      </c>
      <c r="G265" s="128">
        <v>1174673</v>
      </c>
      <c r="H265" s="128">
        <v>371453</v>
      </c>
      <c r="I265" s="128">
        <v>2022141</v>
      </c>
      <c r="L265" s="128">
        <f t="shared" si="8"/>
        <v>0</v>
      </c>
      <c r="M265" s="128">
        <v>26736</v>
      </c>
      <c r="N265" s="128">
        <v>29</v>
      </c>
      <c r="O265" s="128">
        <v>223</v>
      </c>
      <c r="P265" s="128">
        <v>427</v>
      </c>
      <c r="Q265" s="128">
        <v>942</v>
      </c>
      <c r="R265" s="128">
        <v>41558</v>
      </c>
      <c r="S265" s="128">
        <v>43957</v>
      </c>
      <c r="T265" s="128">
        <v>35730</v>
      </c>
      <c r="U265" s="128">
        <v>38893</v>
      </c>
      <c r="V265" s="188">
        <f t="shared" si="9"/>
        <v>0.6433418355070023</v>
      </c>
      <c r="W265" s="238">
        <v>6.2100000000000002E-2</v>
      </c>
      <c r="X265" s="358">
        <v>7</v>
      </c>
      <c r="AF265" s="238"/>
    </row>
    <row r="266" spans="2:32" x14ac:dyDescent="0.25">
      <c r="B266" t="s">
        <v>272</v>
      </c>
      <c r="C266" s="128">
        <v>37054896.585253112</v>
      </c>
      <c r="D266" s="128">
        <v>33756155.585253112</v>
      </c>
      <c r="E266" s="128">
        <v>821397</v>
      </c>
      <c r="F266" s="128">
        <v>0</v>
      </c>
      <c r="G266" s="128">
        <v>2052199</v>
      </c>
      <c r="H266" s="128">
        <v>425145</v>
      </c>
      <c r="I266" s="128">
        <v>4000786</v>
      </c>
      <c r="L266" s="128">
        <f t="shared" si="8"/>
        <v>0</v>
      </c>
      <c r="M266" s="128">
        <v>40834</v>
      </c>
      <c r="N266" s="128">
        <v>32</v>
      </c>
      <c r="O266" s="128">
        <v>627</v>
      </c>
      <c r="P266" s="128">
        <v>227</v>
      </c>
      <c r="Q266" s="128">
        <v>0</v>
      </c>
      <c r="R266" s="128">
        <v>55053</v>
      </c>
      <c r="S266" s="128">
        <v>55586</v>
      </c>
      <c r="T266" s="128">
        <v>51593</v>
      </c>
      <c r="U266" s="128">
        <v>52313</v>
      </c>
      <c r="V266" s="188">
        <f t="shared" si="9"/>
        <v>0.74172161371769019</v>
      </c>
      <c r="W266" s="238">
        <v>4.5100000000000001E-2</v>
      </c>
      <c r="X266" s="358">
        <v>7</v>
      </c>
      <c r="AF266" s="238"/>
    </row>
    <row r="267" spans="2:32" x14ac:dyDescent="0.25">
      <c r="B267" t="s">
        <v>390</v>
      </c>
      <c r="C267" s="128">
        <v>40722575.568521485</v>
      </c>
      <c r="D267" s="128">
        <v>37284438.568521485</v>
      </c>
      <c r="E267" s="128">
        <v>495894</v>
      </c>
      <c r="F267" s="128">
        <v>0</v>
      </c>
      <c r="G267" s="128">
        <v>2565491</v>
      </c>
      <c r="H267" s="128">
        <v>376752</v>
      </c>
      <c r="I267" s="128">
        <v>5299332</v>
      </c>
      <c r="L267" s="128">
        <f t="shared" si="8"/>
        <v>2798092.4314785153</v>
      </c>
      <c r="M267" s="128">
        <v>48820</v>
      </c>
      <c r="N267" s="128">
        <v>93</v>
      </c>
      <c r="O267" s="128">
        <v>478</v>
      </c>
      <c r="P267" s="128">
        <v>19</v>
      </c>
      <c r="Q267" s="128">
        <v>2819</v>
      </c>
      <c r="R267" s="128">
        <v>67689</v>
      </c>
      <c r="S267" s="128">
        <v>69420</v>
      </c>
      <c r="T267" s="128">
        <v>61279</v>
      </c>
      <c r="U267" s="128">
        <v>63654</v>
      </c>
      <c r="V267" s="188">
        <f t="shared" si="9"/>
        <v>0.72123978785327014</v>
      </c>
      <c r="W267" s="238">
        <v>5.4699999999999999E-2</v>
      </c>
      <c r="X267" s="358">
        <v>7</v>
      </c>
      <c r="AF267" s="238"/>
    </row>
    <row r="268" spans="2:32" x14ac:dyDescent="0.25">
      <c r="B268" t="s">
        <v>159</v>
      </c>
      <c r="C268" s="128">
        <v>86163558.924117103</v>
      </c>
      <c r="D268" s="128">
        <v>75875712.924117103</v>
      </c>
      <c r="E268" s="128">
        <v>2775042</v>
      </c>
      <c r="F268" s="128">
        <v>0</v>
      </c>
      <c r="G268" s="128">
        <v>6677441</v>
      </c>
      <c r="H268" s="128">
        <v>835363</v>
      </c>
      <c r="I268" s="128">
        <v>12720712</v>
      </c>
      <c r="L268" s="128">
        <f t="shared" si="8"/>
        <v>455729.07588289678</v>
      </c>
      <c r="M268" s="128">
        <v>99340</v>
      </c>
      <c r="N268" s="128">
        <v>63</v>
      </c>
      <c r="O268" s="128">
        <v>1152</v>
      </c>
      <c r="P268" s="128">
        <v>2022</v>
      </c>
      <c r="Q268" s="128">
        <v>3354</v>
      </c>
      <c r="R268" s="128">
        <v>134900</v>
      </c>
      <c r="S268" s="128">
        <v>137176</v>
      </c>
      <c r="T268" s="128">
        <v>127134</v>
      </c>
      <c r="U268" s="128">
        <v>129029</v>
      </c>
      <c r="V268" s="188">
        <f t="shared" si="9"/>
        <v>0.73639733135656038</v>
      </c>
      <c r="W268" s="238">
        <v>4.5400000000000003E-2</v>
      </c>
      <c r="X268" s="358">
        <v>7</v>
      </c>
      <c r="AF268" s="238"/>
    </row>
    <row r="269" spans="2:32" x14ac:dyDescent="0.25">
      <c r="B269" t="s">
        <v>422</v>
      </c>
      <c r="C269" s="128">
        <v>42216914.020522952</v>
      </c>
      <c r="D269" s="128">
        <v>38507531.020522952</v>
      </c>
      <c r="E269" s="128">
        <v>476357</v>
      </c>
      <c r="F269" s="128">
        <v>0</v>
      </c>
      <c r="G269" s="128">
        <v>2775403</v>
      </c>
      <c r="H269" s="128">
        <v>457623</v>
      </c>
      <c r="I269" s="128">
        <v>4256057</v>
      </c>
      <c r="L269" s="128">
        <f t="shared" si="8"/>
        <v>0</v>
      </c>
      <c r="M269" s="128">
        <v>46434</v>
      </c>
      <c r="N269" s="128">
        <v>87</v>
      </c>
      <c r="O269" s="128">
        <v>976</v>
      </c>
      <c r="P269" s="128">
        <v>265</v>
      </c>
      <c r="Q269" s="128">
        <v>751</v>
      </c>
      <c r="R269" s="128">
        <v>63911</v>
      </c>
      <c r="S269" s="128">
        <v>65805</v>
      </c>
      <c r="T269" s="128">
        <v>59828</v>
      </c>
      <c r="U269" s="128">
        <v>65088</v>
      </c>
      <c r="V269" s="188">
        <f t="shared" si="9"/>
        <v>0.72654159690820042</v>
      </c>
      <c r="W269" s="238">
        <v>4.2599999999999999E-2</v>
      </c>
      <c r="X269" s="358">
        <v>5</v>
      </c>
      <c r="AF269" s="238"/>
    </row>
    <row r="270" spans="2:32" x14ac:dyDescent="0.25">
      <c r="B270" t="s">
        <v>230</v>
      </c>
      <c r="C270" s="128">
        <v>93136717.596715003</v>
      </c>
      <c r="D270" s="128">
        <v>87595118.596715003</v>
      </c>
      <c r="E270" s="128">
        <v>1507287</v>
      </c>
      <c r="F270" s="128">
        <v>0</v>
      </c>
      <c r="G270" s="128">
        <v>3018799</v>
      </c>
      <c r="H270" s="128">
        <v>1015513</v>
      </c>
      <c r="I270" s="128">
        <v>11444822</v>
      </c>
      <c r="L270" s="128">
        <f t="shared" si="8"/>
        <v>0</v>
      </c>
      <c r="M270" s="128">
        <v>102945</v>
      </c>
      <c r="N270" s="128">
        <v>99</v>
      </c>
      <c r="O270" s="128">
        <v>2359</v>
      </c>
      <c r="P270" s="128">
        <v>40</v>
      </c>
      <c r="Q270" s="128">
        <v>2038</v>
      </c>
      <c r="R270" s="128">
        <v>145459</v>
      </c>
      <c r="S270" s="128">
        <v>145885</v>
      </c>
      <c r="T270" s="128">
        <v>138969</v>
      </c>
      <c r="U270" s="128">
        <v>139264</v>
      </c>
      <c r="V270" s="188">
        <f t="shared" si="9"/>
        <v>0.707725200915722</v>
      </c>
      <c r="W270" s="238">
        <v>3.6700000000000003E-2</v>
      </c>
      <c r="X270" s="358">
        <v>7.5</v>
      </c>
      <c r="AF270" s="238"/>
    </row>
    <row r="271" spans="2:32" x14ac:dyDescent="0.25">
      <c r="B271" t="s">
        <v>440</v>
      </c>
      <c r="C271" s="128">
        <v>182558343.38739067</v>
      </c>
      <c r="D271" s="128">
        <v>162249945.38739067</v>
      </c>
      <c r="E271" s="128">
        <v>3661820</v>
      </c>
      <c r="F271" s="128">
        <v>0</v>
      </c>
      <c r="G271" s="128">
        <v>14688345</v>
      </c>
      <c r="H271" s="128">
        <v>1958233</v>
      </c>
      <c r="I271" s="128">
        <v>33207663</v>
      </c>
      <c r="L271" s="128">
        <f t="shared" si="8"/>
        <v>4058993.6126093268</v>
      </c>
      <c r="M271" s="128">
        <v>219825</v>
      </c>
      <c r="N271" s="128">
        <v>395</v>
      </c>
      <c r="O271" s="128">
        <v>2856</v>
      </c>
      <c r="P271" s="128">
        <v>588</v>
      </c>
      <c r="Q271" s="128">
        <v>0</v>
      </c>
      <c r="R271" s="128">
        <v>283890</v>
      </c>
      <c r="S271" s="128">
        <v>284209</v>
      </c>
      <c r="T271" s="128">
        <v>270013</v>
      </c>
      <c r="U271" s="128">
        <v>271821</v>
      </c>
      <c r="V271" s="188">
        <f t="shared" si="9"/>
        <v>0.77433160731269157</v>
      </c>
      <c r="W271" s="238">
        <v>3.73E-2</v>
      </c>
      <c r="X271" s="358">
        <v>7.5</v>
      </c>
      <c r="AF271" s="238"/>
    </row>
    <row r="272" spans="2:32" x14ac:dyDescent="0.25">
      <c r="B272" t="s">
        <v>339</v>
      </c>
      <c r="C272" s="128">
        <v>108850284.45519631</v>
      </c>
      <c r="D272" s="128">
        <v>94030188.455196306</v>
      </c>
      <c r="E272" s="128">
        <v>4085780</v>
      </c>
      <c r="F272" s="128">
        <v>0</v>
      </c>
      <c r="G272" s="128">
        <v>9182029</v>
      </c>
      <c r="H272" s="128">
        <v>1552287</v>
      </c>
      <c r="I272" s="128">
        <v>15850022</v>
      </c>
      <c r="L272" s="128">
        <f t="shared" si="8"/>
        <v>41693.544803693891</v>
      </c>
      <c r="M272" s="128">
        <v>124742</v>
      </c>
      <c r="N272" s="128">
        <v>53</v>
      </c>
      <c r="O272" s="128">
        <v>2953</v>
      </c>
      <c r="P272" s="128">
        <v>185</v>
      </c>
      <c r="Q272" s="128">
        <v>135</v>
      </c>
      <c r="R272" s="128">
        <v>175775</v>
      </c>
      <c r="S272" s="128">
        <v>170601</v>
      </c>
      <c r="T272" s="128">
        <v>166094</v>
      </c>
      <c r="U272" s="128">
        <v>164889</v>
      </c>
      <c r="V272" s="188">
        <f t="shared" si="9"/>
        <v>0.70966861043948226</v>
      </c>
      <c r="W272" s="238">
        <v>2.6200000000000001E-2</v>
      </c>
      <c r="X272" s="358">
        <v>9</v>
      </c>
      <c r="AF272" s="238"/>
    </row>
    <row r="273" spans="2:32" x14ac:dyDescent="0.25">
      <c r="B273" t="s">
        <v>137</v>
      </c>
      <c r="C273" s="128">
        <v>9620838.2888875995</v>
      </c>
      <c r="D273" s="128">
        <v>9240184.2888875995</v>
      </c>
      <c r="E273" s="128">
        <v>17315</v>
      </c>
      <c r="F273" s="128">
        <v>0</v>
      </c>
      <c r="G273" s="128">
        <v>182594</v>
      </c>
      <c r="H273" s="128">
        <v>180745</v>
      </c>
      <c r="I273" s="128">
        <v>0</v>
      </c>
      <c r="L273" s="128">
        <f t="shared" si="8"/>
        <v>3857161.7111124005</v>
      </c>
      <c r="M273" s="128">
        <v>13478</v>
      </c>
      <c r="N273" s="128">
        <v>115</v>
      </c>
      <c r="O273" s="128">
        <v>618</v>
      </c>
      <c r="P273" s="128">
        <v>6</v>
      </c>
      <c r="Q273" s="128">
        <v>0</v>
      </c>
      <c r="R273" s="128">
        <v>24365</v>
      </c>
      <c r="S273" s="128">
        <v>24640</v>
      </c>
      <c r="T273" s="128">
        <v>23662</v>
      </c>
      <c r="U273" s="128">
        <v>23535</v>
      </c>
      <c r="V273" s="188">
        <f t="shared" si="9"/>
        <v>0.55317053150010265</v>
      </c>
      <c r="W273" s="238">
        <v>3.2599999999999997E-2</v>
      </c>
      <c r="X273" s="358">
        <v>8</v>
      </c>
      <c r="AF273" s="238"/>
    </row>
    <row r="274" spans="2:32" x14ac:dyDescent="0.25">
      <c r="B274" t="s">
        <v>273</v>
      </c>
      <c r="C274" s="128">
        <v>28739230.047508951</v>
      </c>
      <c r="D274" s="128">
        <v>25599211.047508951</v>
      </c>
      <c r="E274" s="128">
        <v>352223</v>
      </c>
      <c r="F274" s="128">
        <v>0</v>
      </c>
      <c r="G274" s="128">
        <v>2380708</v>
      </c>
      <c r="H274" s="128">
        <v>407088</v>
      </c>
      <c r="I274" s="128">
        <v>0</v>
      </c>
      <c r="L274" s="128">
        <f t="shared" si="8"/>
        <v>1105769.9524910487</v>
      </c>
      <c r="M274" s="128">
        <v>29845</v>
      </c>
      <c r="N274" s="128">
        <v>276</v>
      </c>
      <c r="O274" s="128">
        <v>787</v>
      </c>
      <c r="P274" s="128">
        <v>62</v>
      </c>
      <c r="Q274" s="128">
        <v>0</v>
      </c>
      <c r="R274" s="128">
        <v>59846</v>
      </c>
      <c r="S274" s="128">
        <v>58790</v>
      </c>
      <c r="T274" s="128">
        <v>57864</v>
      </c>
      <c r="U274" s="128">
        <v>56724</v>
      </c>
      <c r="V274" s="188">
        <f t="shared" si="9"/>
        <v>0.49869665474718444</v>
      </c>
      <c r="W274" s="238">
        <v>1.6500000000000001E-2</v>
      </c>
      <c r="X274" s="358">
        <v>8</v>
      </c>
      <c r="AF274" s="238"/>
    </row>
    <row r="275" spans="2:32" x14ac:dyDescent="0.25">
      <c r="B275" t="s">
        <v>319</v>
      </c>
      <c r="C275" s="128">
        <v>51167137.909233041</v>
      </c>
      <c r="D275" s="128">
        <v>47394848.909233041</v>
      </c>
      <c r="E275" s="128">
        <v>604581</v>
      </c>
      <c r="F275" s="128">
        <v>0</v>
      </c>
      <c r="G275" s="128">
        <v>2694580</v>
      </c>
      <c r="H275" s="128">
        <v>473128</v>
      </c>
      <c r="I275" s="128">
        <v>5941373</v>
      </c>
      <c r="L275" s="128">
        <f t="shared" si="8"/>
        <v>0</v>
      </c>
      <c r="M275" s="128">
        <v>56303</v>
      </c>
      <c r="N275" s="128">
        <v>179</v>
      </c>
      <c r="O275" s="128">
        <v>1560</v>
      </c>
      <c r="P275" s="128">
        <v>881</v>
      </c>
      <c r="Q275" s="128">
        <v>7241</v>
      </c>
      <c r="R275" s="128">
        <v>85819</v>
      </c>
      <c r="S275" s="128">
        <v>85732</v>
      </c>
      <c r="T275" s="128">
        <v>82524</v>
      </c>
      <c r="U275" s="128">
        <v>85508</v>
      </c>
      <c r="V275" s="188">
        <f t="shared" si="9"/>
        <v>0.6560668383458208</v>
      </c>
      <c r="W275" s="238">
        <v>4.9799999999999997E-2</v>
      </c>
      <c r="X275" s="358">
        <v>6.5</v>
      </c>
      <c r="AF275" s="238"/>
    </row>
    <row r="276" spans="2:32" x14ac:dyDescent="0.25">
      <c r="B276" t="s">
        <v>340</v>
      </c>
      <c r="C276" s="128">
        <v>46144696.229304217</v>
      </c>
      <c r="D276" s="128">
        <v>42768315.229304217</v>
      </c>
      <c r="E276" s="128">
        <v>537196</v>
      </c>
      <c r="F276" s="128">
        <v>0</v>
      </c>
      <c r="G276" s="128">
        <v>2270125</v>
      </c>
      <c r="H276" s="128">
        <v>569060</v>
      </c>
      <c r="I276" s="128">
        <v>5236140</v>
      </c>
      <c r="L276" s="128">
        <f t="shared" si="8"/>
        <v>0</v>
      </c>
      <c r="M276" s="128">
        <v>49977</v>
      </c>
      <c r="N276" s="128">
        <v>1279</v>
      </c>
      <c r="O276" s="128">
        <v>549</v>
      </c>
      <c r="P276" s="128">
        <v>60</v>
      </c>
      <c r="Q276" s="128">
        <v>3589</v>
      </c>
      <c r="R276" s="128">
        <v>72395</v>
      </c>
      <c r="S276" s="128">
        <v>72271</v>
      </c>
      <c r="T276" s="128">
        <v>67417</v>
      </c>
      <c r="U276" s="128">
        <v>68871</v>
      </c>
      <c r="V276" s="188">
        <f t="shared" si="9"/>
        <v>0.69033773050625047</v>
      </c>
      <c r="W276" s="238">
        <v>4.3299999999999998E-2</v>
      </c>
      <c r="X276" s="358">
        <v>8.5</v>
      </c>
      <c r="AF276" s="238"/>
    </row>
    <row r="277" spans="2:32" ht="13.25" customHeight="1" x14ac:dyDescent="0.25">
      <c r="B277" t="s">
        <v>204</v>
      </c>
      <c r="C277" s="128">
        <v>86793732.859582454</v>
      </c>
      <c r="D277" s="128">
        <v>75047248.859582454</v>
      </c>
      <c r="E277" s="128">
        <v>2237721</v>
      </c>
      <c r="F277" s="128">
        <v>0</v>
      </c>
      <c r="G277" s="128">
        <v>7978441</v>
      </c>
      <c r="H277" s="128">
        <v>1530322</v>
      </c>
      <c r="I277" s="128">
        <v>18274445</v>
      </c>
      <c r="L277" s="128">
        <f t="shared" si="8"/>
        <v>6697822.140417546</v>
      </c>
      <c r="M277" s="128">
        <v>111766</v>
      </c>
      <c r="N277" s="128">
        <v>173</v>
      </c>
      <c r="O277" s="128">
        <v>2207</v>
      </c>
      <c r="P277" s="128">
        <v>47</v>
      </c>
      <c r="Q277" s="128">
        <v>1833</v>
      </c>
      <c r="R277" s="128">
        <v>147693</v>
      </c>
      <c r="S277" s="128">
        <v>146994</v>
      </c>
      <c r="T277" s="128">
        <v>140366</v>
      </c>
      <c r="U277" s="128">
        <v>141702</v>
      </c>
      <c r="V277" s="188">
        <f t="shared" si="9"/>
        <v>0.75674541108921889</v>
      </c>
      <c r="W277" s="238">
        <v>3.5400000000000001E-2</v>
      </c>
      <c r="X277" s="358">
        <v>7.5</v>
      </c>
      <c r="AF277" s="238"/>
    </row>
    <row r="278" spans="2:32" ht="13.25" customHeight="1" x14ac:dyDescent="0.25">
      <c r="B278" t="s">
        <v>391</v>
      </c>
      <c r="C278" s="128">
        <v>528703272.64427078</v>
      </c>
      <c r="D278" s="128">
        <v>412939817.64427078</v>
      </c>
      <c r="E278" s="128">
        <v>10146878</v>
      </c>
      <c r="F278" s="128">
        <v>55108006</v>
      </c>
      <c r="G278" s="128">
        <v>29609171</v>
      </c>
      <c r="H278" s="128">
        <v>20899400</v>
      </c>
      <c r="I278" s="128">
        <v>107341131</v>
      </c>
      <c r="L278" s="128">
        <f t="shared" si="8"/>
        <v>0</v>
      </c>
      <c r="M278" s="128">
        <v>633205</v>
      </c>
      <c r="N278" s="128">
        <v>3007</v>
      </c>
      <c r="O278" s="128">
        <v>20456</v>
      </c>
      <c r="P278" s="128">
        <v>3224</v>
      </c>
      <c r="Q278" s="128">
        <v>24810</v>
      </c>
      <c r="R278" s="128">
        <v>881325</v>
      </c>
      <c r="S278" s="128">
        <v>913208</v>
      </c>
      <c r="T278" s="128">
        <v>807886</v>
      </c>
      <c r="U278" s="128">
        <v>858469</v>
      </c>
      <c r="V278" s="188">
        <f t="shared" si="9"/>
        <v>0.71846935012623037</v>
      </c>
      <c r="W278" s="238">
        <v>4.8800000000000003E-2</v>
      </c>
      <c r="X278" s="358">
        <v>6.5</v>
      </c>
      <c r="AF278" s="238"/>
    </row>
    <row r="279" spans="2:32" x14ac:dyDescent="0.25">
      <c r="B279" t="s">
        <v>160</v>
      </c>
      <c r="C279" s="128">
        <v>31575426.035293862</v>
      </c>
      <c r="D279" s="128">
        <v>28802021.035293862</v>
      </c>
      <c r="E279" s="128">
        <v>266638</v>
      </c>
      <c r="F279" s="128">
        <v>0</v>
      </c>
      <c r="G279" s="128">
        <v>2104328</v>
      </c>
      <c r="H279" s="128">
        <v>402439</v>
      </c>
      <c r="I279" s="128">
        <v>2719972</v>
      </c>
      <c r="L279" s="128">
        <f t="shared" si="8"/>
        <v>0</v>
      </c>
      <c r="M279" s="128">
        <v>32304</v>
      </c>
      <c r="N279" s="128">
        <v>0</v>
      </c>
      <c r="O279" s="128">
        <v>188</v>
      </c>
      <c r="P279" s="128">
        <v>893</v>
      </c>
      <c r="Q279" s="128">
        <v>663</v>
      </c>
      <c r="R279" s="128">
        <v>43762</v>
      </c>
      <c r="S279" s="128">
        <v>44361</v>
      </c>
      <c r="T279" s="128">
        <v>42218</v>
      </c>
      <c r="U279" s="128">
        <v>44439</v>
      </c>
      <c r="V279" s="188">
        <f t="shared" si="9"/>
        <v>0.73817467208994103</v>
      </c>
      <c r="W279" s="238">
        <v>5.2999999999999999E-2</v>
      </c>
      <c r="X279" s="358">
        <v>6</v>
      </c>
      <c r="AF279" s="238"/>
    </row>
    <row r="280" spans="2:32" x14ac:dyDescent="0.25">
      <c r="B280" t="s">
        <v>161</v>
      </c>
      <c r="C280" s="128">
        <v>62837912.063070193</v>
      </c>
      <c r="D280" s="128">
        <v>54728319.063070193</v>
      </c>
      <c r="E280" s="128">
        <v>1130504</v>
      </c>
      <c r="F280" s="128">
        <v>0</v>
      </c>
      <c r="G280" s="128">
        <v>6363010</v>
      </c>
      <c r="H280" s="128">
        <v>616079</v>
      </c>
      <c r="I280" s="243">
        <v>7712479</v>
      </c>
      <c r="L280" s="128">
        <f t="shared" si="8"/>
        <v>0</v>
      </c>
      <c r="M280" s="128">
        <v>69424</v>
      </c>
      <c r="N280" s="128">
        <v>101</v>
      </c>
      <c r="O280" s="128">
        <v>739</v>
      </c>
      <c r="P280" s="128">
        <v>1657</v>
      </c>
      <c r="Q280" s="128">
        <v>1829</v>
      </c>
      <c r="R280" s="128">
        <v>96796</v>
      </c>
      <c r="S280" s="128">
        <v>98515</v>
      </c>
      <c r="T280" s="128">
        <v>96441</v>
      </c>
      <c r="U280" s="128">
        <v>97164</v>
      </c>
      <c r="V280" s="188">
        <f t="shared" si="9"/>
        <v>0.71721971982313315</v>
      </c>
      <c r="W280" s="238">
        <v>4.5999999999999999E-2</v>
      </c>
      <c r="X280" s="358">
        <v>6</v>
      </c>
      <c r="AF280" s="238"/>
    </row>
    <row r="281" spans="2:32" x14ac:dyDescent="0.25">
      <c r="B281" t="s">
        <v>115</v>
      </c>
      <c r="C281" s="128">
        <v>51383450.444203019</v>
      </c>
      <c r="D281" s="128">
        <v>48509575.444203019</v>
      </c>
      <c r="E281" s="128">
        <v>2078728</v>
      </c>
      <c r="F281" s="128">
        <v>0</v>
      </c>
      <c r="G281" s="128">
        <v>270119</v>
      </c>
      <c r="H281" s="128">
        <v>525028</v>
      </c>
      <c r="I281" s="243">
        <v>6991297</v>
      </c>
      <c r="L281" s="128">
        <f t="shared" si="8"/>
        <v>1299252.5557969809</v>
      </c>
      <c r="M281" s="128">
        <v>59674</v>
      </c>
      <c r="N281" s="128">
        <v>117</v>
      </c>
      <c r="O281" s="128">
        <v>868</v>
      </c>
      <c r="P281" s="128">
        <v>275</v>
      </c>
      <c r="Q281" s="128">
        <v>5153</v>
      </c>
      <c r="R281" s="128">
        <v>85164</v>
      </c>
      <c r="S281" s="128">
        <v>85295</v>
      </c>
      <c r="T281" s="128">
        <v>77336</v>
      </c>
      <c r="U281" s="128">
        <v>77989</v>
      </c>
      <c r="V281" s="188">
        <f t="shared" si="9"/>
        <v>0.70069512939739798</v>
      </c>
      <c r="W281" s="238">
        <v>4.1300000000000003E-2</v>
      </c>
      <c r="X281" s="358">
        <v>7</v>
      </c>
      <c r="AF281" s="238"/>
    </row>
    <row r="282" spans="2:32" x14ac:dyDescent="0.25">
      <c r="B282" t="s">
        <v>138</v>
      </c>
      <c r="C282" s="128">
        <v>58665383.697594315</v>
      </c>
      <c r="D282" s="128">
        <v>52656212.697594315</v>
      </c>
      <c r="E282" s="128">
        <v>1715681</v>
      </c>
      <c r="F282" s="128">
        <v>0</v>
      </c>
      <c r="G282" s="128">
        <v>3484148</v>
      </c>
      <c r="H282" s="128">
        <v>809342</v>
      </c>
      <c r="I282" s="128">
        <v>8754962</v>
      </c>
      <c r="L282" s="128">
        <f t="shared" si="8"/>
        <v>770654.30240568519</v>
      </c>
      <c r="M282" s="128">
        <v>68191</v>
      </c>
      <c r="N282" s="128">
        <v>205</v>
      </c>
      <c r="O282" s="128">
        <v>716</v>
      </c>
      <c r="P282" s="128">
        <v>149</v>
      </c>
      <c r="Q282" s="128">
        <v>0</v>
      </c>
      <c r="R282" s="128">
        <v>87399</v>
      </c>
      <c r="S282" s="128">
        <v>89110</v>
      </c>
      <c r="T282" s="128">
        <v>84327</v>
      </c>
      <c r="U282" s="128">
        <v>86788</v>
      </c>
      <c r="V282" s="188">
        <f t="shared" si="9"/>
        <v>0.78022631837892886</v>
      </c>
      <c r="W282" s="238">
        <v>4.82E-2</v>
      </c>
      <c r="X282" s="358">
        <v>6</v>
      </c>
      <c r="AF282" s="238"/>
    </row>
    <row r="283" spans="2:32" x14ac:dyDescent="0.25">
      <c r="B283" t="s">
        <v>274</v>
      </c>
      <c r="C283" s="128">
        <v>18345687.56598191</v>
      </c>
      <c r="D283" s="128">
        <v>17039829.56598191</v>
      </c>
      <c r="E283" s="128">
        <v>210470</v>
      </c>
      <c r="F283" s="128">
        <v>0</v>
      </c>
      <c r="G283" s="128">
        <v>824629</v>
      </c>
      <c r="H283" s="128">
        <v>270759</v>
      </c>
      <c r="I283" s="128">
        <v>0</v>
      </c>
      <c r="L283" s="128">
        <f t="shared" si="8"/>
        <v>2437312.4340180904</v>
      </c>
      <c r="M283" s="128">
        <v>20783</v>
      </c>
      <c r="N283" s="128">
        <v>27</v>
      </c>
      <c r="O283" s="128">
        <v>202</v>
      </c>
      <c r="P283" s="128">
        <v>17</v>
      </c>
      <c r="Q283" s="128">
        <v>0</v>
      </c>
      <c r="R283" s="128">
        <v>27034</v>
      </c>
      <c r="S283" s="128">
        <v>27246</v>
      </c>
      <c r="T283" s="128">
        <v>25583</v>
      </c>
      <c r="U283" s="128">
        <v>26361</v>
      </c>
      <c r="V283" s="188">
        <f t="shared" si="9"/>
        <v>0.76877265665458316</v>
      </c>
      <c r="W283" s="238">
        <v>6.0499999999999998E-2</v>
      </c>
      <c r="X283" s="358">
        <v>5</v>
      </c>
      <c r="AF283" s="238"/>
    </row>
    <row r="284" spans="2:32" x14ac:dyDescent="0.25">
      <c r="B284" t="s">
        <v>275</v>
      </c>
      <c r="C284" s="128">
        <v>47321220.048080713</v>
      </c>
      <c r="D284" s="128">
        <v>44196725.048080713</v>
      </c>
      <c r="E284" s="128">
        <v>1313005</v>
      </c>
      <c r="F284" s="128">
        <v>0</v>
      </c>
      <c r="G284" s="128">
        <v>1331770</v>
      </c>
      <c r="H284" s="128">
        <v>479720</v>
      </c>
      <c r="I284" s="128">
        <v>5807318</v>
      </c>
      <c r="L284" s="128">
        <f t="shared" si="8"/>
        <v>525461.95191928744</v>
      </c>
      <c r="M284" s="128">
        <v>53654</v>
      </c>
      <c r="N284" s="128">
        <v>32</v>
      </c>
      <c r="O284" s="128">
        <v>957</v>
      </c>
      <c r="P284" s="128">
        <v>200</v>
      </c>
      <c r="Q284" s="128">
        <v>2562</v>
      </c>
      <c r="R284" s="128">
        <v>76928</v>
      </c>
      <c r="S284" s="128">
        <v>79453</v>
      </c>
      <c r="T284" s="128">
        <v>68476</v>
      </c>
      <c r="U284" s="128">
        <v>69295</v>
      </c>
      <c r="V284" s="188">
        <f t="shared" si="9"/>
        <v>0.69745736272878534</v>
      </c>
      <c r="W284" s="238">
        <v>4.6100000000000002E-2</v>
      </c>
      <c r="X284" s="358">
        <v>8</v>
      </c>
      <c r="AF284" s="238"/>
    </row>
    <row r="285" spans="2:32" x14ac:dyDescent="0.25">
      <c r="B285" t="s">
        <v>433</v>
      </c>
      <c r="C285" s="128">
        <v>30390483.937321473</v>
      </c>
      <c r="D285" s="128">
        <v>27986486.937321473</v>
      </c>
      <c r="E285" s="128">
        <v>373107</v>
      </c>
      <c r="F285" s="128">
        <v>0</v>
      </c>
      <c r="G285" s="128">
        <v>1592448</v>
      </c>
      <c r="H285" s="128">
        <v>438442</v>
      </c>
      <c r="I285" s="128">
        <v>2105207</v>
      </c>
      <c r="L285" s="128">
        <f t="shared" si="8"/>
        <v>1502309.0626785271</v>
      </c>
      <c r="M285" s="128">
        <v>33998</v>
      </c>
      <c r="N285" s="128">
        <v>36</v>
      </c>
      <c r="O285" s="128">
        <v>814</v>
      </c>
      <c r="P285" s="128">
        <v>109</v>
      </c>
      <c r="Q285" s="128">
        <v>14975</v>
      </c>
      <c r="R285" s="128">
        <v>67723</v>
      </c>
      <c r="S285" s="128">
        <v>65616</v>
      </c>
      <c r="T285" s="128">
        <v>58751</v>
      </c>
      <c r="U285" s="128">
        <v>57038</v>
      </c>
      <c r="V285" s="188">
        <f t="shared" si="9"/>
        <v>0.50201556339795939</v>
      </c>
      <c r="W285" s="238">
        <v>4.0599999999999997E-2</v>
      </c>
      <c r="X285" s="358">
        <v>8.5</v>
      </c>
      <c r="AF285" s="238"/>
    </row>
    <row r="286" spans="2:32" x14ac:dyDescent="0.25">
      <c r="B286" t="s">
        <v>231</v>
      </c>
      <c r="C286" s="128">
        <v>831682823.13076901</v>
      </c>
      <c r="D286" s="128">
        <v>663607857.13076901</v>
      </c>
      <c r="E286" s="128">
        <v>18882554</v>
      </c>
      <c r="F286" s="128">
        <v>82565370</v>
      </c>
      <c r="G286" s="128">
        <v>19319804</v>
      </c>
      <c r="H286" s="128">
        <v>47307238</v>
      </c>
      <c r="I286" s="128">
        <v>150306869</v>
      </c>
      <c r="L286" s="128">
        <f t="shared" si="8"/>
        <v>21263307.869230986</v>
      </c>
      <c r="M286" s="128">
        <v>1003253</v>
      </c>
      <c r="N286" s="128">
        <v>20525</v>
      </c>
      <c r="O286" s="128">
        <v>30057</v>
      </c>
      <c r="P286" s="128">
        <v>646</v>
      </c>
      <c r="Q286" s="128">
        <v>68476</v>
      </c>
      <c r="R286" s="128">
        <v>1480690</v>
      </c>
      <c r="S286" s="128">
        <v>1507648</v>
      </c>
      <c r="T286" s="128">
        <v>1455979</v>
      </c>
      <c r="U286" s="128">
        <v>1538555</v>
      </c>
      <c r="V286" s="188">
        <f t="shared" si="9"/>
        <v>0.67755776023340475</v>
      </c>
      <c r="W286" s="238">
        <v>3.9399999999999998E-2</v>
      </c>
      <c r="X286" s="358">
        <v>8.5</v>
      </c>
      <c r="AF286" s="238"/>
    </row>
    <row r="287" spans="2:32" x14ac:dyDescent="0.25">
      <c r="B287" t="s">
        <v>232</v>
      </c>
      <c r="C287" s="128">
        <v>73415113.265407324</v>
      </c>
      <c r="D287" s="128">
        <v>69242671.265407324</v>
      </c>
      <c r="E287" s="128">
        <v>1752731</v>
      </c>
      <c r="F287" s="128">
        <v>0</v>
      </c>
      <c r="G287" s="128">
        <v>1562991</v>
      </c>
      <c r="H287" s="128">
        <v>856720</v>
      </c>
      <c r="I287" s="128">
        <v>10111001</v>
      </c>
      <c r="L287" s="128">
        <f t="shared" si="8"/>
        <v>1850885.7345926762</v>
      </c>
      <c r="M287" s="128">
        <v>85377</v>
      </c>
      <c r="N287" s="128">
        <v>235</v>
      </c>
      <c r="O287" s="128">
        <v>1593</v>
      </c>
      <c r="P287" s="128">
        <v>251</v>
      </c>
      <c r="Q287" s="128">
        <v>10474</v>
      </c>
      <c r="R287" s="128">
        <v>133306</v>
      </c>
      <c r="S287" s="128">
        <v>128742</v>
      </c>
      <c r="T287" s="128">
        <v>119137</v>
      </c>
      <c r="U287" s="128">
        <v>118236</v>
      </c>
      <c r="V287" s="188">
        <f t="shared" si="9"/>
        <v>0.64045879405278083</v>
      </c>
      <c r="W287" s="238">
        <v>3.0099999999999998E-2</v>
      </c>
      <c r="X287" s="358">
        <v>8.5</v>
      </c>
      <c r="AF287" s="238"/>
    </row>
    <row r="288" spans="2:32" x14ac:dyDescent="0.25">
      <c r="B288" t="s">
        <v>423</v>
      </c>
      <c r="C288" s="128">
        <v>19941329.618133374</v>
      </c>
      <c r="D288" s="128">
        <v>17913067.618133374</v>
      </c>
      <c r="E288" s="128">
        <v>322262</v>
      </c>
      <c r="F288" s="128">
        <v>0</v>
      </c>
      <c r="G288" s="128">
        <v>1412479</v>
      </c>
      <c r="H288" s="128">
        <v>293521</v>
      </c>
      <c r="I288" s="128">
        <v>0</v>
      </c>
      <c r="L288" s="128">
        <f t="shared" si="8"/>
        <v>4829670.3818666264</v>
      </c>
      <c r="M288" s="128">
        <v>24771</v>
      </c>
      <c r="N288" s="128">
        <v>21</v>
      </c>
      <c r="O288" s="128">
        <v>168</v>
      </c>
      <c r="P288" s="128">
        <v>161</v>
      </c>
      <c r="Q288" s="128">
        <v>0</v>
      </c>
      <c r="R288" s="128">
        <v>33912</v>
      </c>
      <c r="S288" s="128">
        <v>33911</v>
      </c>
      <c r="T288" s="128">
        <v>30708</v>
      </c>
      <c r="U288" s="128">
        <v>31075</v>
      </c>
      <c r="V288" s="188">
        <f t="shared" si="9"/>
        <v>0.73044939844302903</v>
      </c>
      <c r="W288" s="238">
        <v>4.58E-2</v>
      </c>
      <c r="X288" s="358">
        <v>6.5</v>
      </c>
      <c r="AF288" s="238"/>
    </row>
    <row r="289" spans="2:32" x14ac:dyDescent="0.25">
      <c r="B289" t="s">
        <v>424</v>
      </c>
      <c r="C289" s="128">
        <v>28855864.347060118</v>
      </c>
      <c r="D289" s="128">
        <v>26488962.347060118</v>
      </c>
      <c r="E289" s="128">
        <v>352426</v>
      </c>
      <c r="F289" s="128">
        <v>0</v>
      </c>
      <c r="G289" s="128">
        <v>1679740</v>
      </c>
      <c r="H289" s="128">
        <v>334736</v>
      </c>
      <c r="I289" s="128">
        <v>4724607</v>
      </c>
      <c r="L289" s="128">
        <f t="shared" si="8"/>
        <v>0</v>
      </c>
      <c r="M289" s="128">
        <v>32611</v>
      </c>
      <c r="N289" s="128">
        <v>122</v>
      </c>
      <c r="O289" s="128">
        <v>978</v>
      </c>
      <c r="P289" s="128">
        <v>238</v>
      </c>
      <c r="Q289" s="128">
        <v>0</v>
      </c>
      <c r="R289" s="128">
        <v>54520</v>
      </c>
      <c r="S289" s="128">
        <v>54545</v>
      </c>
      <c r="T289" s="128">
        <v>54526</v>
      </c>
      <c r="U289" s="128">
        <v>56430</v>
      </c>
      <c r="V289" s="188">
        <f t="shared" si="9"/>
        <v>0.59814746881878211</v>
      </c>
      <c r="W289" s="238">
        <v>2.7699999999999999E-2</v>
      </c>
      <c r="X289" s="358">
        <v>7.5</v>
      </c>
      <c r="AF289" s="238"/>
    </row>
    <row r="290" spans="2:32" x14ac:dyDescent="0.25">
      <c r="B290" t="s">
        <v>393</v>
      </c>
      <c r="C290" s="128">
        <v>54522182.878246099</v>
      </c>
      <c r="D290" s="128">
        <v>49074299.878246099</v>
      </c>
      <c r="E290" s="128">
        <v>1542504</v>
      </c>
      <c r="F290" s="128">
        <v>0</v>
      </c>
      <c r="G290" s="128">
        <v>3500191</v>
      </c>
      <c r="H290" s="128">
        <v>405188</v>
      </c>
      <c r="I290" s="128">
        <v>7745900</v>
      </c>
      <c r="L290" s="128">
        <f t="shared" si="8"/>
        <v>0</v>
      </c>
      <c r="M290" s="128">
        <v>62122</v>
      </c>
      <c r="N290" s="128">
        <v>293</v>
      </c>
      <c r="O290" s="128">
        <v>1554</v>
      </c>
      <c r="P290" s="128">
        <v>0</v>
      </c>
      <c r="Q290" s="128">
        <v>2138</v>
      </c>
      <c r="R290" s="128">
        <v>87202</v>
      </c>
      <c r="S290" s="128">
        <v>85844</v>
      </c>
      <c r="T290" s="128">
        <v>81205</v>
      </c>
      <c r="U290" s="128">
        <v>82093</v>
      </c>
      <c r="V290" s="188">
        <f t="shared" si="9"/>
        <v>0.71239191761656839</v>
      </c>
      <c r="W290" s="238">
        <v>3.1800000000000002E-2</v>
      </c>
      <c r="X290" s="358">
        <v>9</v>
      </c>
      <c r="AF290" s="238"/>
    </row>
    <row r="291" spans="2:32" x14ac:dyDescent="0.25">
      <c r="B291" t="s">
        <v>126</v>
      </c>
      <c r="C291" s="128">
        <v>69161763.252328083</v>
      </c>
      <c r="D291" s="128">
        <v>57171675.252328083</v>
      </c>
      <c r="E291" s="128">
        <v>2348071</v>
      </c>
      <c r="F291" s="128">
        <v>0</v>
      </c>
      <c r="G291" s="128">
        <v>8933897</v>
      </c>
      <c r="H291" s="128">
        <v>708120</v>
      </c>
      <c r="I291" s="243">
        <v>13979699</v>
      </c>
      <c r="L291" s="128">
        <f t="shared" si="8"/>
        <v>1083537.7476719171</v>
      </c>
      <c r="M291" s="128">
        <v>84225</v>
      </c>
      <c r="N291" s="128">
        <v>196</v>
      </c>
      <c r="O291" s="128">
        <v>743</v>
      </c>
      <c r="P291" s="128">
        <v>322</v>
      </c>
      <c r="Q291" s="128">
        <v>1986</v>
      </c>
      <c r="R291" s="128">
        <v>112724</v>
      </c>
      <c r="S291" s="128">
        <v>109548</v>
      </c>
      <c r="T291" s="128">
        <v>100123</v>
      </c>
      <c r="U291" s="128">
        <v>100025</v>
      </c>
      <c r="V291" s="188">
        <f t="shared" si="9"/>
        <v>0.74717895035662329</v>
      </c>
      <c r="W291" s="238">
        <v>3.9100000000000003E-2</v>
      </c>
      <c r="X291" s="358">
        <v>8.5</v>
      </c>
      <c r="AF291" s="238"/>
    </row>
    <row r="292" spans="2:32" x14ac:dyDescent="0.25">
      <c r="B292" t="s">
        <v>233</v>
      </c>
      <c r="C292" s="128">
        <v>122960324.668337</v>
      </c>
      <c r="D292" s="128">
        <v>112154615.668337</v>
      </c>
      <c r="E292" s="128">
        <v>2754499</v>
      </c>
      <c r="F292" s="128">
        <v>0</v>
      </c>
      <c r="G292" s="128">
        <v>7011289</v>
      </c>
      <c r="H292" s="128">
        <v>1039921</v>
      </c>
      <c r="I292" s="128">
        <v>20532401</v>
      </c>
      <c r="L292" s="128">
        <f t="shared" si="8"/>
        <v>0</v>
      </c>
      <c r="M292" s="128">
        <v>143121</v>
      </c>
      <c r="N292" s="128">
        <v>125</v>
      </c>
      <c r="O292" s="128">
        <v>7383</v>
      </c>
      <c r="P292" s="128">
        <v>0</v>
      </c>
      <c r="Q292" s="128">
        <v>8784</v>
      </c>
      <c r="R292" s="128">
        <v>199763</v>
      </c>
      <c r="S292" s="128">
        <v>199138</v>
      </c>
      <c r="T292" s="128">
        <v>197335</v>
      </c>
      <c r="U292" s="128">
        <v>200794</v>
      </c>
      <c r="V292" s="188">
        <f t="shared" si="9"/>
        <v>0.71645399798761533</v>
      </c>
      <c r="W292" s="238">
        <v>3.3799999999999997E-2</v>
      </c>
      <c r="X292" s="358">
        <v>8.5</v>
      </c>
      <c r="AF292" s="238"/>
    </row>
    <row r="293" spans="2:32" x14ac:dyDescent="0.25">
      <c r="B293" t="s">
        <v>341</v>
      </c>
      <c r="C293" s="128">
        <v>31486132.87232228</v>
      </c>
      <c r="D293" s="128">
        <v>29381413.87232228</v>
      </c>
      <c r="E293" s="128">
        <v>443574</v>
      </c>
      <c r="F293" s="128">
        <v>0</v>
      </c>
      <c r="G293" s="128">
        <v>1146368</v>
      </c>
      <c r="H293" s="128">
        <v>514777</v>
      </c>
      <c r="I293" s="128">
        <v>2646332</v>
      </c>
      <c r="L293" s="128">
        <f t="shared" si="8"/>
        <v>0</v>
      </c>
      <c r="M293" s="128">
        <v>33938</v>
      </c>
      <c r="N293" s="128">
        <v>463</v>
      </c>
      <c r="O293" s="128">
        <v>572</v>
      </c>
      <c r="P293" s="128">
        <v>64</v>
      </c>
      <c r="Q293" s="128">
        <v>5801</v>
      </c>
      <c r="R293" s="128">
        <v>74464</v>
      </c>
      <c r="S293" s="128">
        <v>74027</v>
      </c>
      <c r="T293" s="128">
        <v>72287</v>
      </c>
      <c r="U293" s="128">
        <v>71692</v>
      </c>
      <c r="V293" s="188">
        <f t="shared" si="9"/>
        <v>0.45576385904598193</v>
      </c>
      <c r="W293" s="238">
        <v>2.5399999999999999E-2</v>
      </c>
      <c r="X293" s="358">
        <v>10</v>
      </c>
      <c r="AF293" s="238"/>
    </row>
    <row r="294" spans="2:32" x14ac:dyDescent="0.25">
      <c r="B294" t="s">
        <v>394</v>
      </c>
      <c r="C294" s="128">
        <v>69688504.628158152</v>
      </c>
      <c r="D294" s="128">
        <v>63496406.62815816</v>
      </c>
      <c r="E294" s="128">
        <v>1420937</v>
      </c>
      <c r="F294" s="128">
        <v>0</v>
      </c>
      <c r="G294" s="128">
        <v>4129343</v>
      </c>
      <c r="H294" s="128">
        <v>641818</v>
      </c>
      <c r="I294" s="128">
        <v>7825798</v>
      </c>
      <c r="L294" s="128">
        <f t="shared" si="8"/>
        <v>742697.3718418479</v>
      </c>
      <c r="M294" s="128">
        <v>78257</v>
      </c>
      <c r="N294" s="128">
        <v>127</v>
      </c>
      <c r="O294" s="128">
        <v>2675</v>
      </c>
      <c r="P294" s="128">
        <v>75</v>
      </c>
      <c r="Q294" s="128">
        <v>19356</v>
      </c>
      <c r="R294" s="128">
        <v>139641</v>
      </c>
      <c r="S294" s="128">
        <v>136603</v>
      </c>
      <c r="T294" s="128">
        <v>126025</v>
      </c>
      <c r="U294" s="128">
        <v>125517</v>
      </c>
      <c r="V294" s="188">
        <f t="shared" si="9"/>
        <v>0.56041563724121135</v>
      </c>
      <c r="W294" s="238">
        <v>3.2399999999999998E-2</v>
      </c>
      <c r="X294" s="358">
        <v>10</v>
      </c>
      <c r="AF294" s="238"/>
    </row>
    <row r="295" spans="2:32" x14ac:dyDescent="0.25">
      <c r="B295" t="s">
        <v>276</v>
      </c>
      <c r="C295" s="128">
        <v>117272723.98567009</v>
      </c>
      <c r="D295" s="128">
        <v>108269910.98567009</v>
      </c>
      <c r="E295" s="128">
        <v>2384813</v>
      </c>
      <c r="F295" s="128">
        <v>0</v>
      </c>
      <c r="G295" s="128">
        <v>5406816</v>
      </c>
      <c r="H295" s="128">
        <v>1211184</v>
      </c>
      <c r="I295" s="128">
        <v>22610945</v>
      </c>
      <c r="L295" s="128">
        <f t="shared" si="8"/>
        <v>0</v>
      </c>
      <c r="M295" s="128">
        <v>136595</v>
      </c>
      <c r="N295" s="128">
        <v>788</v>
      </c>
      <c r="O295" s="128">
        <v>6176</v>
      </c>
      <c r="P295" s="128">
        <v>876</v>
      </c>
      <c r="Q295" s="128">
        <v>2302</v>
      </c>
      <c r="R295" s="128">
        <v>193717</v>
      </c>
      <c r="S295" s="128">
        <v>196342</v>
      </c>
      <c r="T295" s="128">
        <v>184103</v>
      </c>
      <c r="U295" s="128">
        <v>190722</v>
      </c>
      <c r="V295" s="188">
        <f t="shared" si="9"/>
        <v>0.70512655058668061</v>
      </c>
      <c r="W295" s="238">
        <v>3.3000000000000002E-2</v>
      </c>
      <c r="X295" s="358">
        <v>7.5</v>
      </c>
      <c r="AF295" s="238"/>
    </row>
    <row r="296" spans="2:32" x14ac:dyDescent="0.25">
      <c r="B296" t="s">
        <v>425</v>
      </c>
      <c r="C296" s="128">
        <v>265276709.84012946</v>
      </c>
      <c r="D296" s="128">
        <v>187138160.84012946</v>
      </c>
      <c r="E296" s="128">
        <v>4983969</v>
      </c>
      <c r="F296" s="128">
        <v>42869553</v>
      </c>
      <c r="G296" s="128">
        <v>13884858</v>
      </c>
      <c r="H296" s="128">
        <v>16400169</v>
      </c>
      <c r="I296" s="243">
        <v>44391592</v>
      </c>
      <c r="L296" s="128">
        <f t="shared" si="8"/>
        <v>3410698.1598705351</v>
      </c>
      <c r="M296" s="128">
        <v>313079</v>
      </c>
      <c r="N296" s="128">
        <v>1223</v>
      </c>
      <c r="O296" s="128">
        <v>3089</v>
      </c>
      <c r="P296" s="128">
        <v>750</v>
      </c>
      <c r="Q296" s="128">
        <v>35007</v>
      </c>
      <c r="R296" s="128">
        <v>454028</v>
      </c>
      <c r="S296" s="128">
        <v>450845</v>
      </c>
      <c r="T296" s="128">
        <v>427524</v>
      </c>
      <c r="U296" s="128">
        <v>425024</v>
      </c>
      <c r="V296" s="188">
        <f t="shared" si="9"/>
        <v>0.6895587937307831</v>
      </c>
      <c r="W296" s="238">
        <v>4.6699999999999998E-2</v>
      </c>
      <c r="X296" s="358">
        <v>8</v>
      </c>
      <c r="AF296" s="238"/>
    </row>
    <row r="297" spans="2:32" x14ac:dyDescent="0.25">
      <c r="B297" t="s">
        <v>426</v>
      </c>
      <c r="C297" s="128">
        <v>84725793.101721093</v>
      </c>
      <c r="D297" s="128">
        <v>72311759.101721093</v>
      </c>
      <c r="E297" s="128">
        <v>1239823</v>
      </c>
      <c r="F297" s="128">
        <v>0</v>
      </c>
      <c r="G297" s="128">
        <v>10112454</v>
      </c>
      <c r="H297" s="128">
        <v>1061757</v>
      </c>
      <c r="I297" s="128">
        <v>13767521</v>
      </c>
      <c r="L297" s="128">
        <f t="shared" si="8"/>
        <v>0</v>
      </c>
      <c r="M297" s="128">
        <v>97911</v>
      </c>
      <c r="N297" s="128">
        <v>440</v>
      </c>
      <c r="O297" s="128">
        <v>665</v>
      </c>
      <c r="P297" s="128">
        <v>334</v>
      </c>
      <c r="Q297" s="128">
        <v>-2913</v>
      </c>
      <c r="R297" s="128">
        <v>128496</v>
      </c>
      <c r="S297" s="128">
        <v>130590</v>
      </c>
      <c r="T297" s="128">
        <v>125546</v>
      </c>
      <c r="U297" s="128">
        <v>128156</v>
      </c>
      <c r="V297" s="188">
        <f t="shared" si="9"/>
        <v>0.76197702652222632</v>
      </c>
      <c r="W297" s="238">
        <v>4.7100000000000003E-2</v>
      </c>
      <c r="X297" s="358">
        <v>5</v>
      </c>
      <c r="AF297" s="238"/>
    </row>
    <row r="298" spans="2:32" x14ac:dyDescent="0.25">
      <c r="B298" t="s">
        <v>605</v>
      </c>
      <c r="C298" s="128">
        <v>94185998.730552718</v>
      </c>
      <c r="D298" s="128">
        <v>88033407.730552718</v>
      </c>
      <c r="E298" s="128">
        <v>1579351</v>
      </c>
      <c r="F298" s="128">
        <v>0</v>
      </c>
      <c r="G298" s="128">
        <v>3416358</v>
      </c>
      <c r="H298" s="128">
        <v>1156882</v>
      </c>
      <c r="I298" s="128">
        <v>11683914</v>
      </c>
      <c r="L298" s="128">
        <f t="shared" si="8"/>
        <v>5147087.269447282</v>
      </c>
      <c r="M298" s="128">
        <v>111017</v>
      </c>
      <c r="N298" s="128">
        <v>103</v>
      </c>
      <c r="O298" s="128">
        <v>1538</v>
      </c>
      <c r="P298" s="128">
        <v>432</v>
      </c>
      <c r="Q298" s="128">
        <v>18143</v>
      </c>
      <c r="R298" s="128">
        <v>171431</v>
      </c>
      <c r="S298" s="128">
        <v>167632</v>
      </c>
      <c r="T298" s="128">
        <v>151480</v>
      </c>
      <c r="U298" s="128">
        <v>153136</v>
      </c>
      <c r="V298" s="188">
        <f t="shared" si="9"/>
        <v>0.64758999247510662</v>
      </c>
      <c r="W298" s="238">
        <v>3.3500000000000002E-2</v>
      </c>
      <c r="X298" s="358">
        <v>8</v>
      </c>
      <c r="AF298" s="238"/>
    </row>
    <row r="299" spans="2:32" x14ac:dyDescent="0.25">
      <c r="B299" t="s">
        <v>320</v>
      </c>
      <c r="C299" s="128">
        <v>175142352.63317156</v>
      </c>
      <c r="D299" s="128">
        <v>143869914.63317156</v>
      </c>
      <c r="E299" s="128">
        <v>3796969</v>
      </c>
      <c r="F299" s="128">
        <v>11800276</v>
      </c>
      <c r="G299" s="128">
        <v>8900495</v>
      </c>
      <c r="H299" s="128">
        <v>6774698</v>
      </c>
      <c r="I299" s="128">
        <v>39445575</v>
      </c>
      <c r="L299" s="128">
        <f t="shared" si="8"/>
        <v>0</v>
      </c>
      <c r="M299" s="243">
        <v>208896</v>
      </c>
      <c r="N299" s="243">
        <v>5944</v>
      </c>
      <c r="O299" s="243">
        <v>2760</v>
      </c>
      <c r="P299" s="243">
        <v>1397</v>
      </c>
      <c r="Q299" s="243">
        <v>3578</v>
      </c>
      <c r="R299" s="243">
        <v>280262</v>
      </c>
      <c r="S299" s="243">
        <v>277765</v>
      </c>
      <c r="T299" s="128">
        <v>262321</v>
      </c>
      <c r="U299" s="128">
        <v>261281</v>
      </c>
      <c r="V299" s="188">
        <f t="shared" si="9"/>
        <v>0.74535969913866307</v>
      </c>
      <c r="W299" s="238">
        <v>3.39E-2</v>
      </c>
      <c r="X299" s="358">
        <v>7</v>
      </c>
      <c r="AF299" s="238"/>
    </row>
    <row r="300" spans="2:32" x14ac:dyDescent="0.25">
      <c r="B300" t="s">
        <v>139</v>
      </c>
      <c r="C300" s="128">
        <v>3650745.5614128532</v>
      </c>
      <c r="D300" s="128">
        <v>3501953.5614128532</v>
      </c>
      <c r="E300" s="128">
        <v>17315</v>
      </c>
      <c r="F300" s="128">
        <v>0</v>
      </c>
      <c r="G300" s="128">
        <v>7798</v>
      </c>
      <c r="H300" s="128">
        <v>123679</v>
      </c>
      <c r="I300" s="128">
        <v>0</v>
      </c>
      <c r="L300" s="128">
        <f t="shared" si="8"/>
        <v>0</v>
      </c>
      <c r="M300" s="128">
        <v>3631</v>
      </c>
      <c r="N300" s="128">
        <v>43</v>
      </c>
      <c r="O300" s="128">
        <v>1043</v>
      </c>
      <c r="P300" s="128">
        <v>5</v>
      </c>
      <c r="Q300" s="128">
        <v>0</v>
      </c>
      <c r="R300" s="128">
        <v>8824</v>
      </c>
      <c r="S300" s="128">
        <v>9236</v>
      </c>
      <c r="T300" s="128">
        <v>7989</v>
      </c>
      <c r="U300" s="128">
        <v>9421</v>
      </c>
      <c r="V300" s="188">
        <f t="shared" si="9"/>
        <v>0.41149138712601996</v>
      </c>
      <c r="W300" s="238">
        <v>5.4000000000000003E-3</v>
      </c>
      <c r="X300" s="358">
        <v>6</v>
      </c>
      <c r="AF300" s="238"/>
    </row>
    <row r="301" spans="2:32" x14ac:dyDescent="0.25">
      <c r="B301" t="s">
        <v>342</v>
      </c>
      <c r="C301" s="128">
        <v>142574237.0586009</v>
      </c>
      <c r="D301" s="128">
        <v>87331216.058600917</v>
      </c>
      <c r="E301" s="128">
        <v>3502527</v>
      </c>
      <c r="F301" s="128">
        <v>32977439</v>
      </c>
      <c r="G301" s="128">
        <v>7203210</v>
      </c>
      <c r="H301" s="128">
        <v>11559845</v>
      </c>
      <c r="I301" s="128">
        <v>24916738</v>
      </c>
      <c r="L301" s="128">
        <f t="shared" si="8"/>
        <v>16657024.941399097</v>
      </c>
      <c r="M301" s="128">
        <v>184148</v>
      </c>
      <c r="N301" s="128">
        <v>276</v>
      </c>
      <c r="O301" s="128">
        <v>1447</v>
      </c>
      <c r="P301" s="128">
        <v>551</v>
      </c>
      <c r="Q301" s="128">
        <v>20465</v>
      </c>
      <c r="R301" s="128">
        <v>255303</v>
      </c>
      <c r="S301" s="128">
        <v>258787</v>
      </c>
      <c r="T301" s="128">
        <v>243751</v>
      </c>
      <c r="U301" s="128">
        <v>246586</v>
      </c>
      <c r="V301" s="188">
        <f t="shared" si="9"/>
        <v>0.72129195504949017</v>
      </c>
      <c r="W301" s="238">
        <v>6.4199999999999993E-2</v>
      </c>
      <c r="X301" s="358">
        <v>5</v>
      </c>
      <c r="AF301" s="238"/>
    </row>
    <row r="302" spans="2:32" x14ac:dyDescent="0.25">
      <c r="B302" t="s">
        <v>427</v>
      </c>
      <c r="C302" s="128">
        <v>19423615.84312525</v>
      </c>
      <c r="D302" s="128">
        <v>17739045.84312525</v>
      </c>
      <c r="E302" s="128">
        <v>178027</v>
      </c>
      <c r="F302" s="128">
        <v>0</v>
      </c>
      <c r="G302" s="128">
        <v>1214183</v>
      </c>
      <c r="H302" s="128">
        <v>292360</v>
      </c>
      <c r="I302" s="128">
        <v>0</v>
      </c>
      <c r="L302" s="128">
        <f t="shared" si="8"/>
        <v>1322384.1568747498</v>
      </c>
      <c r="M302" s="128">
        <v>20746</v>
      </c>
      <c r="N302" s="128">
        <v>53</v>
      </c>
      <c r="O302" s="128">
        <v>369</v>
      </c>
      <c r="P302" s="128">
        <v>161</v>
      </c>
      <c r="Q302" s="128">
        <v>0</v>
      </c>
      <c r="R302" s="128">
        <v>28051</v>
      </c>
      <c r="S302" s="128">
        <v>28329</v>
      </c>
      <c r="T302" s="128">
        <v>26977</v>
      </c>
      <c r="U302" s="128">
        <v>27528</v>
      </c>
      <c r="V302" s="188">
        <f t="shared" si="9"/>
        <v>0.73958147659619977</v>
      </c>
      <c r="W302" s="238">
        <v>5.2200000000000003E-2</v>
      </c>
      <c r="X302" s="358">
        <v>6.5</v>
      </c>
      <c r="AF302" s="238"/>
    </row>
    <row r="303" spans="2:32" x14ac:dyDescent="0.25">
      <c r="B303" t="s">
        <v>321</v>
      </c>
      <c r="C303" s="128">
        <v>34785720.430448838</v>
      </c>
      <c r="D303" s="128">
        <v>33906124.430448838</v>
      </c>
      <c r="E303" s="128">
        <v>487104</v>
      </c>
      <c r="F303" s="128">
        <v>0</v>
      </c>
      <c r="G303" s="128">
        <v>162609</v>
      </c>
      <c r="H303" s="128">
        <v>229883</v>
      </c>
      <c r="I303" s="128">
        <v>4917720</v>
      </c>
      <c r="L303" s="128">
        <f t="shared" si="8"/>
        <v>0</v>
      </c>
      <c r="M303" s="128">
        <v>38842</v>
      </c>
      <c r="N303" s="128">
        <v>44</v>
      </c>
      <c r="O303" s="128">
        <v>937</v>
      </c>
      <c r="P303" s="128">
        <v>485</v>
      </c>
      <c r="Q303" s="128">
        <v>2578</v>
      </c>
      <c r="R303" s="128">
        <v>61946</v>
      </c>
      <c r="S303" s="128">
        <v>63241</v>
      </c>
      <c r="T303" s="128">
        <v>57901</v>
      </c>
      <c r="U303" s="128">
        <v>58619</v>
      </c>
      <c r="V303" s="188">
        <f t="shared" si="9"/>
        <v>0.62702999386562486</v>
      </c>
      <c r="W303" s="238">
        <v>5.5399999999999998E-2</v>
      </c>
      <c r="X303" s="358">
        <v>7</v>
      </c>
      <c r="AF303" s="238"/>
    </row>
    <row r="304" spans="2:32" x14ac:dyDescent="0.25">
      <c r="B304" t="s">
        <v>205</v>
      </c>
      <c r="C304" s="128">
        <v>39076014.556897648</v>
      </c>
      <c r="D304" s="128">
        <v>36056995.556897648</v>
      </c>
      <c r="E304" s="128">
        <v>525148</v>
      </c>
      <c r="F304" s="128">
        <v>0</v>
      </c>
      <c r="G304" s="128">
        <v>2118592</v>
      </c>
      <c r="H304" s="128">
        <v>375279</v>
      </c>
      <c r="I304" s="128">
        <v>4812463</v>
      </c>
      <c r="L304" s="128">
        <f t="shared" si="8"/>
        <v>0</v>
      </c>
      <c r="M304" s="128">
        <v>40911</v>
      </c>
      <c r="N304" s="128">
        <v>1305</v>
      </c>
      <c r="O304" s="128">
        <v>378</v>
      </c>
      <c r="P304" s="128">
        <v>0</v>
      </c>
      <c r="Q304" s="128">
        <v>3322</v>
      </c>
      <c r="R304" s="128">
        <v>63823</v>
      </c>
      <c r="S304" s="128">
        <v>63703</v>
      </c>
      <c r="T304" s="128">
        <v>63344</v>
      </c>
      <c r="U304" s="128">
        <v>64307</v>
      </c>
      <c r="V304" s="188">
        <f t="shared" si="9"/>
        <v>0.64100716042805883</v>
      </c>
      <c r="W304" s="238">
        <v>4.0399999999999998E-2</v>
      </c>
      <c r="X304" s="358">
        <v>7.5</v>
      </c>
      <c r="AF304" s="238"/>
    </row>
    <row r="305" spans="2:32" x14ac:dyDescent="0.25">
      <c r="B305" t="s">
        <v>395</v>
      </c>
      <c r="C305" s="128">
        <v>49369567.706414156</v>
      </c>
      <c r="D305" s="128">
        <v>43502718.706414156</v>
      </c>
      <c r="E305" s="128">
        <v>800717</v>
      </c>
      <c r="F305" s="128">
        <v>0</v>
      </c>
      <c r="G305" s="128">
        <v>4691065</v>
      </c>
      <c r="H305" s="128">
        <v>375067</v>
      </c>
      <c r="I305" s="128">
        <v>5588983</v>
      </c>
      <c r="L305" s="128">
        <f t="shared" si="8"/>
        <v>0</v>
      </c>
      <c r="M305" s="128">
        <v>54261</v>
      </c>
      <c r="N305" s="128">
        <v>221</v>
      </c>
      <c r="O305" s="128">
        <v>1251</v>
      </c>
      <c r="P305" s="128">
        <v>35</v>
      </c>
      <c r="Q305" s="128">
        <v>175</v>
      </c>
      <c r="R305" s="128">
        <v>77937</v>
      </c>
      <c r="S305" s="128">
        <v>84133</v>
      </c>
      <c r="T305" s="128">
        <v>67453</v>
      </c>
      <c r="U305" s="128">
        <v>74797</v>
      </c>
      <c r="V305" s="188">
        <f t="shared" si="9"/>
        <v>0.69621617460256358</v>
      </c>
      <c r="W305" s="238">
        <v>4.9599999999999998E-2</v>
      </c>
      <c r="X305" s="358">
        <v>6</v>
      </c>
      <c r="AF305" s="238"/>
    </row>
    <row r="306" spans="2:32" x14ac:dyDescent="0.25">
      <c r="B306" t="s">
        <v>606</v>
      </c>
      <c r="C306" s="128">
        <v>90521087.04793638</v>
      </c>
      <c r="D306" s="128">
        <v>81589063.04793638</v>
      </c>
      <c r="E306" s="128">
        <v>2020623</v>
      </c>
      <c r="F306" s="128">
        <v>0</v>
      </c>
      <c r="G306" s="128">
        <v>5835072</v>
      </c>
      <c r="H306" s="128">
        <v>1076329</v>
      </c>
      <c r="I306" s="128">
        <v>15044769</v>
      </c>
      <c r="L306" s="128">
        <f t="shared" si="8"/>
        <v>0</v>
      </c>
      <c r="M306" s="128">
        <v>104680</v>
      </c>
      <c r="N306" s="128">
        <v>437</v>
      </c>
      <c r="O306" s="128">
        <v>648</v>
      </c>
      <c r="P306" s="128">
        <v>284</v>
      </c>
      <c r="Q306" s="128">
        <v>351</v>
      </c>
      <c r="R306" s="128">
        <v>131740</v>
      </c>
      <c r="S306" s="128">
        <v>132098</v>
      </c>
      <c r="T306" s="128">
        <v>136819</v>
      </c>
      <c r="U306" s="128">
        <v>137558</v>
      </c>
      <c r="V306" s="188">
        <f t="shared" si="9"/>
        <v>0.79459541521178079</v>
      </c>
      <c r="W306" s="238">
        <v>4.4699999999999997E-2</v>
      </c>
      <c r="X306" s="358">
        <v>7</v>
      </c>
      <c r="AF306" s="238"/>
    </row>
    <row r="307" spans="2:32" x14ac:dyDescent="0.25">
      <c r="B307" t="s">
        <v>396</v>
      </c>
      <c r="C307" s="128">
        <v>23615293.577165548</v>
      </c>
      <c r="D307" s="128">
        <v>21462320.577165548</v>
      </c>
      <c r="E307" s="128">
        <v>750399</v>
      </c>
      <c r="F307" s="128">
        <v>0</v>
      </c>
      <c r="G307" s="128">
        <v>1113714</v>
      </c>
      <c r="H307" s="128">
        <v>288860</v>
      </c>
      <c r="I307" s="128">
        <v>3166016</v>
      </c>
      <c r="L307" s="128">
        <f t="shared" si="8"/>
        <v>233690.42283445224</v>
      </c>
      <c r="M307" s="128">
        <v>27015</v>
      </c>
      <c r="N307" s="128">
        <v>13</v>
      </c>
      <c r="O307" s="128">
        <v>399</v>
      </c>
      <c r="P307" s="128">
        <v>16</v>
      </c>
      <c r="Q307" s="128">
        <v>531</v>
      </c>
      <c r="R307" s="128">
        <v>37069</v>
      </c>
      <c r="S307" s="128">
        <v>36596</v>
      </c>
      <c r="T307" s="128">
        <v>34545</v>
      </c>
      <c r="U307" s="128">
        <v>34874</v>
      </c>
      <c r="V307" s="188">
        <f t="shared" si="9"/>
        <v>0.72877606625482205</v>
      </c>
      <c r="W307" s="238">
        <v>4.3900000000000002E-2</v>
      </c>
      <c r="X307" s="358">
        <v>7.5</v>
      </c>
      <c r="AF307" s="238"/>
    </row>
    <row r="308" spans="2:32" x14ac:dyDescent="0.25">
      <c r="B308" t="s">
        <v>397</v>
      </c>
      <c r="C308" s="128">
        <v>85211686.568238512</v>
      </c>
      <c r="D308" s="128">
        <v>76763830.568238512</v>
      </c>
      <c r="E308" s="128">
        <v>1826866</v>
      </c>
      <c r="F308" s="128">
        <v>0</v>
      </c>
      <c r="G308" s="128">
        <v>5495324</v>
      </c>
      <c r="H308" s="128">
        <v>1125666</v>
      </c>
      <c r="I308" s="243">
        <v>13447523</v>
      </c>
      <c r="L308" s="128">
        <f t="shared" si="8"/>
        <v>0</v>
      </c>
      <c r="M308" s="128">
        <v>93486</v>
      </c>
      <c r="N308" s="128">
        <v>762</v>
      </c>
      <c r="O308" s="128">
        <v>4132</v>
      </c>
      <c r="P308" s="128">
        <v>95</v>
      </c>
      <c r="Q308" s="128">
        <v>7275</v>
      </c>
      <c r="R308" s="128">
        <v>162234</v>
      </c>
      <c r="S308" s="128">
        <v>166320</v>
      </c>
      <c r="T308" s="128">
        <v>158592</v>
      </c>
      <c r="U308" s="128">
        <v>164693</v>
      </c>
      <c r="V308" s="188">
        <f t="shared" si="9"/>
        <v>0.57624172491586223</v>
      </c>
      <c r="W308" s="238">
        <v>3.27E-2</v>
      </c>
      <c r="X308" s="358">
        <v>7.5</v>
      </c>
      <c r="AF308" s="238"/>
    </row>
    <row r="309" spans="2:32" x14ac:dyDescent="0.25">
      <c r="B309" t="s">
        <v>322</v>
      </c>
      <c r="C309" s="128">
        <v>47798298.424229518</v>
      </c>
      <c r="D309" s="128">
        <v>44208187.424229518</v>
      </c>
      <c r="E309" s="128">
        <v>888472</v>
      </c>
      <c r="F309" s="128">
        <v>0</v>
      </c>
      <c r="G309" s="128">
        <v>2293996</v>
      </c>
      <c r="H309" s="128">
        <v>407643</v>
      </c>
      <c r="I309" s="128">
        <v>5610533</v>
      </c>
      <c r="L309" s="128">
        <f t="shared" si="8"/>
        <v>0</v>
      </c>
      <c r="M309" s="128">
        <v>52840</v>
      </c>
      <c r="N309" s="128">
        <v>37</v>
      </c>
      <c r="O309" s="128">
        <v>195</v>
      </c>
      <c r="P309" s="128">
        <v>46</v>
      </c>
      <c r="Q309" s="128">
        <v>22126</v>
      </c>
      <c r="R309" s="128">
        <v>97186</v>
      </c>
      <c r="S309" s="128">
        <v>96536</v>
      </c>
      <c r="T309" s="128">
        <v>93807</v>
      </c>
      <c r="U309" s="128">
        <v>93169</v>
      </c>
      <c r="V309" s="188">
        <f t="shared" si="9"/>
        <v>0.54369970983474991</v>
      </c>
      <c r="W309" s="238">
        <v>3.5000000000000003E-2</v>
      </c>
      <c r="X309" s="358">
        <v>9</v>
      </c>
      <c r="AF309" s="238"/>
    </row>
    <row r="310" spans="2:32" x14ac:dyDescent="0.25">
      <c r="B310" t="s">
        <v>206</v>
      </c>
      <c r="C310" s="128">
        <v>62999433.911416441</v>
      </c>
      <c r="D310" s="128">
        <v>57358390.911416441</v>
      </c>
      <c r="E310" s="128">
        <v>1381720</v>
      </c>
      <c r="F310" s="128">
        <v>0</v>
      </c>
      <c r="G310" s="128">
        <v>3678047</v>
      </c>
      <c r="H310" s="128">
        <v>581276</v>
      </c>
      <c r="I310" s="243">
        <v>12473845</v>
      </c>
      <c r="L310" s="128">
        <f t="shared" si="8"/>
        <v>14721.088583558798</v>
      </c>
      <c r="M310" s="128">
        <v>75488</v>
      </c>
      <c r="N310" s="128">
        <v>201</v>
      </c>
      <c r="O310" s="128">
        <v>1780</v>
      </c>
      <c r="P310" s="128">
        <v>198</v>
      </c>
      <c r="Q310" s="128">
        <v>335</v>
      </c>
      <c r="R310" s="128">
        <v>111064</v>
      </c>
      <c r="S310" s="128">
        <v>112244</v>
      </c>
      <c r="T310" s="128">
        <v>105305</v>
      </c>
      <c r="U310" s="128">
        <v>107009</v>
      </c>
      <c r="V310" s="188">
        <f t="shared" si="9"/>
        <v>0.67968018439818478</v>
      </c>
      <c r="W310" s="238">
        <v>4.4600000000000001E-2</v>
      </c>
      <c r="X310" s="358">
        <v>6</v>
      </c>
      <c r="AF310" s="238"/>
    </row>
    <row r="311" spans="2:32" x14ac:dyDescent="0.25">
      <c r="B311" t="s">
        <v>323</v>
      </c>
      <c r="C311" s="128">
        <v>34134379.253222749</v>
      </c>
      <c r="D311" s="128">
        <v>32599226.253222752</v>
      </c>
      <c r="E311" s="128">
        <v>168178</v>
      </c>
      <c r="F311" s="128">
        <v>0</v>
      </c>
      <c r="G311" s="128">
        <v>985475</v>
      </c>
      <c r="H311" s="128">
        <v>381500</v>
      </c>
      <c r="I311" s="128">
        <v>7375639</v>
      </c>
      <c r="L311" s="128">
        <f t="shared" si="8"/>
        <v>0</v>
      </c>
      <c r="M311" s="128">
        <v>39894</v>
      </c>
      <c r="N311" s="128">
        <v>218</v>
      </c>
      <c r="O311" s="128">
        <v>803</v>
      </c>
      <c r="P311" s="128">
        <v>730</v>
      </c>
      <c r="Q311" s="128">
        <v>0</v>
      </c>
      <c r="R311" s="128">
        <v>67643</v>
      </c>
      <c r="S311" s="128">
        <v>68233</v>
      </c>
      <c r="T311" s="128">
        <v>62253</v>
      </c>
      <c r="U311" s="128">
        <v>63543</v>
      </c>
      <c r="V311" s="188">
        <f t="shared" si="9"/>
        <v>0.58977277767100811</v>
      </c>
      <c r="W311" s="238">
        <v>4.3299999999999998E-2</v>
      </c>
      <c r="X311" s="358">
        <v>7.5</v>
      </c>
      <c r="AF311" s="238"/>
    </row>
    <row r="312" spans="2:32" x14ac:dyDescent="0.25">
      <c r="B312" t="s">
        <v>277</v>
      </c>
      <c r="C312" s="128">
        <v>24640101.000857182</v>
      </c>
      <c r="D312" s="128">
        <v>23593692.000857182</v>
      </c>
      <c r="E312" s="128">
        <v>149157</v>
      </c>
      <c r="F312" s="128">
        <v>0</v>
      </c>
      <c r="G312" s="128">
        <v>525747</v>
      </c>
      <c r="H312" s="128">
        <v>371505</v>
      </c>
      <c r="I312" s="128">
        <v>2704854</v>
      </c>
      <c r="L312" s="128">
        <f t="shared" si="8"/>
        <v>0</v>
      </c>
      <c r="M312" s="128">
        <v>26714</v>
      </c>
      <c r="N312" s="128">
        <v>279</v>
      </c>
      <c r="O312" s="128">
        <v>528</v>
      </c>
      <c r="P312" s="128">
        <v>140</v>
      </c>
      <c r="Q312" s="128">
        <v>0</v>
      </c>
      <c r="R312" s="128">
        <v>41810</v>
      </c>
      <c r="S312" s="128">
        <v>39556</v>
      </c>
      <c r="T312" s="128">
        <v>43432</v>
      </c>
      <c r="U312" s="128">
        <v>37461</v>
      </c>
      <c r="V312" s="188">
        <f t="shared" si="9"/>
        <v>0.63893805309734508</v>
      </c>
      <c r="W312" s="238">
        <v>2.5700000000000001E-2</v>
      </c>
      <c r="X312" s="358">
        <v>9.5</v>
      </c>
      <c r="AF312" s="238"/>
    </row>
    <row r="313" spans="2:32" x14ac:dyDescent="0.25">
      <c r="B313" t="s">
        <v>428</v>
      </c>
      <c r="C313" s="128">
        <v>95095610.542596862</v>
      </c>
      <c r="D313" s="128">
        <v>82991692.542596862</v>
      </c>
      <c r="E313" s="128">
        <v>2831388</v>
      </c>
      <c r="F313" s="128">
        <v>0</v>
      </c>
      <c r="G313" s="128">
        <v>8185254</v>
      </c>
      <c r="H313" s="128">
        <v>1087276</v>
      </c>
      <c r="I313" s="128">
        <v>13932743</v>
      </c>
      <c r="L313" s="128">
        <f t="shared" si="8"/>
        <v>1968646.4574031383</v>
      </c>
      <c r="M313" s="128">
        <v>110997</v>
      </c>
      <c r="N313" s="128">
        <v>313</v>
      </c>
      <c r="O313" s="128">
        <v>1942</v>
      </c>
      <c r="P313" s="128">
        <v>131</v>
      </c>
      <c r="Q313" s="128">
        <v>3664</v>
      </c>
      <c r="R313" s="128">
        <v>159455</v>
      </c>
      <c r="S313" s="128">
        <v>162077</v>
      </c>
      <c r="T313" s="128">
        <v>154394</v>
      </c>
      <c r="U313" s="128">
        <v>163303</v>
      </c>
      <c r="V313" s="188">
        <f t="shared" si="9"/>
        <v>0.69610234862500397</v>
      </c>
      <c r="W313" s="238">
        <v>4.0899999999999999E-2</v>
      </c>
      <c r="X313" s="358">
        <v>6</v>
      </c>
      <c r="AF313" s="238"/>
    </row>
    <row r="314" spans="2:32" x14ac:dyDescent="0.25">
      <c r="B314" t="s">
        <v>278</v>
      </c>
      <c r="C314" s="128">
        <v>33345392.460706819</v>
      </c>
      <c r="D314" s="128">
        <v>31599913.460706819</v>
      </c>
      <c r="E314" s="128">
        <v>655314</v>
      </c>
      <c r="F314" s="128">
        <v>0</v>
      </c>
      <c r="G314" s="128">
        <v>756883</v>
      </c>
      <c r="H314" s="128">
        <v>333282</v>
      </c>
      <c r="I314" s="128">
        <v>0</v>
      </c>
      <c r="L314" s="128">
        <f t="shared" si="8"/>
        <v>4740607.5392931812</v>
      </c>
      <c r="M314" s="128">
        <v>38086</v>
      </c>
      <c r="N314" s="128">
        <v>167</v>
      </c>
      <c r="O314" s="128">
        <v>598</v>
      </c>
      <c r="P314" s="128">
        <v>65</v>
      </c>
      <c r="Q314" s="128">
        <v>0</v>
      </c>
      <c r="R314" s="128">
        <v>52347</v>
      </c>
      <c r="S314" s="128">
        <v>55502</v>
      </c>
      <c r="T314" s="128">
        <v>50725</v>
      </c>
      <c r="U314" s="128">
        <v>52557</v>
      </c>
      <c r="V314" s="188">
        <f t="shared" si="9"/>
        <v>0.72756795995950108</v>
      </c>
      <c r="W314" s="238">
        <v>5.5199999999999999E-2</v>
      </c>
      <c r="X314" s="358">
        <v>4.5</v>
      </c>
      <c r="AF314" s="238"/>
    </row>
    <row r="315" spans="2:32" x14ac:dyDescent="0.25">
      <c r="B315" t="s">
        <v>607</v>
      </c>
      <c r="C315" s="128">
        <v>74525751.486039877</v>
      </c>
      <c r="D315" s="128">
        <v>69675418.486039877</v>
      </c>
      <c r="E315" s="128">
        <v>759590</v>
      </c>
      <c r="F315" s="128">
        <v>0</v>
      </c>
      <c r="G315" s="128">
        <v>3332533</v>
      </c>
      <c r="H315" s="128">
        <v>758210</v>
      </c>
      <c r="I315" s="128">
        <v>8390742</v>
      </c>
      <c r="L315" s="128">
        <f t="shared" si="8"/>
        <v>0</v>
      </c>
      <c r="M315" s="128">
        <v>80498</v>
      </c>
      <c r="N315" s="128">
        <v>125</v>
      </c>
      <c r="O315" s="128">
        <v>1525</v>
      </c>
      <c r="P315" s="128">
        <v>219</v>
      </c>
      <c r="Q315" s="128">
        <v>13658</v>
      </c>
      <c r="R315" s="128">
        <v>131348</v>
      </c>
      <c r="S315" s="128">
        <v>133515</v>
      </c>
      <c r="T315" s="128">
        <v>128560</v>
      </c>
      <c r="U315" s="128">
        <v>148508</v>
      </c>
      <c r="V315" s="188">
        <f t="shared" si="9"/>
        <v>0.61286049273685173</v>
      </c>
      <c r="W315" s="238">
        <v>4.8599999999999997E-2</v>
      </c>
      <c r="X315" s="358">
        <v>7</v>
      </c>
      <c r="AF315" s="238"/>
    </row>
    <row r="316" spans="2:32" x14ac:dyDescent="0.25">
      <c r="B316" t="s">
        <v>207</v>
      </c>
      <c r="C316" s="128">
        <v>29477878.253314674</v>
      </c>
      <c r="D316" s="128">
        <v>27423802.253314674</v>
      </c>
      <c r="E316" s="128">
        <v>430507</v>
      </c>
      <c r="F316" s="128">
        <v>0</v>
      </c>
      <c r="G316" s="128">
        <v>1156178</v>
      </c>
      <c r="H316" s="128">
        <v>467391</v>
      </c>
      <c r="I316" s="128">
        <v>3348600</v>
      </c>
      <c r="L316" s="128">
        <f t="shared" si="8"/>
        <v>0</v>
      </c>
      <c r="M316" s="128">
        <v>32495</v>
      </c>
      <c r="N316" s="128">
        <v>80</v>
      </c>
      <c r="O316" s="128">
        <v>116</v>
      </c>
      <c r="P316" s="128">
        <v>0</v>
      </c>
      <c r="Q316" s="128">
        <v>1881</v>
      </c>
      <c r="R316" s="128">
        <v>46232</v>
      </c>
      <c r="S316" s="128">
        <v>45640</v>
      </c>
      <c r="T316" s="128">
        <v>42367</v>
      </c>
      <c r="U316" s="128">
        <v>43636</v>
      </c>
      <c r="V316" s="188">
        <f t="shared" si="9"/>
        <v>0.70286814327738367</v>
      </c>
      <c r="W316" s="238">
        <v>4.2500000000000003E-2</v>
      </c>
      <c r="X316" s="358">
        <v>8.5</v>
      </c>
      <c r="AF316" s="238"/>
    </row>
    <row r="317" spans="2:32" x14ac:dyDescent="0.25">
      <c r="B317" t="s">
        <v>608</v>
      </c>
      <c r="C317" s="128">
        <v>114589589.6713516</v>
      </c>
      <c r="D317" s="128">
        <v>102386958.6713516</v>
      </c>
      <c r="E317" s="128">
        <v>2820768</v>
      </c>
      <c r="F317" s="128">
        <v>0</v>
      </c>
      <c r="G317" s="128">
        <v>8163458</v>
      </c>
      <c r="H317" s="128">
        <v>1218405</v>
      </c>
      <c r="I317" s="128">
        <v>16189751</v>
      </c>
      <c r="L317" s="128">
        <f t="shared" si="8"/>
        <v>0</v>
      </c>
      <c r="M317" s="128">
        <v>130025</v>
      </c>
      <c r="N317" s="128">
        <v>165</v>
      </c>
      <c r="O317" s="128">
        <v>1842</v>
      </c>
      <c r="P317" s="128">
        <v>191</v>
      </c>
      <c r="Q317" s="128">
        <v>151</v>
      </c>
      <c r="R317" s="128">
        <v>176353</v>
      </c>
      <c r="S317" s="128">
        <v>174356</v>
      </c>
      <c r="T317" s="128">
        <v>160359</v>
      </c>
      <c r="U317" s="128">
        <v>161898</v>
      </c>
      <c r="V317" s="188">
        <f t="shared" si="9"/>
        <v>0.73729962064722465</v>
      </c>
      <c r="W317" s="238">
        <v>3.44E-2</v>
      </c>
      <c r="X317" s="358">
        <v>8</v>
      </c>
      <c r="AF317" s="238"/>
    </row>
    <row r="318" spans="2:32" x14ac:dyDescent="0.25">
      <c r="B318" t="s">
        <v>116</v>
      </c>
      <c r="C318" s="128">
        <v>36086075.366347671</v>
      </c>
      <c r="D318" s="128">
        <v>32138323.366347671</v>
      </c>
      <c r="E318" s="128">
        <v>709965</v>
      </c>
      <c r="F318" s="128">
        <v>0</v>
      </c>
      <c r="G318" s="128">
        <v>2857917</v>
      </c>
      <c r="H318" s="128">
        <v>379870</v>
      </c>
      <c r="I318" s="128">
        <v>4050138</v>
      </c>
      <c r="L318" s="128">
        <f t="shared" si="8"/>
        <v>0</v>
      </c>
      <c r="M318" s="128">
        <v>38811</v>
      </c>
      <c r="N318" s="128">
        <v>45</v>
      </c>
      <c r="O318" s="128">
        <v>250</v>
      </c>
      <c r="P318" s="128">
        <v>932</v>
      </c>
      <c r="Q318" s="128">
        <v>2289</v>
      </c>
      <c r="R318" s="128">
        <v>56770</v>
      </c>
      <c r="S318" s="128">
        <v>57043</v>
      </c>
      <c r="T318" s="128">
        <v>52822</v>
      </c>
      <c r="U318" s="128">
        <v>54156</v>
      </c>
      <c r="V318" s="188">
        <f t="shared" si="9"/>
        <v>0.68365333803064998</v>
      </c>
      <c r="W318" s="238">
        <v>4.2299999999999997E-2</v>
      </c>
      <c r="X318" s="358">
        <v>7.5</v>
      </c>
      <c r="AF318" s="238"/>
    </row>
    <row r="319" spans="2:32" x14ac:dyDescent="0.25">
      <c r="B319" t="s">
        <v>208</v>
      </c>
      <c r="C319" s="128">
        <v>28225773.401072741</v>
      </c>
      <c r="D319" s="128">
        <v>24608696.401072741</v>
      </c>
      <c r="E319" s="128">
        <v>746479</v>
      </c>
      <c r="F319" s="128">
        <v>0</v>
      </c>
      <c r="G319" s="128">
        <v>2520241</v>
      </c>
      <c r="H319" s="128">
        <v>350357</v>
      </c>
      <c r="I319" s="128">
        <v>5286353</v>
      </c>
      <c r="L319" s="128">
        <f t="shared" si="8"/>
        <v>0</v>
      </c>
      <c r="M319" s="128">
        <v>33118</v>
      </c>
      <c r="N319" s="128">
        <v>15</v>
      </c>
      <c r="O319" s="128">
        <v>352</v>
      </c>
      <c r="P319" s="128">
        <v>104</v>
      </c>
      <c r="Q319" s="128">
        <v>11</v>
      </c>
      <c r="R319" s="128">
        <v>41222</v>
      </c>
      <c r="S319" s="128">
        <v>40859</v>
      </c>
      <c r="T319" s="128">
        <v>39274</v>
      </c>
      <c r="U319" s="128">
        <v>40070</v>
      </c>
      <c r="V319" s="188">
        <f t="shared" si="9"/>
        <v>0.80340594828004464</v>
      </c>
      <c r="W319" s="238">
        <v>4.2299999999999997E-2</v>
      </c>
      <c r="X319" s="358">
        <v>8</v>
      </c>
      <c r="AF319" s="238"/>
    </row>
    <row r="320" spans="2:32" x14ac:dyDescent="0.25">
      <c r="B320" t="s">
        <v>609</v>
      </c>
      <c r="C320" s="128">
        <v>63109816.049754344</v>
      </c>
      <c r="D320" s="128">
        <v>50329874.049754344</v>
      </c>
      <c r="E320" s="128">
        <v>1163878</v>
      </c>
      <c r="F320" s="128">
        <v>0</v>
      </c>
      <c r="G320" s="128">
        <v>8328178</v>
      </c>
      <c r="H320" s="128">
        <v>3287886</v>
      </c>
      <c r="I320" s="128">
        <v>7941244</v>
      </c>
      <c r="L320" s="128">
        <f t="shared" si="8"/>
        <v>3905939.9502456561</v>
      </c>
      <c r="M320" s="128">
        <v>74957</v>
      </c>
      <c r="N320" s="128">
        <v>15</v>
      </c>
      <c r="O320" s="128">
        <v>619</v>
      </c>
      <c r="P320" s="128">
        <v>162</v>
      </c>
      <c r="Q320" s="128">
        <v>0</v>
      </c>
      <c r="R320" s="128">
        <v>93663</v>
      </c>
      <c r="S320" s="128">
        <v>94654</v>
      </c>
      <c r="T320" s="128">
        <v>91315</v>
      </c>
      <c r="U320" s="128">
        <v>91244</v>
      </c>
      <c r="V320" s="188">
        <f t="shared" si="9"/>
        <v>0.80028399688244023</v>
      </c>
      <c r="W320" s="238">
        <v>5.5199999999999999E-2</v>
      </c>
      <c r="X320" s="358">
        <v>5</v>
      </c>
      <c r="AF320" s="238"/>
    </row>
    <row r="321" spans="2:32" x14ac:dyDescent="0.25">
      <c r="B321" t="s">
        <v>324</v>
      </c>
      <c r="C321" s="128">
        <v>159629568.03790033</v>
      </c>
      <c r="D321" s="128">
        <v>149233552.03790033</v>
      </c>
      <c r="E321" s="128">
        <v>1694517</v>
      </c>
      <c r="F321" s="128">
        <v>0</v>
      </c>
      <c r="G321" s="128">
        <v>7135614</v>
      </c>
      <c r="H321" s="128">
        <v>1565885</v>
      </c>
      <c r="I321" s="128">
        <v>19673612</v>
      </c>
      <c r="L321" s="128">
        <f t="shared" si="8"/>
        <v>0</v>
      </c>
      <c r="M321" s="128">
        <v>167423</v>
      </c>
      <c r="N321" s="128">
        <v>84</v>
      </c>
      <c r="O321" s="128">
        <v>4544</v>
      </c>
      <c r="P321" s="128">
        <v>12257</v>
      </c>
      <c r="Q321" s="128">
        <v>55038</v>
      </c>
      <c r="R321" s="128">
        <v>327096</v>
      </c>
      <c r="S321" s="128">
        <v>334054</v>
      </c>
      <c r="T321" s="128">
        <v>293516</v>
      </c>
      <c r="U321" s="128">
        <v>320183</v>
      </c>
      <c r="V321" s="188">
        <f t="shared" si="9"/>
        <v>0.51184667498226821</v>
      </c>
      <c r="W321" s="238">
        <v>3.1899999999999998E-2</v>
      </c>
      <c r="X321" s="358">
        <v>8</v>
      </c>
      <c r="AF321" s="238"/>
    </row>
    <row r="322" spans="2:32" x14ac:dyDescent="0.25">
      <c r="B322" t="s">
        <v>140</v>
      </c>
      <c r="C322" s="128">
        <v>53149387.563750856</v>
      </c>
      <c r="D322" s="128">
        <v>46850323.563750856</v>
      </c>
      <c r="E322" s="128">
        <v>1311358</v>
      </c>
      <c r="F322" s="128">
        <v>0</v>
      </c>
      <c r="G322" s="128">
        <v>4377877</v>
      </c>
      <c r="H322" s="128">
        <v>609829</v>
      </c>
      <c r="I322" s="128">
        <v>7428612</v>
      </c>
      <c r="L322" s="128">
        <f t="shared" si="8"/>
        <v>0</v>
      </c>
      <c r="M322" s="128">
        <v>57478</v>
      </c>
      <c r="N322" s="128">
        <v>13</v>
      </c>
      <c r="O322" s="128">
        <v>457</v>
      </c>
      <c r="P322" s="128">
        <v>41</v>
      </c>
      <c r="Q322" s="128">
        <v>1689</v>
      </c>
      <c r="R322" s="128">
        <v>82286</v>
      </c>
      <c r="S322" s="128">
        <v>82836</v>
      </c>
      <c r="T322" s="128">
        <v>79576</v>
      </c>
      <c r="U322" s="128">
        <v>77409</v>
      </c>
      <c r="V322" s="188">
        <f t="shared" si="9"/>
        <v>0.69851493571202883</v>
      </c>
      <c r="W322" s="238">
        <v>3.7499999999999999E-2</v>
      </c>
      <c r="X322" s="358">
        <v>7.5</v>
      </c>
      <c r="AF322" s="238"/>
    </row>
    <row r="323" spans="2:32" x14ac:dyDescent="0.25">
      <c r="B323" t="s">
        <v>325</v>
      </c>
      <c r="C323" s="128">
        <v>18787018.862991437</v>
      </c>
      <c r="D323" s="128">
        <v>18339381.862991437</v>
      </c>
      <c r="E323" s="128">
        <v>64219</v>
      </c>
      <c r="F323" s="128">
        <v>0</v>
      </c>
      <c r="G323" s="128">
        <v>64873</v>
      </c>
      <c r="H323" s="128">
        <v>318545</v>
      </c>
      <c r="I323" s="128">
        <v>0</v>
      </c>
      <c r="L323" s="128">
        <f t="shared" ref="L323:L347" si="10">IF(SUM(M323*1000,-I323,-C323)&gt;0,SUM(M323*1000,-I323,-C323),0)</f>
        <v>1946981.1370085627</v>
      </c>
      <c r="M323" s="128">
        <v>20734</v>
      </c>
      <c r="N323" s="128">
        <v>140</v>
      </c>
      <c r="O323" s="128">
        <v>7852</v>
      </c>
      <c r="P323" s="128">
        <v>299</v>
      </c>
      <c r="Q323" s="128">
        <v>4685</v>
      </c>
      <c r="R323" s="128">
        <v>48957</v>
      </c>
      <c r="S323" s="128">
        <v>49800</v>
      </c>
      <c r="T323" s="128">
        <v>44997</v>
      </c>
      <c r="U323" s="128">
        <v>49325</v>
      </c>
      <c r="V323" s="188">
        <f t="shared" ref="V323:V347" si="11">M323/R323</f>
        <v>0.42351451273566598</v>
      </c>
      <c r="W323" s="238">
        <v>9.9000000000000008E-3</v>
      </c>
      <c r="X323" s="358">
        <v>5.5</v>
      </c>
      <c r="AF323" s="238"/>
    </row>
    <row r="324" spans="2:32" x14ac:dyDescent="0.25">
      <c r="B324" t="s">
        <v>162</v>
      </c>
      <c r="C324" s="128">
        <v>36177479.809076421</v>
      </c>
      <c r="D324" s="128">
        <v>33305560.809076421</v>
      </c>
      <c r="E324" s="128">
        <v>443047</v>
      </c>
      <c r="F324" s="128">
        <v>0</v>
      </c>
      <c r="G324" s="128">
        <v>2066066</v>
      </c>
      <c r="H324" s="128">
        <v>362806</v>
      </c>
      <c r="I324" s="128">
        <v>2840461</v>
      </c>
      <c r="L324" s="128">
        <f t="shared" si="10"/>
        <v>220059.19092357904</v>
      </c>
      <c r="M324" s="128">
        <v>39238</v>
      </c>
      <c r="N324" s="128">
        <v>44</v>
      </c>
      <c r="O324" s="128">
        <v>317</v>
      </c>
      <c r="P324" s="128">
        <v>1044</v>
      </c>
      <c r="Q324" s="128">
        <v>5538</v>
      </c>
      <c r="R324" s="128">
        <v>61817</v>
      </c>
      <c r="S324" s="128">
        <v>61556</v>
      </c>
      <c r="T324" s="128">
        <v>57002</v>
      </c>
      <c r="U324" s="128">
        <v>57546</v>
      </c>
      <c r="V324" s="188">
        <f t="shared" si="11"/>
        <v>0.634744487762266</v>
      </c>
      <c r="W324" s="238">
        <v>4.8399999999999999E-2</v>
      </c>
      <c r="X324" s="358">
        <v>9.5</v>
      </c>
      <c r="AF324" s="238"/>
    </row>
    <row r="325" spans="2:32" x14ac:dyDescent="0.25">
      <c r="B325" t="s">
        <v>209</v>
      </c>
      <c r="C325" s="128">
        <v>69115012.253753588</v>
      </c>
      <c r="D325" s="128">
        <v>63020450.253753588</v>
      </c>
      <c r="E325" s="128">
        <v>1131900</v>
      </c>
      <c r="F325" s="128">
        <v>0</v>
      </c>
      <c r="G325" s="128">
        <v>4238379</v>
      </c>
      <c r="H325" s="128">
        <v>724283</v>
      </c>
      <c r="I325" s="128">
        <v>10634393</v>
      </c>
      <c r="L325" s="128">
        <f t="shared" si="10"/>
        <v>552594.7462464124</v>
      </c>
      <c r="M325" s="128">
        <v>80302</v>
      </c>
      <c r="N325" s="128">
        <v>38</v>
      </c>
      <c r="O325" s="128">
        <v>1259</v>
      </c>
      <c r="P325" s="128">
        <v>93</v>
      </c>
      <c r="Q325" s="128">
        <v>455</v>
      </c>
      <c r="R325" s="128">
        <v>107597</v>
      </c>
      <c r="S325" s="128">
        <v>105733</v>
      </c>
      <c r="T325" s="128">
        <v>101353</v>
      </c>
      <c r="U325" s="128">
        <v>102515</v>
      </c>
      <c r="V325" s="188">
        <f t="shared" si="11"/>
        <v>0.74632192347370285</v>
      </c>
      <c r="W325" s="238">
        <v>4.5600000000000002E-2</v>
      </c>
      <c r="X325" s="358">
        <v>9</v>
      </c>
      <c r="AF325" s="238"/>
    </row>
    <row r="326" spans="2:32" x14ac:dyDescent="0.25">
      <c r="B326" t="s">
        <v>279</v>
      </c>
      <c r="C326" s="128">
        <v>29957369.652540307</v>
      </c>
      <c r="D326" s="128">
        <v>28851013.652540307</v>
      </c>
      <c r="E326" s="128">
        <v>122369</v>
      </c>
      <c r="F326" s="128">
        <v>0</v>
      </c>
      <c r="G326" s="128">
        <v>643750</v>
      </c>
      <c r="H326" s="128">
        <v>340237</v>
      </c>
      <c r="I326" s="128">
        <v>3582775</v>
      </c>
      <c r="L326" s="128">
        <f t="shared" si="10"/>
        <v>36855.347459692508</v>
      </c>
      <c r="M326" s="243">
        <v>33577</v>
      </c>
      <c r="N326" s="243">
        <v>34</v>
      </c>
      <c r="O326" s="243">
        <v>607</v>
      </c>
      <c r="P326" s="243">
        <v>38</v>
      </c>
      <c r="Q326" s="243">
        <v>1418</v>
      </c>
      <c r="R326" s="243">
        <v>54811</v>
      </c>
      <c r="S326" s="243">
        <v>55335</v>
      </c>
      <c r="T326" s="128">
        <v>51501</v>
      </c>
      <c r="U326" s="128">
        <v>55026</v>
      </c>
      <c r="V326" s="188">
        <f t="shared" si="11"/>
        <v>0.61259601174946632</v>
      </c>
      <c r="W326" s="238">
        <v>3.8199999999999998E-2</v>
      </c>
      <c r="X326" s="358">
        <v>6.5</v>
      </c>
      <c r="AF326" s="238"/>
    </row>
    <row r="327" spans="2:32" x14ac:dyDescent="0.25">
      <c r="B327" t="s">
        <v>234</v>
      </c>
      <c r="C327" s="128">
        <v>35348132.86419481</v>
      </c>
      <c r="D327" s="128">
        <v>33151558.864194807</v>
      </c>
      <c r="E327" s="128">
        <v>414975</v>
      </c>
      <c r="F327" s="128">
        <v>0</v>
      </c>
      <c r="G327" s="128">
        <v>1352025</v>
      </c>
      <c r="H327" s="128">
        <v>429574</v>
      </c>
      <c r="I327" s="243">
        <v>4244701</v>
      </c>
      <c r="L327" s="128">
        <f t="shared" si="10"/>
        <v>63166.13580518961</v>
      </c>
      <c r="M327" s="128">
        <v>39656</v>
      </c>
      <c r="N327" s="128">
        <v>147</v>
      </c>
      <c r="O327" s="128">
        <v>663</v>
      </c>
      <c r="P327" s="128">
        <v>120</v>
      </c>
      <c r="Q327" s="128">
        <v>392</v>
      </c>
      <c r="R327" s="128">
        <v>56379</v>
      </c>
      <c r="S327" s="128">
        <v>57667</v>
      </c>
      <c r="T327" s="128">
        <v>55273</v>
      </c>
      <c r="U327" s="128">
        <v>54993</v>
      </c>
      <c r="V327" s="188">
        <f t="shared" si="11"/>
        <v>0.70338246510225444</v>
      </c>
      <c r="W327" s="238">
        <v>4.7100000000000003E-2</v>
      </c>
      <c r="X327" s="358">
        <v>8.5</v>
      </c>
      <c r="AF327" s="238"/>
    </row>
    <row r="328" spans="2:32" x14ac:dyDescent="0.25">
      <c r="B328" t="s">
        <v>210</v>
      </c>
      <c r="C328" s="128">
        <v>59228902.943540886</v>
      </c>
      <c r="D328" s="128">
        <v>51107306.943540886</v>
      </c>
      <c r="E328" s="128">
        <v>1145139</v>
      </c>
      <c r="F328" s="128">
        <v>0</v>
      </c>
      <c r="G328" s="128">
        <v>6161803</v>
      </c>
      <c r="H328" s="128">
        <v>814654</v>
      </c>
      <c r="I328" s="128">
        <v>8717228</v>
      </c>
      <c r="L328" s="128">
        <f t="shared" si="10"/>
        <v>0</v>
      </c>
      <c r="M328" s="128">
        <v>64529</v>
      </c>
      <c r="N328" s="128">
        <v>61</v>
      </c>
      <c r="O328" s="128">
        <v>794</v>
      </c>
      <c r="P328" s="128">
        <v>440</v>
      </c>
      <c r="Q328" s="128">
        <v>227</v>
      </c>
      <c r="R328" s="128">
        <v>93087</v>
      </c>
      <c r="S328" s="128">
        <v>93251</v>
      </c>
      <c r="T328" s="128">
        <v>102471</v>
      </c>
      <c r="U328" s="128">
        <v>103361</v>
      </c>
      <c r="V328" s="188">
        <f t="shared" si="11"/>
        <v>0.69321172666430331</v>
      </c>
      <c r="W328" s="238">
        <v>3.5900000000000001E-2</v>
      </c>
      <c r="X328" s="358">
        <v>7.5</v>
      </c>
      <c r="AF328" s="238"/>
    </row>
    <row r="329" spans="2:32" x14ac:dyDescent="0.25">
      <c r="B329" t="s">
        <v>398</v>
      </c>
      <c r="C329" s="128">
        <v>34234338.395680033</v>
      </c>
      <c r="D329" s="128">
        <v>31321912.395680033</v>
      </c>
      <c r="E329" s="128">
        <v>312572</v>
      </c>
      <c r="F329" s="128">
        <v>0</v>
      </c>
      <c r="G329" s="128">
        <v>2225046</v>
      </c>
      <c r="H329" s="128">
        <v>374808</v>
      </c>
      <c r="I329" s="128">
        <v>4303782</v>
      </c>
      <c r="L329" s="128">
        <f t="shared" si="10"/>
        <v>532879.60431996733</v>
      </c>
      <c r="M329" s="128">
        <v>39071</v>
      </c>
      <c r="N329" s="128">
        <v>33</v>
      </c>
      <c r="O329" s="128">
        <v>263</v>
      </c>
      <c r="P329" s="128">
        <v>97</v>
      </c>
      <c r="Q329" s="128">
        <v>216</v>
      </c>
      <c r="R329" s="128">
        <v>53086</v>
      </c>
      <c r="S329" s="128">
        <v>52451</v>
      </c>
      <c r="T329" s="128">
        <v>50116</v>
      </c>
      <c r="U329" s="128">
        <v>50501</v>
      </c>
      <c r="V329" s="188">
        <f t="shared" si="11"/>
        <v>0.73599442414195837</v>
      </c>
      <c r="W329" s="238">
        <v>4.65E-2</v>
      </c>
      <c r="X329" s="358">
        <v>9</v>
      </c>
      <c r="AF329" s="238"/>
    </row>
    <row r="330" spans="2:32" x14ac:dyDescent="0.25">
      <c r="B330" t="s">
        <v>235</v>
      </c>
      <c r="C330" s="128">
        <v>85908586.224238485</v>
      </c>
      <c r="D330" s="128">
        <v>78560108.224238485</v>
      </c>
      <c r="E330" s="128">
        <v>1129658</v>
      </c>
      <c r="F330" s="128">
        <v>0</v>
      </c>
      <c r="G330" s="128">
        <v>5439102</v>
      </c>
      <c r="H330" s="128">
        <v>779718</v>
      </c>
      <c r="I330" s="128">
        <v>9007406</v>
      </c>
      <c r="L330" s="128">
        <f t="shared" si="10"/>
        <v>0</v>
      </c>
      <c r="M330" s="128">
        <v>94477</v>
      </c>
      <c r="N330" s="128">
        <v>178</v>
      </c>
      <c r="O330" s="128">
        <v>2758</v>
      </c>
      <c r="P330" s="128">
        <v>156</v>
      </c>
      <c r="Q330" s="128">
        <v>8742</v>
      </c>
      <c r="R330" s="128">
        <v>156521</v>
      </c>
      <c r="S330" s="128">
        <v>155470</v>
      </c>
      <c r="T330" s="128">
        <v>137060</v>
      </c>
      <c r="U330" s="128">
        <v>138039</v>
      </c>
      <c r="V330" s="188">
        <f t="shared" si="11"/>
        <v>0.60360590591677798</v>
      </c>
      <c r="W330" s="238">
        <v>2.3E-2</v>
      </c>
      <c r="X330" s="358">
        <v>6.5</v>
      </c>
      <c r="AF330" s="238"/>
    </row>
    <row r="331" spans="2:32" x14ac:dyDescent="0.25">
      <c r="B331" t="s">
        <v>280</v>
      </c>
      <c r="C331" s="128">
        <v>24754816.958288118</v>
      </c>
      <c r="D331" s="128">
        <v>23728179.958288118</v>
      </c>
      <c r="E331" s="128">
        <v>465718</v>
      </c>
      <c r="F331" s="128">
        <v>0</v>
      </c>
      <c r="G331" s="128">
        <v>143796</v>
      </c>
      <c r="H331" s="128">
        <v>417123</v>
      </c>
      <c r="I331" s="243">
        <v>3266912</v>
      </c>
      <c r="L331" s="128">
        <f t="shared" si="10"/>
        <v>0</v>
      </c>
      <c r="M331" s="128">
        <v>27322</v>
      </c>
      <c r="N331" s="128">
        <v>65</v>
      </c>
      <c r="O331" s="128">
        <v>1198</v>
      </c>
      <c r="P331" s="128">
        <v>160</v>
      </c>
      <c r="Q331" s="128">
        <v>0</v>
      </c>
      <c r="R331" s="128">
        <v>39609</v>
      </c>
      <c r="S331" s="128">
        <v>39539</v>
      </c>
      <c r="T331" s="128">
        <v>37579</v>
      </c>
      <c r="U331" s="128">
        <v>37490</v>
      </c>
      <c r="V331" s="188">
        <f t="shared" si="11"/>
        <v>0.68979272387588675</v>
      </c>
      <c r="W331" s="238">
        <v>4.3299999999999998E-2</v>
      </c>
      <c r="X331" s="358">
        <v>9.5</v>
      </c>
      <c r="AF331" s="238"/>
    </row>
    <row r="332" spans="2:32" x14ac:dyDescent="0.25">
      <c r="B332" t="s">
        <v>236</v>
      </c>
      <c r="C332" s="128">
        <v>19408583.105079751</v>
      </c>
      <c r="D332" s="128">
        <v>18367661.105079751</v>
      </c>
      <c r="E332" s="128">
        <v>332324</v>
      </c>
      <c r="F332" s="128">
        <v>0</v>
      </c>
      <c r="G332" s="128">
        <v>372610</v>
      </c>
      <c r="H332" s="128">
        <v>335988</v>
      </c>
      <c r="I332" s="128">
        <v>0</v>
      </c>
      <c r="L332" s="128">
        <f t="shared" si="10"/>
        <v>1007416.8949202485</v>
      </c>
      <c r="M332" s="128">
        <v>20416</v>
      </c>
      <c r="N332" s="128">
        <v>0</v>
      </c>
      <c r="O332" s="128">
        <v>301</v>
      </c>
      <c r="P332" s="128">
        <v>62</v>
      </c>
      <c r="Q332" s="128">
        <v>6572</v>
      </c>
      <c r="R332" s="128">
        <v>34776</v>
      </c>
      <c r="S332" s="128">
        <v>34320</v>
      </c>
      <c r="T332" s="128">
        <v>47961</v>
      </c>
      <c r="U332" s="128">
        <v>48702</v>
      </c>
      <c r="V332" s="188">
        <f t="shared" si="11"/>
        <v>0.58707154359328273</v>
      </c>
      <c r="W332" s="238">
        <v>5.4199999999999998E-2</v>
      </c>
      <c r="X332" s="358">
        <v>7</v>
      </c>
      <c r="AF332" s="238"/>
    </row>
    <row r="333" spans="2:32" x14ac:dyDescent="0.25">
      <c r="B333" t="s">
        <v>281</v>
      </c>
      <c r="C333" s="128">
        <v>324886421.51720881</v>
      </c>
      <c r="D333" s="128">
        <v>284998047.51720881</v>
      </c>
      <c r="E333" s="128">
        <v>8178256</v>
      </c>
      <c r="F333" s="128">
        <v>10690738</v>
      </c>
      <c r="G333" s="128">
        <v>10060433</v>
      </c>
      <c r="H333" s="128">
        <v>10958947</v>
      </c>
      <c r="I333" s="128">
        <v>60147718</v>
      </c>
      <c r="L333" s="128">
        <f t="shared" si="10"/>
        <v>14431860.482791185</v>
      </c>
      <c r="M333" s="128">
        <v>399466</v>
      </c>
      <c r="N333" s="128">
        <v>2191</v>
      </c>
      <c r="O333" s="128">
        <v>6882</v>
      </c>
      <c r="P333" s="128">
        <v>2445</v>
      </c>
      <c r="Q333" s="128">
        <v>34755</v>
      </c>
      <c r="R333" s="128">
        <v>573096</v>
      </c>
      <c r="S333" s="128">
        <v>566411</v>
      </c>
      <c r="T333" s="128">
        <v>545367</v>
      </c>
      <c r="U333" s="128">
        <v>545934</v>
      </c>
      <c r="V333" s="188">
        <f t="shared" si="11"/>
        <v>0.69703156190236892</v>
      </c>
      <c r="W333" s="238">
        <v>2.7300000000000001E-2</v>
      </c>
      <c r="X333" s="358">
        <v>6.5</v>
      </c>
      <c r="AF333" s="238"/>
    </row>
    <row r="334" spans="2:32" x14ac:dyDescent="0.25">
      <c r="B334" t="s">
        <v>211</v>
      </c>
      <c r="C334" s="128">
        <v>48439365.362981148</v>
      </c>
      <c r="D334" s="128">
        <v>43690678.362981148</v>
      </c>
      <c r="E334" s="128">
        <v>1031344</v>
      </c>
      <c r="F334" s="128">
        <v>0</v>
      </c>
      <c r="G334" s="128">
        <v>3102401</v>
      </c>
      <c r="H334" s="128">
        <v>614942</v>
      </c>
      <c r="I334" s="128">
        <v>5174811</v>
      </c>
      <c r="L334" s="128">
        <f t="shared" si="10"/>
        <v>995823.63701885194</v>
      </c>
      <c r="M334" s="128">
        <v>54610</v>
      </c>
      <c r="N334" s="128">
        <v>89</v>
      </c>
      <c r="O334" s="128">
        <v>698</v>
      </c>
      <c r="P334" s="128">
        <v>7</v>
      </c>
      <c r="Q334" s="128">
        <v>6614</v>
      </c>
      <c r="R334" s="128">
        <v>87674</v>
      </c>
      <c r="S334" s="128">
        <v>85121</v>
      </c>
      <c r="T334" s="128">
        <v>80336</v>
      </c>
      <c r="U334" s="128">
        <v>77803</v>
      </c>
      <c r="V334" s="188">
        <f t="shared" si="11"/>
        <v>0.6228756529872026</v>
      </c>
      <c r="W334" s="238">
        <v>3.6600000000000001E-2</v>
      </c>
      <c r="X334" s="358">
        <v>9.5</v>
      </c>
      <c r="AF334" s="238"/>
    </row>
    <row r="335" spans="2:32" x14ac:dyDescent="0.25">
      <c r="B335" t="s">
        <v>282</v>
      </c>
      <c r="C335" s="128">
        <v>29126891.948514264</v>
      </c>
      <c r="D335" s="128">
        <v>27496494.948514264</v>
      </c>
      <c r="E335" s="128">
        <v>594645</v>
      </c>
      <c r="F335" s="128">
        <v>0</v>
      </c>
      <c r="G335" s="128">
        <v>658285</v>
      </c>
      <c r="H335" s="128">
        <v>377467</v>
      </c>
      <c r="I335" s="128">
        <v>5877694</v>
      </c>
      <c r="L335" s="128">
        <f t="shared" si="10"/>
        <v>0</v>
      </c>
      <c r="M335" s="128">
        <v>34698</v>
      </c>
      <c r="N335" s="128">
        <v>894</v>
      </c>
      <c r="O335" s="128">
        <v>1955</v>
      </c>
      <c r="P335" s="128">
        <v>230</v>
      </c>
      <c r="Q335" s="128">
        <v>1847</v>
      </c>
      <c r="R335" s="128">
        <v>60489</v>
      </c>
      <c r="S335" s="128">
        <v>62034</v>
      </c>
      <c r="T335" s="128">
        <v>57945</v>
      </c>
      <c r="U335" s="128">
        <v>58406</v>
      </c>
      <c r="V335" s="188">
        <f t="shared" si="11"/>
        <v>0.57362495660367996</v>
      </c>
      <c r="W335" s="238">
        <v>2.8000000000000001E-2</v>
      </c>
      <c r="X335" s="358">
        <v>8.5</v>
      </c>
      <c r="AF335" s="238"/>
    </row>
    <row r="336" spans="2:32" x14ac:dyDescent="0.25">
      <c r="B336" t="s">
        <v>434</v>
      </c>
      <c r="C336" s="128">
        <v>34888281.513200507</v>
      </c>
      <c r="D336" s="128">
        <v>33008181.513200503</v>
      </c>
      <c r="E336" s="128">
        <v>883938</v>
      </c>
      <c r="F336" s="128">
        <v>0</v>
      </c>
      <c r="G336" s="128">
        <v>466561</v>
      </c>
      <c r="H336" s="128">
        <v>529601</v>
      </c>
      <c r="I336" s="128">
        <v>4538736</v>
      </c>
      <c r="L336" s="128">
        <f t="shared" si="10"/>
        <v>436982.48679949343</v>
      </c>
      <c r="M336" s="128">
        <v>39864</v>
      </c>
      <c r="N336" s="128">
        <v>152</v>
      </c>
      <c r="O336" s="128">
        <v>382</v>
      </c>
      <c r="P336" s="128">
        <v>111</v>
      </c>
      <c r="Q336" s="128">
        <v>5686</v>
      </c>
      <c r="R336" s="128">
        <v>66466</v>
      </c>
      <c r="S336" s="128">
        <v>65818</v>
      </c>
      <c r="T336" s="128">
        <v>54194</v>
      </c>
      <c r="U336" s="128">
        <v>55220</v>
      </c>
      <c r="V336" s="188">
        <f t="shared" si="11"/>
        <v>0.59976529353353591</v>
      </c>
      <c r="W336" s="238">
        <v>4.8099999999999997E-2</v>
      </c>
      <c r="X336" s="358">
        <v>8.5</v>
      </c>
      <c r="AF336" s="238"/>
    </row>
    <row r="337" spans="2:32" x14ac:dyDescent="0.25">
      <c r="B337" t="s">
        <v>237</v>
      </c>
      <c r="C337" s="128">
        <v>113553748.80669345</v>
      </c>
      <c r="D337" s="128">
        <v>103851814.80669345</v>
      </c>
      <c r="E337" s="128">
        <v>2998513</v>
      </c>
      <c r="F337" s="128">
        <v>0</v>
      </c>
      <c r="G337" s="128">
        <v>5469331</v>
      </c>
      <c r="H337" s="128">
        <v>1234090</v>
      </c>
      <c r="I337" s="128">
        <v>20382832</v>
      </c>
      <c r="L337" s="128">
        <f t="shared" si="10"/>
        <v>0</v>
      </c>
      <c r="M337" s="128">
        <v>126532</v>
      </c>
      <c r="N337" s="128">
        <v>315</v>
      </c>
      <c r="O337" s="128">
        <v>2910</v>
      </c>
      <c r="P337" s="128">
        <v>201</v>
      </c>
      <c r="Q337" s="128">
        <v>0</v>
      </c>
      <c r="R337" s="128">
        <v>171645</v>
      </c>
      <c r="S337" s="128">
        <v>172036</v>
      </c>
      <c r="T337" s="128">
        <v>167587</v>
      </c>
      <c r="U337" s="128">
        <v>167226</v>
      </c>
      <c r="V337" s="188">
        <f t="shared" si="11"/>
        <v>0.73717265285909872</v>
      </c>
      <c r="W337" s="238">
        <v>4.24E-2</v>
      </c>
      <c r="X337" s="358">
        <v>5.5</v>
      </c>
      <c r="AF337" s="238"/>
    </row>
    <row r="338" spans="2:32" x14ac:dyDescent="0.25">
      <c r="B338" t="s">
        <v>212</v>
      </c>
      <c r="C338" s="128">
        <v>79815678.567378998</v>
      </c>
      <c r="D338" s="128">
        <v>72296373.567378998</v>
      </c>
      <c r="E338" s="128">
        <v>2143373</v>
      </c>
      <c r="F338" s="128">
        <v>0</v>
      </c>
      <c r="G338" s="128">
        <v>4661029</v>
      </c>
      <c r="H338" s="128">
        <v>714903</v>
      </c>
      <c r="I338" s="128">
        <v>11230848</v>
      </c>
      <c r="L338" s="128">
        <f t="shared" si="10"/>
        <v>1639473.4326210022</v>
      </c>
      <c r="M338" s="128">
        <v>92686</v>
      </c>
      <c r="N338" s="128">
        <v>710</v>
      </c>
      <c r="O338" s="128">
        <v>1275</v>
      </c>
      <c r="P338" s="128">
        <v>528</v>
      </c>
      <c r="Q338" s="128">
        <v>2334</v>
      </c>
      <c r="R338" s="128">
        <v>151681</v>
      </c>
      <c r="S338" s="128">
        <v>154963</v>
      </c>
      <c r="T338" s="128">
        <v>140344</v>
      </c>
      <c r="U338" s="128">
        <v>145095</v>
      </c>
      <c r="V338" s="188">
        <f t="shared" si="11"/>
        <v>0.61105873510855013</v>
      </c>
      <c r="W338" s="238">
        <v>3.9399999999999998E-2</v>
      </c>
      <c r="X338" s="358">
        <v>5.5</v>
      </c>
      <c r="AF338" s="238"/>
    </row>
    <row r="339" spans="2:32" x14ac:dyDescent="0.25">
      <c r="B339" t="s">
        <v>326</v>
      </c>
      <c r="C339" s="128">
        <v>236936528.65241721</v>
      </c>
      <c r="D339" s="128">
        <v>220593323.65241721</v>
      </c>
      <c r="E339" s="128">
        <v>5148896</v>
      </c>
      <c r="F339" s="128">
        <v>0</v>
      </c>
      <c r="G339" s="128">
        <v>8250344</v>
      </c>
      <c r="H339" s="128">
        <v>2943965</v>
      </c>
      <c r="I339" s="128">
        <v>46103618</v>
      </c>
      <c r="L339" s="128">
        <f t="shared" si="10"/>
        <v>1541853.3475827873</v>
      </c>
      <c r="M339" s="128">
        <v>284582</v>
      </c>
      <c r="N339" s="128">
        <v>2587</v>
      </c>
      <c r="O339" s="128">
        <v>10366</v>
      </c>
      <c r="P339" s="128">
        <v>270</v>
      </c>
      <c r="Q339" s="128">
        <v>14617</v>
      </c>
      <c r="R339" s="128">
        <v>403762</v>
      </c>
      <c r="S339" s="128">
        <v>405302</v>
      </c>
      <c r="T339" s="128">
        <v>376905</v>
      </c>
      <c r="U339" s="128">
        <v>390463</v>
      </c>
      <c r="V339" s="188">
        <f t="shared" si="11"/>
        <v>0.70482611043139276</v>
      </c>
      <c r="W339" s="238">
        <v>4.7100000000000003E-2</v>
      </c>
      <c r="X339" s="358">
        <v>7</v>
      </c>
      <c r="AF339" s="238"/>
    </row>
    <row r="340" spans="2:32" x14ac:dyDescent="0.25">
      <c r="B340" t="s">
        <v>327</v>
      </c>
      <c r="C340" s="128">
        <v>13096136.273440549</v>
      </c>
      <c r="D340" s="128">
        <v>12693740.273440549</v>
      </c>
      <c r="E340" s="128">
        <v>128788</v>
      </c>
      <c r="F340" s="128">
        <v>0</v>
      </c>
      <c r="G340" s="128">
        <v>40072</v>
      </c>
      <c r="H340" s="128">
        <v>233536</v>
      </c>
      <c r="I340" s="243">
        <v>0</v>
      </c>
      <c r="L340" s="128">
        <f t="shared" si="10"/>
        <v>1436863.7265594508</v>
      </c>
      <c r="M340" s="128">
        <v>14533</v>
      </c>
      <c r="N340" s="128">
        <v>0</v>
      </c>
      <c r="O340" s="128">
        <v>229</v>
      </c>
      <c r="P340" s="128">
        <v>210</v>
      </c>
      <c r="Q340" s="128">
        <v>567</v>
      </c>
      <c r="R340" s="128">
        <v>23593</v>
      </c>
      <c r="S340" s="128">
        <v>24715</v>
      </c>
      <c r="T340" s="128">
        <v>23087</v>
      </c>
      <c r="U340" s="128">
        <v>23373</v>
      </c>
      <c r="V340" s="188">
        <f t="shared" si="11"/>
        <v>0.61598779298944606</v>
      </c>
      <c r="W340" s="238">
        <v>5.1700000000000003E-2</v>
      </c>
      <c r="X340" s="358">
        <v>5.5</v>
      </c>
      <c r="AF340" s="238"/>
    </row>
    <row r="341" spans="2:32" x14ac:dyDescent="0.25">
      <c r="B341" t="s">
        <v>328</v>
      </c>
      <c r="C341" s="128">
        <v>64569513.244595014</v>
      </c>
      <c r="D341" s="128">
        <v>60644795.244595014</v>
      </c>
      <c r="E341" s="128">
        <v>1133905</v>
      </c>
      <c r="F341" s="128">
        <v>0</v>
      </c>
      <c r="G341" s="128">
        <v>2066044</v>
      </c>
      <c r="H341" s="128">
        <v>724769</v>
      </c>
      <c r="I341" s="128">
        <v>8408548</v>
      </c>
      <c r="L341" s="128">
        <f t="shared" si="10"/>
        <v>1463938.7554049864</v>
      </c>
      <c r="M341" s="128">
        <v>74442</v>
      </c>
      <c r="N341" s="128">
        <v>210</v>
      </c>
      <c r="O341" s="128">
        <v>2284</v>
      </c>
      <c r="P341" s="128">
        <v>2172</v>
      </c>
      <c r="Q341" s="128">
        <v>17341</v>
      </c>
      <c r="R341" s="128">
        <v>124204</v>
      </c>
      <c r="S341" s="128">
        <v>126739</v>
      </c>
      <c r="T341" s="128">
        <v>104859</v>
      </c>
      <c r="U341" s="128">
        <v>109769</v>
      </c>
      <c r="V341" s="188">
        <f t="shared" si="11"/>
        <v>0.59935267785256519</v>
      </c>
      <c r="W341" s="238">
        <v>4.0500000000000001E-2</v>
      </c>
      <c r="X341" s="358">
        <v>7</v>
      </c>
      <c r="AF341" s="238"/>
    </row>
    <row r="342" spans="2:32" x14ac:dyDescent="0.25">
      <c r="B342" t="s">
        <v>399</v>
      </c>
      <c r="C342" s="128">
        <v>33045313.828078251</v>
      </c>
      <c r="D342" s="128">
        <v>30433301.828078251</v>
      </c>
      <c r="E342" s="128">
        <v>314252</v>
      </c>
      <c r="F342" s="128">
        <v>0</v>
      </c>
      <c r="G342" s="128">
        <v>1963619</v>
      </c>
      <c r="H342" s="128">
        <v>334141</v>
      </c>
      <c r="I342" s="128">
        <v>3269654</v>
      </c>
      <c r="L342" s="128">
        <f t="shared" si="10"/>
        <v>523032.17192174867</v>
      </c>
      <c r="M342" s="128">
        <v>36838</v>
      </c>
      <c r="N342" s="128">
        <v>28</v>
      </c>
      <c r="O342" s="128">
        <v>409</v>
      </c>
      <c r="P342" s="128">
        <v>195</v>
      </c>
      <c r="Q342" s="128">
        <v>64</v>
      </c>
      <c r="R342" s="128">
        <v>53388</v>
      </c>
      <c r="S342" s="128">
        <v>52600</v>
      </c>
      <c r="T342" s="128">
        <v>50593</v>
      </c>
      <c r="U342" s="128">
        <v>50763</v>
      </c>
      <c r="V342" s="188">
        <f t="shared" si="11"/>
        <v>0.69000524462426016</v>
      </c>
      <c r="W342" s="238">
        <v>4.24E-2</v>
      </c>
      <c r="X342" s="358">
        <v>7.5</v>
      </c>
      <c r="AF342" s="238"/>
    </row>
    <row r="343" spans="2:32" x14ac:dyDescent="0.25">
      <c r="B343" t="s">
        <v>213</v>
      </c>
      <c r="C343" s="128">
        <v>109630992.47142354</v>
      </c>
      <c r="D343" s="128">
        <v>94412238.471423537</v>
      </c>
      <c r="E343" s="128">
        <v>4101968</v>
      </c>
      <c r="F343" s="128">
        <v>0</v>
      </c>
      <c r="G343" s="128">
        <v>10067088</v>
      </c>
      <c r="H343" s="128">
        <v>1049698</v>
      </c>
      <c r="I343" s="128">
        <v>20848052</v>
      </c>
      <c r="L343" s="128">
        <f t="shared" si="10"/>
        <v>0</v>
      </c>
      <c r="M343" s="128">
        <v>129028</v>
      </c>
      <c r="N343" s="128">
        <v>820</v>
      </c>
      <c r="O343" s="128">
        <v>2638</v>
      </c>
      <c r="P343" s="128">
        <v>570</v>
      </c>
      <c r="Q343" s="128">
        <v>10811</v>
      </c>
      <c r="R343" s="128">
        <v>180866</v>
      </c>
      <c r="S343" s="128">
        <v>180483</v>
      </c>
      <c r="T343" s="128">
        <v>169406</v>
      </c>
      <c r="U343" s="128">
        <v>169439</v>
      </c>
      <c r="V343" s="188">
        <f t="shared" si="11"/>
        <v>0.71339002355334891</v>
      </c>
      <c r="W343" s="238">
        <v>3.3000000000000002E-2</v>
      </c>
      <c r="X343" s="358">
        <v>9</v>
      </c>
      <c r="AF343" s="238"/>
    </row>
    <row r="344" spans="2:32" x14ac:dyDescent="0.25">
      <c r="B344" t="s">
        <v>163</v>
      </c>
      <c r="C344" s="128">
        <v>35247392.944001824</v>
      </c>
      <c r="D344" s="128">
        <v>32428283.944001827</v>
      </c>
      <c r="E344" s="128">
        <v>1061782</v>
      </c>
      <c r="F344" s="128">
        <v>0</v>
      </c>
      <c r="G344" s="128">
        <v>1040523</v>
      </c>
      <c r="H344" s="128">
        <v>716804</v>
      </c>
      <c r="I344" s="128">
        <v>3317947</v>
      </c>
      <c r="L344" s="128">
        <f t="shared" si="10"/>
        <v>298660.05599817634</v>
      </c>
      <c r="M344" s="128">
        <v>38864</v>
      </c>
      <c r="N344" s="128">
        <v>415</v>
      </c>
      <c r="O344" s="128">
        <v>569</v>
      </c>
      <c r="P344" s="128">
        <v>333</v>
      </c>
      <c r="Q344" s="128">
        <v>4342</v>
      </c>
      <c r="R344" s="128">
        <v>61625</v>
      </c>
      <c r="S344" s="128">
        <v>59402</v>
      </c>
      <c r="T344" s="128">
        <v>54830</v>
      </c>
      <c r="U344" s="128">
        <v>55563</v>
      </c>
      <c r="V344" s="188">
        <f t="shared" si="11"/>
        <v>0.63065314401622719</v>
      </c>
      <c r="W344" s="238">
        <v>2.7900000000000001E-2</v>
      </c>
      <c r="X344" s="358">
        <v>9</v>
      </c>
      <c r="AF344" s="238"/>
    </row>
    <row r="345" spans="2:32" x14ac:dyDescent="0.25">
      <c r="B345" t="s">
        <v>329</v>
      </c>
      <c r="C345" s="128">
        <v>87810484.237046331</v>
      </c>
      <c r="D345" s="128">
        <v>81216124.237046331</v>
      </c>
      <c r="E345" s="128">
        <v>1810903</v>
      </c>
      <c r="F345" s="128">
        <v>0</v>
      </c>
      <c r="G345" s="128">
        <v>3717900</v>
      </c>
      <c r="H345" s="128">
        <v>1065557</v>
      </c>
      <c r="I345" s="128">
        <v>18372075</v>
      </c>
      <c r="L345" s="128">
        <f t="shared" si="10"/>
        <v>0</v>
      </c>
      <c r="M345" s="128">
        <v>105760</v>
      </c>
      <c r="N345" s="128">
        <v>1110</v>
      </c>
      <c r="O345" s="128">
        <v>1514</v>
      </c>
      <c r="P345" s="128">
        <v>216</v>
      </c>
      <c r="Q345" s="128">
        <v>3741</v>
      </c>
      <c r="R345" s="128">
        <v>149355</v>
      </c>
      <c r="S345" s="128">
        <v>151155</v>
      </c>
      <c r="T345" s="128">
        <v>136450</v>
      </c>
      <c r="U345" s="128">
        <v>138959</v>
      </c>
      <c r="V345" s="188">
        <f t="shared" si="11"/>
        <v>0.70811154631582474</v>
      </c>
      <c r="W345" s="238">
        <v>3.5799999999999998E-2</v>
      </c>
      <c r="X345" s="358">
        <v>8</v>
      </c>
      <c r="AF345" s="238"/>
    </row>
    <row r="346" spans="2:32" x14ac:dyDescent="0.25">
      <c r="B346" t="s">
        <v>164</v>
      </c>
      <c r="C346" s="128">
        <v>335777263.97325414</v>
      </c>
      <c r="D346" s="128">
        <v>233265841.97325414</v>
      </c>
      <c r="E346" s="128">
        <v>9508479</v>
      </c>
      <c r="F346" s="128">
        <v>59742961</v>
      </c>
      <c r="G346" s="128">
        <v>13854198</v>
      </c>
      <c r="H346" s="128">
        <v>19405784</v>
      </c>
      <c r="I346" s="128">
        <v>49007902</v>
      </c>
      <c r="L346" s="128">
        <f t="shared" si="10"/>
        <v>5964834.0267458558</v>
      </c>
      <c r="M346" s="128">
        <v>390750</v>
      </c>
      <c r="N346" s="128">
        <v>1073</v>
      </c>
      <c r="O346" s="128">
        <v>15426</v>
      </c>
      <c r="P346" s="128">
        <v>1214</v>
      </c>
      <c r="Q346" s="128">
        <v>81759</v>
      </c>
      <c r="R346" s="128">
        <v>606287</v>
      </c>
      <c r="S346" s="128">
        <v>610875</v>
      </c>
      <c r="T346" s="128">
        <v>510521</v>
      </c>
      <c r="U346" s="128">
        <v>520487</v>
      </c>
      <c r="V346" s="188">
        <f t="shared" si="11"/>
        <v>0.64449674823969505</v>
      </c>
      <c r="W346" s="238">
        <v>4.9299999999999997E-2</v>
      </c>
      <c r="X346" s="358">
        <v>6.5</v>
      </c>
      <c r="AF346" s="238"/>
    </row>
    <row r="347" spans="2:32" x14ac:dyDescent="0.25">
      <c r="B347" t="s">
        <v>442</v>
      </c>
      <c r="C347" s="128">
        <f t="shared" ref="C347:I347" si="12">SUM(C2:C346)</f>
        <v>35419730516.699356</v>
      </c>
      <c r="D347" s="128">
        <f t="shared" si="12"/>
        <v>30369267672.699356</v>
      </c>
      <c r="E347" s="128">
        <f t="shared" si="12"/>
        <v>715390991</v>
      </c>
      <c r="F347" s="128">
        <f t="shared" si="12"/>
        <v>1425741001</v>
      </c>
      <c r="G347" s="128">
        <f t="shared" si="12"/>
        <v>1888666998</v>
      </c>
      <c r="H347" s="128">
        <f t="shared" si="12"/>
        <v>1020663854</v>
      </c>
      <c r="I347" s="128">
        <f t="shared" si="12"/>
        <v>6377710793</v>
      </c>
      <c r="L347" s="128">
        <f t="shared" si="10"/>
        <v>191747484.34088135</v>
      </c>
      <c r="M347" s="128">
        <f t="shared" ref="M347:U347" si="13">SUM(M2:M346)</f>
        <v>41989188.79404024</v>
      </c>
      <c r="N347" s="128">
        <f t="shared" si="13"/>
        <v>434330</v>
      </c>
      <c r="O347" s="128">
        <f t="shared" si="13"/>
        <v>1030763</v>
      </c>
      <c r="P347" s="128">
        <f t="shared" si="13"/>
        <v>278560</v>
      </c>
      <c r="Q347" s="128">
        <f t="shared" si="13"/>
        <v>3150836</v>
      </c>
      <c r="R347" s="128">
        <f t="shared" si="13"/>
        <v>62310346</v>
      </c>
      <c r="S347" s="128">
        <f t="shared" si="13"/>
        <v>63149131</v>
      </c>
      <c r="T347" s="128">
        <f t="shared" si="13"/>
        <v>60401075</v>
      </c>
      <c r="U347" s="128">
        <f t="shared" si="13"/>
        <v>61614307</v>
      </c>
      <c r="V347" s="188">
        <f t="shared" si="11"/>
        <v>0.67387186060626658</v>
      </c>
      <c r="W347" s="238">
        <v>3.9699999999999999E-2</v>
      </c>
      <c r="X347" s="358">
        <v>7.5</v>
      </c>
      <c r="AF347" s="238"/>
    </row>
    <row r="348" spans="2:32" x14ac:dyDescent="0.25">
      <c r="I348" s="243"/>
      <c r="L348" s="128"/>
      <c r="AF348" s="238"/>
    </row>
    <row r="349" spans="2:32" x14ac:dyDescent="0.25">
      <c r="I349" s="128"/>
      <c r="L349" s="128"/>
      <c r="W349" s="129">
        <f>COUNTIF(W2:W346,"&gt;5%")</f>
        <v>67</v>
      </c>
      <c r="X349" s="129">
        <f>COUNTIF(X2:X346,"&lt;4,0")</f>
        <v>0</v>
      </c>
      <c r="AF349" s="238"/>
    </row>
    <row r="350" spans="2:32" x14ac:dyDescent="0.25">
      <c r="I350" s="128"/>
      <c r="L350" s="128"/>
      <c r="AF350" s="238"/>
    </row>
    <row r="351" spans="2:32" x14ac:dyDescent="0.25">
      <c r="I351" s="128"/>
      <c r="L351" s="128"/>
      <c r="AF351" s="238"/>
    </row>
    <row r="352" spans="2:32" x14ac:dyDescent="0.25">
      <c r="I352" s="128"/>
      <c r="L352" s="128"/>
      <c r="AF352" s="238"/>
    </row>
    <row r="353" spans="9:32" x14ac:dyDescent="0.25">
      <c r="I353" s="128"/>
      <c r="L353" s="128"/>
      <c r="AF353" s="238"/>
    </row>
    <row r="354" spans="9:32" x14ac:dyDescent="0.25">
      <c r="I354" s="128"/>
      <c r="L354" s="128"/>
      <c r="AF354" s="238"/>
    </row>
    <row r="355" spans="9:32" x14ac:dyDescent="0.25">
      <c r="I355" s="128"/>
      <c r="L355" s="128"/>
      <c r="AF355" s="238"/>
    </row>
    <row r="356" spans="9:32" x14ac:dyDescent="0.25">
      <c r="L356" s="128"/>
      <c r="AF356" s="238"/>
    </row>
    <row r="357" spans="9:32" x14ac:dyDescent="0.25">
      <c r="I357" s="128"/>
      <c r="J357" s="128"/>
      <c r="K357" s="128"/>
      <c r="L357" s="128"/>
      <c r="AF357" s="238"/>
    </row>
    <row r="361" spans="9:32" x14ac:dyDescent="0.25">
      <c r="I361" s="128"/>
    </row>
    <row r="362" spans="9:32" x14ac:dyDescent="0.25">
      <c r="I362" s="128"/>
    </row>
    <row r="363" spans="9:32" x14ac:dyDescent="0.25">
      <c r="I363" s="128"/>
    </row>
    <row r="366" spans="9:32" x14ac:dyDescent="0.25">
      <c r="I366" s="243"/>
    </row>
    <row r="367" spans="9:32" x14ac:dyDescent="0.25">
      <c r="L367" s="128"/>
    </row>
    <row r="368" spans="9:32" x14ac:dyDescent="0.25">
      <c r="I368" s="128"/>
      <c r="L368" s="128"/>
    </row>
    <row r="369" spans="9:31" x14ac:dyDescent="0.25">
      <c r="I369" s="128"/>
      <c r="L369" s="128"/>
    </row>
    <row r="370" spans="9:31" x14ac:dyDescent="0.25">
      <c r="L370" s="128"/>
    </row>
    <row r="371" spans="9:31" x14ac:dyDescent="0.25">
      <c r="I371" s="128"/>
      <c r="L371" s="128"/>
      <c r="AE371" s="128"/>
    </row>
    <row r="372" spans="9:31" x14ac:dyDescent="0.25">
      <c r="I372" s="128"/>
    </row>
    <row r="373" spans="9:31" x14ac:dyDescent="0.25">
      <c r="L373" s="128"/>
    </row>
    <row r="374" spans="9:31" x14ac:dyDescent="0.25">
      <c r="I374" s="128"/>
      <c r="L374" s="128"/>
      <c r="AE374" s="128"/>
    </row>
    <row r="375" spans="9:31" x14ac:dyDescent="0.25">
      <c r="I375" s="128"/>
    </row>
    <row r="376" spans="9:31" x14ac:dyDescent="0.25">
      <c r="L376" s="128"/>
    </row>
    <row r="377" spans="9:31" x14ac:dyDescent="0.25">
      <c r="I377" s="128"/>
      <c r="L377" s="128"/>
      <c r="AE377" s="128"/>
    </row>
    <row r="378" spans="9:31" x14ac:dyDescent="0.25">
      <c r="I378" s="128">
        <f t="shared" ref="I378" si="14">SUM(I377,(1435/14282*I366))</f>
        <v>0</v>
      </c>
    </row>
    <row r="380" spans="9:31" x14ac:dyDescent="0.25">
      <c r="AE380" s="128"/>
    </row>
  </sheetData>
  <sheetProtection algorithmName="SHA-512" hashValue="NrNAGbYJW2cKpZ3dh0Ec/qAgMuMsc8dz5ZeI+iqWR4wqqoJtcyTy3o/ZVnLv4R1GO4+Hdaw4MUi4jwogp6lPIQ==" saltValue="Xvw8Jx5g3kkXitOXL73b7A==" spinCount="100000" sheet="1" objects="1" scenarios="1"/>
  <sortState xmlns:xlrd2="http://schemas.microsoft.com/office/spreadsheetml/2017/richdata2" ref="AK2:AL356">
    <sortCondition ref="AK2:AK356"/>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5"/>
  <sheetViews>
    <sheetView showGridLines="0" topLeftCell="F4" zoomScaleNormal="100" workbookViewId="0">
      <selection activeCell="B6" sqref="B6"/>
    </sheetView>
  </sheetViews>
  <sheetFormatPr defaultColWidth="9.08984375" defaultRowHeight="12.5" x14ac:dyDescent="0.25"/>
  <cols>
    <col min="1" max="1" width="53.6328125" style="13" bestFit="1" customWidth="1"/>
    <col min="2" max="2" width="21" style="13" customWidth="1"/>
    <col min="3" max="3" width="18.54296875" style="13" customWidth="1"/>
    <col min="4" max="4" width="9.08984375" style="13"/>
    <col min="5" max="5" width="50.453125" style="13" bestFit="1" customWidth="1"/>
    <col min="6" max="6" width="19" style="13" customWidth="1"/>
    <col min="7" max="7" width="20.54296875" style="13" customWidth="1"/>
    <col min="8" max="16384" width="9.08984375" style="13"/>
  </cols>
  <sheetData>
    <row r="1" spans="1:7" ht="13" x14ac:dyDescent="0.3">
      <c r="A1" s="39" t="s">
        <v>85</v>
      </c>
      <c r="B1" s="51">
        <f>'Financiele conditie'!C1</f>
        <v>2022</v>
      </c>
      <c r="C1" s="51"/>
      <c r="D1" s="51"/>
    </row>
    <row r="2" spans="1:7" ht="13.25" x14ac:dyDescent="0.25">
      <c r="A2" s="39" t="s">
        <v>476</v>
      </c>
      <c r="B2" s="53" t="str">
        <f>Macrogegevens!A2</f>
        <v>Groningen</v>
      </c>
      <c r="C2" s="52"/>
      <c r="D2" s="52"/>
    </row>
    <row r="3" spans="1:7" ht="13.25" x14ac:dyDescent="0.25">
      <c r="A3" s="39"/>
      <c r="B3" s="59" t="s">
        <v>95</v>
      </c>
      <c r="C3" s="55" t="s">
        <v>95</v>
      </c>
      <c r="D3" s="54"/>
      <c r="F3" s="59" t="s">
        <v>95</v>
      </c>
      <c r="G3" s="55" t="s">
        <v>95</v>
      </c>
    </row>
    <row r="4" spans="1:7" ht="13.25" x14ac:dyDescent="0.25">
      <c r="A4" s="57" t="s">
        <v>91</v>
      </c>
      <c r="B4" s="60">
        <f>SUM(B1,-1)</f>
        <v>2021</v>
      </c>
      <c r="C4" s="56">
        <f>B1</f>
        <v>2022</v>
      </c>
      <c r="D4" s="50"/>
      <c r="E4" s="57" t="s">
        <v>92</v>
      </c>
      <c r="F4" s="60">
        <f>SUM(B1,-1)</f>
        <v>2021</v>
      </c>
      <c r="G4" s="56">
        <f>B1</f>
        <v>2022</v>
      </c>
    </row>
    <row r="5" spans="1:7" ht="13.25" x14ac:dyDescent="0.25">
      <c r="A5" s="158" t="s">
        <v>535</v>
      </c>
      <c r="B5" s="61"/>
      <c r="C5" s="50"/>
      <c r="D5" s="50"/>
      <c r="E5" s="158" t="s">
        <v>538</v>
      </c>
      <c r="F5" s="62"/>
      <c r="G5" s="25"/>
    </row>
    <row r="6" spans="1:7" x14ac:dyDescent="0.25">
      <c r="A6" s="97" t="s">
        <v>534</v>
      </c>
      <c r="B6" s="134">
        <f>VLOOKUP('Financiele conditie'!B2,'Kengetallen 2020'!$A$2:$T$348,2,0)*1000</f>
        <v>4591000</v>
      </c>
      <c r="C6" s="365">
        <f>SUM(C9,-C8)</f>
        <v>1268359411.8571429</v>
      </c>
      <c r="E6" s="97" t="s">
        <v>450</v>
      </c>
      <c r="F6" s="340">
        <f>SUM(F30,-F21,-F19,-F17,-F13,-F8)</f>
        <v>238626000</v>
      </c>
      <c r="G6" s="25">
        <f>SUM(G30,-G21,-G19,-G17,-G13,-G8)</f>
        <v>238830003.03483772</v>
      </c>
    </row>
    <row r="7" spans="1:7" x14ac:dyDescent="0.25">
      <c r="A7" s="97" t="s">
        <v>458</v>
      </c>
      <c r="B7" s="134">
        <f>VLOOKUP('Financiele conditie'!B2,'Kengetallen 2020'!A2:T348,4,0)*1000</f>
        <v>1222971000</v>
      </c>
      <c r="C7" s="365"/>
      <c r="F7" s="98"/>
      <c r="G7" s="99"/>
    </row>
    <row r="8" spans="1:7" ht="13.25" x14ac:dyDescent="0.25">
      <c r="A8" s="97" t="s">
        <v>733</v>
      </c>
      <c r="B8" s="134">
        <f>VLOOKUP('Financiele conditie'!B2,'Kengetallen 2020'!A2:T348,3,0)*1000</f>
        <v>147318000</v>
      </c>
      <c r="C8" s="136">
        <f>SUM($B$8,-'Investeringen &amp; financiering'!$D$6,-'Investeringen &amp; financiering'!$D$7)</f>
        <v>147318000</v>
      </c>
      <c r="E8" s="97" t="s">
        <v>447</v>
      </c>
      <c r="F8" s="134">
        <f>VLOOKUP('Financiele conditie'!B2,'Kengetallen 2020'!$A$2:'Kengetallen 2020'!$T$348,15,0)*1000</f>
        <v>49292000</v>
      </c>
      <c r="G8" s="136">
        <f>SUM(F8,G37)</f>
        <v>49292000</v>
      </c>
    </row>
    <row r="9" spans="1:7" ht="13" x14ac:dyDescent="0.3">
      <c r="A9" s="39" t="s">
        <v>459</v>
      </c>
      <c r="B9" s="67">
        <f>SUM(B6,B7,B8)</f>
        <v>1374880000</v>
      </c>
      <c r="C9" s="63">
        <f>SUM(B9,-'Investeringen &amp; financiering'!C6,-'Investeringen &amp; financiering'!C7,-'Investeringen &amp; financiering'!D6,-'Investeringen &amp; financiering'!D7,-C35,C39)</f>
        <v>1415677411.8571429</v>
      </c>
      <c r="E9" s="39" t="s">
        <v>589</v>
      </c>
      <c r="F9" s="65">
        <f>SUM(F6,F8)</f>
        <v>287918000</v>
      </c>
      <c r="G9" s="63">
        <f>SUM(G6,G8)</f>
        <v>288122003.03483772</v>
      </c>
    </row>
    <row r="10" spans="1:7" ht="13.25" x14ac:dyDescent="0.25">
      <c r="A10" s="39"/>
      <c r="B10" s="157"/>
      <c r="C10" s="63"/>
      <c r="F10" s="61"/>
    </row>
    <row r="11" spans="1:7" ht="13.25" x14ac:dyDescent="0.25">
      <c r="A11" s="39" t="s">
        <v>86</v>
      </c>
      <c r="B11" s="134">
        <f>VLOOKUP('Financiele conditie'!B2,'Kengetallen 2020'!A2:T348,5,0)*1000</f>
        <v>19414000</v>
      </c>
      <c r="C11" s="63">
        <f>SUM(B11,-'Investeringen &amp; financiering'!G6,-'Investeringen &amp; financiering'!G7,C40)</f>
        <v>20453105.684400238</v>
      </c>
      <c r="E11" s="97" t="s">
        <v>449</v>
      </c>
      <c r="F11" s="134">
        <f>VLOOKUP('Financiele conditie'!B2,'Kengetallen 2020'!$A$2:'Kengetallen 2020'!$T$348,16,0)*1000</f>
        <v>1469051000</v>
      </c>
      <c r="G11" s="63"/>
    </row>
    <row r="12" spans="1:7" ht="13.25" x14ac:dyDescent="0.25">
      <c r="A12" s="97"/>
      <c r="B12" s="157"/>
      <c r="C12" s="136"/>
      <c r="E12" s="97" t="s">
        <v>448</v>
      </c>
      <c r="F12" s="134">
        <f>VLOOKUP('Financiele conditie'!B2,'Kengetallen 2020'!$A$2:'Kengetallen 2020'!$T$348,17,0)*1000</f>
        <v>940000</v>
      </c>
      <c r="G12" s="63"/>
    </row>
    <row r="13" spans="1:7" ht="13" x14ac:dyDescent="0.3">
      <c r="A13" s="97" t="s">
        <v>87</v>
      </c>
      <c r="B13" s="134">
        <f>VLOOKUP('Financiele conditie'!B2,'Kengetallen 2020'!A2:T348,6,0)*1000</f>
        <v>377795000</v>
      </c>
      <c r="C13" s="136">
        <f>SUM(B13,-'Investeringen &amp; financiering'!C30,C41)</f>
        <v>377795000</v>
      </c>
      <c r="E13" s="39" t="s">
        <v>452</v>
      </c>
      <c r="F13" s="67">
        <f>SUM(F11,F12)</f>
        <v>1469991000</v>
      </c>
      <c r="G13" s="63">
        <f>SUM(F13,Macrogegevens!N4,-Macrogegevens!N5,F21,-G21,F19,-G19,F17,-G17,-B28,C28,-B26,C26,-B24,C24,-B17,C17,-B15,C15)</f>
        <v>1511683050.5530128</v>
      </c>
    </row>
    <row r="14" spans="1:7" ht="13" x14ac:dyDescent="0.3">
      <c r="A14" s="97" t="s">
        <v>88</v>
      </c>
      <c r="B14" s="134">
        <f>VLOOKUP('Financiele conditie'!B2,'Kengetallen 2020'!A2:T348,7,0)*1000</f>
        <v>15234000</v>
      </c>
      <c r="C14" s="136">
        <f>SUM(B14,-'Investeringen &amp; financiering'!D30,C42)</f>
        <v>15234000</v>
      </c>
      <c r="F14" s="61"/>
      <c r="G14" s="50"/>
    </row>
    <row r="15" spans="1:7" ht="13" x14ac:dyDescent="0.3">
      <c r="A15" s="39" t="s">
        <v>681</v>
      </c>
      <c r="B15" s="67">
        <f>SUM($B$13,$B$14)</f>
        <v>393029000</v>
      </c>
      <c r="C15" s="63">
        <f>SUM(C13,C14)</f>
        <v>393029000</v>
      </c>
      <c r="F15" s="61"/>
      <c r="G15" s="50"/>
    </row>
    <row r="16" spans="1:7" ht="13" x14ac:dyDescent="0.3">
      <c r="A16" s="39"/>
      <c r="B16" s="67"/>
      <c r="C16" s="63"/>
      <c r="E16" s="158" t="s">
        <v>537</v>
      </c>
      <c r="F16" s="61"/>
      <c r="G16" s="50"/>
    </row>
    <row r="17" spans="1:7" ht="13" x14ac:dyDescent="0.3">
      <c r="A17" s="39" t="s">
        <v>89</v>
      </c>
      <c r="B17" s="134">
        <f>VLOOKUP('Financiele conditie'!B2,'Kengetallen 2020'!A2:T348,8,0)*1000</f>
        <v>0</v>
      </c>
      <c r="C17" s="63">
        <f>SUM(B17,-'Investeringen &amp; financiering'!E30,C43)</f>
        <v>0</v>
      </c>
      <c r="E17" s="39" t="s">
        <v>584</v>
      </c>
      <c r="F17" s="134">
        <f>VLOOKUP('Financiele conditie'!B2,'Kengetallen 2020'!$A$2:'Kengetallen 2020'!$T$348,18,0)*1000</f>
        <v>109383000</v>
      </c>
      <c r="G17" s="63">
        <f>SUM(F17,'Investeringen &amp; financiering'!K30)</f>
        <v>109383000</v>
      </c>
    </row>
    <row r="18" spans="1:7" ht="13" x14ac:dyDescent="0.3">
      <c r="A18" s="39"/>
      <c r="B18" s="61"/>
      <c r="C18" s="63"/>
      <c r="E18" s="39"/>
      <c r="F18" s="61"/>
      <c r="G18" s="136"/>
    </row>
    <row r="19" spans="1:7" ht="13" x14ac:dyDescent="0.3">
      <c r="A19" s="158" t="s">
        <v>536</v>
      </c>
      <c r="B19" s="61"/>
      <c r="E19" s="39" t="s">
        <v>30</v>
      </c>
      <c r="F19" s="134">
        <f>VLOOKUP('Financiele conditie'!B2,'Kengetallen 2020'!$A$2:'Kengetallen 2020'!$T$348,19,0)*1000</f>
        <v>150030000</v>
      </c>
      <c r="G19" s="63">
        <f>SUM(F19,'Investeringen &amp; financiering'!L30)</f>
        <v>150030000</v>
      </c>
    </row>
    <row r="20" spans="1:7" ht="13" x14ac:dyDescent="0.3">
      <c r="A20" s="97" t="s">
        <v>460</v>
      </c>
      <c r="B20" s="134">
        <f>VLOOKUP('Financiele conditie'!B2,'Kengetallen 2020'!A2:T348,9,0)*1000</f>
        <v>61807000</v>
      </c>
      <c r="C20" s="136">
        <f>SUM(B20,'Investeringen &amp; financiering'!D6,-'Investeringen &amp; financiering'!E6,-C45)</f>
        <v>61807000</v>
      </c>
      <c r="E20" s="39"/>
      <c r="F20" s="67"/>
      <c r="G20" s="63"/>
    </row>
    <row r="21" spans="1:7" ht="13" x14ac:dyDescent="0.3">
      <c r="A21" s="97" t="s">
        <v>24</v>
      </c>
      <c r="B21" s="134">
        <f>VLOOKUP('Financiele conditie'!B2,'Kengetallen 2020'!A2:T348,10,0)*1000</f>
        <v>2102000</v>
      </c>
      <c r="C21" s="136">
        <f>SUM(B21,-'Investeringen &amp; financiering'!F6,-'Investeringen &amp; financiering'!F7)</f>
        <v>2161536.0463072681</v>
      </c>
      <c r="E21" s="39" t="s">
        <v>26</v>
      </c>
      <c r="F21" s="134">
        <f>VLOOKUP('Financiele conditie'!B2,'Kengetallen 2020'!$A$2:'Kengetallen 2020'!$T$348,20,0)*1000</f>
        <v>86703000</v>
      </c>
      <c r="G21" s="96">
        <f>SUM(F21,'Investeringen &amp; financiering'!M30)</f>
        <v>86703000</v>
      </c>
    </row>
    <row r="22" spans="1:7" ht="13" x14ac:dyDescent="0.3">
      <c r="A22" s="39" t="s">
        <v>451</v>
      </c>
      <c r="B22" s="67">
        <f>SUM(B20,B21)</f>
        <v>63909000</v>
      </c>
      <c r="C22" s="63">
        <f>SUM(C20,C21)</f>
        <v>63968536.046307266</v>
      </c>
      <c r="F22" s="61"/>
      <c r="G22" s="50"/>
    </row>
    <row r="23" spans="1:7" ht="13" x14ac:dyDescent="0.3">
      <c r="B23" s="62"/>
      <c r="F23" s="67"/>
      <c r="G23" s="63"/>
    </row>
    <row r="24" spans="1:7" ht="13" x14ac:dyDescent="0.3">
      <c r="A24" s="39" t="s">
        <v>555</v>
      </c>
      <c r="B24" s="134">
        <f>VLOOKUP('Financiele conditie'!B2,'Kengetallen 2020'!A2:T348,11,0)*1000</f>
        <v>149440000</v>
      </c>
      <c r="C24" s="63">
        <f>SUM(B24,-'Investeringen &amp; financiering'!F30)</f>
        <v>149440000</v>
      </c>
      <c r="F24" s="67"/>
      <c r="G24" s="63"/>
    </row>
    <row r="25" spans="1:7" ht="13" x14ac:dyDescent="0.3">
      <c r="B25" s="62"/>
      <c r="F25" s="67"/>
      <c r="G25" s="63"/>
    </row>
    <row r="26" spans="1:7" ht="13" x14ac:dyDescent="0.3">
      <c r="A26" s="39" t="s">
        <v>556</v>
      </c>
      <c r="B26" s="134">
        <f>VLOOKUP('Financiele conditie'!B2,'Kengetallen 2020'!A2:T348,12,0)*1000</f>
        <v>32094000</v>
      </c>
      <c r="C26" s="121">
        <f>SUM(B26,-'Investeringen &amp; financiering'!G30)</f>
        <v>32094000</v>
      </c>
      <c r="F26" s="67"/>
      <c r="G26" s="63"/>
    </row>
    <row r="27" spans="1:7" ht="13" x14ac:dyDescent="0.3">
      <c r="B27" s="62"/>
      <c r="F27" s="61"/>
      <c r="G27" s="50"/>
    </row>
    <row r="28" spans="1:7" ht="13" x14ac:dyDescent="0.3">
      <c r="A28" s="57" t="s">
        <v>25</v>
      </c>
      <c r="B28" s="194">
        <f>VLOOKUP('Financiele conditie'!B2,'Kengetallen 2020'!A2:T348,13,0)*1000</f>
        <v>71259000</v>
      </c>
      <c r="C28" s="64">
        <f>SUM(B28,-'Investeringen &amp; financiering'!H30)</f>
        <v>71259000</v>
      </c>
      <c r="E28" s="58"/>
      <c r="F28" s="100"/>
      <c r="G28" s="122"/>
    </row>
    <row r="29" spans="1:7" ht="13" x14ac:dyDescent="0.3">
      <c r="B29" s="62"/>
      <c r="E29" s="40"/>
      <c r="F29" s="61"/>
    </row>
    <row r="30" spans="1:7" ht="13" x14ac:dyDescent="0.3">
      <c r="A30" s="39" t="s">
        <v>90</v>
      </c>
      <c r="B30" s="65">
        <f>SUM(B9,B11,B15,B17,B22,B24,B26,B28)</f>
        <v>2104025000</v>
      </c>
      <c r="C30" s="63">
        <f>SUM(C9,C11,C15,C17,C22,C24,C26,C28)</f>
        <v>2145921053.5878506</v>
      </c>
      <c r="E30" s="39" t="s">
        <v>90</v>
      </c>
      <c r="F30" s="65">
        <f>B30</f>
        <v>2104025000</v>
      </c>
      <c r="G30" s="63">
        <f>C30</f>
        <v>2145921053.5878506</v>
      </c>
    </row>
    <row r="31" spans="1:7" x14ac:dyDescent="0.25">
      <c r="B31" s="62"/>
      <c r="F31" s="40"/>
    </row>
    <row r="32" spans="1:7" x14ac:dyDescent="0.25">
      <c r="F32" s="40"/>
    </row>
    <row r="33" spans="1:7" x14ac:dyDescent="0.25">
      <c r="F33" s="40"/>
    </row>
    <row r="34" spans="1:7" ht="13" x14ac:dyDescent="0.3">
      <c r="A34" s="39" t="s">
        <v>19</v>
      </c>
      <c r="C34" s="57" t="s">
        <v>879</v>
      </c>
      <c r="E34" s="39" t="s">
        <v>19</v>
      </c>
      <c r="F34" s="100" t="s">
        <v>877</v>
      </c>
      <c r="G34" s="174" t="s">
        <v>875</v>
      </c>
    </row>
    <row r="35" spans="1:7" x14ac:dyDescent="0.25">
      <c r="A35" s="13" t="s">
        <v>878</v>
      </c>
      <c r="C35" s="137">
        <f>VLOOKUP('Financiele conditie'!B2,Uitgaven!B2:Q357,5,0)*1000</f>
        <v>45576000</v>
      </c>
      <c r="E35" s="13" t="s">
        <v>491</v>
      </c>
      <c r="F35" s="132">
        <f>VLOOKUP('Financiele conditie'!B2,Inkomsten!B2:T347,19,0)*1000</f>
        <v>1014719000</v>
      </c>
      <c r="G35" s="187">
        <f>VLOOKUP('Financiele conditie'!B2,Inkomsten!B2:U357,17,0)*1000</f>
        <v>1082150000</v>
      </c>
    </row>
    <row r="36" spans="1:7" x14ac:dyDescent="0.25">
      <c r="C36" s="5"/>
      <c r="E36" s="13" t="s">
        <v>492</v>
      </c>
      <c r="F36" s="137">
        <f>VLOOKUP('Financiele conditie'!B2,Inkomsten!B2:U347,20,0)*1000</f>
        <v>1038490000</v>
      </c>
      <c r="G36" s="137">
        <f>VLOOKUP('Financiele conditie'!B2,Inkomsten!B2:U357,18,0)*1000</f>
        <v>1081946000</v>
      </c>
    </row>
    <row r="37" spans="1:7" x14ac:dyDescent="0.25">
      <c r="E37" s="13" t="s">
        <v>454</v>
      </c>
      <c r="F37" s="101"/>
      <c r="G37" s="137">
        <v>0</v>
      </c>
    </row>
    <row r="38" spans="1:7" x14ac:dyDescent="0.25">
      <c r="C38" s="111"/>
      <c r="E38" s="13" t="s">
        <v>73</v>
      </c>
      <c r="F38" s="147">
        <f>F6/F30</f>
        <v>0.11341405163912026</v>
      </c>
      <c r="G38" s="17">
        <f>G6/G30</f>
        <v>0.11129486922900932</v>
      </c>
    </row>
    <row r="39" spans="1:7" x14ac:dyDescent="0.25">
      <c r="A39" s="130" t="s">
        <v>483</v>
      </c>
      <c r="B39" s="131"/>
      <c r="C39" s="132">
        <v>0</v>
      </c>
      <c r="E39" s="13" t="s">
        <v>77</v>
      </c>
      <c r="F39" s="147">
        <f>SUM(F13,F17,F19,F21)/F30</f>
        <v>0.86315847007521296</v>
      </c>
      <c r="G39" s="17">
        <f>SUM(G13,G17,G19,G21)/G30</f>
        <v>0.86573504064694495</v>
      </c>
    </row>
    <row r="40" spans="1:7" x14ac:dyDescent="0.25">
      <c r="A40" s="133" t="s">
        <v>468</v>
      </c>
      <c r="B40" s="40"/>
      <c r="C40" s="134">
        <v>0</v>
      </c>
      <c r="E40" s="13" t="s">
        <v>482</v>
      </c>
      <c r="F40" s="126">
        <f>SUM(B24,B26,B28)/SUM(F17,F19,F21)</f>
        <v>0.73037074275676361</v>
      </c>
      <c r="G40" s="127">
        <f>SUM(C24,C26,C28)/SUM(G17,G19,G21)</f>
        <v>0.73037074275676361</v>
      </c>
    </row>
    <row r="41" spans="1:7" x14ac:dyDescent="0.25">
      <c r="A41" s="133" t="s">
        <v>99</v>
      </c>
      <c r="B41" s="40"/>
      <c r="C41" s="134">
        <f>'Investeringen &amp; financiering'!C30</f>
        <v>25186333.333333332</v>
      </c>
      <c r="E41" s="13" t="s">
        <v>732</v>
      </c>
      <c r="F41" s="147">
        <f>SUM(F17,-B26)/F35</f>
        <v>7.6167884902125615E-2</v>
      </c>
      <c r="G41" s="17">
        <f>SUM(G17,-C26)/G35</f>
        <v>7.1421706787413941E-2</v>
      </c>
    </row>
    <row r="42" spans="1:7" x14ac:dyDescent="0.25">
      <c r="A42" s="133" t="s">
        <v>100</v>
      </c>
      <c r="B42" s="40"/>
      <c r="C42" s="134">
        <f>'Investeringen &amp; financiering'!D30</f>
        <v>1015600</v>
      </c>
      <c r="E42" s="13" t="s">
        <v>488</v>
      </c>
      <c r="F42" s="147">
        <f>SUM(F13,F17,F19,F21,-B15,-B17,-B24,-B26,-B28)/F35</f>
        <v>1.1533094383765359</v>
      </c>
      <c r="G42" s="17">
        <f>SUM(G13,G17,G19,G21,-C15,-C17,-C24,-C26,-C28)/G35</f>
        <v>1.1199714000397476</v>
      </c>
    </row>
    <row r="43" spans="1:7" x14ac:dyDescent="0.25">
      <c r="A43" s="133" t="s">
        <v>477</v>
      </c>
      <c r="B43" s="40"/>
      <c r="C43" s="134">
        <f>'Investeringen &amp; financiering'!E30</f>
        <v>0</v>
      </c>
      <c r="E43" s="13" t="s">
        <v>72</v>
      </c>
      <c r="F43" s="147">
        <f>B15/F35</f>
        <v>0.38732792034050806</v>
      </c>
      <c r="G43" s="17">
        <f>C15/G35</f>
        <v>0.36319271819987986</v>
      </c>
    </row>
    <row r="44" spans="1:7" x14ac:dyDescent="0.25">
      <c r="A44" s="133" t="s">
        <v>539</v>
      </c>
      <c r="B44" s="40"/>
      <c r="C44" s="134">
        <v>0</v>
      </c>
      <c r="E44" s="13" t="s">
        <v>586</v>
      </c>
      <c r="F44" s="147">
        <f>B22/F35</f>
        <v>6.2981968407017114E-2</v>
      </c>
      <c r="G44" s="148">
        <f>C22/G35</f>
        <v>5.9112448409469359E-2</v>
      </c>
    </row>
    <row r="45" spans="1:7" x14ac:dyDescent="0.25">
      <c r="A45" s="135" t="s">
        <v>498</v>
      </c>
      <c r="B45" s="58"/>
      <c r="C45" s="194">
        <f>VLOOKUP('Financiele conditie'!B2,'Data investeringen'!B2:X347,7,0)*1000</f>
        <v>3781000</v>
      </c>
      <c r="E45" s="13" t="s">
        <v>569</v>
      </c>
      <c r="F45" s="147">
        <f>SUM(F42,0.12*F43,-0.7*F44)</f>
        <v>1.1557014109324848</v>
      </c>
      <c r="G45" s="180">
        <f>SUM(G42,0.12*G43,-0.7*G44)</f>
        <v>1.1221758123371046</v>
      </c>
    </row>
    <row r="46" spans="1:7" x14ac:dyDescent="0.25">
      <c r="E46" s="13" t="s">
        <v>574</v>
      </c>
      <c r="F46" s="147">
        <f>SUM(F35,-F36)/F35</f>
        <v>-2.3426189910704342E-2</v>
      </c>
      <c r="G46" s="180">
        <f>SUM(G35,-G36)/G35</f>
        <v>1.8851360717090976E-4</v>
      </c>
    </row>
    <row r="47" spans="1:7" x14ac:dyDescent="0.25">
      <c r="E47" s="13" t="s">
        <v>570</v>
      </c>
      <c r="F47" s="147">
        <f>SUM(B9,-VLOOKUP(Balansprognose!B2,'Data investeringen'!B2:AC347,27,0)*1000)/(4*F35)</f>
        <v>3.7098694318328525E-2</v>
      </c>
      <c r="G47" s="17">
        <f>SUM(C9,-VLOOKUP(Balansprognose!B2,'Data investeringen'!B2:AC347,28,0)*1000)/(4*G35)</f>
        <v>3.0781872165860306E-2</v>
      </c>
    </row>
    <row r="48" spans="1:7" x14ac:dyDescent="0.25">
      <c r="E48" s="13" t="s">
        <v>1015</v>
      </c>
      <c r="G48" s="175">
        <f>SUM(-G13,F13,-G17,F17,-G19,F19,-G21,F21,C11,-B11,C15,-B15,C17,-B17,C24,-B24,C26,-B26,C28,-B28,-C40)</f>
        <v>-40652944.868612587</v>
      </c>
    </row>
    <row r="49" spans="1:1" x14ac:dyDescent="0.25">
      <c r="A49" s="114"/>
    </row>
    <row r="50" spans="1:1" x14ac:dyDescent="0.25">
      <c r="A50" s="114"/>
    </row>
    <row r="52" spans="1:1" x14ac:dyDescent="0.25">
      <c r="A52" s="25"/>
    </row>
    <row r="53" spans="1:1" x14ac:dyDescent="0.25">
      <c r="A53" s="25"/>
    </row>
    <row r="54" spans="1:1" x14ac:dyDescent="0.25">
      <c r="A54" s="176"/>
    </row>
    <row r="55" spans="1:1" x14ac:dyDescent="0.25">
      <c r="A55" s="114"/>
    </row>
  </sheetData>
  <sheetProtection algorithmName="SHA-512" hashValue="hRuqTpCice2voGdZ5e/9G+Lya6hYBPTSWyJQ9GvV/2Fvrp1i24w7LUcX8srk8eaM3STTSU+B9Hq/MMwzsyG4QA==" saltValue="5d6WJOdC68H44bDS9lzCvQ==" spinCount="100000" sheet="1" selectLockedCells="1"/>
  <mergeCells count="1">
    <mergeCell ref="C6:C7"/>
  </mergeCells>
  <dataValidations xWindow="449" yWindow="393" count="17">
    <dataValidation allowBlank="1" showInputMessage="1" showErrorMessage="1" promptTitle="Boekwinst / boekverlies" prompt="Vul de boekwinst of het boekverlies in dat in 2022 wordt behaald bij de verkoop van materiele vaste activa. Vul bij winst een positief getal in en bij verlies een negatief getal in.      " sqref="C39" xr:uid="{00000000-0002-0000-0100-000001000000}"/>
    <dataValidation allowBlank="1" showInputMessage="1" showErrorMessage="1" promptTitle="Boekwinst / boekverlies" prompt="Vul de boekwinst of het boekverlies in dat wordt behaald bij de verkoop, het afstoten of liquideren van deelnemingen in 2022. Vul bij winst een positief getal en bij verlies een negatief getal in." sqref="C40" xr:uid="{00000000-0002-0000-0100-000002000000}"/>
    <dataValidation operator="greaterThanOrEqual" allowBlank="1" showInputMessage="1" showErrorMessage="1" errorTitle="Foutieve invoer" error="U hebt een negatief bedrag ingevuld." promptTitle="Verstrekken nieuwe leningen " prompt="Vul voor de te verstrekken nieuwe leningen aan verbonden partijen in 2022 een positief bedrag in. Aflossingen op oude leningen moeten op het blad Investeringen &amp; financiering worden ingevuld.  " sqref="C41" xr:uid="{00000000-0002-0000-0100-000003000000}"/>
    <dataValidation operator="greaterThanOrEqual" allowBlank="1" showInputMessage="1" showErrorMessage="1" errorTitle="Foutieve invoer" error="U hebt een negatief bedrag ingevuld." promptTitle="Verstrekken nieuwe leningen" prompt="Vul voor de te verstrekken nieuwe leningen aan derden in 2022 een positief bedrag in. Aflossingen op leningen aan derden moeten op het blad Investeringen &amp; financiering worden ingevuld." sqref="C42" xr:uid="{00000000-0002-0000-0100-000004000000}"/>
    <dataValidation type="whole" operator="greaterThanOrEqual" allowBlank="1" showInputMessage="1" showErrorMessage="1" errorTitle="Foutieve invoer" error="U hebt een negatief bedrag ingevuld." promptTitle="Nieuwe langlopende uitzettingen" prompt="Vul voor de nieuwe langlopende uitzettingen die in 2022 worden geplaatst, een positief bedrag in. Hieronder vallen ook langlopende uitzettingen bij de schatkist.   " sqref="C43" xr:uid="{00000000-0002-0000-0100-000005000000}">
      <formula1>0</formula1>
    </dataValidation>
    <dataValidation allowBlank="1" showErrorMessage="1" sqref="G48" xr:uid="{00000000-0002-0000-0100-000006000000}"/>
    <dataValidation type="whole" operator="greaterThanOrEqual" allowBlank="1" showInputMessage="1" showErrorMessage="1" errorTitle="Foutieve invoer" error="U hebt een negatief bedrag ingevuld" promptTitle="Voorraad NIEGG eindbalans" prompt="Voer hier de waardestijging (positief) in die ontstaat bij de overboeking in 2022 van Niet in Exploitatie Genomen Grond naar Onderhanden werk. " sqref="C44" xr:uid="{00000000-0002-0000-0100-000007000000}">
      <formula1>0</formula1>
    </dataValidation>
    <dataValidation type="whole" operator="lessThanOrEqual" allowBlank="1" showInputMessage="1" showErrorMessage="1" errorTitle="positief getal ingevoerd" error="U dient een negatief getal in te voeren" promptTitle="Mutatie onderhanden werk" prompt="Voer eerst op blad Investeringen &amp; financiering de investeringen onderhanden werk in en corrigeer hierboven afname NIEG grond. Vul dan pas hier de afname (negatief) van het onderhanden werk (kostprijs verkopen) in voor stand eindbalans 2017." sqref="C46" xr:uid="{00000000-0002-0000-0100-000008000000}">
      <formula1>0</formula1>
    </dataValidation>
    <dataValidation allowBlank="1" showInputMessage="1" showErrorMessage="1" promptTitle="Mutatie voorzieningen 2022" prompt="Voer het bedrag in waarmee de voorzieningen in 2022 toenemen (positief bedrag) of afnemen (negatief bedrag)." sqref="G37" xr:uid="{00000000-0002-0000-0100-000009000000}"/>
    <dataValidation operator="greaterThanOrEqual" allowBlank="1" showInputMessage="1" showErrorMessage="1" errorTitle="Foutieve invoer" error="U hebt een negatief bedrag ingevuld. Vul een positief bedrag in." promptTitle="Afname voorraad onderhanden werk" prompt="Vul een positief bedrag in voor de afname van de voorraad onderhanden werk als gevolg van de verwachte verkopen in 2022. Vul op het blad Investeringen &amp; financiering de opbrengst uit deze verkopen in." sqref="C45" xr:uid="{00000000-0002-0000-0100-00000A000000}"/>
    <dataValidation allowBlank="1" sqref="C36 F6" xr:uid="{00000000-0002-0000-0100-00000B000000}"/>
    <dataValidation allowBlank="1" showInputMessage="1" promptTitle="Afschrijvingslasten " prompt="Vul de afschrijvingskosten van de immateriele en materiele activa in van het lopende boekjaar. Hieronder vallen ook de afschrijvingskosten die worden gedekt uit bestemmingsreserves." sqref="C35" xr:uid="{00000000-0002-0000-0100-00000C000000}"/>
    <dataValidation allowBlank="1" showInputMessage="1" promptTitle="Baten voor mutatie reserves 2021" prompt="Vul een positief bedrag in voor de hoogte van de baten voor mutatie van de reserves van het rekeningjaar 2021." sqref="F35:F36" xr:uid="{00000000-0002-0000-0100-00000D000000}"/>
    <dataValidation allowBlank="1" showInputMessage="1" promptTitle="Baten voor mutatie reserves 2022" prompt="Voer een positief bedrag in voor de hoogte van de baten voor mutatie van de reserves van het begrotingsjaar 2022." sqref="G35" xr:uid="{00000000-0002-0000-0100-00000F000000}"/>
    <dataValidation allowBlank="1" showInputMessage="1" promptTitle="Lasten v. mutatie reserves 2022" prompt="Voer een positief bedrag in voor de hoogte van de lasten voor mutatie van de reserves van het begrotingsjaar 2022.  " sqref="G36" xr:uid="{00000000-0002-0000-0100-000010000000}"/>
    <dataValidation allowBlank="1" showInputMessage="1" promptTitle="Balans 2021" prompt="Schrijf de balansstanden over met de gegevens uit de (voorlopige) jaarrekening 2021  " sqref="F21 B6:B8 B11 B13:B14 B17 B20:B21 B24 B28 F8 F17 F19" xr:uid="{0B3E6E69-CC11-4D7B-AEAE-4CEAEEEA2D04}"/>
    <dataValidation allowBlank="1" showInputMessage="1" promptTitle="Balans 2021" prompt="Schrijf de balansstanden over met de gegevens uit de (voorlopige) jaarrekening 2021" sqref="B26 F11 F12" xr:uid="{FAB06337-866F-430A-B75E-8126E7F2D062}"/>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9"/>
  <sheetViews>
    <sheetView showGridLines="0" zoomScale="85" zoomScaleNormal="85" workbookViewId="0">
      <selection activeCell="G30" sqref="G30"/>
    </sheetView>
  </sheetViews>
  <sheetFormatPr defaultColWidth="9.08984375" defaultRowHeight="12.5" x14ac:dyDescent="0.25"/>
  <cols>
    <col min="1" max="1" width="3" style="13" customWidth="1"/>
    <col min="2" max="2" width="37.6328125" style="13" bestFit="1" customWidth="1"/>
    <col min="3" max="3" width="34.08984375" style="13" bestFit="1" customWidth="1"/>
    <col min="4" max="4" width="31" style="13" bestFit="1" customWidth="1"/>
    <col min="5" max="5" width="30.54296875" style="13" customWidth="1"/>
    <col min="6" max="6" width="31" style="13" customWidth="1"/>
    <col min="7" max="7" width="37.54296875" style="13" bestFit="1" customWidth="1"/>
    <col min="8" max="8" width="32" style="13" customWidth="1"/>
    <col min="9" max="9" width="24.453125" style="13" customWidth="1"/>
    <col min="10" max="10" width="24.54296875" style="13" customWidth="1"/>
    <col min="11" max="11" width="30.90625" style="13" customWidth="1"/>
    <col min="12" max="12" width="26.36328125" style="13" customWidth="1"/>
    <col min="13" max="13" width="26.453125" style="13" customWidth="1"/>
    <col min="14" max="14" width="21.453125" style="3" hidden="1" customWidth="1"/>
    <col min="15" max="15" width="25.54296875" style="3" hidden="1" customWidth="1"/>
    <col min="16" max="17" width="16.08984375" style="3" hidden="1" customWidth="1"/>
    <col min="18" max="18" width="27.6328125" style="3" hidden="1" customWidth="1"/>
    <col min="19" max="19" width="19.36328125" style="3" hidden="1" customWidth="1"/>
    <col min="20" max="20" width="25.36328125" style="3" hidden="1" customWidth="1"/>
    <col min="21" max="21" width="61.08984375" style="3" hidden="1" customWidth="1"/>
    <col min="22" max="22" width="16.36328125" style="3" hidden="1" customWidth="1"/>
    <col min="23" max="23" width="16.6328125" style="13" hidden="1" customWidth="1"/>
    <col min="24" max="24" width="8.36328125" style="13" hidden="1" customWidth="1"/>
    <col min="25" max="25" width="10.36328125" style="13" hidden="1" customWidth="1"/>
    <col min="26" max="26" width="23" style="13" hidden="1" customWidth="1"/>
    <col min="27" max="27" width="22.453125" style="13" hidden="1" customWidth="1"/>
    <col min="28" max="28" width="15.08984375" style="13" hidden="1" customWidth="1"/>
    <col min="29" max="29" width="9.08984375" style="13" customWidth="1"/>
    <col min="30" max="16384" width="9.08984375" style="13"/>
  </cols>
  <sheetData>
    <row r="1" spans="1:30" ht="13" x14ac:dyDescent="0.3">
      <c r="A1" s="366" t="s">
        <v>85</v>
      </c>
      <c r="B1" s="366"/>
      <c r="C1" s="49">
        <f>Macrogegevens!C2</f>
        <v>2022</v>
      </c>
      <c r="H1" s="39"/>
      <c r="J1" s="39"/>
      <c r="K1" s="39"/>
      <c r="L1" s="39"/>
      <c r="N1" s="13"/>
      <c r="O1" s="2" t="s">
        <v>53</v>
      </c>
      <c r="R1" s="2" t="s">
        <v>54</v>
      </c>
      <c r="U1" s="318" t="s">
        <v>0</v>
      </c>
      <c r="V1" s="323"/>
      <c r="W1" s="323" t="s">
        <v>41</v>
      </c>
      <c r="X1" s="326"/>
      <c r="Y1" s="330" t="s">
        <v>19</v>
      </c>
      <c r="Z1" s="331" t="s">
        <v>101</v>
      </c>
      <c r="AA1" s="331" t="s">
        <v>103</v>
      </c>
      <c r="AB1" s="332" t="s">
        <v>102</v>
      </c>
    </row>
    <row r="2" spans="1:30" ht="13" x14ac:dyDescent="0.3">
      <c r="A2" s="38" t="s">
        <v>82</v>
      </c>
      <c r="C2" s="13" t="s">
        <v>485</v>
      </c>
      <c r="D2" s="78" t="s">
        <v>494</v>
      </c>
      <c r="E2" s="13" t="s">
        <v>495</v>
      </c>
      <c r="F2" s="13" t="s">
        <v>24</v>
      </c>
      <c r="G2" s="13" t="s">
        <v>23</v>
      </c>
      <c r="H2" s="5"/>
      <c r="I2" s="9"/>
      <c r="K2" s="16"/>
      <c r="L2" s="9"/>
      <c r="M2" s="9"/>
      <c r="N2" s="9" t="s">
        <v>486</v>
      </c>
      <c r="O2" s="3" t="s">
        <v>39</v>
      </c>
      <c r="P2" s="3" t="s">
        <v>40</v>
      </c>
      <c r="Q2" s="3" t="s">
        <v>56</v>
      </c>
      <c r="R2" s="3" t="s">
        <v>49</v>
      </c>
      <c r="S2" s="3" t="s">
        <v>40</v>
      </c>
      <c r="T2" s="3" t="s">
        <v>81</v>
      </c>
      <c r="U2" s="312" t="s">
        <v>1</v>
      </c>
      <c r="V2" s="104"/>
      <c r="W2" s="319">
        <f>Macrogegevens!C4</f>
        <v>2.4E-2</v>
      </c>
      <c r="X2" s="319">
        <f>SUM(1,W2)</f>
        <v>1.024</v>
      </c>
      <c r="Y2" s="133">
        <v>1995</v>
      </c>
      <c r="Z2" s="327">
        <v>6.9000000000000006E-2</v>
      </c>
      <c r="AA2" s="327">
        <f>SUM(Z2,0.6%)</f>
        <v>7.5000000000000011E-2</v>
      </c>
      <c r="AB2" s="328">
        <f>SUM(AA2,0.8%)</f>
        <v>8.3000000000000018E-2</v>
      </c>
    </row>
    <row r="3" spans="1:30" ht="13.25" x14ac:dyDescent="0.25">
      <c r="B3" s="14" t="s">
        <v>990</v>
      </c>
      <c r="C3" s="8">
        <f>SUM(Balansprognose!B6,Balansprognose!B7)</f>
        <v>1227562000</v>
      </c>
      <c r="D3" s="8">
        <f>SUM(Balansprognose!B8)</f>
        <v>147318000</v>
      </c>
      <c r="E3" s="8">
        <f>Balansprognose!B20</f>
        <v>61807000</v>
      </c>
      <c r="F3" s="35">
        <f>Balansprognose!B21</f>
        <v>2102000</v>
      </c>
      <c r="G3" s="8">
        <f>Balansprognose!B11</f>
        <v>19414000</v>
      </c>
      <c r="H3" s="138"/>
      <c r="I3" s="9"/>
      <c r="K3" s="16"/>
      <c r="L3" s="9"/>
      <c r="M3" s="9"/>
      <c r="N3" s="9"/>
      <c r="O3" s="11"/>
      <c r="U3" s="312" t="s">
        <v>493</v>
      </c>
      <c r="V3" s="104"/>
      <c r="W3" s="319">
        <f>SUM(Macrogegevens!C6,-W5)</f>
        <v>2.0199999999999999E-2</v>
      </c>
      <c r="X3" s="104"/>
      <c r="Y3" s="133">
        <f t="shared" ref="Y3:Y25" si="0">SUM(Y2,1)</f>
        <v>1996</v>
      </c>
      <c r="Z3" s="327">
        <v>6.1499999999999999E-2</v>
      </c>
      <c r="AA3" s="327">
        <f t="shared" ref="AA3:AA28" si="1">SUM(Z3,0.6%)</f>
        <v>6.7500000000000004E-2</v>
      </c>
      <c r="AB3" s="328">
        <f t="shared" ref="AB3:AB28" si="2">SUM(AA3,0.8%)</f>
        <v>7.5500000000000012E-2</v>
      </c>
    </row>
    <row r="4" spans="1:30" ht="13.25" x14ac:dyDescent="0.25">
      <c r="B4" s="14" t="s">
        <v>991</v>
      </c>
      <c r="C4" s="186">
        <f>366*SUM(1,-Macrogegevens!C37)</f>
        <v>366</v>
      </c>
      <c r="D4" s="15"/>
      <c r="E4" s="15"/>
      <c r="F4" s="15"/>
      <c r="G4" s="15"/>
      <c r="K4" s="16"/>
      <c r="L4" s="16"/>
      <c r="N4" s="13"/>
      <c r="O4" s="11"/>
      <c r="U4" s="312" t="s">
        <v>2</v>
      </c>
      <c r="V4" s="104"/>
      <c r="W4" s="319">
        <f>Macrogegevens!C7</f>
        <v>0.04</v>
      </c>
      <c r="X4" s="104"/>
      <c r="Y4" s="133">
        <f t="shared" si="0"/>
        <v>1997</v>
      </c>
      <c r="Z4" s="327">
        <v>5.5800000000000002E-2</v>
      </c>
      <c r="AA4" s="327">
        <f t="shared" si="1"/>
        <v>6.1800000000000001E-2</v>
      </c>
      <c r="AB4" s="328">
        <f t="shared" si="2"/>
        <v>6.9800000000000001E-2</v>
      </c>
    </row>
    <row r="5" spans="1:30" ht="13.25" hidden="1" x14ac:dyDescent="0.25">
      <c r="B5" s="14" t="s">
        <v>453</v>
      </c>
      <c r="C5" s="17">
        <f>Balansprognose!C35/C3</f>
        <v>3.712724896990946E-2</v>
      </c>
      <c r="D5" s="15"/>
      <c r="E5" s="15"/>
      <c r="F5" s="17"/>
      <c r="G5" s="17"/>
      <c r="J5" s="3"/>
      <c r="K5" s="6"/>
      <c r="L5" s="6"/>
      <c r="N5" s="13"/>
      <c r="O5" s="11"/>
      <c r="U5" s="312" t="s">
        <v>16</v>
      </c>
      <c r="V5" s="104"/>
      <c r="W5" s="319">
        <f>Macrogegevens!C11</f>
        <v>2.8E-3</v>
      </c>
      <c r="X5" s="104"/>
      <c r="Y5" s="133">
        <f t="shared" si="0"/>
        <v>1998</v>
      </c>
      <c r="Z5" s="327">
        <v>4.6199999999999998E-2</v>
      </c>
      <c r="AA5" s="327">
        <f t="shared" si="1"/>
        <v>5.2199999999999996E-2</v>
      </c>
      <c r="AB5" s="328">
        <f t="shared" si="2"/>
        <v>6.0199999999999997E-2</v>
      </c>
    </row>
    <row r="6" spans="1:30" ht="13.25" x14ac:dyDescent="0.25">
      <c r="B6" s="13" t="s">
        <v>670</v>
      </c>
      <c r="C6" s="189">
        <f>Macrogegevens!T5*-C4</f>
        <v>-86373411.857142866</v>
      </c>
      <c r="D6" s="189">
        <v>0</v>
      </c>
      <c r="E6" s="189">
        <f>-VLOOKUP('Financiele conditie'!B2,'Data investeringen'!B2:X347,7,0)*1000</f>
        <v>-3781000</v>
      </c>
      <c r="F6" s="189">
        <f>-SUM(F3*SUM(1,Macrogegevens!C4,Macrogegevens!C12),-F3)</f>
        <v>-59536.046307268087</v>
      </c>
      <c r="G6" s="189">
        <f>-SUM(G3*SUM(1,Macrogegevens!C5,Macrogegevens!C6,-Macrogegevens!C11,Macrogegevens!C12),-G3)</f>
        <v>-1039105.6844002381</v>
      </c>
      <c r="K6" s="16"/>
      <c r="L6" s="16"/>
      <c r="N6" s="13"/>
      <c r="O6" s="37">
        <f>SUM(C6:G6,C7,E7,F7,G7)</f>
        <v>-90010053.587850362</v>
      </c>
      <c r="P6" s="20">
        <f>W10*0.5*O6</f>
        <v>-315035.18755747622</v>
      </c>
      <c r="Q6" s="20">
        <f>SUM(O6:P6)</f>
        <v>-90325088.775407836</v>
      </c>
      <c r="R6" s="37">
        <f>SUM(C6:G6,C7,E7,F7,G7)</f>
        <v>-90010053.587850362</v>
      </c>
      <c r="S6" s="20">
        <f>W10*R6*0.5</f>
        <v>-315035.18755747622</v>
      </c>
      <c r="T6" s="20">
        <f>SUM(R6:S6)</f>
        <v>-90325088.775407836</v>
      </c>
      <c r="U6" s="312" t="s">
        <v>21</v>
      </c>
      <c r="V6" s="104"/>
      <c r="W6" s="319">
        <f>Macrogegevens!C12</f>
        <v>4.3235234573110199E-3</v>
      </c>
      <c r="X6" s="104"/>
      <c r="Y6" s="133">
        <f t="shared" si="0"/>
        <v>1999</v>
      </c>
      <c r="Z6" s="327">
        <v>4.65E-2</v>
      </c>
      <c r="AA6" s="327">
        <f t="shared" si="1"/>
        <v>5.2499999999999998E-2</v>
      </c>
      <c r="AB6" s="328">
        <f t="shared" si="2"/>
        <v>6.0499999999999998E-2</v>
      </c>
    </row>
    <row r="7" spans="1:30" ht="13.25" x14ac:dyDescent="0.25">
      <c r="B7" s="13" t="s">
        <v>50</v>
      </c>
      <c r="C7" s="10">
        <v>0</v>
      </c>
      <c r="D7" s="10">
        <v>0</v>
      </c>
      <c r="E7" s="10">
        <f>VLOOKUP('Financiele conditie'!B2,'Data investeringen'!B2:X347,6,0)*1000</f>
        <v>1243000</v>
      </c>
      <c r="F7" s="10">
        <v>0</v>
      </c>
      <c r="G7" s="10">
        <v>0</v>
      </c>
      <c r="L7" s="16"/>
      <c r="N7" s="48">
        <f>SUM(C7,E7,F7,G7)</f>
        <v>1243000</v>
      </c>
      <c r="O7" s="20"/>
      <c r="P7" s="20"/>
      <c r="Q7" s="20"/>
      <c r="R7" s="20"/>
      <c r="S7" s="20"/>
      <c r="T7" s="20"/>
      <c r="U7" s="312" t="s">
        <v>29</v>
      </c>
      <c r="V7" s="104"/>
      <c r="W7" s="319">
        <f>Macrogegevens!C17</f>
        <v>1.2E-2</v>
      </c>
      <c r="X7" s="104"/>
      <c r="Y7" s="133">
        <f t="shared" si="0"/>
        <v>2000</v>
      </c>
      <c r="Z7" s="327">
        <v>5.4100000000000002E-2</v>
      </c>
      <c r="AA7" s="327">
        <f t="shared" si="1"/>
        <v>6.0100000000000001E-2</v>
      </c>
      <c r="AB7" s="328">
        <f t="shared" si="2"/>
        <v>6.8099999999999994E-2</v>
      </c>
      <c r="AD7" s="156"/>
    </row>
    <row r="8" spans="1:30" ht="13.25" hidden="1" x14ac:dyDescent="0.25">
      <c r="B8" s="13" t="s">
        <v>992</v>
      </c>
      <c r="C8" s="36">
        <f>-C4*Macrogegevens!T6*SUM(1,Macrogegevens!C5,Macrogegevens!C6,-Macrogegevens!C11)</f>
        <v>-91014794.316401437</v>
      </c>
      <c r="D8" s="36"/>
      <c r="E8" s="36">
        <f>-VLOOKUP(Macrogegevens!$A$2,'Data investeringen'!$B$2:$Z$354,3,0)*1000</f>
        <v>-18962800</v>
      </c>
      <c r="F8" s="36">
        <f>-SUM(SUM(F3,-F6)*SUM(1,Macrogegevens!C4,Macrogegevens!C12),-SUM(F3,-F6))</f>
        <v>-61222.316911407281</v>
      </c>
      <c r="G8" s="36">
        <f>-SUM(SUM(G3,-G6)*SUM(1,Macrogegevens!C5,Macrogegevens!C6,-Macrogegevens!C11,Macrogegevens!C12),-SUM(G3,-G6))</f>
        <v>-1094722.2818738595</v>
      </c>
      <c r="L8" s="16"/>
      <c r="N8" s="13"/>
      <c r="O8" s="37">
        <f>SUM(C8:G9)</f>
        <v>-96162418.915186703</v>
      </c>
      <c r="P8" s="20">
        <f>SUM(Q6,0.5*O8)*W10</f>
        <v>-968844.08763100812</v>
      </c>
      <c r="Q8" s="20">
        <f>SUM(O8:P8)</f>
        <v>-97131263.002817705</v>
      </c>
      <c r="R8" s="37">
        <f>SUM(C8:H9)</f>
        <v>-96162418.915186703</v>
      </c>
      <c r="S8" s="20">
        <f>SUM(W10*T6,SUM(W10,W21)*R8*0.5)</f>
        <v>-1449656.1822069418</v>
      </c>
      <c r="T8" s="20">
        <f>SUM(R8:S8)</f>
        <v>-97612075.097393647</v>
      </c>
      <c r="U8" s="312" t="s">
        <v>36</v>
      </c>
      <c r="V8" s="104"/>
      <c r="W8" s="319">
        <f>Macrogegevens!C14</f>
        <v>2E-3</v>
      </c>
      <c r="X8" s="104"/>
      <c r="Y8" s="133">
        <f t="shared" si="0"/>
        <v>2001</v>
      </c>
      <c r="Z8" s="327">
        <v>4.9599999999999998E-2</v>
      </c>
      <c r="AA8" s="327">
        <f t="shared" si="1"/>
        <v>5.5599999999999997E-2</v>
      </c>
      <c r="AB8" s="328">
        <f t="shared" si="2"/>
        <v>6.359999999999999E-2</v>
      </c>
    </row>
    <row r="9" spans="1:30" ht="13.25" hidden="1" x14ac:dyDescent="0.25">
      <c r="B9" s="13" t="s">
        <v>93</v>
      </c>
      <c r="C9" s="8"/>
      <c r="D9" s="35"/>
      <c r="E9" s="15">
        <f>VLOOKUP(Macrogegevens!A2,'Data investeringen'!B2:Z354,2,0)*X15*1000</f>
        <v>14971120.000000002</v>
      </c>
      <c r="F9" s="8"/>
      <c r="G9" s="8"/>
      <c r="N9" s="48">
        <f>SUM(C9:H9)</f>
        <v>14971120.000000002</v>
      </c>
      <c r="O9" s="20"/>
      <c r="P9" s="20"/>
      <c r="Q9" s="20"/>
      <c r="R9" s="20"/>
      <c r="S9" s="20"/>
      <c r="T9" s="20"/>
      <c r="U9" s="312" t="s">
        <v>28</v>
      </c>
      <c r="V9" s="104"/>
      <c r="W9" s="319">
        <f>Macrogegevens!C15</f>
        <v>2E-3</v>
      </c>
      <c r="X9" s="104"/>
      <c r="Y9" s="133">
        <f t="shared" si="0"/>
        <v>2002</v>
      </c>
      <c r="Z9" s="327">
        <v>4.8899999999999999E-2</v>
      </c>
      <c r="AA9" s="327">
        <f t="shared" si="1"/>
        <v>5.4899999999999997E-2</v>
      </c>
      <c r="AB9" s="328">
        <f t="shared" si="2"/>
        <v>6.2899999999999998E-2</v>
      </c>
    </row>
    <row r="10" spans="1:30" ht="13.25" hidden="1" x14ac:dyDescent="0.25">
      <c r="B10" s="13" t="s">
        <v>471</v>
      </c>
      <c r="C10" s="36">
        <f>-C4*Macrogegevens!T7*SUM(1,Macrogegevens!C5,Macrogegevens!C6,-Macrogegevens!C11)</f>
        <v>-91408298.914590746</v>
      </c>
      <c r="D10" s="36"/>
      <c r="E10" s="36">
        <f>E8</f>
        <v>-18962800</v>
      </c>
      <c r="F10" s="36">
        <f>-SUM(SUM(F3,-F6,-F8)*SUM(1,Macrogegevens!C4,Macrogegevens!C12),-SUM(F3,-F6,-F8))</f>
        <v>-62956.348640558776</v>
      </c>
      <c r="G10" s="36">
        <f>-SUM(SUM(G3,-G6,-G8)*SUM(1,Macrogegevens!C5,Macrogegevens!C6,-Macrogegevens!C11,Macrogegevens!C12),-SUM(G3,-G6,-G8))</f>
        <v>-1153315.6756069735</v>
      </c>
      <c r="N10" s="13"/>
      <c r="O10" s="37">
        <f>SUM(C10:G11)</f>
        <v>-96616250.938838273</v>
      </c>
      <c r="P10" s="20">
        <f>SUM(Q6,Q8,0.5*O10)*W10</f>
        <v>-1650351.3407335125</v>
      </c>
      <c r="Q10" s="20">
        <f>SUM(O10:P10)</f>
        <v>-98266602.279571787</v>
      </c>
      <c r="R10" s="37">
        <f>SUM(C10:H11)</f>
        <v>-96616250.938838273</v>
      </c>
      <c r="S10" s="20">
        <f>SUM(W10*T6,SUM(W10,W21)*T8,SUM(W10,W22)*R10*0.5)</f>
        <v>-3596000.2857578639</v>
      </c>
      <c r="T10" s="20">
        <f>SUM(R10:S10)</f>
        <v>-100212251.22459614</v>
      </c>
      <c r="U10" s="312" t="s">
        <v>22</v>
      </c>
      <c r="V10" s="104"/>
      <c r="W10" s="319">
        <f>Macrogegevens!C16</f>
        <v>6.9999999999999993E-3</v>
      </c>
      <c r="X10" s="104"/>
      <c r="Y10" s="133">
        <f t="shared" si="0"/>
        <v>2003</v>
      </c>
      <c r="Z10" s="327">
        <v>4.1200000000000001E-2</v>
      </c>
      <c r="AA10" s="327">
        <f t="shared" si="1"/>
        <v>4.7199999999999999E-2</v>
      </c>
      <c r="AB10" s="328">
        <f t="shared" si="2"/>
        <v>5.5199999999999999E-2</v>
      </c>
    </row>
    <row r="11" spans="1:30" ht="13.25" hidden="1" x14ac:dyDescent="0.25">
      <c r="B11" s="13" t="s">
        <v>472</v>
      </c>
      <c r="C11" s="15"/>
      <c r="E11" s="15">
        <f>VLOOKUP(Macrogegevens!A2,'Data investeringen'!B2:Z354,2,0)*X16*1000</f>
        <v>14971120.000000002</v>
      </c>
      <c r="F11" s="8"/>
      <c r="G11" s="8"/>
      <c r="N11" s="48">
        <f>SUM(C11:H11)</f>
        <v>14971120.000000002</v>
      </c>
      <c r="O11" s="20"/>
      <c r="P11" s="20"/>
      <c r="Q11" s="20"/>
      <c r="R11" s="20"/>
      <c r="S11" s="20"/>
      <c r="T11" s="20"/>
      <c r="U11" s="320" t="s">
        <v>453</v>
      </c>
      <c r="V11" s="321"/>
      <c r="W11" s="322">
        <f>C5</f>
        <v>3.712724896990946E-2</v>
      </c>
      <c r="X11" s="321"/>
      <c r="Y11" s="133">
        <f t="shared" si="0"/>
        <v>2004</v>
      </c>
      <c r="Z11" s="327">
        <v>4.0899999999999999E-2</v>
      </c>
      <c r="AA11" s="327">
        <f t="shared" si="1"/>
        <v>4.6899999999999997E-2</v>
      </c>
      <c r="AB11" s="328">
        <f t="shared" si="2"/>
        <v>5.4899999999999997E-2</v>
      </c>
    </row>
    <row r="12" spans="1:30" ht="13.25" hidden="1" x14ac:dyDescent="0.25">
      <c r="B12" s="13" t="s">
        <v>993</v>
      </c>
      <c r="C12" s="36">
        <f>-C4*Macrogegevens!T8*SUM(1,Macrogegevens!C5,Macrogegevens!C6,-Macrogegevens!C11)</f>
        <v>-91803504.839140862</v>
      </c>
      <c r="D12" s="35"/>
      <c r="E12" s="36">
        <f>E8</f>
        <v>-18962800</v>
      </c>
      <c r="F12" s="36">
        <f>-SUM(SUM(F3,-F6,-F8,-F10)*SUM(1,Macrogegevens!C4,Macrogegevens!C12),-SUM(F3,-F6,-F8,-F10))</f>
        <v>-64739.494258066174</v>
      </c>
      <c r="G12" s="36">
        <f>-SUM(SUM(G3,-G6,-G8,-G10)*SUM(1,Macrogegevens!C5,Macrogegevens!C6,-Macrogegevens!C11,Macrogegevens!C12),-SUM(G3,-G6,-G8,-G10))</f>
        <v>-1215045.1942240074</v>
      </c>
      <c r="N12" s="13"/>
      <c r="O12" s="37">
        <f>SUM(C12:G13)</f>
        <v>-95889910.527622938</v>
      </c>
      <c r="P12" s="20">
        <f>SUM(Q6,Q8,Q10,0.5*O12)*W10</f>
        <v>-2335675.3652512613</v>
      </c>
      <c r="Q12" s="20">
        <f>SUM(O12:P12)</f>
        <v>-98225585.892874196</v>
      </c>
      <c r="R12" s="37">
        <f>SUM(C12:H13)</f>
        <v>-95889910.527622938</v>
      </c>
      <c r="S12" s="20">
        <f>SUM(W10*T6,SUM(W10,W21)*T8,SUM(W10,W22)*T10,SUM(W10,W23)*R12*0.5)</f>
        <v>-6771375.0259086667</v>
      </c>
      <c r="T12" s="20">
        <f>SUM(R12:S12)</f>
        <v>-102661285.5535316</v>
      </c>
      <c r="W12" s="3"/>
      <c r="X12" s="3"/>
      <c r="Y12" s="133">
        <f t="shared" si="0"/>
        <v>2005</v>
      </c>
      <c r="Z12" s="327">
        <v>3.3700000000000001E-2</v>
      </c>
      <c r="AA12" s="327">
        <f t="shared" si="1"/>
        <v>3.9699999999999999E-2</v>
      </c>
      <c r="AB12" s="328">
        <f t="shared" si="2"/>
        <v>4.7699999999999999E-2</v>
      </c>
    </row>
    <row r="13" spans="1:30" ht="13.25" hidden="1" x14ac:dyDescent="0.25">
      <c r="B13" s="13" t="s">
        <v>489</v>
      </c>
      <c r="C13" s="15"/>
      <c r="D13" s="35"/>
      <c r="E13" s="15">
        <f>SUM(E11,1/4*$V$35)</f>
        <v>16156179.000000002</v>
      </c>
      <c r="F13" s="8"/>
      <c r="G13" s="8"/>
      <c r="N13" s="48">
        <f>SUM(C13:H13)</f>
        <v>16156179.000000002</v>
      </c>
      <c r="O13" s="20"/>
      <c r="P13" s="20"/>
      <c r="Q13" s="20"/>
      <c r="R13" s="20"/>
      <c r="S13" s="20"/>
      <c r="T13" s="20"/>
      <c r="W13" s="3"/>
      <c r="X13" s="3"/>
      <c r="Y13" s="133">
        <f t="shared" si="0"/>
        <v>2006</v>
      </c>
      <c r="Z13" s="327">
        <v>3.78E-2</v>
      </c>
      <c r="AA13" s="327">
        <f t="shared" si="1"/>
        <v>4.3799999999999999E-2</v>
      </c>
      <c r="AB13" s="328">
        <f t="shared" si="2"/>
        <v>5.1799999999999999E-2</v>
      </c>
    </row>
    <row r="14" spans="1:30" ht="13.25" hidden="1" x14ac:dyDescent="0.25">
      <c r="B14" s="13" t="s">
        <v>552</v>
      </c>
      <c r="C14" s="36">
        <f>-C4*Macrogegevens!T9*SUM(1,Macrogegevens!C5,Macrogegevens!C6,-Macrogegevens!C11)</f>
        <v>-92200419.445776269</v>
      </c>
      <c r="D14" s="36"/>
      <c r="E14" s="36">
        <f>E8</f>
        <v>-18962800</v>
      </c>
      <c r="F14" s="36">
        <f>-SUM(SUM(F3,-F6,-F8,-F10,-F12)*SUM(1,Macrogegevens!C4,Macrogegevens!C12),-SUM(F3,-F6,-F8,-F10,-F12))</f>
        <v>-66573.144842299167</v>
      </c>
      <c r="G14" s="36">
        <f>-SUM(SUM(G3,-G6,-G8,-G10,-G12)*SUM(1,Macrogegevens!C5,Macrogegevens!C6,-Macrogegevens!C11,Macrogegevens!C12),-SUM(G3,-G6,-G8,-G10,-G12))</f>
        <v>-1280078.6941787489</v>
      </c>
      <c r="I14" s="39"/>
      <c r="J14" s="39"/>
      <c r="K14" s="39"/>
      <c r="L14" s="39"/>
      <c r="M14" s="39"/>
      <c r="N14" s="34"/>
      <c r="O14" s="37">
        <f>SUM(C14:G15)</f>
        <v>-95168633.284797311</v>
      </c>
      <c r="P14" s="20">
        <f>SUM(Q6,Q8,Q10,Q12,0.5*O14)*W10</f>
        <v>-3020729.9961514906</v>
      </c>
      <c r="Q14" s="20">
        <f>SUM(O14:P14)</f>
        <v>-98189363.280948803</v>
      </c>
      <c r="R14" s="37">
        <f>SUM(C14:H15)</f>
        <v>-95168633.284797311</v>
      </c>
      <c r="S14" s="20">
        <f>SUM(W10*T6,SUM(W10,W21)*T8,SUM(W10,W22)*T10,SUM(W10,W23)*SUM(T12,R14*0.5))</f>
        <v>-10556498.962397061</v>
      </c>
      <c r="T14" s="20">
        <f>SUM(R14:S14)</f>
        <v>-105725132.24719438</v>
      </c>
      <c r="U14" s="318" t="s">
        <v>27</v>
      </c>
      <c r="V14" s="323"/>
      <c r="W14" s="323" t="s">
        <v>41</v>
      </c>
      <c r="X14" s="323"/>
      <c r="Y14" s="133">
        <f t="shared" si="0"/>
        <v>2007</v>
      </c>
      <c r="Z14" s="327">
        <v>4.2900000000000001E-2</v>
      </c>
      <c r="AA14" s="327">
        <f t="shared" si="1"/>
        <v>4.8899999999999999E-2</v>
      </c>
      <c r="AB14" s="328">
        <f t="shared" si="2"/>
        <v>5.6899999999999999E-2</v>
      </c>
    </row>
    <row r="15" spans="1:30" hidden="1" x14ac:dyDescent="0.25">
      <c r="B15" s="13" t="s">
        <v>553</v>
      </c>
      <c r="C15" s="15"/>
      <c r="D15" s="15"/>
      <c r="E15" s="15">
        <f>SUM(E11,2/4*$V$35)</f>
        <v>17341238</v>
      </c>
      <c r="F15" s="15"/>
      <c r="G15" s="15"/>
      <c r="J15" s="16"/>
      <c r="K15" s="16"/>
      <c r="L15" s="16"/>
      <c r="M15" s="16"/>
      <c r="N15" s="48">
        <f>SUM(C15:H15)</f>
        <v>17341238</v>
      </c>
      <c r="O15" s="20"/>
      <c r="P15" s="20"/>
      <c r="Q15" s="20"/>
      <c r="R15" s="20"/>
      <c r="S15" s="20"/>
      <c r="T15" s="20"/>
      <c r="U15" s="312" t="s">
        <v>740</v>
      </c>
      <c r="V15" s="104"/>
      <c r="W15" s="324">
        <f>Macrogegevens!C25</f>
        <v>0.2</v>
      </c>
      <c r="X15" s="324">
        <f>SUM(1,-W15)</f>
        <v>0.8</v>
      </c>
      <c r="Y15" s="133">
        <f t="shared" si="0"/>
        <v>2008</v>
      </c>
      <c r="Z15" s="327">
        <v>4.2299999999999997E-2</v>
      </c>
      <c r="AA15" s="327">
        <f t="shared" si="1"/>
        <v>4.8299999999999996E-2</v>
      </c>
      <c r="AB15" s="328">
        <f t="shared" si="2"/>
        <v>5.6299999999999996E-2</v>
      </c>
    </row>
    <row r="16" spans="1:30" hidden="1" x14ac:dyDescent="0.25">
      <c r="B16" s="13" t="s">
        <v>610</v>
      </c>
      <c r="C16" s="36">
        <f>-C4*Macrogegevens!T10*SUM(1,Macrogegevens!C5,Macrogegevens!C6,-Macrogegevens!C11)</f>
        <v>-92599050.122023985</v>
      </c>
      <c r="D16" s="36"/>
      <c r="E16" s="36">
        <f>E8</f>
        <v>-18962800</v>
      </c>
      <c r="F16" s="36">
        <f>-SUM(SUM(F3,-F6,-F8,-F10,-F12,-F14)*SUM(1,Macrogegevens!C4,Macrogegevens!C12),-SUM(F3,-F6,-F8,-F10,-F12,-F14))</f>
        <v>-68458.730871866923</v>
      </c>
      <c r="G16" s="36">
        <f>-SUM(SUM(G3,-G6,-G8,-G10,-G12,-G14)*SUM(1,Macrogegevens!$C$5,Macrogegevens!C6,-Macrogegevens!C11,Macrogegevens!$C$12),-SUM(G3,-G6,-G8,-G10,-G12,-G14))</f>
        <v>-1348593.0161938295</v>
      </c>
      <c r="J16" s="16"/>
      <c r="K16" s="16"/>
      <c r="L16" s="16"/>
      <c r="M16" s="16"/>
      <c r="N16" s="16"/>
      <c r="O16" s="37">
        <f>SUM(C16:G17)</f>
        <v>-94452604.869089693</v>
      </c>
      <c r="P16" s="20">
        <f>SUM(Q6,Q8,Q10,Q12,Q14,0.5*O16)*W10</f>
        <v>-3705549.4396631559</v>
      </c>
      <c r="Q16" s="20">
        <f>SUM(O16:P16)</f>
        <v>-98158154.30875285</v>
      </c>
      <c r="R16" s="37">
        <f>SUM(C16:H17)</f>
        <v>-94452604.869089693</v>
      </c>
      <c r="S16" s="20">
        <f>SUM(W10*T6,SUM(W10,W21)*T8,SUM(W10,W22)*T10,SUM(W10,W23)*SUM(T12,T14,R16*0.5))</f>
        <v>-14455082.329852663</v>
      </c>
      <c r="T16" s="20">
        <f>SUM(R16:S16)</f>
        <v>-108907687.19894236</v>
      </c>
      <c r="U16" s="312" t="s">
        <v>741</v>
      </c>
      <c r="V16" s="104"/>
      <c r="W16" s="324">
        <f>Macrogegevens!C26</f>
        <v>0.2</v>
      </c>
      <c r="X16" s="324">
        <f>SUM(1,-W16)</f>
        <v>0.8</v>
      </c>
      <c r="Y16" s="133">
        <f t="shared" si="0"/>
        <v>2009</v>
      </c>
      <c r="Z16" s="327">
        <v>3.6900000000000002E-2</v>
      </c>
      <c r="AA16" s="327">
        <f t="shared" si="1"/>
        <v>4.2900000000000001E-2</v>
      </c>
      <c r="AB16" s="328">
        <f t="shared" si="2"/>
        <v>5.0900000000000001E-2</v>
      </c>
    </row>
    <row r="17" spans="1:28" hidden="1" x14ac:dyDescent="0.25">
      <c r="B17" s="13" t="s">
        <v>611</v>
      </c>
      <c r="C17" s="15"/>
      <c r="D17" s="15"/>
      <c r="E17" s="15">
        <f>SUM(E11,3/4*V35)</f>
        <v>18526297</v>
      </c>
      <c r="F17" s="15"/>
      <c r="G17" s="15"/>
      <c r="J17" s="16"/>
      <c r="K17" s="16"/>
      <c r="L17" s="16"/>
      <c r="M17" s="16"/>
      <c r="N17" s="48">
        <f>SUM(C17:H17)</f>
        <v>18526297</v>
      </c>
      <c r="O17" s="20"/>
      <c r="P17" s="20"/>
      <c r="Q17" s="20"/>
      <c r="R17" s="20"/>
      <c r="S17" s="20"/>
      <c r="T17" s="20"/>
      <c r="U17" s="312"/>
      <c r="V17" s="104"/>
      <c r="W17" s="324"/>
      <c r="X17" s="324"/>
      <c r="Y17" s="133">
        <f t="shared" si="0"/>
        <v>2010</v>
      </c>
      <c r="Z17" s="327">
        <v>2.9899999999999999E-2</v>
      </c>
      <c r="AA17" s="327">
        <f t="shared" si="1"/>
        <v>3.5900000000000001E-2</v>
      </c>
      <c r="AB17" s="328">
        <f t="shared" si="2"/>
        <v>4.3900000000000002E-2</v>
      </c>
    </row>
    <row r="18" spans="1:28" hidden="1" x14ac:dyDescent="0.25">
      <c r="B18" s="13" t="s">
        <v>612</v>
      </c>
      <c r="C18" s="36">
        <f>-C4*Macrogegevens!T11*SUM(1,Macrogegevens!C5,Macrogegevens!C6,-Macrogegevens!C11)</f>
        <v>-92999404.28735128</v>
      </c>
      <c r="D18" s="36"/>
      <c r="E18" s="36">
        <f>E8</f>
        <v>-18962800</v>
      </c>
      <c r="F18" s="36">
        <f>-SUM(SUM(F3,-F6,-F8,-F10,-F12,-F14,-F16)*SUM(1,Macrogegevens!C4,Macrogegevens!C12),-SUM(F3,-F6,-F8,-F10,-F12,-F14,-F16))</f>
        <v>-70397.723341573961</v>
      </c>
      <c r="G18" s="36">
        <f>-SUM(SUM(G3,-G6,-G8,-G10,-G12,-G14,-G16)*SUM(1,Macrogegevens!C5,Macrogegevens!C6,-Macrogegevens!C11,Macrogegevens!C12),-SUM(G3,-G6,-G8,-G10,-G12,-G14,-G16))</f>
        <v>-1420774.4661304466</v>
      </c>
      <c r="J18" s="6"/>
      <c r="K18" s="6"/>
      <c r="L18" s="6"/>
      <c r="M18" s="6"/>
      <c r="N18" s="13"/>
      <c r="O18" s="37">
        <f>SUM(C18:G19)</f>
        <v>-93742020.4768233</v>
      </c>
      <c r="P18" s="20">
        <f>SUM(Q6,Q8,Q10,Q12,Q14,Q16,0.5*O18)*W10</f>
        <v>-4390169.4744514935</v>
      </c>
      <c r="Q18" s="20">
        <f>SUM(O18:P18)</f>
        <v>-98132189.951274797</v>
      </c>
      <c r="R18" s="37">
        <f>SUM(C18:H19)</f>
        <v>-93742020.4768233</v>
      </c>
      <c r="S18" s="20">
        <f>SUM(W10*T6,SUM(W10,W21)*T8,SUM(W10,W22)*T10,SUM(W10,W23)*SUM(T12,T14,T16,R18*0.5))</f>
        <v>-18471520.944956601</v>
      </c>
      <c r="T18" s="20">
        <f>SUM(R18:S18)</f>
        <v>-112213541.4217799</v>
      </c>
      <c r="U18" s="312"/>
      <c r="V18" s="104"/>
      <c r="W18" s="324"/>
      <c r="X18" s="324"/>
      <c r="Y18" s="133">
        <f t="shared" si="0"/>
        <v>2011</v>
      </c>
      <c r="Z18" s="327">
        <v>2.98E-2</v>
      </c>
      <c r="AA18" s="327">
        <f t="shared" si="1"/>
        <v>3.5799999999999998E-2</v>
      </c>
      <c r="AB18" s="328">
        <f t="shared" si="2"/>
        <v>4.3799999999999999E-2</v>
      </c>
    </row>
    <row r="19" spans="1:28" hidden="1" x14ac:dyDescent="0.25">
      <c r="B19" s="13" t="s">
        <v>613</v>
      </c>
      <c r="C19" s="15"/>
      <c r="D19" s="15"/>
      <c r="E19" s="15">
        <f>SUM(E11,V35)</f>
        <v>19711356</v>
      </c>
      <c r="F19" s="15"/>
      <c r="G19" s="15"/>
      <c r="N19" s="48">
        <f>SUM(C19:H19)</f>
        <v>19711356</v>
      </c>
      <c r="O19" s="20"/>
      <c r="P19" s="20"/>
      <c r="Q19" s="20"/>
      <c r="R19" s="20"/>
      <c r="S19" s="20"/>
      <c r="T19" s="20"/>
      <c r="U19" s="312" t="s">
        <v>43</v>
      </c>
      <c r="V19" s="104"/>
      <c r="W19" s="324">
        <f>Macrogegevens!C27</f>
        <v>0.12</v>
      </c>
      <c r="X19" s="324">
        <f>SUM(1,-W19)</f>
        <v>0.88</v>
      </c>
      <c r="Y19" s="133">
        <f t="shared" si="0"/>
        <v>2012</v>
      </c>
      <c r="Z19" s="327">
        <v>1.9300000000000001E-2</v>
      </c>
      <c r="AA19" s="327">
        <f t="shared" si="1"/>
        <v>2.5300000000000003E-2</v>
      </c>
      <c r="AB19" s="328">
        <f t="shared" si="2"/>
        <v>3.3300000000000003E-2</v>
      </c>
    </row>
    <row r="20" spans="1:28" hidden="1" x14ac:dyDescent="0.25">
      <c r="B20" s="13" t="s">
        <v>671</v>
      </c>
      <c r="C20" s="36">
        <f>-C4*Macrogegevens!T12*SUM(1,Macrogegevens!C5,Macrogegevens!C6,-Macrogegevens!C11)</f>
        <v>-93401489.393303588</v>
      </c>
      <c r="D20" s="36"/>
      <c r="E20" s="36">
        <f>E8</f>
        <v>-18962800</v>
      </c>
      <c r="F20" s="36">
        <f>-SUM(SUM(F3,-F6,-F8,-F10,-F12,-F14,-F16,-F18)*SUM(1,Macrogegevens!C4,Macrogegevens!C12),-SUM(F3,-F6,-F8,-F10,-F12,-F14,-F16,-F18))</f>
        <v>-72391.634909980465</v>
      </c>
      <c r="G20" s="36">
        <f>-SUM(SUM(G3,-G6,-G8,-G10,-G12,-G14,-G16,-G18)*SUM(1,Macrogegevens!C5,Macrogegevens!C6,-Macrogegevens!C11,Macrogegevens!C12),-SUM(G3,-G6,-G8,-G10,-G12,-G14,-G16,-G18))</f>
        <v>-1496819.3215959296</v>
      </c>
      <c r="N20" s="13"/>
      <c r="O20" s="37">
        <f>SUM(C20:G21)</f>
        <v>-94222144.349809498</v>
      </c>
      <c r="P20" s="20">
        <f>SUM(Q6,Q8,Q10,Q12,Q14,Q16,Q18,0.5*O20)*W10</f>
        <v>-5078775.2376658684</v>
      </c>
      <c r="Q20" s="20">
        <f>SUM(O20:P20)</f>
        <v>-99300919.587475359</v>
      </c>
      <c r="R20" s="37">
        <f>SUM(C20:H21)</f>
        <v>-94222144.349809498</v>
      </c>
      <c r="S20" s="20">
        <f>SUM(W10*T6,SUM(W10,W21)*T8,SUM(W10,W22)*T10,SUM(W10,W23)*SUM(T12,T14,T16,T18,R20*0.5))</f>
        <v>-22632304.269212704</v>
      </c>
      <c r="T20" s="20">
        <f>SUM(R20:S20)</f>
        <v>-116854448.61902221</v>
      </c>
      <c r="U20" s="312" t="s">
        <v>42</v>
      </c>
      <c r="V20" s="104"/>
      <c r="W20" s="324">
        <f>Macrogegevens!C28</f>
        <v>0.12</v>
      </c>
      <c r="X20" s="324">
        <f>SUM(1,-W20)</f>
        <v>0.88</v>
      </c>
      <c r="Y20" s="133">
        <f t="shared" si="0"/>
        <v>2013</v>
      </c>
      <c r="Z20" s="327">
        <v>1.9599999999999999E-2</v>
      </c>
      <c r="AA20" s="327">
        <f t="shared" si="1"/>
        <v>2.5599999999999998E-2</v>
      </c>
      <c r="AB20" s="328">
        <f t="shared" si="2"/>
        <v>3.3599999999999998E-2</v>
      </c>
    </row>
    <row r="21" spans="1:28" hidden="1" x14ac:dyDescent="0.25">
      <c r="B21" s="13" t="s">
        <v>672</v>
      </c>
      <c r="C21" s="15"/>
      <c r="D21" s="15"/>
      <c r="E21" s="15">
        <f>SUM(E11,V35)</f>
        <v>19711356</v>
      </c>
      <c r="F21" s="15"/>
      <c r="G21" s="15"/>
      <c r="N21" s="48">
        <f>SUM(C21:H21)</f>
        <v>19711356</v>
      </c>
      <c r="O21" s="20"/>
      <c r="P21" s="20"/>
      <c r="Q21" s="20"/>
      <c r="R21" s="20"/>
      <c r="S21" s="20"/>
      <c r="T21" s="20"/>
      <c r="U21" s="312" t="s">
        <v>663</v>
      </c>
      <c r="V21" s="104"/>
      <c r="W21" s="119">
        <f>Macrogegevens!C30</f>
        <v>0.01</v>
      </c>
      <c r="X21" s="104"/>
      <c r="Y21" s="133">
        <f t="shared" si="0"/>
        <v>2014</v>
      </c>
      <c r="Z21" s="327">
        <v>1.4500000000000001E-2</v>
      </c>
      <c r="AA21" s="327">
        <f t="shared" si="1"/>
        <v>2.0500000000000001E-2</v>
      </c>
      <c r="AB21" s="328">
        <f t="shared" si="2"/>
        <v>2.8500000000000001E-2</v>
      </c>
    </row>
    <row r="22" spans="1:28" hidden="1" x14ac:dyDescent="0.25">
      <c r="B22" s="13" t="s">
        <v>994</v>
      </c>
      <c r="C22" s="36">
        <f>-C4*Macrogegevens!T13*SUM(1,Macrogegevens!C5,Macrogegevens!C6,-Macrogegevens!C11)</f>
        <v>-93805312.923643336</v>
      </c>
      <c r="D22" s="36"/>
      <c r="E22" s="36">
        <f>E8</f>
        <v>-18962800</v>
      </c>
      <c r="F22" s="36">
        <f>-SUM(SUM(F3,-F6,-F8,-F10,-F12,-F14,-F16,-F18,-F20)*SUM(1,Macrogegevens!C4,Macrogegevens!C12),-SUM(F3,-F6,-F8,-F10,-F12,-F14,-F16,-F18,-F20))</f>
        <v>-74442.021079466213</v>
      </c>
      <c r="G22" s="36">
        <f>-SUM(SUM(G3,-G6,-G8,-G10,-G12,-G14,-G16,-G18,-G20)*SUM(1,Macrogegevens!C5,Macrogegevens!C6,-Macrogegevens!C11,Macrogegevens!C12),-SUM(G3,-G6,-G8,-G10,-G12,-G14,-G16,-G18,-G20))</f>
        <v>-1576934.3656667247</v>
      </c>
      <c r="N22" s="13"/>
      <c r="O22" s="37">
        <f>SUM(C22:G23)</f>
        <v>-94708133.310389519</v>
      </c>
      <c r="P22" s="20">
        <f>SUM(Q6,Q8,Q10,Q12,Q14,Q16,Q18,Q20,0.5*O22)*W10</f>
        <v>-5775582.6361402255</v>
      </c>
      <c r="Q22" s="20">
        <f>SUM(O22:P22)</f>
        <v>-100483715.94652975</v>
      </c>
      <c r="R22" s="37">
        <f>SUM(C22:H23)</f>
        <v>-94708133.310389519</v>
      </c>
      <c r="S22" s="20">
        <f>SUM(W10*T6,SUM(W10,W21)*T8,SUM(W10,W22)*T10,SUM(W10,W23)*SUM(T12,T14,T16,T18,T20,R22*0.5))</f>
        <v>-26964909.663887255</v>
      </c>
      <c r="T22" s="20">
        <f>SUM(R22:S22)</f>
        <v>-121673042.97427678</v>
      </c>
      <c r="U22" s="312" t="s">
        <v>664</v>
      </c>
      <c r="V22" s="104"/>
      <c r="W22" s="119">
        <f>Macrogegevens!C31</f>
        <v>0.02</v>
      </c>
      <c r="X22" s="104"/>
      <c r="Y22" s="133">
        <f t="shared" si="0"/>
        <v>2015</v>
      </c>
      <c r="Z22" s="327">
        <v>6.8999999999999999E-3</v>
      </c>
      <c r="AA22" s="327">
        <f t="shared" si="1"/>
        <v>1.29E-2</v>
      </c>
      <c r="AB22" s="328">
        <f t="shared" si="2"/>
        <v>2.0900000000000002E-2</v>
      </c>
    </row>
    <row r="23" spans="1:28" hidden="1" x14ac:dyDescent="0.25">
      <c r="B23" s="13" t="s">
        <v>995</v>
      </c>
      <c r="C23" s="15"/>
      <c r="D23" s="15"/>
      <c r="E23" s="15">
        <f>SUM(E11,V35)</f>
        <v>19711356</v>
      </c>
      <c r="F23" s="15"/>
      <c r="G23" s="15"/>
      <c r="N23" s="48">
        <f>SUM(C23:H23)</f>
        <v>19711356</v>
      </c>
      <c r="O23" s="20"/>
      <c r="P23" s="20"/>
      <c r="Q23" s="20"/>
      <c r="R23" s="20"/>
      <c r="S23" s="20"/>
      <c r="T23" s="20"/>
      <c r="U23" s="312" t="s">
        <v>665</v>
      </c>
      <c r="V23" s="104"/>
      <c r="W23" s="119">
        <f>Macrogegevens!C32</f>
        <v>0.03</v>
      </c>
      <c r="X23" s="104"/>
      <c r="Y23" s="133">
        <f t="shared" si="0"/>
        <v>2016</v>
      </c>
      <c r="Z23" s="327">
        <v>2.8999999999999998E-3</v>
      </c>
      <c r="AA23" s="327">
        <f t="shared" si="1"/>
        <v>8.8999999999999999E-3</v>
      </c>
      <c r="AB23" s="328">
        <f t="shared" si="2"/>
        <v>1.6899999999999998E-2</v>
      </c>
    </row>
    <row r="24" spans="1:28" hidden="1" x14ac:dyDescent="0.25">
      <c r="B24" s="13" t="s">
        <v>996</v>
      </c>
      <c r="C24" s="36">
        <f>-C4*Macrogegevens!T14*SUM(1,Macrogegevens!C5,Macrogegevens!C6,-Macrogegevens!C11)</f>
        <v>-94210882.39448911</v>
      </c>
      <c r="D24" s="36"/>
      <c r="E24" s="36">
        <f>E8</f>
        <v>-18962800</v>
      </c>
      <c r="F24" s="36">
        <f>-SUM(SUM(F3,-F6,-F8,-F10,-F12,-F14,-F16,-F18,-F20,-F22)*SUM(1,Macrogegevens!C4,Macrogegevens!C12),-SUM(F3,-F6,-F8,-F10,-F12,-F14,-F16,-F18,-F20,-F22))</f>
        <v>-76550.481409720145</v>
      </c>
      <c r="G24" s="36">
        <f>-SUM(SUM(G3,-G6,-G8,-G10,-G12,-G14,-G16,-G18,-G20,-G22)*SUM(1,Macrogegevens!C5,Macrogegevens!C6,-Macrogegevens!C11,Macrogegevens!C12),-SUM(G3,-G6,-G8,-G10,-G12,-G14,-G16,-G18,-G20,-G22))</f>
        <v>-1661337.4491781294</v>
      </c>
      <c r="N24" s="13"/>
      <c r="O24" s="37">
        <f>SUM(C24:G25)</f>
        <v>-95200214.325076953</v>
      </c>
      <c r="P24" s="20">
        <f>SUM(Q6,Q8,Q10,Q12,Q14,Q16,Q18,Q20,Q22,0.5*O24)*W10</f>
        <v>-6480690.9313173397</v>
      </c>
      <c r="Q24" s="20">
        <f>SUM(O24:P24)</f>
        <v>-101680905.2563943</v>
      </c>
      <c r="R24" s="37">
        <f>SUM(C24:H25)</f>
        <v>-95200214.325076953</v>
      </c>
      <c r="S24" s="20">
        <f>SUM(W10*T6,SUM(W10,W21)*T8,SUM(W10,W22)*T10,SUM(W10,W23)*SUM(T12,T14,T16,T18,T20,T22,R24*0.5))</f>
        <v>-31475915.752707217</v>
      </c>
      <c r="T24" s="20">
        <f>SUM(R24:S24)</f>
        <v>-126676130.07778417</v>
      </c>
      <c r="U24" s="135" t="s">
        <v>497</v>
      </c>
      <c r="V24" s="58"/>
      <c r="W24" s="325">
        <f>Macrogegevens!C37</f>
        <v>0</v>
      </c>
      <c r="X24" s="325">
        <f>SUM(1,-W24)</f>
        <v>1</v>
      </c>
      <c r="Y24" s="133">
        <f t="shared" si="0"/>
        <v>2017</v>
      </c>
      <c r="Z24" s="327">
        <v>5.1999999999999998E-3</v>
      </c>
      <c r="AA24" s="327">
        <f t="shared" si="1"/>
        <v>1.12E-2</v>
      </c>
      <c r="AB24" s="328">
        <f t="shared" si="2"/>
        <v>1.9200000000000002E-2</v>
      </c>
    </row>
    <row r="25" spans="1:28" hidden="1" x14ac:dyDescent="0.25">
      <c r="B25" s="13" t="s">
        <v>997</v>
      </c>
      <c r="C25" s="15"/>
      <c r="D25" s="15"/>
      <c r="E25" s="15">
        <f>SUM(E11,V35)</f>
        <v>19711356</v>
      </c>
      <c r="F25" s="15"/>
      <c r="G25" s="15"/>
      <c r="N25" s="48">
        <f>SUM(C25:H25)</f>
        <v>19711356</v>
      </c>
      <c r="O25" s="11"/>
      <c r="P25" s="11"/>
      <c r="W25" s="3"/>
      <c r="X25" s="3"/>
      <c r="Y25" s="133">
        <f t="shared" si="0"/>
        <v>2018</v>
      </c>
      <c r="Z25" s="327">
        <v>5.7999999999999996E-3</v>
      </c>
      <c r="AA25" s="327">
        <f t="shared" si="1"/>
        <v>1.18E-2</v>
      </c>
      <c r="AB25" s="328">
        <f t="shared" si="2"/>
        <v>1.9799999999999998E-2</v>
      </c>
    </row>
    <row r="26" spans="1:28" x14ac:dyDescent="0.25">
      <c r="N26" s="13"/>
      <c r="W26" s="3"/>
      <c r="Y26" s="133">
        <v>2019</v>
      </c>
      <c r="Z26" s="327">
        <v>-6.9999999999999999E-4</v>
      </c>
      <c r="AA26" s="327">
        <f t="shared" si="1"/>
        <v>5.3E-3</v>
      </c>
      <c r="AB26" s="328">
        <f t="shared" si="2"/>
        <v>1.3299999999999999E-2</v>
      </c>
    </row>
    <row r="27" spans="1:28" x14ac:dyDescent="0.25">
      <c r="N27" s="13"/>
      <c r="W27" s="3"/>
      <c r="Y27" s="133">
        <v>2020</v>
      </c>
      <c r="Z27" s="327">
        <v>-3.7666700000000002E-3</v>
      </c>
      <c r="AA27" s="327">
        <f t="shared" si="1"/>
        <v>2.23333E-3</v>
      </c>
      <c r="AB27" s="328">
        <f t="shared" si="2"/>
        <v>1.0233330000000001E-2</v>
      </c>
    </row>
    <row r="28" spans="1:28" ht="13" x14ac:dyDescent="0.3">
      <c r="A28" s="3"/>
      <c r="B28" s="3"/>
      <c r="C28" s="3" t="s">
        <v>31</v>
      </c>
      <c r="D28" s="3" t="s">
        <v>32</v>
      </c>
      <c r="E28" s="3" t="s">
        <v>33</v>
      </c>
      <c r="F28" s="3" t="s">
        <v>581</v>
      </c>
      <c r="G28" s="3" t="s">
        <v>582</v>
      </c>
      <c r="H28" s="3" t="s">
        <v>25</v>
      </c>
      <c r="I28" s="3" t="s">
        <v>34</v>
      </c>
      <c r="J28" s="3" t="s">
        <v>35</v>
      </c>
      <c r="K28" s="3" t="s">
        <v>583</v>
      </c>
      <c r="L28" s="3" t="s">
        <v>30</v>
      </c>
      <c r="M28" s="3" t="s">
        <v>26</v>
      </c>
      <c r="N28" s="3" t="s">
        <v>37</v>
      </c>
      <c r="O28" s="3" t="s">
        <v>38</v>
      </c>
      <c r="P28" s="3" t="s">
        <v>39</v>
      </c>
      <c r="Q28" s="3" t="s">
        <v>40</v>
      </c>
      <c r="R28" s="3" t="s">
        <v>55</v>
      </c>
      <c r="S28" s="3" t="s">
        <v>94</v>
      </c>
      <c r="T28" s="3" t="s">
        <v>80</v>
      </c>
      <c r="U28" s="318" t="s">
        <v>462</v>
      </c>
      <c r="V28" s="304"/>
      <c r="W28" s="3"/>
      <c r="Y28" s="133">
        <v>2021</v>
      </c>
      <c r="Z28" s="327">
        <v>-3.0000000000000001E-3</v>
      </c>
      <c r="AA28" s="327">
        <f t="shared" si="1"/>
        <v>3.0000000000000001E-3</v>
      </c>
      <c r="AB28" s="328">
        <f t="shared" si="2"/>
        <v>1.0999999999999999E-2</v>
      </c>
    </row>
    <row r="29" spans="1:28" x14ac:dyDescent="0.25">
      <c r="A29" s="3"/>
      <c r="B29" s="3" t="s">
        <v>990</v>
      </c>
      <c r="C29" s="11">
        <f>Balansprognose!$B$13</f>
        <v>377795000</v>
      </c>
      <c r="D29" s="11">
        <f>Balansprognose!$B$14</f>
        <v>15234000</v>
      </c>
      <c r="E29" s="11">
        <f>Balansprognose!$B$17</f>
        <v>0</v>
      </c>
      <c r="F29" s="11">
        <f>Balansprognose!$B$24</f>
        <v>149440000</v>
      </c>
      <c r="G29" s="11">
        <f>Balansprognose!$B$26</f>
        <v>32094000</v>
      </c>
      <c r="H29" s="11">
        <f>Balansprognose!$B$28</f>
        <v>71259000</v>
      </c>
      <c r="I29" s="192">
        <f>-Balansprognose!$F$11</f>
        <v>-1469051000</v>
      </c>
      <c r="J29" s="192">
        <f>-Balansprognose!$F$12</f>
        <v>-940000</v>
      </c>
      <c r="K29" s="192">
        <f>-Balansprognose!$F$17</f>
        <v>-109383000</v>
      </c>
      <c r="L29" s="192">
        <f>-Balansprognose!$F$19</f>
        <v>-150030000</v>
      </c>
      <c r="M29" s="192">
        <f>-Balansprognose!$F$21</f>
        <v>-86703000</v>
      </c>
      <c r="N29" s="20"/>
      <c r="O29" s="20"/>
      <c r="P29" s="20">
        <f>SUM(C29:O29)</f>
        <v>-1170285000</v>
      </c>
      <c r="Q29" s="20"/>
      <c r="R29" s="20"/>
      <c r="U29" s="312"/>
      <c r="V29" s="42"/>
      <c r="W29" s="3"/>
      <c r="Y29" s="133"/>
      <c r="Z29" s="40"/>
      <c r="AA29" s="40"/>
      <c r="AB29" s="62"/>
    </row>
    <row r="30" spans="1:28" x14ac:dyDescent="0.25">
      <c r="A30" s="3"/>
      <c r="B30" s="3" t="s">
        <v>998</v>
      </c>
      <c r="C30" s="10">
        <f>C29/$Z$54</f>
        <v>25186333.333333332</v>
      </c>
      <c r="D30" s="10">
        <f>D29/$Z$54</f>
        <v>1015600</v>
      </c>
      <c r="E30" s="10">
        <f>E29/$Z$54</f>
        <v>0</v>
      </c>
      <c r="F30" s="191">
        <v>0</v>
      </c>
      <c r="G30" s="191">
        <v>0</v>
      </c>
      <c r="H30" s="191">
        <v>0</v>
      </c>
      <c r="I30" s="199">
        <f>I29/$Z$54</f>
        <v>-97936733.333333328</v>
      </c>
      <c r="J30" s="199">
        <f>J29/$Z$54</f>
        <v>-62666.666666666664</v>
      </c>
      <c r="K30" s="191">
        <v>0</v>
      </c>
      <c r="L30" s="191">
        <v>0</v>
      </c>
      <c r="M30" s="191">
        <v>0</v>
      </c>
      <c r="N30" s="47">
        <f>SUM(-Balansprognose!C41,-Balansprognose!C42,-Balansprognose!C43)</f>
        <v>-26201933.333333332</v>
      </c>
      <c r="O30" s="11">
        <f>-SUM(C30,D30,E30,F30,G30,H30,I30,J30,K30,L30,M30,N30)</f>
        <v>97999400</v>
      </c>
      <c r="P30" s="20">
        <f>SUM(P29,R30)</f>
        <v>-1192435351.7111487</v>
      </c>
      <c r="Q30" s="20">
        <f>SUM(S30,T30)</f>
        <v>-22150351.711148627</v>
      </c>
      <c r="R30" s="20">
        <f>SUM(C30,D30,E30,F30,G30,H30,I30,J30,K30,L30,M30,N30,O30,Q30)</f>
        <v>-22150351.711148627</v>
      </c>
      <c r="S30" s="20">
        <f>SUM((SUM(I29,-I30)*I31),(SUM(J29,-J30)*J31),(SUM(K29,-K30)*K31),(-O30*O31))</f>
        <v>-32962917.472001869</v>
      </c>
      <c r="T30" s="37">
        <f>SUM((SUM(C29,-C30)*C31),(SUM(D29,-D30)*D31),(SUM(E29,-E30)*E31),(SUM(G29,-G30)*G31),(-N30*N31))</f>
        <v>10812565.760853244</v>
      </c>
      <c r="U30" s="313" t="s">
        <v>463</v>
      </c>
      <c r="V30" s="314">
        <f>$E$10</f>
        <v>-18962800</v>
      </c>
      <c r="W30" s="3"/>
      <c r="Y30" s="133"/>
      <c r="Z30" s="40"/>
      <c r="AA30" s="40"/>
      <c r="AB30" s="62"/>
    </row>
    <row r="31" spans="1:28" hidden="1" x14ac:dyDescent="0.25">
      <c r="A31" s="3"/>
      <c r="B31" s="3" t="s">
        <v>999</v>
      </c>
      <c r="C31" s="18">
        <f>$AB$54</f>
        <v>2.7568888666666666E-2</v>
      </c>
      <c r="D31" s="18">
        <f>$AB$54</f>
        <v>2.7568888666666666E-2</v>
      </c>
      <c r="E31" s="18">
        <f>$AB$54</f>
        <v>2.7568888666666666E-2</v>
      </c>
      <c r="F31" s="18">
        <v>0</v>
      </c>
      <c r="G31" s="18">
        <f>SUM(W8,W21)</f>
        <v>1.2E-2</v>
      </c>
      <c r="H31" s="18">
        <v>0</v>
      </c>
      <c r="I31" s="18">
        <f>$AA$54</f>
        <v>2.2568888666666665E-2</v>
      </c>
      <c r="J31" s="18">
        <f>$AA$54</f>
        <v>2.2568888666666665E-2</v>
      </c>
      <c r="K31" s="18">
        <f>SUM($W$9,$W$21)</f>
        <v>1.2E-2</v>
      </c>
      <c r="L31" s="18">
        <v>0</v>
      </c>
      <c r="M31" s="18">
        <v>0</v>
      </c>
      <c r="N31" s="7">
        <f>$W$7</f>
        <v>1.2E-2</v>
      </c>
      <c r="O31" s="7">
        <f>$W$10</f>
        <v>6.9999999999999993E-3</v>
      </c>
      <c r="P31" s="18">
        <f>Q30/P30</f>
        <v>1.8575725450744811E-2</v>
      </c>
      <c r="R31" s="7">
        <f>$W$10</f>
        <v>6.9999999999999993E-3</v>
      </c>
      <c r="U31" s="313" t="s">
        <v>464</v>
      </c>
      <c r="V31" s="315">
        <f>$E$11</f>
        <v>14971120.000000002</v>
      </c>
      <c r="W31" s="3"/>
      <c r="Y31" s="133"/>
      <c r="Z31" s="40"/>
      <c r="AA31" s="40"/>
      <c r="AB31" s="62"/>
    </row>
    <row r="32" spans="1:28" hidden="1" x14ac:dyDescent="0.25">
      <c r="A32" s="3"/>
      <c r="B32" s="3" t="s">
        <v>614</v>
      </c>
      <c r="C32" s="11">
        <f>SUM((C29/$Z$54)*$X$19,C29*$W$19)</f>
        <v>67499373.333333328</v>
      </c>
      <c r="D32" s="11">
        <f>SUM((D29/$Z$54)*$X$20,D29*$W$20)</f>
        <v>2721808</v>
      </c>
      <c r="E32" s="11">
        <f>E29/$Z$54</f>
        <v>0</v>
      </c>
      <c r="F32" s="11"/>
      <c r="G32" s="11"/>
      <c r="H32" s="11"/>
      <c r="I32" s="46">
        <f>I29/$Z$54</f>
        <v>-97936733.333333328</v>
      </c>
      <c r="J32" s="46">
        <f>J29/$Z$54</f>
        <v>-62666.666666666664</v>
      </c>
      <c r="K32" s="11"/>
      <c r="L32" s="11"/>
      <c r="M32" s="11"/>
      <c r="N32" s="47">
        <f>SUM(-C34*$X$19,-D34*$X$20)</f>
        <v>-20290777.173333332</v>
      </c>
      <c r="O32" s="11">
        <f>-SUM(C32,-C29*$W$19,D32,-D29*$W$20,E32,I32,J32,N32)</f>
        <v>95232475.840000004</v>
      </c>
      <c r="P32" s="20">
        <f>SUM(P30,R32)</f>
        <v>-1258968677.1074507</v>
      </c>
      <c r="Q32" s="20">
        <f>SUM(S32,T32)</f>
        <v>-22136769.556301937</v>
      </c>
      <c r="R32" s="20">
        <f>SUM(C32,-C29*$W$19*2,D32,-D29*$W$20*2,N32,Q32)</f>
        <v>-66533325.39630194</v>
      </c>
      <c r="S32" s="20">
        <f>SUM((SUM(I29,-I30,-I32)*I33),(SUM(J29,-J30,-J32)*J33),(SUM(K29,-K30)*K33),(-O30*O31),(-O32*O33),(R30*R31))</f>
        <v>-31222898.014117043</v>
      </c>
      <c r="T32" s="37">
        <f>SUM((SUM(C29,-C30,-C32)*C33),(SUM(D29,-D30,-D32)*D33),(SUM(E29,-E30,-E32)*E33),(SUM(G29,-G30)*G33),(-N30*N31),(-N32*N33))</f>
        <v>9086128.457815107</v>
      </c>
      <c r="U32" s="316" t="s">
        <v>465</v>
      </c>
      <c r="V32" s="150">
        <f>-SUM(V30,V31)</f>
        <v>3991679.9999999981</v>
      </c>
      <c r="W32" s="3"/>
      <c r="Y32" s="133"/>
      <c r="Z32" s="40"/>
      <c r="AA32" s="40"/>
      <c r="AB32" s="62"/>
    </row>
    <row r="33" spans="1:28" hidden="1" x14ac:dyDescent="0.25">
      <c r="A33" s="3"/>
      <c r="B33" s="3" t="s">
        <v>1000</v>
      </c>
      <c r="C33" s="18">
        <f>$AB$55</f>
        <v>2.5688095000000001E-2</v>
      </c>
      <c r="D33" s="18">
        <f>$AB$55</f>
        <v>2.5688095000000001E-2</v>
      </c>
      <c r="E33" s="18">
        <f>$AB$55</f>
        <v>2.5688095000000001E-2</v>
      </c>
      <c r="F33" s="18">
        <v>0</v>
      </c>
      <c r="G33" s="18">
        <f>SUM(W8,W22)</f>
        <v>2.1999999999999999E-2</v>
      </c>
      <c r="H33" s="18">
        <v>0</v>
      </c>
      <c r="I33" s="18">
        <f>$AA$55</f>
        <v>2.0688095E-2</v>
      </c>
      <c r="J33" s="18">
        <f>$AA$55</f>
        <v>2.0688095E-2</v>
      </c>
      <c r="K33" s="18">
        <f>SUM($W$9,$W$22)</f>
        <v>2.1999999999999999E-2</v>
      </c>
      <c r="L33" s="18">
        <v>0</v>
      </c>
      <c r="M33" s="18">
        <v>0</v>
      </c>
      <c r="N33" s="7">
        <f>SUM($W$7,$W$21)</f>
        <v>2.1999999999999999E-2</v>
      </c>
      <c r="O33" s="7">
        <f>SUM($W$10,$W$21)</f>
        <v>1.7000000000000001E-2</v>
      </c>
      <c r="P33" s="18">
        <f>Q32/P32</f>
        <v>1.7583256802831959E-2</v>
      </c>
      <c r="Q33" s="11"/>
      <c r="R33" s="7">
        <f>SUM($W$10,$W$21)</f>
        <v>1.7000000000000001E-2</v>
      </c>
      <c r="U33" s="316" t="s">
        <v>617</v>
      </c>
      <c r="V33" s="152">
        <f>V31*0.05</f>
        <v>748556.00000000012</v>
      </c>
      <c r="W33" s="3"/>
      <c r="Y33" s="133"/>
      <c r="Z33" s="40"/>
      <c r="AA33" s="40"/>
      <c r="AB33" s="62"/>
    </row>
    <row r="34" spans="1:28" hidden="1" x14ac:dyDescent="0.25">
      <c r="A34" s="3"/>
      <c r="B34" s="3" t="s">
        <v>1001</v>
      </c>
      <c r="C34" s="11">
        <f>(C29/$Z$54)*$X$19</f>
        <v>22163973.333333332</v>
      </c>
      <c r="D34" s="11">
        <f>(D29/$Z$54)*$X$20</f>
        <v>893728</v>
      </c>
      <c r="E34" s="11">
        <f>E29/$Z$54</f>
        <v>0</v>
      </c>
      <c r="F34" s="11"/>
      <c r="G34" s="11"/>
      <c r="H34" s="11"/>
      <c r="I34" s="46">
        <f>I29/$Z$54</f>
        <v>-97936733.333333328</v>
      </c>
      <c r="J34" s="46">
        <f>J29/$Z$54</f>
        <v>-62666.666666666664</v>
      </c>
      <c r="K34" s="11"/>
      <c r="L34" s="11"/>
      <c r="M34" s="11"/>
      <c r="N34" s="47">
        <f>SUM(-C34,-D34)</f>
        <v>-23057701.333333332</v>
      </c>
      <c r="O34" s="11">
        <f>-SUM(C34,D34,E34,I34,J34,N34)</f>
        <v>97999400</v>
      </c>
      <c r="P34" s="20">
        <f>SUM(P32,R34)</f>
        <v>-1281565642.3084159</v>
      </c>
      <c r="Q34" s="20">
        <f>SUM(S34,T34)</f>
        <v>-22596965.200965274</v>
      </c>
      <c r="R34" s="20">
        <f>SUM(C34,D34,N34,Q34)</f>
        <v>-22596965.200965274</v>
      </c>
      <c r="S34" s="20">
        <f>SUM((SUM(I29,-I30,-I32,-I34)*I35),(SUM(J29,-J30,-J32,-J34)*J35),(SUM(K29,-K30)*K35),(-O30*O31),(-O32*O33),(-O34*O35),(R30*R31),(R32*R33))</f>
        <v>-31568557.335304715</v>
      </c>
      <c r="T34" s="37">
        <f>SUM((SUM(C29,-C30,-C32,-C34)*C35),(SUM(D29,-D30,-D32,-D34)*D35),(SUM(E29,-E30,-E32,-E34)*E35),(SUM(G29,-G30)*G35),(-N30*N31),(-N32*N33),(-N34*N35))</f>
        <v>8971592.1343394406</v>
      </c>
      <c r="U34" s="316" t="s">
        <v>618</v>
      </c>
      <c r="V34" s="150">
        <f>SUM(V32,V33)</f>
        <v>4740235.9999999981</v>
      </c>
      <c r="W34" s="3"/>
      <c r="Y34" s="133"/>
      <c r="Z34" s="40"/>
      <c r="AA34" s="40"/>
      <c r="AB34" s="62"/>
    </row>
    <row r="35" spans="1:28" hidden="1" x14ac:dyDescent="0.25">
      <c r="A35" s="3"/>
      <c r="B35" s="3" t="s">
        <v>1002</v>
      </c>
      <c r="C35" s="18">
        <f>$AB$56</f>
        <v>2.3564102307692306E-2</v>
      </c>
      <c r="D35" s="18">
        <f>$AB$56</f>
        <v>2.3564102307692306E-2</v>
      </c>
      <c r="E35" s="18">
        <f>$AB$56</f>
        <v>2.3564102307692306E-2</v>
      </c>
      <c r="F35" s="18">
        <v>0</v>
      </c>
      <c r="G35" s="18">
        <f>SUM(W8,W23)</f>
        <v>3.2000000000000001E-2</v>
      </c>
      <c r="H35" s="18">
        <v>0</v>
      </c>
      <c r="I35" s="18">
        <f>$AA$56</f>
        <v>1.8564102307692305E-2</v>
      </c>
      <c r="J35" s="18">
        <f>$AA$56</f>
        <v>1.8564102307692305E-2</v>
      </c>
      <c r="K35" s="18">
        <f>SUM($W$9,$W$23)</f>
        <v>3.2000000000000001E-2</v>
      </c>
      <c r="L35" s="18">
        <v>0</v>
      </c>
      <c r="M35" s="18">
        <v>0</v>
      </c>
      <c r="N35" s="7">
        <f>SUM($W$7,$W$22)</f>
        <v>3.2000000000000001E-2</v>
      </c>
      <c r="O35" s="7">
        <f>SUM($W$10,$W$22)</f>
        <v>2.7E-2</v>
      </c>
      <c r="P35" s="18">
        <f>Q34/P34</f>
        <v>1.7632311958880674E-2</v>
      </c>
      <c r="R35" s="7">
        <f>SUM($W$10,$W$22)</f>
        <v>2.7E-2</v>
      </c>
      <c r="U35" s="317" t="s">
        <v>616</v>
      </c>
      <c r="V35" s="153">
        <f>IF(Macrogegevens!$C$12&gt;0,V34,V32)</f>
        <v>4740235.9999999981</v>
      </c>
      <c r="W35" s="3"/>
      <c r="Y35" s="135"/>
      <c r="Z35" s="58"/>
      <c r="AA35" s="58"/>
      <c r="AB35" s="329"/>
    </row>
    <row r="36" spans="1:28" hidden="1" x14ac:dyDescent="0.25">
      <c r="A36" s="3"/>
      <c r="B36" s="3" t="s">
        <v>673</v>
      </c>
      <c r="C36" s="11">
        <f>(C29/$Z$54)*$X$19</f>
        <v>22163973.333333332</v>
      </c>
      <c r="D36" s="11">
        <f>(D29/$Z$54)*$X$20</f>
        <v>893728</v>
      </c>
      <c r="E36" s="11">
        <f>E29/$Z$54</f>
        <v>0</v>
      </c>
      <c r="F36" s="11"/>
      <c r="G36" s="11"/>
      <c r="H36" s="11"/>
      <c r="I36" s="46">
        <f>I29/$Z$54</f>
        <v>-97936733.333333328</v>
      </c>
      <c r="J36" s="46">
        <f>J29/$Z$54</f>
        <v>-62666.666666666664</v>
      </c>
      <c r="K36" s="11"/>
      <c r="L36" s="11"/>
      <c r="M36" s="11"/>
      <c r="N36" s="47">
        <f>SUM(-C36,-D36)</f>
        <v>-23057701.333333332</v>
      </c>
      <c r="O36" s="11">
        <f>-SUM(C36,D36,E36,I36,J36,N36)</f>
        <v>97999400</v>
      </c>
      <c r="P36" s="20">
        <f>SUM(P34,R36)</f>
        <v>-1304476174.1979544</v>
      </c>
      <c r="Q36" s="20">
        <f>SUM(S36,T36)</f>
        <v>-22910531.889538579</v>
      </c>
      <c r="R36" s="20">
        <f>SUM(C36,D36,N36,Q36)</f>
        <v>-22910531.889538579</v>
      </c>
      <c r="S36" s="20">
        <f>SUM((SUM(I29,-I30,-I32,-I34,-I36)*I37),(SUM(J29,-J30,-J32,-J34,-J36)*J37),(SUM(K29,-K30)*K37),(-O30*O31),(-O32*O33),(-O34*O35),(-O36*O37),(R30*R31),(R32*R33),(R34*R35))</f>
        <v>-31799220.883423075</v>
      </c>
      <c r="T36" s="37">
        <f>SUM((SUM(C29,-C30,-C32,-C34,-C36)*C37),(SUM(D29,-D30,-D32,-D34,-D36)*D37),(SUM(E29,-E30,-E32,-E34,-E36)*E37),(SUM(G29,-G30)*G37),(-N30*N31),(-N32*N33),(-N34*N35),(-N36*N37))</f>
        <v>8888688.9938844945</v>
      </c>
      <c r="U36" s="20"/>
      <c r="W36" s="3"/>
    </row>
    <row r="37" spans="1:28" hidden="1" x14ac:dyDescent="0.25">
      <c r="A37" s="3"/>
      <c r="B37" s="3" t="s">
        <v>1003</v>
      </c>
      <c r="C37" s="18">
        <f>$AB$57</f>
        <v>2.153611083333333E-2</v>
      </c>
      <c r="D37" s="18">
        <f>$AB$57</f>
        <v>2.153611083333333E-2</v>
      </c>
      <c r="E37" s="18">
        <f>$AB$57</f>
        <v>2.153611083333333E-2</v>
      </c>
      <c r="F37" s="18">
        <v>0</v>
      </c>
      <c r="G37" s="18">
        <f>SUM(W8,W23)</f>
        <v>3.2000000000000001E-2</v>
      </c>
      <c r="H37" s="18">
        <v>0</v>
      </c>
      <c r="I37" s="18">
        <f>$AA$57</f>
        <v>1.6536110833333329E-2</v>
      </c>
      <c r="J37" s="18">
        <f>$AA$57</f>
        <v>1.6536110833333329E-2</v>
      </c>
      <c r="K37" s="18">
        <f>SUM($W$9,$W$23)</f>
        <v>3.2000000000000001E-2</v>
      </c>
      <c r="L37" s="18">
        <v>0</v>
      </c>
      <c r="M37" s="18">
        <v>0</v>
      </c>
      <c r="N37" s="7">
        <f>SUM($W$7,$W$23)</f>
        <v>4.1999999999999996E-2</v>
      </c>
      <c r="O37" s="7">
        <f>SUM($W$10,$W$23)</f>
        <v>3.6999999999999998E-2</v>
      </c>
      <c r="P37" s="18">
        <f>Q36/P36</f>
        <v>1.7563012911006148E-2</v>
      </c>
      <c r="R37" s="7">
        <f>SUM($W$10,$W$23)</f>
        <v>3.6999999999999998E-2</v>
      </c>
      <c r="W37" s="3"/>
    </row>
    <row r="38" spans="1:28" hidden="1" x14ac:dyDescent="0.25">
      <c r="A38" s="3"/>
      <c r="B38" s="3" t="s">
        <v>1004</v>
      </c>
      <c r="C38" s="11">
        <f>(C29/$Z$54)*$X$19</f>
        <v>22163973.333333332</v>
      </c>
      <c r="D38" s="11">
        <f>(D29/$Z$54)*$X$20</f>
        <v>893728</v>
      </c>
      <c r="E38" s="11">
        <f>E29/$Z$54</f>
        <v>0</v>
      </c>
      <c r="F38" s="11"/>
      <c r="G38" s="11"/>
      <c r="H38" s="11"/>
      <c r="I38" s="46">
        <f>I29/$Z$54</f>
        <v>-97936733.333333328</v>
      </c>
      <c r="J38" s="46">
        <f>J29/$Z$54</f>
        <v>-62666.666666666664</v>
      </c>
      <c r="K38" s="11"/>
      <c r="L38" s="11"/>
      <c r="M38" s="11"/>
      <c r="N38" s="47">
        <f>SUM(-C38,-D38)</f>
        <v>-23057701.333333332</v>
      </c>
      <c r="O38" s="11">
        <f>-SUM(C38,D38,E38,I38,J38,N38)</f>
        <v>97999400</v>
      </c>
      <c r="P38" s="20">
        <f>SUM(P36,R38)</f>
        <v>-1328443220.5620284</v>
      </c>
      <c r="Q38" s="21">
        <f>SUM(S38,T38)</f>
        <v>-23967046.364074007</v>
      </c>
      <c r="R38" s="20">
        <f>SUM(C38,D38,N38,Q38)</f>
        <v>-23967046.364074007</v>
      </c>
      <c r="S38" s="20">
        <f>SUM((SUM(I29,-I30,-I32,-I34,-I36,-I38)*I39),(SUM(J29,-J30,-J32,-J34,-J36,-J38)*J39),(SUM(K29,-K30)*K39),(-O30*O31),(-O32*O33),(-O34*O35),(-O36*O37),(-O38*O39),(R30*R31),(R32*R33),(R34*R35),(R36*R37))</f>
        <v>-32927223.496063266</v>
      </c>
      <c r="T38" s="37">
        <f>SUM((SUM(C29,-C30,-C32,-C34,-C36,-C38)*C39),(SUM(D29,-D30,-D32,-D34,-D36,-D38)*D39),(SUM(E29,-E30,-E32,-E34,-E36,-E38)*E39),(SUM(G29,-G30)*G39),(-N30*N31),(-N32*N33),(-N34*N35),(-N36*N37),(-N38*N39))</f>
        <v>8960177.1319892593</v>
      </c>
      <c r="U38" s="20"/>
      <c r="W38" s="3"/>
    </row>
    <row r="39" spans="1:28" hidden="1" x14ac:dyDescent="0.25">
      <c r="A39" s="3"/>
      <c r="B39" s="3" t="s">
        <v>674</v>
      </c>
      <c r="C39" s="18">
        <f>$AB$58</f>
        <v>1.9775757272727273E-2</v>
      </c>
      <c r="D39" s="18">
        <f>$AB$58</f>
        <v>1.9775757272727273E-2</v>
      </c>
      <c r="E39" s="18">
        <f>$AB$58</f>
        <v>1.9775757272727273E-2</v>
      </c>
      <c r="F39" s="18">
        <v>0</v>
      </c>
      <c r="G39" s="18">
        <f>SUM(W8,W23)</f>
        <v>3.2000000000000001E-2</v>
      </c>
      <c r="H39" s="18">
        <v>0</v>
      </c>
      <c r="I39" s="18">
        <f>$AA$58</f>
        <v>1.4775757272727274E-2</v>
      </c>
      <c r="J39" s="18">
        <f>$AA$58</f>
        <v>1.4775757272727274E-2</v>
      </c>
      <c r="K39" s="18">
        <f>SUM($W$9,$W$23)</f>
        <v>3.2000000000000001E-2</v>
      </c>
      <c r="L39" s="18">
        <v>0</v>
      </c>
      <c r="M39" s="18">
        <v>0</v>
      </c>
      <c r="N39" s="7">
        <f>SUM($W$7,$W$23)</f>
        <v>4.1999999999999996E-2</v>
      </c>
      <c r="O39" s="7">
        <f>SUM($W$10,$W$23)</f>
        <v>3.6999999999999998E-2</v>
      </c>
      <c r="P39" s="18">
        <f>Q38/P38</f>
        <v>1.8041453329058502E-2</v>
      </c>
      <c r="R39" s="7">
        <f>SUM($W$10,$W$23)</f>
        <v>3.6999999999999998E-2</v>
      </c>
      <c r="W39" s="3"/>
    </row>
    <row r="40" spans="1:28" hidden="1" x14ac:dyDescent="0.25">
      <c r="A40" s="3"/>
      <c r="B40" s="3" t="s">
        <v>615</v>
      </c>
      <c r="C40" s="11">
        <f>(C29/$Z$54)*$X$19</f>
        <v>22163973.333333332</v>
      </c>
      <c r="D40" s="11">
        <f>(D29/$Z$54)*$X$20</f>
        <v>893728</v>
      </c>
      <c r="E40" s="11">
        <f>E29/$Z$54</f>
        <v>0</v>
      </c>
      <c r="F40" s="11"/>
      <c r="G40" s="11"/>
      <c r="H40" s="11"/>
      <c r="I40" s="46">
        <f>I29/$Z$54</f>
        <v>-97936733.333333328</v>
      </c>
      <c r="J40" s="46">
        <f>J29/$Z$54</f>
        <v>-62666.666666666664</v>
      </c>
      <c r="K40" s="11"/>
      <c r="L40" s="11"/>
      <c r="M40" s="11"/>
      <c r="N40" s="47">
        <f>SUM(-C40,-D40)</f>
        <v>-23057701.333333332</v>
      </c>
      <c r="O40" s="11">
        <f>-SUM(C40,D40,E40,I40,J40,N40)</f>
        <v>97999400</v>
      </c>
      <c r="P40" s="20">
        <f>SUM(P38,R40)</f>
        <v>-1353537926.4166136</v>
      </c>
      <c r="Q40" s="21">
        <f>SUM(S40,T40)</f>
        <v>-25094705.85458507</v>
      </c>
      <c r="R40" s="20">
        <f>SUM(C40,D40,N40,Q40)</f>
        <v>-25094705.85458507</v>
      </c>
      <c r="S40" s="20">
        <f>SUM((SUM(I29,-I30,-I32,-I34,-I36,-I38,-I40)*I41),(SUM(J29,-J30,-J32,-J34,-J36,-J38,-J40)*J41),(SUM(K29,-K30)*K41),(-O30*O31),(-O32*O33),(-O34*O35),(-O36*O37),(-O38*O39),(-O40*O41),(R30*R31),(R32*R33),(R34*R35),(R36*R37),(R38*R39))</f>
        <v>-34137639.80880671</v>
      </c>
      <c r="T40" s="37">
        <f>SUM((SUM(C29,-C30,-C32,-C34,-C36,-C38,-C40)*C41),(SUM(D29,-D30,-D32,-D34,-D36,-D38,-D40)*D41),(SUM(E29,-E30,-E32,-E34,-E36,-E38,-E40)*E41),(SUM(G29,-G30)*G41),(-N30*N31),(-N32*N33),(-N34*N35),(-N36*N37),(-N38*N39),(-N40*N41))</f>
        <v>9042933.9542216398</v>
      </c>
      <c r="U40" s="20"/>
      <c r="W40" s="3"/>
    </row>
    <row r="41" spans="1:28" hidden="1" x14ac:dyDescent="0.25">
      <c r="A41" s="3"/>
      <c r="B41" s="3" t="s">
        <v>1005</v>
      </c>
      <c r="C41" s="18">
        <f>$AB$59</f>
        <v>1.7673332999999999E-2</v>
      </c>
      <c r="D41" s="18">
        <f>$AB$59</f>
        <v>1.7673332999999999E-2</v>
      </c>
      <c r="E41" s="18">
        <f>$AB$59</f>
        <v>1.7673332999999999E-2</v>
      </c>
      <c r="F41" s="18">
        <v>0</v>
      </c>
      <c r="G41" s="18">
        <f>SUM(W8,W23)</f>
        <v>3.2000000000000001E-2</v>
      </c>
      <c r="H41" s="18">
        <v>0</v>
      </c>
      <c r="I41" s="18">
        <f>$AA$59</f>
        <v>1.2673332999999998E-2</v>
      </c>
      <c r="J41" s="18">
        <f>$AA$59</f>
        <v>1.2673332999999998E-2</v>
      </c>
      <c r="K41" s="18">
        <f>SUM($W$9,$W$23)</f>
        <v>3.2000000000000001E-2</v>
      </c>
      <c r="L41" s="18">
        <v>0</v>
      </c>
      <c r="M41" s="18">
        <v>0</v>
      </c>
      <c r="N41" s="7">
        <f>SUM($W$7,$W$23)</f>
        <v>4.1999999999999996E-2</v>
      </c>
      <c r="O41" s="7">
        <f>SUM($W$10,$W$23)</f>
        <v>3.6999999999999998E-2</v>
      </c>
      <c r="P41" s="18">
        <f>Q40/P40</f>
        <v>1.8540083262403553E-2</v>
      </c>
      <c r="R41" s="7">
        <f>SUM($W$10,$W$23)</f>
        <v>3.6999999999999998E-2</v>
      </c>
      <c r="W41" s="3"/>
    </row>
    <row r="42" spans="1:28" hidden="1" x14ac:dyDescent="0.25">
      <c r="A42" s="3"/>
      <c r="B42" s="3" t="s">
        <v>1007</v>
      </c>
      <c r="C42" s="11">
        <f>(C29/$Z$54)*$X$19</f>
        <v>22163973.333333332</v>
      </c>
      <c r="D42" s="11">
        <f>(D29/$Z$54)*$X$20</f>
        <v>893728</v>
      </c>
      <c r="E42" s="11">
        <f>E29/$Z$54</f>
        <v>0</v>
      </c>
      <c r="F42" s="11"/>
      <c r="G42" s="11"/>
      <c r="H42" s="11"/>
      <c r="I42" s="46">
        <f>I29/$Z$54</f>
        <v>-97936733.333333328</v>
      </c>
      <c r="J42" s="46">
        <f>J29/$Z$54</f>
        <v>-62666.666666666664</v>
      </c>
      <c r="K42" s="11"/>
      <c r="L42" s="11"/>
      <c r="M42" s="11"/>
      <c r="N42" s="47">
        <f>SUM(-C42,-D42)</f>
        <v>-23057701.333333332</v>
      </c>
      <c r="O42" s="11">
        <f>-SUM(C42,D42,E42,I42,J42,N42)</f>
        <v>97999400</v>
      </c>
      <c r="P42" s="20">
        <f>SUM(P40,R42)</f>
        <v>-1380538683.4514453</v>
      </c>
      <c r="Q42" s="21">
        <f>SUM(S42,T42)</f>
        <v>-27000757.034831785</v>
      </c>
      <c r="R42" s="20">
        <f>SUM(C42,D42,N42,Q42)</f>
        <v>-27000757.034831785</v>
      </c>
      <c r="S42" s="20">
        <f>SUM((SUM(I29,-I30,-I32,-I34,-I36,-I38,-I40,-I42)*I43),(SUM(J29,-J30,-J32,-J34,-J36,-J38,-J40,-J42)*J43),(SUM(K29,-K30)*K43),(-O30*O31),(-O32*O33),(-O34*O35),(-O36*O37),(-O38*O39),(-O40*O41),(-O42*O43),(R30*R31),(R32*R33),(R34*R35),(R36*R37),(R38*R39),(R40*R41))</f>
        <v>-36350226.437648557</v>
      </c>
      <c r="T42" s="37">
        <f>SUM((SUM(C29,-C30,-C32,-C34,-C36,-C38,-C40,-C42)*C43),(SUM(D29,-D30,-D32,-D34,-D36,-D38,-D40,-D42)*D43),(SUM(E29,-E30,-E32,-E34,-E36,-E38,-E40,-E42)*E43),(SUM(G29,-G30)*G43),(-N30*N31),(-N32*N33),(-N34*N35),(-N36*N37),(-N38*N39),(-N40*N41),(-N42*N43))</f>
        <v>9349469.4028167743</v>
      </c>
      <c r="U42" s="20"/>
      <c r="W42" s="3"/>
    </row>
    <row r="43" spans="1:28" hidden="1" x14ac:dyDescent="0.25">
      <c r="A43" s="3"/>
      <c r="B43" s="3" t="s">
        <v>1006</v>
      </c>
      <c r="C43" s="18">
        <f>$AB$60</f>
        <v>1.6270370000000003E-2</v>
      </c>
      <c r="D43" s="18">
        <f>$AB$60</f>
        <v>1.6270370000000003E-2</v>
      </c>
      <c r="E43" s="18">
        <f>$AB$60</f>
        <v>1.6270370000000003E-2</v>
      </c>
      <c r="F43" s="18">
        <v>0</v>
      </c>
      <c r="G43" s="18">
        <f>SUM(W8,W23)</f>
        <v>3.2000000000000001E-2</v>
      </c>
      <c r="H43" s="18">
        <v>0</v>
      </c>
      <c r="I43" s="18">
        <f>$AA$60</f>
        <v>1.1270370000000002E-2</v>
      </c>
      <c r="J43" s="18">
        <f>$AA$60</f>
        <v>1.1270370000000002E-2</v>
      </c>
      <c r="K43" s="18">
        <f>SUM($W$9,$W$23)</f>
        <v>3.2000000000000001E-2</v>
      </c>
      <c r="L43" s="18">
        <v>0</v>
      </c>
      <c r="M43" s="18">
        <v>0</v>
      </c>
      <c r="N43" s="7">
        <f>SUM($W$7,$W$23)</f>
        <v>4.1999999999999996E-2</v>
      </c>
      <c r="O43" s="7">
        <f>SUM($W$10,$W$23)</f>
        <v>3.6999999999999998E-2</v>
      </c>
      <c r="P43" s="18">
        <f>Q42/P42</f>
        <v>1.9558131444262005E-2</v>
      </c>
      <c r="R43" s="7">
        <f>SUM($W$10,$W$23)</f>
        <v>3.6999999999999998E-2</v>
      </c>
      <c r="W43" s="3"/>
    </row>
    <row r="44" spans="1:28" hidden="1" x14ac:dyDescent="0.25">
      <c r="A44" s="3"/>
      <c r="B44" s="3" t="s">
        <v>675</v>
      </c>
      <c r="C44" s="11">
        <f>(C29/$Z$54)*$X$19</f>
        <v>22163973.333333332</v>
      </c>
      <c r="D44" s="11">
        <f>(D29/$Z$54)*$X$20</f>
        <v>893728</v>
      </c>
      <c r="E44" s="11">
        <f>E29/$Z$54</f>
        <v>0</v>
      </c>
      <c r="F44" s="11"/>
      <c r="G44" s="11"/>
      <c r="H44" s="11"/>
      <c r="I44" s="46">
        <f>I29/$Z$54</f>
        <v>-97936733.333333328</v>
      </c>
      <c r="J44" s="46">
        <f>J29/$Z$54</f>
        <v>-62666.666666666664</v>
      </c>
      <c r="K44" s="11"/>
      <c r="L44" s="11"/>
      <c r="M44" s="11"/>
      <c r="N44" s="47">
        <f>SUM(-C44,-D44)</f>
        <v>-23057701.333333332</v>
      </c>
      <c r="O44" s="11">
        <f>-SUM(C44,D44,E44,I44,J44,N44)</f>
        <v>97999400</v>
      </c>
      <c r="P44" s="20">
        <f>SUM(P42,R44)</f>
        <v>-1409521407.7528996</v>
      </c>
      <c r="Q44" s="21">
        <f>SUM(S44,T44)</f>
        <v>-28982724.301454388</v>
      </c>
      <c r="R44" s="20">
        <f>SUM(C44,D44,N44,Q44)</f>
        <v>-28982724.301454388</v>
      </c>
      <c r="S44" s="20">
        <f>SUM((SUM(I29,-I30,-I32,-I34,-I36,-I38,-I40,-I42,-I44)*I45),(SUM(J29,-J30,-J32,-J34,-J36,-J38,-J40,-J42,-J44)*J45),(SUM(K29,-K30)*K45),(-O30*O31),(-O32*O33),(-O34*O35),(-O36*O37),(-O38*O39),(-O40*O41),(-O42*O43),(-O44*O45),(R30*R31),(R32*R33),(R34*R35),(R36*R37),(R38*R39),(R40*R41),(R42*R43))</f>
        <v>-38641984.500715077</v>
      </c>
      <c r="T44" s="37">
        <f>SUM((SUM(C29,-C30,-C32,-C34,-C36,-C38,-C40,-C42,-C44)*C45),(SUM(D29,-D30,-D32,-D34,-D36,-D38,-D40,-D42,-D44)*D45),(SUM(E29,-E30,-E32,-E34,-E36,-E38,-E40,-E42,-E44)*E45),(SUM(G29,-G30)*G45),(-N30*N31),(-N32*N33),(-N34*N35),(-N36*N37),(-N38*N39),(-N40*N41),(-N42*N43),(-N44*N45))</f>
        <v>9659260.1992606912</v>
      </c>
      <c r="U44" s="20"/>
      <c r="W44" s="3"/>
    </row>
    <row r="45" spans="1:28" hidden="1" x14ac:dyDescent="0.25">
      <c r="A45" s="3"/>
      <c r="B45" s="3" t="s">
        <v>676</v>
      </c>
      <c r="C45" s="18">
        <f>$AB$61</f>
        <v>1.4479166250000002E-2</v>
      </c>
      <c r="D45" s="18">
        <f>$AB$61</f>
        <v>1.4479166250000002E-2</v>
      </c>
      <c r="E45" s="18">
        <f>$AB$61</f>
        <v>1.4479166250000002E-2</v>
      </c>
      <c r="F45" s="18">
        <v>0</v>
      </c>
      <c r="G45" s="18">
        <f>SUM(W8,W23)</f>
        <v>3.2000000000000001E-2</v>
      </c>
      <c r="H45" s="18">
        <v>0</v>
      </c>
      <c r="I45" s="18">
        <f>$AA$61</f>
        <v>9.4791662500000005E-3</v>
      </c>
      <c r="J45" s="18">
        <f>$AA$61</f>
        <v>9.4791662500000005E-3</v>
      </c>
      <c r="K45" s="18">
        <f>SUM($W$9,$W$23)</f>
        <v>3.2000000000000001E-2</v>
      </c>
      <c r="L45" s="18">
        <v>0</v>
      </c>
      <c r="M45" s="18">
        <v>0</v>
      </c>
      <c r="N45" s="7">
        <f>SUM($W$7,$W$23)</f>
        <v>4.1999999999999996E-2</v>
      </c>
      <c r="O45" s="7">
        <f>SUM($W$10,$W$23)</f>
        <v>3.6999999999999998E-2</v>
      </c>
      <c r="P45" s="18">
        <f>Q44/P44</f>
        <v>2.0562102953554637E-2</v>
      </c>
      <c r="R45" s="7">
        <f>SUM($W$10,$W$23)</f>
        <v>3.6999999999999998E-2</v>
      </c>
      <c r="W45" s="3"/>
    </row>
    <row r="46" spans="1:28" hidden="1" x14ac:dyDescent="0.25">
      <c r="A46" s="3"/>
      <c r="B46" s="3" t="s">
        <v>1008</v>
      </c>
      <c r="C46" s="11">
        <f>(C29/$Z$54)*$X$19</f>
        <v>22163973.333333332</v>
      </c>
      <c r="D46" s="11">
        <f>(D29/$Z$54)*$X$20</f>
        <v>893728</v>
      </c>
      <c r="E46" s="11">
        <f>E29/$Z$54</f>
        <v>0</v>
      </c>
      <c r="F46" s="11"/>
      <c r="G46" s="11"/>
      <c r="H46" s="11"/>
      <c r="I46" s="46">
        <f>I29/$Z$54</f>
        <v>-97936733.333333328</v>
      </c>
      <c r="J46" s="46">
        <f>J29/$Z$54</f>
        <v>-62666.666666666664</v>
      </c>
      <c r="K46" s="11"/>
      <c r="L46" s="11"/>
      <c r="M46" s="11"/>
      <c r="N46" s="47">
        <f>SUM(-C46,-D46)</f>
        <v>-23057701.333333332</v>
      </c>
      <c r="O46" s="11">
        <f>-SUM(C46,D46,E46,I46,J46,N46)</f>
        <v>97999400</v>
      </c>
      <c r="P46" s="20">
        <f>SUM(P44,R46)</f>
        <v>-1440926069.1591942</v>
      </c>
      <c r="Q46" s="21">
        <f>SUM(S46,T46)</f>
        <v>-31404661.406294554</v>
      </c>
      <c r="R46" s="20">
        <f>SUM(C46,D46,N46,Q46)</f>
        <v>-31404661.406294554</v>
      </c>
      <c r="S46" s="20">
        <f>SUM((SUM(I29,-I30,-I32,-I34,-I36,-I38,-I40,-I42,-I44,-I46)*I47),(SUM(J29,-J30,-J32,-J34,-J36,-J38,-J40,-J42,-J44,-J46)*J47),(SUM(K29,-K30)*K47),(-O30*O31),(-O32*O33),(-O34*O35),(-O36*O37),(-O38*O39),(-O40*O41),(-O42*O43),(-O44*O45),(-O46*O47),(R30*R31),(R32*R33),(R34*R35),(R36*R37),(R38*R39),(R40*R41),(R42*R43),(R44*R45))</f>
        <v>-41485626.127725996</v>
      </c>
      <c r="T46" s="37">
        <f>SUM((SUM(C29,-C30,-C32,-C34,-C36,-C38,-C40,-C42,-C44,-C46)*C47),(SUM(D29,-D30,-D32,-D34,-D36,-D38,-D40,-D42,-D44,-D46)*D47),(SUM(E29,-E30,-E32,-E34,-E36,-E38,-E40,-E42,-E44,-E46)*E47),(SUM(G29,-G30)*G47),(-N30*N31),(-N32*N33),(-N34*N35),(-N36*N37),(-N38*N39),(-N40*N41),(-N42*N43),(-N44*N45),(-N46*N47))</f>
        <v>10080964.721431442</v>
      </c>
      <c r="U46" s="20"/>
      <c r="W46" s="3"/>
    </row>
    <row r="47" spans="1:28" hidden="1" x14ac:dyDescent="0.25">
      <c r="A47" s="3"/>
      <c r="B47" s="3" t="s">
        <v>1009</v>
      </c>
      <c r="C47" s="18">
        <f>$AB$62</f>
        <v>1.2904761428571429E-2</v>
      </c>
      <c r="D47" s="18">
        <f>$AB$62</f>
        <v>1.2904761428571429E-2</v>
      </c>
      <c r="E47" s="18">
        <f>$AB$62</f>
        <v>1.2904761428571429E-2</v>
      </c>
      <c r="F47" s="18">
        <v>0</v>
      </c>
      <c r="G47" s="18">
        <f>SUM(W8,W23)</f>
        <v>3.2000000000000001E-2</v>
      </c>
      <c r="H47" s="18">
        <v>0</v>
      </c>
      <c r="I47" s="18">
        <f>$AA$62</f>
        <v>7.9047614285714281E-3</v>
      </c>
      <c r="J47" s="18">
        <f>$AA$62</f>
        <v>7.9047614285714281E-3</v>
      </c>
      <c r="K47" s="18">
        <f>SUM($W$9,$W$23)</f>
        <v>3.2000000000000001E-2</v>
      </c>
      <c r="L47" s="18">
        <v>0</v>
      </c>
      <c r="M47" s="18">
        <v>0</v>
      </c>
      <c r="N47" s="7">
        <f>SUM($W$7,$W$23)</f>
        <v>4.1999999999999996E-2</v>
      </c>
      <c r="O47" s="7">
        <f>SUM($W$10,$W$23)</f>
        <v>3.6999999999999998E-2</v>
      </c>
      <c r="P47" s="18">
        <f>Q46/P46</f>
        <v>2.1794776344507202E-2</v>
      </c>
      <c r="R47" s="7">
        <f>SUM($W$10,$W$23)</f>
        <v>3.6999999999999998E-2</v>
      </c>
      <c r="W47" s="3"/>
    </row>
    <row r="48" spans="1:28" hidden="1" x14ac:dyDescent="0.25">
      <c r="A48" s="3"/>
      <c r="B48" s="3" t="s">
        <v>1010</v>
      </c>
      <c r="C48" s="11">
        <f>(C29/$Z$54)*$X$19</f>
        <v>22163973.333333332</v>
      </c>
      <c r="D48" s="11">
        <f>(D29/$Z$54)*$X$20</f>
        <v>893728</v>
      </c>
      <c r="E48" s="11">
        <f>E29/$Z$54</f>
        <v>0</v>
      </c>
      <c r="F48" s="3"/>
      <c r="G48" s="3"/>
      <c r="H48" s="3"/>
      <c r="I48" s="46">
        <f>I29/$Z$54</f>
        <v>-97936733.333333328</v>
      </c>
      <c r="J48" s="46">
        <f>J29/$Z$54</f>
        <v>-62666.666666666664</v>
      </c>
      <c r="K48" s="3"/>
      <c r="L48" s="3"/>
      <c r="M48" s="3"/>
      <c r="N48" s="47">
        <f>SUM(-C48,-D48)</f>
        <v>-23057701.333333332</v>
      </c>
      <c r="O48" s="11">
        <f>-SUM(C48,D48,E48,I48,J48,N48)</f>
        <v>97999400</v>
      </c>
      <c r="P48" s="20">
        <f>SUM(P46,R48)</f>
        <v>-1475358572.2211924</v>
      </c>
      <c r="Q48" s="21">
        <f>SUM(S48,T48)</f>
        <v>-34432503.061998144</v>
      </c>
      <c r="R48" s="20">
        <f>SUM(C48,D48,N48,Q48)</f>
        <v>-34432503.061998144</v>
      </c>
      <c r="S48" s="20">
        <f>SUM((SUM(I29,-I30,-I32,-I34,-I36,-I38,-I40,-I42,-I44,-I46,-I48)*I49),(SUM(J29,-J30,-J32,-J34,-J36,-J38,-J40,-J42,-J44,-J46,-J48)*J49),(SUM(K29,-K30)*K49),(-O30*O31),(-O32*O33),(-O34*O35),(-O36*O37),(-O38*O39),(-O40*O41),(-O42*O43),(-O44*O45),(-O46*O47),(-O48*O49),(R30*R31),(R32*R33),(R34*R35),(R36*R37),(R38*R39),(R40*R41),(R42*R43),(R44*R45),(R46*R47))</f>
        <v>-45090972.536901698</v>
      </c>
      <c r="T48" s="37">
        <f>SUM((SUM(C29,-C30,-C32,-C34,-C36,-C38,-C40,-C42,-C44,-C46,-C48)*C49),(SUM(D29,-D30,-D32,-D34,-D36,-D38,-D40,-D42,-D44,-D46,-D48)*D49),(SUM(E29,-E30,-E32,-E34,-E36,-E38,-E40,-E42,-E44,-E46,-E48)*E49),(SUM(G29,-G30)*G49),(-N30*N31),(-N32*N33),(-N34*N35),(-N36*N37),(-N38*N39),(-N40*N41),(-N42*N43),(-N44*N45),(-N46*N47),(-N48*N49))</f>
        <v>10658469.474903552</v>
      </c>
      <c r="U48" s="20"/>
      <c r="W48" s="3"/>
    </row>
    <row r="49" spans="1:28" hidden="1" x14ac:dyDescent="0.25">
      <c r="A49" s="3"/>
      <c r="B49" s="3" t="s">
        <v>1011</v>
      </c>
      <c r="C49" s="18">
        <f>$AB$63</f>
        <v>1.2072221666666667E-2</v>
      </c>
      <c r="D49" s="18">
        <f>$AB$63</f>
        <v>1.2072221666666667E-2</v>
      </c>
      <c r="E49" s="18">
        <f>$AB$63</f>
        <v>1.2072221666666667E-2</v>
      </c>
      <c r="F49" s="18">
        <v>0</v>
      </c>
      <c r="G49" s="18">
        <f>SUM(W8,W23)</f>
        <v>3.2000000000000001E-2</v>
      </c>
      <c r="H49" s="18">
        <v>0</v>
      </c>
      <c r="I49" s="18">
        <f>$AA$63</f>
        <v>7.0722216666666664E-3</v>
      </c>
      <c r="J49" s="18">
        <f>$AA$63</f>
        <v>7.0722216666666664E-3</v>
      </c>
      <c r="K49" s="18">
        <f>SUM($W$9,$W$23)</f>
        <v>3.2000000000000001E-2</v>
      </c>
      <c r="L49" s="18">
        <v>0</v>
      </c>
      <c r="M49" s="18">
        <v>0</v>
      </c>
      <c r="N49" s="7">
        <f>SUM($W$7,$W$23)</f>
        <v>4.1999999999999996E-2</v>
      </c>
      <c r="O49" s="7">
        <f>SUM($W$10,$W$23)</f>
        <v>3.6999999999999998E-2</v>
      </c>
      <c r="P49" s="18">
        <f>Q48/P48</f>
        <v>2.3338396312808943E-2</v>
      </c>
      <c r="R49" s="7">
        <f>SUM($W$10,$W$23)</f>
        <v>3.6999999999999998E-2</v>
      </c>
      <c r="W49" s="3"/>
    </row>
    <row r="50" spans="1:28" x14ac:dyDescent="0.25">
      <c r="C50" s="4"/>
      <c r="D50" s="4"/>
      <c r="E50" s="9"/>
      <c r="F50" s="17"/>
      <c r="G50" s="17"/>
      <c r="H50" s="17"/>
      <c r="I50" s="9"/>
      <c r="J50" s="9"/>
      <c r="K50" s="4"/>
      <c r="L50" s="17"/>
      <c r="M50" s="17"/>
      <c r="N50" s="7"/>
      <c r="O50" s="7"/>
      <c r="P50" s="6"/>
      <c r="W50" s="3"/>
    </row>
    <row r="51" spans="1:28" x14ac:dyDescent="0.25">
      <c r="W51" s="3"/>
    </row>
    <row r="52" spans="1:28" x14ac:dyDescent="0.25">
      <c r="Y52" s="330" t="s">
        <v>105</v>
      </c>
      <c r="Z52" s="337">
        <v>15</v>
      </c>
      <c r="AA52" s="331" t="s">
        <v>103</v>
      </c>
      <c r="AB52" s="332" t="s">
        <v>102</v>
      </c>
    </row>
    <row r="53" spans="1:28" x14ac:dyDescent="0.25">
      <c r="Y53" s="333" t="s">
        <v>104</v>
      </c>
      <c r="Z53" s="334"/>
      <c r="AA53" s="40"/>
      <c r="AB53" s="62"/>
    </row>
    <row r="54" spans="1:28" x14ac:dyDescent="0.25">
      <c r="U54" s="124"/>
      <c r="Y54" s="133">
        <f>SUM(Y28,1)</f>
        <v>2022</v>
      </c>
      <c r="Z54" s="40">
        <f>Z52</f>
        <v>15</v>
      </c>
      <c r="AA54" s="327">
        <f>SUM(AA14*1/Z54,AA15*1/Z54,AA16*1/Z54,AA17*1/$Z$54,AA18*1/$Z$54,AA19*1/$Z$54,AA20*1/$Z$54,AA21*1/$Z$54,AA22*1/$Z$54,AA23*1/$Z$54,AA24*1/$Z$54,AA25*1/$Z$54,AA26*1/$Z$54,AA27*1/Z54,AA28*1/Z54)</f>
        <v>2.2568888666666665E-2</v>
      </c>
      <c r="AB54" s="328">
        <f t="shared" ref="AB54:AB63" si="3">SUM(AA54,0.5%)</f>
        <v>2.7568888666666666E-2</v>
      </c>
    </row>
    <row r="55" spans="1:28" x14ac:dyDescent="0.25">
      <c r="W55" s="15"/>
      <c r="Y55" s="133">
        <f>SUM(Y54,1)</f>
        <v>2023</v>
      </c>
      <c r="Z55" s="40">
        <f>SUM(Z52,-1)</f>
        <v>14</v>
      </c>
      <c r="AA55" s="327">
        <f>SUM(AA15*1/Z55,AA16*1/Z55,AA17*1/Z55,AA18*1/$Z$55,AA19*1/$Z$55,AA20*1/$Z$55,AA21*1/$Z$55,AA22*1/$Z$55,AA23*1/$Z$55,AA24*1/$Z$55,AA25*1/$Z$55,AA26*1/$Z$55,AA27*1/Z55,AA28*1/Z55)</f>
        <v>2.0688095E-2</v>
      </c>
      <c r="AB55" s="328">
        <f t="shared" si="3"/>
        <v>2.5688095000000001E-2</v>
      </c>
    </row>
    <row r="56" spans="1:28" ht="12.65" customHeight="1" x14ac:dyDescent="0.25">
      <c r="U56" s="124"/>
      <c r="W56" s="48"/>
      <c r="Y56" s="133">
        <f t="shared" ref="Y56:Y63" si="4">SUM(Y55,1)</f>
        <v>2024</v>
      </c>
      <c r="Z56" s="40">
        <f>SUM(Z52,-2)</f>
        <v>13</v>
      </c>
      <c r="AA56" s="327">
        <f>SUM(AA16*1/Z56,AA17*1/Z56,AA18*1/Z56,$AA$19*1/Z56,$AA$20*1/Z56,$AA$21*1/Z56,$AA$22*1/Z56,$AA$23*1/Z56,$AA$24*1/Z56,$AA$25*1/Z56,$AA$26*1/Z56,AA27*1/Z56,AA28*1/Z56)</f>
        <v>1.8564102307692305E-2</v>
      </c>
      <c r="AB56" s="328">
        <f t="shared" si="3"/>
        <v>2.3564102307692306E-2</v>
      </c>
    </row>
    <row r="57" spans="1:28" x14ac:dyDescent="0.25">
      <c r="Y57" s="133">
        <f t="shared" si="4"/>
        <v>2025</v>
      </c>
      <c r="Z57" s="40">
        <f>SUM(Z52,-3)</f>
        <v>12</v>
      </c>
      <c r="AA57" s="327">
        <f>SUM(AA17*1/Z57,AA18*1/Z57,AA19*1/Z57,$AA$20*1/Z57,$AA$21*1/Z57,$AA$22*1/Z57,$AA$23*1/Z57,$AA$24*1/Z57,$AA$25*1/Z57,$AA$26*1/Z57,AA27*1/Z57,AA28*1/Z57)</f>
        <v>1.6536110833333329E-2</v>
      </c>
      <c r="AB57" s="328">
        <f t="shared" si="3"/>
        <v>2.153611083333333E-2</v>
      </c>
    </row>
    <row r="58" spans="1:28" x14ac:dyDescent="0.25">
      <c r="U58" s="124"/>
      <c r="Y58" s="133">
        <f t="shared" si="4"/>
        <v>2026</v>
      </c>
      <c r="Z58" s="40">
        <f>SUM(Z52,-4)</f>
        <v>11</v>
      </c>
      <c r="AA58" s="327">
        <f>SUM(AA18*1/Z58,AA19*1/Z58,AA20*1/Z58,$AA$21*1/Z58,$AA$22*1/Z58,$AA$23*1/Z58,$AA$24*1/Z58,$AA$25*1/Z58,$AA$26*1/Z58,AA27*1/Z58,AA28*1/Z58)</f>
        <v>1.4775757272727274E-2</v>
      </c>
      <c r="AB58" s="328">
        <f t="shared" si="3"/>
        <v>1.9775757272727273E-2</v>
      </c>
    </row>
    <row r="59" spans="1:28" x14ac:dyDescent="0.25">
      <c r="Y59" s="133">
        <f t="shared" si="4"/>
        <v>2027</v>
      </c>
      <c r="Z59" s="40">
        <f>SUM(Z52,-5)</f>
        <v>10</v>
      </c>
      <c r="AA59" s="327">
        <f>SUM(AA19*1/Z59,AA20*1/Z59,AA21*1/Z59,$AA$22*1/Z59,$AA$23*1/Z59,$AA$24*1/Z59,$AA$25*1/Z59,$AA$26*1/Z59,AA27*1/Z59,AA28*1/Z59)</f>
        <v>1.2673332999999998E-2</v>
      </c>
      <c r="AB59" s="328">
        <f t="shared" si="3"/>
        <v>1.7673332999999999E-2</v>
      </c>
    </row>
    <row r="60" spans="1:28" x14ac:dyDescent="0.25">
      <c r="U60" s="124"/>
      <c r="Y60" s="133">
        <f t="shared" si="4"/>
        <v>2028</v>
      </c>
      <c r="Z60" s="40">
        <f>SUM(Z52,-6)</f>
        <v>9</v>
      </c>
      <c r="AA60" s="327">
        <f>SUM(AA20*1/Z60,AA21*1/Z60,AA22*1/Z60,$AA$23*1/Z60,$AA$24*1/Z60,$AA$25*1/Z60,$AA$26*1/Z60,AA27*1/Z60,AA28*1/Z60)</f>
        <v>1.1270370000000002E-2</v>
      </c>
      <c r="AB60" s="328">
        <f t="shared" si="3"/>
        <v>1.6270370000000003E-2</v>
      </c>
    </row>
    <row r="61" spans="1:28" x14ac:dyDescent="0.25">
      <c r="Y61" s="133">
        <f t="shared" si="4"/>
        <v>2029</v>
      </c>
      <c r="Z61" s="40">
        <f>SUM(Z52,-7)</f>
        <v>8</v>
      </c>
      <c r="AA61" s="327">
        <f>SUM(AA21*1/Z61,AA22*1/Z61,AA23*1/Z61,$AA$24*1/Z61,$AA$25*1/Z61,$AA$26*1/Z61,AA27*1/Z61,AA28*1/Z61)</f>
        <v>9.4791662500000005E-3</v>
      </c>
      <c r="AB61" s="328">
        <f t="shared" si="3"/>
        <v>1.4479166250000002E-2</v>
      </c>
    </row>
    <row r="62" spans="1:28" x14ac:dyDescent="0.25">
      <c r="U62" s="124"/>
      <c r="Y62" s="133">
        <f t="shared" si="4"/>
        <v>2030</v>
      </c>
      <c r="Z62" s="40">
        <f>SUM(Z52,-8)</f>
        <v>7</v>
      </c>
      <c r="AA62" s="327">
        <f>SUM(AA22*1/$Z$62,AA23*1/$Z$62,AA24*1/$Z$62,AA25*1/$Z$62,AA26*1/$Z$62,AA27*1/Z62,AA28*1/Z62)</f>
        <v>7.9047614285714281E-3</v>
      </c>
      <c r="AB62" s="328">
        <f t="shared" si="3"/>
        <v>1.2904761428571429E-2</v>
      </c>
    </row>
    <row r="63" spans="1:28" x14ac:dyDescent="0.25">
      <c r="Y63" s="135">
        <f t="shared" si="4"/>
        <v>2031</v>
      </c>
      <c r="Z63" s="58">
        <f>SUM(Z52,-9)</f>
        <v>6</v>
      </c>
      <c r="AA63" s="335">
        <f>((AA23*1/$Z$63)+(AA24*1/$Z$63)+(AA25*1/$Z$63)+(AA26*1/$Z$63)+(AA27*1/$Z$63)+(AA28*1/Z63))</f>
        <v>7.0722216666666664E-3</v>
      </c>
      <c r="AB63" s="336">
        <f t="shared" si="3"/>
        <v>1.2072221666666667E-2</v>
      </c>
    </row>
    <row r="64" spans="1:28" x14ac:dyDescent="0.25">
      <c r="U64" s="124"/>
    </row>
    <row r="66" spans="1:26" x14ac:dyDescent="0.25">
      <c r="U66" s="123"/>
    </row>
    <row r="68" spans="1:26" x14ac:dyDescent="0.25">
      <c r="U68" s="124"/>
    </row>
    <row r="70" spans="1:26" x14ac:dyDescent="0.25">
      <c r="U70" s="124"/>
    </row>
    <row r="72" spans="1:26" x14ac:dyDescent="0.25">
      <c r="U72" s="123"/>
    </row>
    <row r="74" spans="1:26" x14ac:dyDescent="0.25">
      <c r="V74" s="36"/>
    </row>
    <row r="75" spans="1:26" s="5" customFormat="1" x14ac:dyDescent="0.25">
      <c r="A75" s="13"/>
      <c r="B75" s="13"/>
      <c r="C75" s="13"/>
      <c r="D75" s="13"/>
      <c r="E75" s="13"/>
      <c r="F75" s="13"/>
      <c r="G75" s="13"/>
      <c r="H75" s="13"/>
      <c r="I75" s="13"/>
      <c r="J75" s="13"/>
      <c r="K75" s="13"/>
      <c r="L75" s="13"/>
      <c r="M75" s="13"/>
      <c r="N75" s="3"/>
      <c r="O75" s="3"/>
      <c r="P75" s="3"/>
      <c r="Q75" s="3"/>
      <c r="R75" s="3"/>
      <c r="S75" s="3"/>
      <c r="T75" s="3"/>
      <c r="U75" s="3"/>
      <c r="V75" s="3"/>
      <c r="Z75" s="13"/>
    </row>
    <row r="76" spans="1:26" s="3" customFormat="1" ht="14.25" customHeight="1" x14ac:dyDescent="0.25">
      <c r="A76" s="13"/>
      <c r="B76" s="13"/>
      <c r="C76" s="13"/>
      <c r="D76" s="13"/>
      <c r="E76" s="13"/>
      <c r="F76" s="13"/>
      <c r="G76" s="13"/>
      <c r="H76" s="13"/>
      <c r="I76" s="13"/>
      <c r="J76" s="13"/>
      <c r="K76" s="13"/>
      <c r="L76" s="13"/>
      <c r="M76" s="13"/>
      <c r="Z76" s="5"/>
    </row>
    <row r="77" spans="1:26" s="3" customFormat="1" x14ac:dyDescent="0.25">
      <c r="A77" s="13"/>
      <c r="B77" s="13"/>
      <c r="C77" s="13"/>
      <c r="D77" s="13"/>
      <c r="E77" s="13"/>
      <c r="F77" s="13"/>
      <c r="G77" s="13"/>
      <c r="H77" s="13"/>
      <c r="I77" s="13"/>
      <c r="J77" s="13"/>
      <c r="K77" s="13"/>
      <c r="L77" s="13"/>
      <c r="M77" s="13"/>
    </row>
    <row r="78" spans="1:26" s="3" customFormat="1" x14ac:dyDescent="0.25">
      <c r="A78" s="13"/>
      <c r="B78" s="13"/>
      <c r="C78" s="13"/>
      <c r="D78" s="13"/>
      <c r="E78" s="13"/>
      <c r="F78" s="13"/>
      <c r="G78" s="13"/>
      <c r="H78" s="13"/>
      <c r="I78" s="13"/>
      <c r="J78" s="13"/>
      <c r="K78" s="13"/>
      <c r="L78" s="13"/>
      <c r="M78" s="13"/>
    </row>
    <row r="79" spans="1:26" s="3" customFormat="1" x14ac:dyDescent="0.25">
      <c r="A79" s="13"/>
      <c r="B79" s="13"/>
      <c r="C79" s="13"/>
      <c r="D79" s="13"/>
      <c r="E79" s="13"/>
      <c r="F79" s="13"/>
      <c r="G79" s="13"/>
      <c r="H79" s="13"/>
      <c r="I79" s="13"/>
      <c r="J79" s="13"/>
      <c r="K79" s="13"/>
      <c r="L79" s="13"/>
      <c r="M79" s="13"/>
    </row>
    <row r="80" spans="1:26" s="3" customFormat="1" x14ac:dyDescent="0.25">
      <c r="A80" s="13"/>
      <c r="B80" s="13"/>
      <c r="C80" s="13"/>
      <c r="D80" s="13"/>
      <c r="E80" s="13"/>
      <c r="F80" s="13"/>
      <c r="G80" s="13"/>
      <c r="H80" s="13"/>
      <c r="I80" s="13"/>
      <c r="J80" s="13"/>
      <c r="K80" s="13"/>
      <c r="L80" s="13"/>
      <c r="M80" s="13"/>
    </row>
    <row r="81" spans="1:13" s="3" customFormat="1" x14ac:dyDescent="0.25">
      <c r="A81" s="13"/>
      <c r="B81" s="13"/>
      <c r="C81" s="13"/>
      <c r="D81" s="13"/>
      <c r="E81" s="13"/>
      <c r="F81" s="13"/>
      <c r="G81" s="13"/>
      <c r="H81" s="13"/>
      <c r="I81" s="13"/>
      <c r="J81" s="13"/>
      <c r="K81" s="13"/>
      <c r="L81" s="13"/>
      <c r="M81" s="13"/>
    </row>
    <row r="82" spans="1:13" s="3" customFormat="1" x14ac:dyDescent="0.25">
      <c r="A82" s="13"/>
      <c r="B82" s="13"/>
      <c r="C82" s="13"/>
      <c r="D82" s="13"/>
      <c r="E82" s="13"/>
      <c r="F82" s="13"/>
      <c r="G82" s="13"/>
      <c r="H82" s="13"/>
      <c r="I82" s="13"/>
      <c r="J82" s="13"/>
      <c r="K82" s="13"/>
      <c r="L82" s="13"/>
      <c r="M82" s="13"/>
    </row>
    <row r="83" spans="1:13" s="3" customFormat="1" x14ac:dyDescent="0.25">
      <c r="A83" s="13"/>
      <c r="B83" s="13"/>
      <c r="C83" s="13"/>
      <c r="D83" s="13"/>
      <c r="E83" s="13"/>
      <c r="F83" s="13"/>
      <c r="G83" s="13"/>
      <c r="H83" s="13"/>
      <c r="I83" s="13"/>
      <c r="J83" s="13"/>
      <c r="K83" s="13"/>
      <c r="L83" s="13"/>
      <c r="M83" s="13"/>
    </row>
    <row r="84" spans="1:13" s="3" customFormat="1" x14ac:dyDescent="0.25">
      <c r="A84" s="13"/>
      <c r="B84" s="13"/>
      <c r="C84" s="13"/>
      <c r="D84" s="13"/>
      <c r="E84" s="13"/>
      <c r="F84" s="13"/>
      <c r="G84" s="13"/>
      <c r="H84" s="13"/>
      <c r="I84" s="13"/>
      <c r="J84" s="13"/>
      <c r="K84" s="13"/>
      <c r="L84" s="13"/>
      <c r="M84" s="13"/>
    </row>
    <row r="85" spans="1:13" s="3" customFormat="1" x14ac:dyDescent="0.25">
      <c r="A85" s="13"/>
      <c r="B85" s="13"/>
      <c r="C85" s="13"/>
      <c r="D85" s="13"/>
      <c r="E85" s="13"/>
      <c r="F85" s="13"/>
      <c r="G85" s="13"/>
      <c r="H85" s="13"/>
      <c r="I85" s="13"/>
      <c r="J85" s="13"/>
      <c r="K85" s="13"/>
      <c r="L85" s="13"/>
      <c r="M85" s="13"/>
    </row>
    <row r="86" spans="1:13" s="3" customFormat="1" x14ac:dyDescent="0.25">
      <c r="A86" s="13"/>
      <c r="B86" s="13"/>
      <c r="C86" s="13"/>
      <c r="D86" s="13"/>
      <c r="E86" s="13"/>
      <c r="F86" s="13"/>
      <c r="G86" s="13"/>
      <c r="H86" s="13"/>
      <c r="I86" s="13"/>
      <c r="J86" s="13"/>
      <c r="K86" s="13"/>
      <c r="L86" s="13"/>
      <c r="M86" s="13"/>
    </row>
    <row r="87" spans="1:13" s="3" customFormat="1" x14ac:dyDescent="0.25">
      <c r="A87" s="13"/>
      <c r="B87" s="13"/>
      <c r="C87" s="13"/>
      <c r="D87" s="13"/>
      <c r="E87" s="13"/>
      <c r="F87" s="13"/>
      <c r="G87" s="13"/>
      <c r="H87" s="13"/>
      <c r="I87" s="13"/>
      <c r="J87" s="13"/>
      <c r="K87" s="13"/>
      <c r="L87" s="13"/>
      <c r="M87" s="13"/>
    </row>
    <row r="88" spans="1:13" s="3" customFormat="1" x14ac:dyDescent="0.25">
      <c r="A88" s="13"/>
      <c r="B88" s="13"/>
      <c r="C88" s="13"/>
      <c r="D88" s="13"/>
      <c r="E88" s="13"/>
      <c r="F88" s="13"/>
      <c r="G88" s="13"/>
      <c r="H88" s="13"/>
      <c r="I88" s="13"/>
      <c r="J88" s="13"/>
      <c r="K88" s="13"/>
      <c r="L88" s="13"/>
      <c r="M88" s="13"/>
    </row>
    <row r="89" spans="1:13" s="3" customFormat="1" x14ac:dyDescent="0.25">
      <c r="A89" s="13"/>
      <c r="B89" s="13"/>
      <c r="C89" s="13"/>
      <c r="D89" s="13"/>
      <c r="E89" s="13"/>
      <c r="F89" s="13"/>
      <c r="G89" s="13"/>
      <c r="H89" s="13"/>
      <c r="I89" s="13"/>
      <c r="J89" s="13"/>
      <c r="K89" s="13"/>
      <c r="L89" s="13"/>
      <c r="M89" s="13"/>
    </row>
    <row r="90" spans="1:13" s="3" customFormat="1" x14ac:dyDescent="0.25">
      <c r="A90" s="13"/>
      <c r="B90" s="13"/>
      <c r="C90" s="13"/>
      <c r="D90" s="13"/>
      <c r="E90" s="13"/>
      <c r="F90" s="13"/>
      <c r="G90" s="13"/>
      <c r="H90" s="13"/>
      <c r="I90" s="13"/>
      <c r="J90" s="13"/>
      <c r="K90" s="13"/>
      <c r="L90" s="13"/>
      <c r="M90" s="13"/>
    </row>
    <row r="91" spans="1:13" s="3" customFormat="1" x14ac:dyDescent="0.25">
      <c r="A91" s="13"/>
      <c r="B91" s="13"/>
      <c r="C91" s="13"/>
      <c r="D91" s="13"/>
      <c r="E91" s="13"/>
      <c r="F91" s="13"/>
      <c r="G91" s="13"/>
      <c r="H91" s="13"/>
      <c r="I91" s="13"/>
      <c r="J91" s="13"/>
      <c r="K91" s="13"/>
      <c r="L91" s="13"/>
      <c r="M91" s="13"/>
    </row>
    <row r="92" spans="1:13" s="3" customFormat="1" x14ac:dyDescent="0.25">
      <c r="A92" s="13"/>
      <c r="B92" s="13"/>
      <c r="C92" s="13"/>
      <c r="D92" s="13"/>
      <c r="E92" s="13"/>
      <c r="F92" s="13"/>
      <c r="G92" s="13"/>
      <c r="H92" s="13"/>
      <c r="I92" s="13"/>
      <c r="J92" s="13"/>
      <c r="K92" s="13"/>
      <c r="L92" s="13"/>
      <c r="M92" s="13"/>
    </row>
    <row r="93" spans="1:13" s="3" customFormat="1" x14ac:dyDescent="0.25">
      <c r="A93" s="13"/>
      <c r="B93" s="13"/>
      <c r="C93" s="13"/>
      <c r="D93" s="13"/>
      <c r="E93" s="13"/>
      <c r="F93" s="13"/>
      <c r="G93" s="13"/>
      <c r="H93" s="13"/>
      <c r="I93" s="13"/>
      <c r="J93" s="13"/>
      <c r="K93" s="13"/>
      <c r="L93" s="13"/>
      <c r="M93" s="13"/>
    </row>
    <row r="94" spans="1:13" s="3" customFormat="1" x14ac:dyDescent="0.25">
      <c r="A94" s="13"/>
      <c r="B94" s="13"/>
      <c r="C94" s="13"/>
      <c r="D94" s="13"/>
      <c r="E94" s="13"/>
      <c r="F94" s="13"/>
      <c r="G94" s="13"/>
      <c r="H94" s="13"/>
      <c r="I94" s="13"/>
      <c r="J94" s="13"/>
      <c r="K94" s="13"/>
      <c r="L94" s="13"/>
      <c r="M94" s="13"/>
    </row>
    <row r="95" spans="1:13" s="3" customFormat="1" x14ac:dyDescent="0.25">
      <c r="A95" s="13"/>
      <c r="B95" s="13"/>
      <c r="C95" s="13"/>
      <c r="D95" s="13"/>
      <c r="E95" s="13"/>
      <c r="F95" s="13"/>
      <c r="G95" s="13"/>
      <c r="H95" s="13"/>
      <c r="I95" s="13"/>
      <c r="J95" s="13"/>
      <c r="K95" s="13"/>
      <c r="L95" s="13"/>
      <c r="M95" s="13"/>
    </row>
    <row r="96" spans="1:13" s="3" customFormat="1" x14ac:dyDescent="0.25">
      <c r="A96" s="13"/>
      <c r="B96" s="13"/>
      <c r="C96" s="13"/>
      <c r="D96" s="13"/>
      <c r="E96" s="13"/>
      <c r="F96" s="13"/>
      <c r="G96" s="13"/>
      <c r="H96" s="13"/>
      <c r="I96" s="13"/>
      <c r="J96" s="13"/>
      <c r="K96" s="13"/>
      <c r="L96" s="13"/>
      <c r="M96" s="13"/>
    </row>
    <row r="97" spans="1:26" s="3" customFormat="1" x14ac:dyDescent="0.25">
      <c r="A97" s="13"/>
      <c r="B97" s="13"/>
      <c r="C97" s="13"/>
      <c r="D97" s="13"/>
      <c r="E97" s="13"/>
      <c r="F97" s="13"/>
      <c r="G97" s="13"/>
      <c r="H97" s="13"/>
      <c r="I97" s="13"/>
      <c r="J97" s="13"/>
      <c r="K97" s="13"/>
      <c r="L97" s="13"/>
      <c r="M97" s="13"/>
    </row>
    <row r="98" spans="1:26" s="3" customFormat="1" x14ac:dyDescent="0.25">
      <c r="A98" s="13"/>
      <c r="B98" s="13"/>
      <c r="C98" s="13"/>
      <c r="D98" s="13"/>
      <c r="E98" s="13"/>
      <c r="F98" s="13"/>
      <c r="G98" s="13"/>
      <c r="H98" s="13"/>
      <c r="I98" s="13"/>
      <c r="J98" s="13"/>
      <c r="K98" s="13"/>
      <c r="L98" s="13"/>
      <c r="M98" s="13"/>
    </row>
    <row r="99" spans="1:26" x14ac:dyDescent="0.25">
      <c r="Z99" s="3"/>
    </row>
  </sheetData>
  <sheetProtection algorithmName="SHA-512" hashValue="+Jxpku54nQ8k+hoPT3ZF9J+EnMxy7MDzrQuXW6+agaSz2yGGdj8/n2PgLVeo0nt80aVqVKSSLFMySGUNBqucxw==" saltValue="QQilKp7JSumOr6+1bo2sWQ==" spinCount="100000" sheet="1" selectLockedCells="1"/>
  <customSheetViews>
    <customSheetView guid="{B41B624D-DA5C-4FA3-85F1-D5B8087B6A65}">
      <pageMargins left="0.7" right="0.7" top="0.75" bottom="0.75" header="0.3" footer="0.3"/>
    </customSheetView>
  </customSheetViews>
  <mergeCells count="1">
    <mergeCell ref="A1:B1"/>
  </mergeCells>
  <conditionalFormatting sqref="F8">
    <cfRule type="cellIs" dxfId="380" priority="1248" operator="greaterThan">
      <formula>0</formula>
    </cfRule>
    <cfRule type="cellIs" dxfId="379" priority="1254" operator="greaterThan">
      <formula>0</formula>
    </cfRule>
    <cfRule type="cellIs" dxfId="378" priority="1256" operator="greaterThan">
      <formula>" € - "</formula>
    </cfRule>
  </conditionalFormatting>
  <conditionalFormatting sqref="C10 C12 C14 C16 C18 C20 C22 C24 C8">
    <cfRule type="cellIs" dxfId="377" priority="1245" operator="greaterThan">
      <formula>0</formula>
    </cfRule>
  </conditionalFormatting>
  <conditionalFormatting sqref="E8">
    <cfRule type="cellIs" dxfId="376" priority="1104" operator="greaterThan">
      <formula>0</formula>
    </cfRule>
    <cfRule type="cellIs" dxfId="375" priority="1105" operator="greaterThan">
      <formula>0</formula>
    </cfRule>
    <cfRule type="cellIs" dxfId="374" priority="1106" operator="greaterThan">
      <formula>" € - "</formula>
    </cfRule>
  </conditionalFormatting>
  <conditionalFormatting sqref="E8">
    <cfRule type="cellIs" dxfId="373" priority="1102" operator="greaterThan">
      <formula>0</formula>
    </cfRule>
    <cfRule type="cellIs" dxfId="372" priority="1103" operator="greaterThan">
      <formula>" € - "</formula>
    </cfRule>
  </conditionalFormatting>
  <conditionalFormatting sqref="E8">
    <cfRule type="cellIs" dxfId="371" priority="1097" operator="greaterThan">
      <formula>0</formula>
    </cfRule>
    <cfRule type="cellIs" dxfId="370" priority="1098" operator="greaterThan">
      <formula>0</formula>
    </cfRule>
    <cfRule type="cellIs" dxfId="369" priority="1099" operator="greaterThan">
      <formula>0</formula>
    </cfRule>
    <cfRule type="cellIs" dxfId="368" priority="1100" operator="greaterThan">
      <formula>0</formula>
    </cfRule>
    <cfRule type="cellIs" dxfId="367" priority="1101" operator="greaterThan">
      <formula>0</formula>
    </cfRule>
  </conditionalFormatting>
  <conditionalFormatting sqref="E8">
    <cfRule type="cellIs" dxfId="366" priority="1096" operator="greaterThan">
      <formula>0</formula>
    </cfRule>
  </conditionalFormatting>
  <conditionalFormatting sqref="E10">
    <cfRule type="cellIs" dxfId="365" priority="1093" operator="greaterThan">
      <formula>0</formula>
    </cfRule>
    <cfRule type="cellIs" dxfId="364" priority="1094" operator="greaterThan">
      <formula>0</formula>
    </cfRule>
    <cfRule type="cellIs" dxfId="363" priority="1095" operator="greaterThan">
      <formula>" € - "</formula>
    </cfRule>
  </conditionalFormatting>
  <conditionalFormatting sqref="E10">
    <cfRule type="cellIs" dxfId="362" priority="1091" operator="greaterThan">
      <formula>0</formula>
    </cfRule>
    <cfRule type="cellIs" dxfId="361" priority="1092" operator="greaterThan">
      <formula>" € - "</formula>
    </cfRule>
  </conditionalFormatting>
  <conditionalFormatting sqref="E10">
    <cfRule type="cellIs" dxfId="360" priority="1086" operator="greaterThan">
      <formula>0</formula>
    </cfRule>
    <cfRule type="cellIs" dxfId="359" priority="1087" operator="greaterThan">
      <formula>0</formula>
    </cfRule>
    <cfRule type="cellIs" dxfId="358" priority="1088" operator="greaterThan">
      <formula>0</formula>
    </cfRule>
    <cfRule type="cellIs" dxfId="357" priority="1089" operator="greaterThan">
      <formula>0</formula>
    </cfRule>
    <cfRule type="cellIs" dxfId="356" priority="1090" operator="greaterThan">
      <formula>0</formula>
    </cfRule>
  </conditionalFormatting>
  <conditionalFormatting sqref="E10">
    <cfRule type="cellIs" dxfId="355" priority="1085" operator="greaterThan">
      <formula>0</formula>
    </cfRule>
  </conditionalFormatting>
  <conditionalFormatting sqref="E12">
    <cfRule type="cellIs" dxfId="354" priority="1082" operator="greaterThan">
      <formula>0</formula>
    </cfRule>
    <cfRule type="cellIs" dxfId="353" priority="1083" operator="greaterThan">
      <formula>0</formula>
    </cfRule>
    <cfRule type="cellIs" dxfId="352" priority="1084" operator="greaterThan">
      <formula>" € - "</formula>
    </cfRule>
  </conditionalFormatting>
  <conditionalFormatting sqref="E12">
    <cfRule type="cellIs" dxfId="351" priority="1080" operator="greaterThan">
      <formula>0</formula>
    </cfRule>
    <cfRule type="cellIs" dxfId="350" priority="1081" operator="greaterThan">
      <formula>" € - "</formula>
    </cfRule>
  </conditionalFormatting>
  <conditionalFormatting sqref="E12">
    <cfRule type="cellIs" dxfId="349" priority="1075" operator="greaterThan">
      <formula>0</formula>
    </cfRule>
    <cfRule type="cellIs" dxfId="348" priority="1076" operator="greaterThan">
      <formula>0</formula>
    </cfRule>
    <cfRule type="cellIs" dxfId="347" priority="1077" operator="greaterThan">
      <formula>0</formula>
    </cfRule>
    <cfRule type="cellIs" dxfId="346" priority="1078" operator="greaterThan">
      <formula>0</formula>
    </cfRule>
    <cfRule type="cellIs" dxfId="345" priority="1079" operator="greaterThan">
      <formula>0</formula>
    </cfRule>
  </conditionalFormatting>
  <conditionalFormatting sqref="E12">
    <cfRule type="cellIs" dxfId="344" priority="1074" operator="greaterThan">
      <formula>0</formula>
    </cfRule>
  </conditionalFormatting>
  <conditionalFormatting sqref="E14">
    <cfRule type="cellIs" dxfId="343" priority="1071" operator="greaterThan">
      <formula>0</formula>
    </cfRule>
    <cfRule type="cellIs" dxfId="342" priority="1072" operator="greaterThan">
      <formula>0</formula>
    </cfRule>
    <cfRule type="cellIs" dxfId="341" priority="1073" operator="greaterThan">
      <formula>" € - "</formula>
    </cfRule>
  </conditionalFormatting>
  <conditionalFormatting sqref="E14">
    <cfRule type="cellIs" dxfId="340" priority="1069" operator="greaterThan">
      <formula>0</formula>
    </cfRule>
    <cfRule type="cellIs" dxfId="339" priority="1070" operator="greaterThan">
      <formula>" € - "</formula>
    </cfRule>
  </conditionalFormatting>
  <conditionalFormatting sqref="E14">
    <cfRule type="cellIs" dxfId="338" priority="1064" operator="greaterThan">
      <formula>0</formula>
    </cfRule>
    <cfRule type="cellIs" dxfId="337" priority="1065" operator="greaterThan">
      <formula>0</formula>
    </cfRule>
    <cfRule type="cellIs" dxfId="336" priority="1066" operator="greaterThan">
      <formula>0</formula>
    </cfRule>
    <cfRule type="cellIs" dxfId="335" priority="1067" operator="greaterThan">
      <formula>0</formula>
    </cfRule>
    <cfRule type="cellIs" dxfId="334" priority="1068" operator="greaterThan">
      <formula>0</formula>
    </cfRule>
  </conditionalFormatting>
  <conditionalFormatting sqref="E14">
    <cfRule type="cellIs" dxfId="333" priority="1063" operator="greaterThan">
      <formula>0</formula>
    </cfRule>
  </conditionalFormatting>
  <conditionalFormatting sqref="E16">
    <cfRule type="cellIs" dxfId="332" priority="1060" operator="greaterThan">
      <formula>0</formula>
    </cfRule>
    <cfRule type="cellIs" dxfId="331" priority="1061" operator="greaterThan">
      <formula>0</formula>
    </cfRule>
    <cfRule type="cellIs" dxfId="330" priority="1062" operator="greaterThan">
      <formula>" € - "</formula>
    </cfRule>
  </conditionalFormatting>
  <conditionalFormatting sqref="E16">
    <cfRule type="cellIs" dxfId="329" priority="1058" operator="greaterThan">
      <formula>0</formula>
    </cfRule>
    <cfRule type="cellIs" dxfId="328" priority="1059" operator="greaterThan">
      <formula>" € - "</formula>
    </cfRule>
  </conditionalFormatting>
  <conditionalFormatting sqref="E16">
    <cfRule type="cellIs" dxfId="327" priority="1053" operator="greaterThan">
      <formula>0</formula>
    </cfRule>
    <cfRule type="cellIs" dxfId="326" priority="1054" operator="greaterThan">
      <formula>0</formula>
    </cfRule>
    <cfRule type="cellIs" dxfId="325" priority="1055" operator="greaterThan">
      <formula>0</formula>
    </cfRule>
    <cfRule type="cellIs" dxfId="324" priority="1056" operator="greaterThan">
      <formula>0</formula>
    </cfRule>
    <cfRule type="cellIs" dxfId="323" priority="1057" operator="greaterThan">
      <formula>0</formula>
    </cfRule>
  </conditionalFormatting>
  <conditionalFormatting sqref="E16">
    <cfRule type="cellIs" dxfId="322" priority="1052" operator="greaterThan">
      <formula>0</formula>
    </cfRule>
  </conditionalFormatting>
  <conditionalFormatting sqref="E18">
    <cfRule type="cellIs" dxfId="321" priority="1049" operator="greaterThan">
      <formula>0</formula>
    </cfRule>
    <cfRule type="cellIs" dxfId="320" priority="1050" operator="greaterThan">
      <formula>0</formula>
    </cfRule>
    <cfRule type="cellIs" dxfId="319" priority="1051" operator="greaterThan">
      <formula>" € - "</formula>
    </cfRule>
  </conditionalFormatting>
  <conditionalFormatting sqref="E18">
    <cfRule type="cellIs" dxfId="318" priority="1047" operator="greaterThan">
      <formula>0</formula>
    </cfRule>
    <cfRule type="cellIs" dxfId="317" priority="1048" operator="greaterThan">
      <formula>" € - "</formula>
    </cfRule>
  </conditionalFormatting>
  <conditionalFormatting sqref="E18">
    <cfRule type="cellIs" dxfId="316" priority="1042" operator="greaterThan">
      <formula>0</formula>
    </cfRule>
    <cfRule type="cellIs" dxfId="315" priority="1043" operator="greaterThan">
      <formula>0</formula>
    </cfRule>
    <cfRule type="cellIs" dxfId="314" priority="1044" operator="greaterThan">
      <formula>0</formula>
    </cfRule>
    <cfRule type="cellIs" dxfId="313" priority="1045" operator="greaterThan">
      <formula>0</formula>
    </cfRule>
    <cfRule type="cellIs" dxfId="312" priority="1046" operator="greaterThan">
      <formula>0</formula>
    </cfRule>
  </conditionalFormatting>
  <conditionalFormatting sqref="E18">
    <cfRule type="cellIs" dxfId="311" priority="1041" operator="greaterThan">
      <formula>0</formula>
    </cfRule>
  </conditionalFormatting>
  <conditionalFormatting sqref="E20">
    <cfRule type="cellIs" dxfId="310" priority="1038" operator="greaterThan">
      <formula>0</formula>
    </cfRule>
    <cfRule type="cellIs" dxfId="309" priority="1039" operator="greaterThan">
      <formula>0</formula>
    </cfRule>
    <cfRule type="cellIs" dxfId="308" priority="1040" operator="greaterThan">
      <formula>" € - "</formula>
    </cfRule>
  </conditionalFormatting>
  <conditionalFormatting sqref="E20">
    <cfRule type="cellIs" dxfId="307" priority="1036" operator="greaterThan">
      <formula>0</formula>
    </cfRule>
    <cfRule type="cellIs" dxfId="306" priority="1037" operator="greaterThan">
      <formula>" € - "</formula>
    </cfRule>
  </conditionalFormatting>
  <conditionalFormatting sqref="E20">
    <cfRule type="cellIs" dxfId="305" priority="1031" operator="greaterThan">
      <formula>0</formula>
    </cfRule>
    <cfRule type="cellIs" dxfId="304" priority="1032" operator="greaterThan">
      <formula>0</formula>
    </cfRule>
    <cfRule type="cellIs" dxfId="303" priority="1033" operator="greaterThan">
      <formula>0</formula>
    </cfRule>
    <cfRule type="cellIs" dxfId="302" priority="1034" operator="greaterThan">
      <formula>0</formula>
    </cfRule>
    <cfRule type="cellIs" dxfId="301" priority="1035" operator="greaterThan">
      <formula>0</formula>
    </cfRule>
  </conditionalFormatting>
  <conditionalFormatting sqref="E20">
    <cfRule type="cellIs" dxfId="300" priority="1030" operator="greaterThan">
      <formula>0</formula>
    </cfRule>
  </conditionalFormatting>
  <conditionalFormatting sqref="E22">
    <cfRule type="cellIs" dxfId="299" priority="1027" operator="greaterThan">
      <formula>0</formula>
    </cfRule>
    <cfRule type="cellIs" dxfId="298" priority="1028" operator="greaterThan">
      <formula>0</formula>
    </cfRule>
    <cfRule type="cellIs" dxfId="297" priority="1029" operator="greaterThan">
      <formula>" € - "</formula>
    </cfRule>
  </conditionalFormatting>
  <conditionalFormatting sqref="E22">
    <cfRule type="cellIs" dxfId="296" priority="1025" operator="greaterThan">
      <formula>0</formula>
    </cfRule>
    <cfRule type="cellIs" dxfId="295" priority="1026" operator="greaterThan">
      <formula>" € - "</formula>
    </cfRule>
  </conditionalFormatting>
  <conditionalFormatting sqref="E22">
    <cfRule type="cellIs" dxfId="294" priority="1020" operator="greaterThan">
      <formula>0</formula>
    </cfRule>
    <cfRule type="cellIs" dxfId="293" priority="1021" operator="greaterThan">
      <formula>0</formula>
    </cfRule>
    <cfRule type="cellIs" dxfId="292" priority="1022" operator="greaterThan">
      <formula>0</formula>
    </cfRule>
    <cfRule type="cellIs" dxfId="291" priority="1023" operator="greaterThan">
      <formula>0</formula>
    </cfRule>
    <cfRule type="cellIs" dxfId="290" priority="1024" operator="greaterThan">
      <formula>0</formula>
    </cfRule>
  </conditionalFormatting>
  <conditionalFormatting sqref="E22">
    <cfRule type="cellIs" dxfId="289" priority="1019" operator="greaterThan">
      <formula>0</formula>
    </cfRule>
  </conditionalFormatting>
  <conditionalFormatting sqref="E24">
    <cfRule type="cellIs" dxfId="288" priority="1016" operator="greaterThan">
      <formula>0</formula>
    </cfRule>
    <cfRule type="cellIs" dxfId="287" priority="1017" operator="greaterThan">
      <formula>0</formula>
    </cfRule>
    <cfRule type="cellIs" dxfId="286" priority="1018" operator="greaterThan">
      <formula>" € - "</formula>
    </cfRule>
  </conditionalFormatting>
  <conditionalFormatting sqref="E24">
    <cfRule type="cellIs" dxfId="285" priority="1014" operator="greaterThan">
      <formula>0</formula>
    </cfRule>
    <cfRule type="cellIs" dxfId="284" priority="1015" operator="greaterThan">
      <formula>" € - "</formula>
    </cfRule>
  </conditionalFormatting>
  <conditionalFormatting sqref="E24">
    <cfRule type="cellIs" dxfId="283" priority="1009" operator="greaterThan">
      <formula>0</formula>
    </cfRule>
    <cfRule type="cellIs" dxfId="282" priority="1010" operator="greaterThan">
      <formula>0</formula>
    </cfRule>
    <cfRule type="cellIs" dxfId="281" priority="1011" operator="greaterThan">
      <formula>0</formula>
    </cfRule>
    <cfRule type="cellIs" dxfId="280" priority="1012" operator="greaterThan">
      <formula>0</formula>
    </cfRule>
    <cfRule type="cellIs" dxfId="279" priority="1013" operator="greaterThan">
      <formula>0</formula>
    </cfRule>
  </conditionalFormatting>
  <conditionalFormatting sqref="E24">
    <cfRule type="cellIs" dxfId="278" priority="1008" operator="greaterThan">
      <formula>0</formula>
    </cfRule>
  </conditionalFormatting>
  <conditionalFormatting sqref="F8">
    <cfRule type="cellIs" dxfId="277" priority="989" operator="greaterThan">
      <formula>0</formula>
    </cfRule>
    <cfRule type="cellIs" dxfId="276" priority="990" operator="greaterThan">
      <formula>0</formula>
    </cfRule>
    <cfRule type="cellIs" dxfId="275" priority="991" operator="greaterThan">
      <formula>0</formula>
    </cfRule>
    <cfRule type="cellIs" dxfId="274" priority="992" operator="greaterThan">
      <formula>0</formula>
    </cfRule>
    <cfRule type="cellIs" dxfId="273" priority="993" operator="greaterThan">
      <formula>0</formula>
    </cfRule>
  </conditionalFormatting>
  <conditionalFormatting sqref="F8">
    <cfRule type="cellIs" dxfId="272" priority="988" operator="greaterThan">
      <formula>0</formula>
    </cfRule>
  </conditionalFormatting>
  <conditionalFormatting sqref="D14">
    <cfRule type="cellIs" dxfId="271" priority="925" operator="greaterThan">
      <formula>0</formula>
    </cfRule>
    <cfRule type="cellIs" dxfId="270" priority="926" operator="greaterThan">
      <formula>0</formula>
    </cfRule>
    <cfRule type="cellIs" dxfId="269" priority="927" operator="greaterThan">
      <formula>" € - "</formula>
    </cfRule>
  </conditionalFormatting>
  <conditionalFormatting sqref="D14">
    <cfRule type="cellIs" dxfId="268" priority="923" operator="greaterThan">
      <formula>0</formula>
    </cfRule>
    <cfRule type="cellIs" dxfId="267" priority="924" operator="greaterThan">
      <formula>" € - "</formula>
    </cfRule>
  </conditionalFormatting>
  <conditionalFormatting sqref="D14">
    <cfRule type="cellIs" dxfId="266" priority="918" operator="greaterThan">
      <formula>0</formula>
    </cfRule>
    <cfRule type="cellIs" dxfId="265" priority="919" operator="greaterThan">
      <formula>0</formula>
    </cfRule>
    <cfRule type="cellIs" dxfId="264" priority="920" operator="greaterThan">
      <formula>0</formula>
    </cfRule>
    <cfRule type="cellIs" dxfId="263" priority="921" operator="greaterThan">
      <formula>0</formula>
    </cfRule>
    <cfRule type="cellIs" dxfId="262" priority="922" operator="greaterThan">
      <formula>0</formula>
    </cfRule>
  </conditionalFormatting>
  <conditionalFormatting sqref="D14">
    <cfRule type="cellIs" dxfId="261" priority="917" operator="greaterThan">
      <formula>0</formula>
    </cfRule>
  </conditionalFormatting>
  <conditionalFormatting sqref="D16">
    <cfRule type="cellIs" dxfId="260" priority="914" operator="greaterThan">
      <formula>0</formula>
    </cfRule>
    <cfRule type="cellIs" dxfId="259" priority="915" operator="greaterThan">
      <formula>0</formula>
    </cfRule>
    <cfRule type="cellIs" dxfId="258" priority="916" operator="greaterThan">
      <formula>" € - "</formula>
    </cfRule>
  </conditionalFormatting>
  <conditionalFormatting sqref="D16">
    <cfRule type="cellIs" dxfId="257" priority="912" operator="greaterThan">
      <formula>0</formula>
    </cfRule>
    <cfRule type="cellIs" dxfId="256" priority="913" operator="greaterThan">
      <formula>" € - "</formula>
    </cfRule>
  </conditionalFormatting>
  <conditionalFormatting sqref="D16">
    <cfRule type="cellIs" dxfId="255" priority="907" operator="greaterThan">
      <formula>0</formula>
    </cfRule>
    <cfRule type="cellIs" dxfId="254" priority="908" operator="greaterThan">
      <formula>0</formula>
    </cfRule>
    <cfRule type="cellIs" dxfId="253" priority="909" operator="greaterThan">
      <formula>0</formula>
    </cfRule>
    <cfRule type="cellIs" dxfId="252" priority="910" operator="greaterThan">
      <formula>0</formula>
    </cfRule>
    <cfRule type="cellIs" dxfId="251" priority="911" operator="greaterThan">
      <formula>0</formula>
    </cfRule>
  </conditionalFormatting>
  <conditionalFormatting sqref="D16">
    <cfRule type="cellIs" dxfId="250" priority="906" operator="greaterThan">
      <formula>0</formula>
    </cfRule>
  </conditionalFormatting>
  <conditionalFormatting sqref="D18">
    <cfRule type="cellIs" dxfId="249" priority="903" operator="greaterThan">
      <formula>0</formula>
    </cfRule>
    <cfRule type="cellIs" dxfId="248" priority="904" operator="greaterThan">
      <formula>0</formula>
    </cfRule>
    <cfRule type="cellIs" dxfId="247" priority="905" operator="greaterThan">
      <formula>" € - "</formula>
    </cfRule>
  </conditionalFormatting>
  <conditionalFormatting sqref="D18">
    <cfRule type="cellIs" dxfId="246" priority="901" operator="greaterThan">
      <formula>0</formula>
    </cfRule>
    <cfRule type="cellIs" dxfId="245" priority="902" operator="greaterThan">
      <formula>" € - "</formula>
    </cfRule>
  </conditionalFormatting>
  <conditionalFormatting sqref="D18">
    <cfRule type="cellIs" dxfId="244" priority="896" operator="greaterThan">
      <formula>0</formula>
    </cfRule>
    <cfRule type="cellIs" dxfId="243" priority="897" operator="greaterThan">
      <formula>0</formula>
    </cfRule>
    <cfRule type="cellIs" dxfId="242" priority="898" operator="greaterThan">
      <formula>0</formula>
    </cfRule>
    <cfRule type="cellIs" dxfId="241" priority="899" operator="greaterThan">
      <formula>0</formula>
    </cfRule>
    <cfRule type="cellIs" dxfId="240" priority="900" operator="greaterThan">
      <formula>0</formula>
    </cfRule>
  </conditionalFormatting>
  <conditionalFormatting sqref="D18">
    <cfRule type="cellIs" dxfId="239" priority="895" operator="greaterThan">
      <formula>0</formula>
    </cfRule>
  </conditionalFormatting>
  <conditionalFormatting sqref="D20">
    <cfRule type="cellIs" dxfId="238" priority="892" operator="greaterThan">
      <formula>0</formula>
    </cfRule>
    <cfRule type="cellIs" dxfId="237" priority="893" operator="greaterThan">
      <formula>0</formula>
    </cfRule>
    <cfRule type="cellIs" dxfId="236" priority="894" operator="greaterThan">
      <formula>" € - "</formula>
    </cfRule>
  </conditionalFormatting>
  <conditionalFormatting sqref="D20">
    <cfRule type="cellIs" dxfId="235" priority="890" operator="greaterThan">
      <formula>0</formula>
    </cfRule>
    <cfRule type="cellIs" dxfId="234" priority="891" operator="greaterThan">
      <formula>" € - "</formula>
    </cfRule>
  </conditionalFormatting>
  <conditionalFormatting sqref="D20">
    <cfRule type="cellIs" dxfId="233" priority="885" operator="greaterThan">
      <formula>0</formula>
    </cfRule>
    <cfRule type="cellIs" dxfId="232" priority="886" operator="greaterThan">
      <formula>0</formula>
    </cfRule>
    <cfRule type="cellIs" dxfId="231" priority="887" operator="greaterThan">
      <formula>0</formula>
    </cfRule>
    <cfRule type="cellIs" dxfId="230" priority="888" operator="greaterThan">
      <formula>0</formula>
    </cfRule>
    <cfRule type="cellIs" dxfId="229" priority="889" operator="greaterThan">
      <formula>0</formula>
    </cfRule>
  </conditionalFormatting>
  <conditionalFormatting sqref="D20">
    <cfRule type="cellIs" dxfId="228" priority="884" operator="greaterThan">
      <formula>0</formula>
    </cfRule>
  </conditionalFormatting>
  <conditionalFormatting sqref="D22">
    <cfRule type="cellIs" dxfId="227" priority="881" operator="greaterThan">
      <formula>0</formula>
    </cfRule>
    <cfRule type="cellIs" dxfId="226" priority="882" operator="greaterThan">
      <formula>0</formula>
    </cfRule>
    <cfRule type="cellIs" dxfId="225" priority="883" operator="greaterThan">
      <formula>" € - "</formula>
    </cfRule>
  </conditionalFormatting>
  <conditionalFormatting sqref="D22">
    <cfRule type="cellIs" dxfId="224" priority="879" operator="greaterThan">
      <formula>0</formula>
    </cfRule>
    <cfRule type="cellIs" dxfId="223" priority="880" operator="greaterThan">
      <formula>" € - "</formula>
    </cfRule>
  </conditionalFormatting>
  <conditionalFormatting sqref="D22">
    <cfRule type="cellIs" dxfId="222" priority="874" operator="greaterThan">
      <formula>0</formula>
    </cfRule>
    <cfRule type="cellIs" dxfId="221" priority="875" operator="greaterThan">
      <formula>0</formula>
    </cfRule>
    <cfRule type="cellIs" dxfId="220" priority="876" operator="greaterThan">
      <formula>0</formula>
    </cfRule>
    <cfRule type="cellIs" dxfId="219" priority="877" operator="greaterThan">
      <formula>0</formula>
    </cfRule>
    <cfRule type="cellIs" dxfId="218" priority="878" operator="greaterThan">
      <formula>0</formula>
    </cfRule>
  </conditionalFormatting>
  <conditionalFormatting sqref="D22">
    <cfRule type="cellIs" dxfId="217" priority="873" operator="greaterThan">
      <formula>0</formula>
    </cfRule>
  </conditionalFormatting>
  <conditionalFormatting sqref="D24">
    <cfRule type="cellIs" dxfId="216" priority="870" operator="greaterThan">
      <formula>0</formula>
    </cfRule>
    <cfRule type="cellIs" dxfId="215" priority="871" operator="greaterThan">
      <formula>0</formula>
    </cfRule>
    <cfRule type="cellIs" dxfId="214" priority="872" operator="greaterThan">
      <formula>" € - "</formula>
    </cfRule>
  </conditionalFormatting>
  <conditionalFormatting sqref="D24">
    <cfRule type="cellIs" dxfId="213" priority="868" operator="greaterThan">
      <formula>0</formula>
    </cfRule>
    <cfRule type="cellIs" dxfId="212" priority="869" operator="greaterThan">
      <formula>" € - "</formula>
    </cfRule>
  </conditionalFormatting>
  <conditionalFormatting sqref="D24">
    <cfRule type="cellIs" dxfId="211" priority="863" operator="greaterThan">
      <formula>0</formula>
    </cfRule>
    <cfRule type="cellIs" dxfId="210" priority="864" operator="greaterThan">
      <formula>0</formula>
    </cfRule>
    <cfRule type="cellIs" dxfId="209" priority="865" operator="greaterThan">
      <formula>0</formula>
    </cfRule>
    <cfRule type="cellIs" dxfId="208" priority="866" operator="greaterThan">
      <formula>0</formula>
    </cfRule>
    <cfRule type="cellIs" dxfId="207" priority="867" operator="greaterThan">
      <formula>0</formula>
    </cfRule>
  </conditionalFormatting>
  <conditionalFormatting sqref="D24">
    <cfRule type="cellIs" dxfId="206" priority="862" operator="greaterThan">
      <formula>0</formula>
    </cfRule>
  </conditionalFormatting>
  <conditionalFormatting sqref="V30">
    <cfRule type="cellIs" dxfId="205" priority="576" operator="greaterThan">
      <formula>0</formula>
    </cfRule>
    <cfRule type="cellIs" dxfId="204" priority="577" operator="greaterThan">
      <formula>0</formula>
    </cfRule>
    <cfRule type="cellIs" dxfId="203" priority="578" operator="greaterThan">
      <formula>" € - "</formula>
    </cfRule>
  </conditionalFormatting>
  <conditionalFormatting sqref="V30">
    <cfRule type="cellIs" dxfId="202" priority="574" operator="greaterThan">
      <formula>0</formula>
    </cfRule>
    <cfRule type="cellIs" dxfId="201" priority="575" operator="greaterThan">
      <formula>" € - "</formula>
    </cfRule>
  </conditionalFormatting>
  <conditionalFormatting sqref="V30">
    <cfRule type="cellIs" dxfId="200" priority="569" operator="greaterThan">
      <formula>0</formula>
    </cfRule>
    <cfRule type="cellIs" dxfId="199" priority="570" operator="greaterThan">
      <formula>0</formula>
    </cfRule>
    <cfRule type="cellIs" dxfId="198" priority="571" operator="greaterThan">
      <formula>0</formula>
    </cfRule>
    <cfRule type="cellIs" dxfId="197" priority="572" operator="greaterThan">
      <formula>0</formula>
    </cfRule>
    <cfRule type="cellIs" dxfId="196" priority="573" operator="greaterThan">
      <formula>0</formula>
    </cfRule>
  </conditionalFormatting>
  <conditionalFormatting sqref="V30">
    <cfRule type="cellIs" dxfId="195" priority="568" operator="greaterThan">
      <formula>0</formula>
    </cfRule>
  </conditionalFormatting>
  <conditionalFormatting sqref="V74">
    <cfRule type="cellIs" dxfId="194" priority="460" operator="greaterThan">
      <formula>0</formula>
    </cfRule>
    <cfRule type="cellIs" dxfId="193" priority="461" operator="greaterThan">
      <formula>0</formula>
    </cfRule>
    <cfRule type="cellIs" dxfId="192" priority="462" operator="greaterThan">
      <formula>" € - "</formula>
    </cfRule>
  </conditionalFormatting>
  <conditionalFormatting sqref="V74">
    <cfRule type="cellIs" dxfId="191" priority="458" operator="greaterThan">
      <formula>0</formula>
    </cfRule>
    <cfRule type="cellIs" dxfId="190" priority="459" operator="greaterThan">
      <formula>" € - "</formula>
    </cfRule>
  </conditionalFormatting>
  <conditionalFormatting sqref="V74">
    <cfRule type="cellIs" dxfId="189" priority="453" operator="greaterThan">
      <formula>0</formula>
    </cfRule>
    <cfRule type="cellIs" dxfId="188" priority="454" operator="greaterThan">
      <formula>0</formula>
    </cfRule>
    <cfRule type="cellIs" dxfId="187" priority="455" operator="greaterThan">
      <formula>0</formula>
    </cfRule>
    <cfRule type="cellIs" dxfId="186" priority="456" operator="greaterThan">
      <formula>0</formula>
    </cfRule>
    <cfRule type="cellIs" dxfId="185" priority="457" operator="greaterThan">
      <formula>0</formula>
    </cfRule>
  </conditionalFormatting>
  <conditionalFormatting sqref="V74">
    <cfRule type="cellIs" dxfId="184" priority="452" operator="greaterThan">
      <formula>0</formula>
    </cfRule>
  </conditionalFormatting>
  <conditionalFormatting sqref="F10">
    <cfRule type="cellIs" dxfId="183" priority="437" operator="greaterThan">
      <formula>0</formula>
    </cfRule>
    <cfRule type="cellIs" dxfId="182" priority="438" operator="greaterThan">
      <formula>0</formula>
    </cfRule>
    <cfRule type="cellIs" dxfId="181" priority="439" operator="greaterThan">
      <formula>" € - "</formula>
    </cfRule>
  </conditionalFormatting>
  <conditionalFormatting sqref="F10">
    <cfRule type="cellIs" dxfId="180" priority="432" operator="greaterThan">
      <formula>0</formula>
    </cfRule>
    <cfRule type="cellIs" dxfId="179" priority="433" operator="greaterThan">
      <formula>0</formula>
    </cfRule>
    <cfRule type="cellIs" dxfId="178" priority="434" operator="greaterThan">
      <formula>0</formula>
    </cfRule>
    <cfRule type="cellIs" dxfId="177" priority="435" operator="greaterThan">
      <formula>0</formula>
    </cfRule>
    <cfRule type="cellIs" dxfId="176" priority="436" operator="greaterThan">
      <formula>0</formula>
    </cfRule>
  </conditionalFormatting>
  <conditionalFormatting sqref="F10">
    <cfRule type="cellIs" dxfId="175" priority="431" operator="greaterThan">
      <formula>0</formula>
    </cfRule>
  </conditionalFormatting>
  <conditionalFormatting sqref="D10">
    <cfRule type="cellIs" dxfId="174" priority="185" operator="greaterThan">
      <formula>0</formula>
    </cfRule>
  </conditionalFormatting>
  <conditionalFormatting sqref="D8">
    <cfRule type="cellIs" dxfId="173" priority="186" operator="greaterThan">
      <formula>0</formula>
    </cfRule>
  </conditionalFormatting>
  <conditionalFormatting sqref="D6">
    <cfRule type="cellIs" dxfId="172" priority="174" operator="greaterThan">
      <formula>0</formula>
    </cfRule>
  </conditionalFormatting>
  <conditionalFormatting sqref="C6">
    <cfRule type="cellIs" dxfId="171" priority="175" operator="greaterThan">
      <formula>0</formula>
    </cfRule>
  </conditionalFormatting>
  <conditionalFormatting sqref="F6">
    <cfRule type="cellIs" dxfId="170" priority="170" operator="greaterThan">
      <formula>0</formula>
    </cfRule>
    <cfRule type="cellIs" dxfId="169" priority="171" operator="greaterThan">
      <formula>0</formula>
    </cfRule>
    <cfRule type="cellIs" dxfId="168" priority="172" operator="greaterThan">
      <formula>" € - "</formula>
    </cfRule>
  </conditionalFormatting>
  <conditionalFormatting sqref="F6">
    <cfRule type="cellIs" dxfId="167" priority="165" operator="greaterThan">
      <formula>0</formula>
    </cfRule>
    <cfRule type="cellIs" dxfId="166" priority="166" operator="greaterThan">
      <formula>0</formula>
    </cfRule>
    <cfRule type="cellIs" dxfId="165" priority="167" operator="greaterThan">
      <formula>0</formula>
    </cfRule>
    <cfRule type="cellIs" dxfId="164" priority="168" operator="greaterThan">
      <formula>0</formula>
    </cfRule>
    <cfRule type="cellIs" dxfId="163" priority="169" operator="greaterThan">
      <formula>0</formula>
    </cfRule>
  </conditionalFormatting>
  <conditionalFormatting sqref="F6">
    <cfRule type="cellIs" dxfId="162" priority="164" operator="greaterThan">
      <formula>0</formula>
    </cfRule>
  </conditionalFormatting>
  <conditionalFormatting sqref="F12">
    <cfRule type="cellIs" dxfId="161" priority="161" operator="greaterThan">
      <formula>0</formula>
    </cfRule>
    <cfRule type="cellIs" dxfId="160" priority="162" operator="greaterThan">
      <formula>0</formula>
    </cfRule>
    <cfRule type="cellIs" dxfId="159" priority="163" operator="greaterThan">
      <formula>" € - "</formula>
    </cfRule>
  </conditionalFormatting>
  <conditionalFormatting sqref="F12">
    <cfRule type="cellIs" dxfId="158" priority="156" operator="greaterThan">
      <formula>0</formula>
    </cfRule>
    <cfRule type="cellIs" dxfId="157" priority="157" operator="greaterThan">
      <formula>0</formula>
    </cfRule>
    <cfRule type="cellIs" dxfId="156" priority="158" operator="greaterThan">
      <formula>0</formula>
    </cfRule>
    <cfRule type="cellIs" dxfId="155" priority="159" operator="greaterThan">
      <formula>0</formula>
    </cfRule>
    <cfRule type="cellIs" dxfId="154" priority="160" operator="greaterThan">
      <formula>0</formula>
    </cfRule>
  </conditionalFormatting>
  <conditionalFormatting sqref="F12">
    <cfRule type="cellIs" dxfId="153" priority="155" operator="greaterThan">
      <formula>0</formula>
    </cfRule>
  </conditionalFormatting>
  <conditionalFormatting sqref="F14">
    <cfRule type="cellIs" dxfId="152" priority="152" operator="greaterThan">
      <formula>0</formula>
    </cfRule>
    <cfRule type="cellIs" dxfId="151" priority="153" operator="greaterThan">
      <formula>0</formula>
    </cfRule>
    <cfRule type="cellIs" dxfId="150" priority="154" operator="greaterThan">
      <formula>" € - "</formula>
    </cfRule>
  </conditionalFormatting>
  <conditionalFormatting sqref="F14">
    <cfRule type="cellIs" dxfId="149" priority="147" operator="greaterThan">
      <formula>0</formula>
    </cfRule>
    <cfRule type="cellIs" dxfId="148" priority="148" operator="greaterThan">
      <formula>0</formula>
    </cfRule>
    <cfRule type="cellIs" dxfId="147" priority="149" operator="greaterThan">
      <formula>0</formula>
    </cfRule>
    <cfRule type="cellIs" dxfId="146" priority="150" operator="greaterThan">
      <formula>0</formula>
    </cfRule>
    <cfRule type="cellIs" dxfId="145" priority="151" operator="greaterThan">
      <formula>0</formula>
    </cfRule>
  </conditionalFormatting>
  <conditionalFormatting sqref="F14">
    <cfRule type="cellIs" dxfId="144" priority="146" operator="greaterThan">
      <formula>0</formula>
    </cfRule>
  </conditionalFormatting>
  <conditionalFormatting sqref="F16">
    <cfRule type="cellIs" dxfId="143" priority="143" operator="greaterThan">
      <formula>0</formula>
    </cfRule>
    <cfRule type="cellIs" dxfId="142" priority="144" operator="greaterThan">
      <formula>0</formula>
    </cfRule>
    <cfRule type="cellIs" dxfId="141" priority="145" operator="greaterThan">
      <formula>" € - "</formula>
    </cfRule>
  </conditionalFormatting>
  <conditionalFormatting sqref="F16">
    <cfRule type="cellIs" dxfId="140" priority="138" operator="greaterThan">
      <formula>0</formula>
    </cfRule>
    <cfRule type="cellIs" dxfId="139" priority="139" operator="greaterThan">
      <formula>0</formula>
    </cfRule>
    <cfRule type="cellIs" dxfId="138" priority="140" operator="greaterThan">
      <formula>0</formula>
    </cfRule>
    <cfRule type="cellIs" dxfId="137" priority="141" operator="greaterThan">
      <formula>0</formula>
    </cfRule>
    <cfRule type="cellIs" dxfId="136" priority="142" operator="greaterThan">
      <formula>0</formula>
    </cfRule>
  </conditionalFormatting>
  <conditionalFormatting sqref="F16">
    <cfRule type="cellIs" dxfId="135" priority="137" operator="greaterThan">
      <formula>0</formula>
    </cfRule>
  </conditionalFormatting>
  <conditionalFormatting sqref="F18">
    <cfRule type="cellIs" dxfId="134" priority="134" operator="greaterThan">
      <formula>0</formula>
    </cfRule>
    <cfRule type="cellIs" dxfId="133" priority="135" operator="greaterThan">
      <formula>0</formula>
    </cfRule>
    <cfRule type="cellIs" dxfId="132" priority="136" operator="greaterThan">
      <formula>" € - "</formula>
    </cfRule>
  </conditionalFormatting>
  <conditionalFormatting sqref="F18">
    <cfRule type="cellIs" dxfId="131" priority="129" operator="greaterThan">
      <formula>0</formula>
    </cfRule>
    <cfRule type="cellIs" dxfId="130" priority="130" operator="greaterThan">
      <formula>0</formula>
    </cfRule>
    <cfRule type="cellIs" dxfId="129" priority="131" operator="greaterThan">
      <formula>0</formula>
    </cfRule>
    <cfRule type="cellIs" dxfId="128" priority="132" operator="greaterThan">
      <formula>0</formula>
    </cfRule>
    <cfRule type="cellIs" dxfId="127" priority="133" operator="greaterThan">
      <formula>0</formula>
    </cfRule>
  </conditionalFormatting>
  <conditionalFormatting sqref="F18">
    <cfRule type="cellIs" dxfId="126" priority="128" operator="greaterThan">
      <formula>0</formula>
    </cfRule>
  </conditionalFormatting>
  <conditionalFormatting sqref="F20">
    <cfRule type="cellIs" dxfId="125" priority="125" operator="greaterThan">
      <formula>0</formula>
    </cfRule>
    <cfRule type="cellIs" dxfId="124" priority="126" operator="greaterThan">
      <formula>0</formula>
    </cfRule>
    <cfRule type="cellIs" dxfId="123" priority="127" operator="greaterThan">
      <formula>" € - "</formula>
    </cfRule>
  </conditionalFormatting>
  <conditionalFormatting sqref="F20">
    <cfRule type="cellIs" dxfId="122" priority="120" operator="greaterThan">
      <formula>0</formula>
    </cfRule>
    <cfRule type="cellIs" dxfId="121" priority="121" operator="greaterThan">
      <formula>0</formula>
    </cfRule>
    <cfRule type="cellIs" dxfId="120" priority="122" operator="greaterThan">
      <formula>0</formula>
    </cfRule>
    <cfRule type="cellIs" dxfId="119" priority="123" operator="greaterThan">
      <formula>0</formula>
    </cfRule>
    <cfRule type="cellIs" dxfId="118" priority="124" operator="greaterThan">
      <formula>0</formula>
    </cfRule>
  </conditionalFormatting>
  <conditionalFormatting sqref="F20">
    <cfRule type="cellIs" dxfId="117" priority="119" operator="greaterThan">
      <formula>0</formula>
    </cfRule>
  </conditionalFormatting>
  <conditionalFormatting sqref="F22">
    <cfRule type="cellIs" dxfId="116" priority="116" operator="greaterThan">
      <formula>0</formula>
    </cfRule>
    <cfRule type="cellIs" dxfId="115" priority="117" operator="greaterThan">
      <formula>0</formula>
    </cfRule>
    <cfRule type="cellIs" dxfId="114" priority="118" operator="greaterThan">
      <formula>" € - "</formula>
    </cfRule>
  </conditionalFormatting>
  <conditionalFormatting sqref="F22">
    <cfRule type="cellIs" dxfId="113" priority="111" operator="greaterThan">
      <formula>0</formula>
    </cfRule>
    <cfRule type="cellIs" dxfId="112" priority="112" operator="greaterThan">
      <formula>0</formula>
    </cfRule>
    <cfRule type="cellIs" dxfId="111" priority="113" operator="greaterThan">
      <formula>0</formula>
    </cfRule>
    <cfRule type="cellIs" dxfId="110" priority="114" operator="greaterThan">
      <formula>0</formula>
    </cfRule>
    <cfRule type="cellIs" dxfId="109" priority="115" operator="greaterThan">
      <formula>0</formula>
    </cfRule>
  </conditionalFormatting>
  <conditionalFormatting sqref="F22">
    <cfRule type="cellIs" dxfId="108" priority="110" operator="greaterThan">
      <formula>0</formula>
    </cfRule>
  </conditionalFormatting>
  <conditionalFormatting sqref="F24">
    <cfRule type="cellIs" dxfId="107" priority="107" operator="greaterThan">
      <formula>0</formula>
    </cfRule>
    <cfRule type="cellIs" dxfId="106" priority="108" operator="greaterThan">
      <formula>0</formula>
    </cfRule>
    <cfRule type="cellIs" dxfId="105" priority="109" operator="greaterThan">
      <formula>" € - "</formula>
    </cfRule>
  </conditionalFormatting>
  <conditionalFormatting sqref="F24">
    <cfRule type="cellIs" dxfId="104" priority="102" operator="greaterThan">
      <formula>0</formula>
    </cfRule>
    <cfRule type="cellIs" dxfId="103" priority="103" operator="greaterThan">
      <formula>0</formula>
    </cfRule>
    <cfRule type="cellIs" dxfId="102" priority="104" operator="greaterThan">
      <formula>0</formula>
    </cfRule>
    <cfRule type="cellIs" dxfId="101" priority="105" operator="greaterThan">
      <formula>0</formula>
    </cfRule>
    <cfRule type="cellIs" dxfId="100" priority="106" operator="greaterThan">
      <formula>0</formula>
    </cfRule>
  </conditionalFormatting>
  <conditionalFormatting sqref="F24">
    <cfRule type="cellIs" dxfId="99" priority="101" operator="greaterThan">
      <formula>0</formula>
    </cfRule>
  </conditionalFormatting>
  <conditionalFormatting sqref="G6">
    <cfRule type="cellIs" dxfId="98" priority="98" operator="greaterThan">
      <formula>0</formula>
    </cfRule>
    <cfRule type="cellIs" dxfId="97" priority="99" operator="greaterThan">
      <formula>0</formula>
    </cfRule>
    <cfRule type="cellIs" dxfId="96" priority="100" operator="greaterThan">
      <formula>" € - "</formula>
    </cfRule>
  </conditionalFormatting>
  <conditionalFormatting sqref="G6">
    <cfRule type="cellIs" dxfId="95" priority="93" operator="greaterThan">
      <formula>0</formula>
    </cfRule>
    <cfRule type="cellIs" dxfId="94" priority="94" operator="greaterThan">
      <formula>0</formula>
    </cfRule>
    <cfRule type="cellIs" dxfId="93" priority="95" operator="greaterThan">
      <formula>0</formula>
    </cfRule>
    <cfRule type="cellIs" dxfId="92" priority="96" operator="greaterThan">
      <formula>0</formula>
    </cfRule>
    <cfRule type="cellIs" dxfId="91" priority="97" operator="greaterThan">
      <formula>0</formula>
    </cfRule>
  </conditionalFormatting>
  <conditionalFormatting sqref="G6">
    <cfRule type="cellIs" dxfId="90" priority="92" operator="greaterThan">
      <formula>0</formula>
    </cfRule>
  </conditionalFormatting>
  <conditionalFormatting sqref="G8">
    <cfRule type="cellIs" dxfId="89" priority="89" operator="greaterThan">
      <formula>0</formula>
    </cfRule>
    <cfRule type="cellIs" dxfId="88" priority="90" operator="greaterThan">
      <formula>0</formula>
    </cfRule>
    <cfRule type="cellIs" dxfId="87" priority="91" operator="greaterThan">
      <formula>" € - "</formula>
    </cfRule>
  </conditionalFormatting>
  <conditionalFormatting sqref="G8">
    <cfRule type="cellIs" dxfId="86" priority="84" operator="greaterThan">
      <formula>0</formula>
    </cfRule>
    <cfRule type="cellIs" dxfId="85" priority="85" operator="greaterThan">
      <formula>0</formula>
    </cfRule>
    <cfRule type="cellIs" dxfId="84" priority="86" operator="greaterThan">
      <formula>0</formula>
    </cfRule>
    <cfRule type="cellIs" dxfId="83" priority="87" operator="greaterThan">
      <formula>0</formula>
    </cfRule>
    <cfRule type="cellIs" dxfId="82" priority="88" operator="greaterThan">
      <formula>0</formula>
    </cfRule>
  </conditionalFormatting>
  <conditionalFormatting sqref="G8">
    <cfRule type="cellIs" dxfId="81" priority="83" operator="greaterThan">
      <formula>0</formula>
    </cfRule>
  </conditionalFormatting>
  <conditionalFormatting sqref="G10">
    <cfRule type="cellIs" dxfId="80" priority="80" operator="greaterThan">
      <formula>0</formula>
    </cfRule>
    <cfRule type="cellIs" dxfId="79" priority="81" operator="greaterThan">
      <formula>0</formula>
    </cfRule>
    <cfRule type="cellIs" dxfId="78" priority="82" operator="greaterThan">
      <formula>" € - "</formula>
    </cfRule>
  </conditionalFormatting>
  <conditionalFormatting sqref="G10">
    <cfRule type="cellIs" dxfId="77" priority="75" operator="greaterThan">
      <formula>0</formula>
    </cfRule>
    <cfRule type="cellIs" dxfId="76" priority="76" operator="greaterThan">
      <formula>0</formula>
    </cfRule>
    <cfRule type="cellIs" dxfId="75" priority="77" operator="greaterThan">
      <formula>0</formula>
    </cfRule>
    <cfRule type="cellIs" dxfId="74" priority="78" operator="greaterThan">
      <formula>0</formula>
    </cfRule>
    <cfRule type="cellIs" dxfId="73" priority="79" operator="greaterThan">
      <formula>0</formula>
    </cfRule>
  </conditionalFormatting>
  <conditionalFormatting sqref="G10">
    <cfRule type="cellIs" dxfId="72" priority="74" operator="greaterThan">
      <formula>0</formula>
    </cfRule>
  </conditionalFormatting>
  <conditionalFormatting sqref="G12">
    <cfRule type="cellIs" dxfId="71" priority="71" operator="greaterThan">
      <formula>0</formula>
    </cfRule>
    <cfRule type="cellIs" dxfId="70" priority="72" operator="greaterThan">
      <formula>0</formula>
    </cfRule>
    <cfRule type="cellIs" dxfId="69" priority="73" operator="greaterThan">
      <formula>" € - "</formula>
    </cfRule>
  </conditionalFormatting>
  <conditionalFormatting sqref="G12">
    <cfRule type="cellIs" dxfId="68" priority="66" operator="greaterThan">
      <formula>0</formula>
    </cfRule>
    <cfRule type="cellIs" dxfId="67" priority="67" operator="greaterThan">
      <formula>0</formula>
    </cfRule>
    <cfRule type="cellIs" dxfId="66" priority="68" operator="greaterThan">
      <formula>0</formula>
    </cfRule>
    <cfRule type="cellIs" dxfId="65" priority="69" operator="greaterThan">
      <formula>0</formula>
    </cfRule>
    <cfRule type="cellIs" dxfId="64" priority="70" operator="greaterThan">
      <formula>0</formula>
    </cfRule>
  </conditionalFormatting>
  <conditionalFormatting sqref="G12">
    <cfRule type="cellIs" dxfId="63" priority="65" operator="greaterThan">
      <formula>0</formula>
    </cfRule>
  </conditionalFormatting>
  <conditionalFormatting sqref="G14">
    <cfRule type="cellIs" dxfId="62" priority="62" operator="greaterThan">
      <formula>0</formula>
    </cfRule>
    <cfRule type="cellIs" dxfId="61" priority="63" operator="greaterThan">
      <formula>0</formula>
    </cfRule>
    <cfRule type="cellIs" dxfId="60" priority="64" operator="greaterThan">
      <formula>" € - "</formula>
    </cfRule>
  </conditionalFormatting>
  <conditionalFormatting sqref="G14">
    <cfRule type="cellIs" dxfId="59" priority="57" operator="greaterThan">
      <formula>0</formula>
    </cfRule>
    <cfRule type="cellIs" dxfId="58" priority="58" operator="greaterThan">
      <formula>0</formula>
    </cfRule>
    <cfRule type="cellIs" dxfId="57" priority="59" operator="greaterThan">
      <formula>0</formula>
    </cfRule>
    <cfRule type="cellIs" dxfId="56" priority="60" operator="greaterThan">
      <formula>0</formula>
    </cfRule>
    <cfRule type="cellIs" dxfId="55" priority="61" operator="greaterThan">
      <formula>0</formula>
    </cfRule>
  </conditionalFormatting>
  <conditionalFormatting sqref="G14">
    <cfRule type="cellIs" dxfId="54" priority="56" operator="greaterThan">
      <formula>0</formula>
    </cfRule>
  </conditionalFormatting>
  <conditionalFormatting sqref="G16">
    <cfRule type="cellIs" dxfId="53" priority="53" operator="greaterThan">
      <formula>0</formula>
    </cfRule>
    <cfRule type="cellIs" dxfId="52" priority="54" operator="greaterThan">
      <formula>0</formula>
    </cfRule>
    <cfRule type="cellIs" dxfId="51" priority="55" operator="greaterThan">
      <formula>" € - "</formula>
    </cfRule>
  </conditionalFormatting>
  <conditionalFormatting sqref="G16">
    <cfRule type="cellIs" dxfId="50" priority="48" operator="greaterThan">
      <formula>0</formula>
    </cfRule>
    <cfRule type="cellIs" dxfId="49" priority="49" operator="greaterThan">
      <formula>0</formula>
    </cfRule>
    <cfRule type="cellIs" dxfId="48" priority="50" operator="greaterThan">
      <formula>0</formula>
    </cfRule>
    <cfRule type="cellIs" dxfId="47" priority="51" operator="greaterThan">
      <formula>0</formula>
    </cfRule>
    <cfRule type="cellIs" dxfId="46" priority="52" operator="greaterThan">
      <formula>0</formula>
    </cfRule>
  </conditionalFormatting>
  <conditionalFormatting sqref="G16">
    <cfRule type="cellIs" dxfId="45" priority="47" operator="greaterThan">
      <formula>0</formula>
    </cfRule>
  </conditionalFormatting>
  <conditionalFormatting sqref="G18">
    <cfRule type="cellIs" dxfId="44" priority="44" operator="greaterThan">
      <formula>0</formula>
    </cfRule>
    <cfRule type="cellIs" dxfId="43" priority="45" operator="greaterThan">
      <formula>0</formula>
    </cfRule>
    <cfRule type="cellIs" dxfId="42" priority="46" operator="greaterThan">
      <formula>" € - "</formula>
    </cfRule>
  </conditionalFormatting>
  <conditionalFormatting sqref="G18">
    <cfRule type="cellIs" dxfId="41" priority="39" operator="greaterThan">
      <formula>0</formula>
    </cfRule>
    <cfRule type="cellIs" dxfId="40" priority="40" operator="greaterThan">
      <formula>0</formula>
    </cfRule>
    <cfRule type="cellIs" dxfId="39" priority="41" operator="greaterThan">
      <formula>0</formula>
    </cfRule>
    <cfRule type="cellIs" dxfId="38" priority="42" operator="greaterThan">
      <formula>0</formula>
    </cfRule>
    <cfRule type="cellIs" dxfId="37" priority="43" operator="greaterThan">
      <formula>0</formula>
    </cfRule>
  </conditionalFormatting>
  <conditionalFormatting sqref="G18">
    <cfRule type="cellIs" dxfId="36" priority="38" operator="greaterThan">
      <formula>0</formula>
    </cfRule>
  </conditionalFormatting>
  <conditionalFormatting sqref="G20">
    <cfRule type="cellIs" dxfId="35" priority="35" operator="greaterThan">
      <formula>0</formula>
    </cfRule>
    <cfRule type="cellIs" dxfId="34" priority="36" operator="greaterThan">
      <formula>0</formula>
    </cfRule>
    <cfRule type="cellIs" dxfId="33" priority="37" operator="greaterThan">
      <formula>" € - "</formula>
    </cfRule>
  </conditionalFormatting>
  <conditionalFormatting sqref="G20">
    <cfRule type="cellIs" dxfId="32" priority="30" operator="greaterThan">
      <formula>0</formula>
    </cfRule>
    <cfRule type="cellIs" dxfId="31" priority="31" operator="greaterThan">
      <formula>0</formula>
    </cfRule>
    <cfRule type="cellIs" dxfId="30" priority="32" operator="greaterThan">
      <formula>0</formula>
    </cfRule>
    <cfRule type="cellIs" dxfId="29" priority="33" operator="greaterThan">
      <formula>0</formula>
    </cfRule>
    <cfRule type="cellIs" dxfId="28" priority="34" operator="greaterThan">
      <formula>0</formula>
    </cfRule>
  </conditionalFormatting>
  <conditionalFormatting sqref="G20">
    <cfRule type="cellIs" dxfId="27" priority="29" operator="greaterThan">
      <formula>0</formula>
    </cfRule>
  </conditionalFormatting>
  <conditionalFormatting sqref="G22">
    <cfRule type="cellIs" dxfId="26" priority="26" operator="greaterThan">
      <formula>0</formula>
    </cfRule>
    <cfRule type="cellIs" dxfId="25" priority="27" operator="greaterThan">
      <formula>0</formula>
    </cfRule>
    <cfRule type="cellIs" dxfId="24" priority="28" operator="greaterThan">
      <formula>" € - "</formula>
    </cfRule>
  </conditionalFormatting>
  <conditionalFormatting sqref="G22">
    <cfRule type="cellIs" dxfId="23" priority="21" operator="greaterThan">
      <formula>0</formula>
    </cfRule>
    <cfRule type="cellIs" dxfId="22" priority="22" operator="greaterThan">
      <formula>0</formula>
    </cfRule>
    <cfRule type="cellIs" dxfId="21" priority="23" operator="greaterThan">
      <formula>0</formula>
    </cfRule>
    <cfRule type="cellIs" dxfId="20" priority="24" operator="greaterThan">
      <formula>0</formula>
    </cfRule>
    <cfRule type="cellIs" dxfId="19" priority="25" operator="greaterThan">
      <formula>0</formula>
    </cfRule>
  </conditionalFormatting>
  <conditionalFormatting sqref="G22">
    <cfRule type="cellIs" dxfId="18" priority="20" operator="greaterThan">
      <formula>0</formula>
    </cfRule>
  </conditionalFormatting>
  <conditionalFormatting sqref="G24">
    <cfRule type="cellIs" dxfId="17" priority="17" operator="greaterThan">
      <formula>0</formula>
    </cfRule>
    <cfRule type="cellIs" dxfId="16" priority="18" operator="greaterThan">
      <formula>0</formula>
    </cfRule>
    <cfRule type="cellIs" dxfId="15" priority="19" operator="greaterThan">
      <formula>" € - "</formula>
    </cfRule>
  </conditionalFormatting>
  <conditionalFormatting sqref="G24">
    <cfRule type="cellIs" dxfId="14" priority="12" operator="greaterThan">
      <formula>0</formula>
    </cfRule>
    <cfRule type="cellIs" dxfId="13" priority="13" operator="greaterThan">
      <formula>0</formula>
    </cfRule>
    <cfRule type="cellIs" dxfId="12" priority="14" operator="greaterThan">
      <formula>0</formula>
    </cfRule>
    <cfRule type="cellIs" dxfId="11" priority="15" operator="greaterThan">
      <formula>0</formula>
    </cfRule>
    <cfRule type="cellIs" dxfId="10" priority="16" operator="greaterThan">
      <formula>0</formula>
    </cfRule>
  </conditionalFormatting>
  <conditionalFormatting sqref="G24">
    <cfRule type="cellIs" dxfId="9" priority="11" operator="greaterThan">
      <formula>0</formula>
    </cfRule>
  </conditionalFormatting>
  <conditionalFormatting sqref="E6">
    <cfRule type="cellIs" dxfId="8" priority="7" operator="greaterThan">
      <formula>0</formula>
    </cfRule>
    <cfRule type="cellIs" dxfId="7" priority="8" operator="greaterThan">
      <formula>0</formula>
    </cfRule>
    <cfRule type="cellIs" dxfId="6" priority="9" operator="greaterThan">
      <formula>" € - "</formula>
    </cfRule>
  </conditionalFormatting>
  <conditionalFormatting sqref="E6">
    <cfRule type="cellIs" dxfId="5" priority="2" operator="greaterThan">
      <formula>0</formula>
    </cfRule>
    <cfRule type="cellIs" dxfId="4" priority="3" operator="greaterThan">
      <formula>0</formula>
    </cfRule>
    <cfRule type="cellIs" dxfId="3" priority="4" operator="greaterThan">
      <formula>0</formula>
    </cfRule>
    <cfRule type="cellIs" dxfId="2" priority="5" operator="greaterThan">
      <formula>0</formula>
    </cfRule>
    <cfRule type="cellIs" dxfId="1" priority="6" operator="greaterThan">
      <formula>0</formula>
    </cfRule>
  </conditionalFormatting>
  <conditionalFormatting sqref="E6">
    <cfRule type="cellIs" dxfId="0" priority="1" operator="greaterThan">
      <formula>0</formula>
    </cfRule>
  </conditionalFormatting>
  <dataValidations xWindow="856" yWindow="417" count="22">
    <dataValidation type="decimal" operator="lessThanOrEqual" allowBlank="1" showInputMessage="1" showErrorMessage="1" errorTitle="Fout teken" error="U hebt een positief bedrag ingevuld" promptTitle="Investeringen materiele activa" prompt="Voer voor de omvang van de investeringen in (im-)materiele activa inclusief bijdragen aan activa van derden van het begrotingsjaar 2022 een negatief bedrag in. " sqref="C6" xr:uid="{00000000-0002-0000-0200-000000000000}">
      <formula1>0</formula1>
    </dataValidation>
    <dataValidation type="whole" operator="greaterThanOrEqual" allowBlank="1" showInputMessage="1" showErrorMessage="1" promptTitle="Verkoop (im-)materiele activa" prompt="Voer voor de omvang van de bruto verkoopopbrengst uit de verkoop van (im-)materiele activa in het begrotingsjaar 2022 een positief bedrag in. Vul pas erna de boekwinst of het boekverlies in op het blad Balansprognose." sqref="C7" xr:uid="{00000000-0002-0000-0200-000001000000}">
      <formula1>0</formula1>
    </dataValidation>
    <dataValidation type="whole" operator="lessThanOrEqual" allowBlank="1" showInputMessage="1" showErrorMessage="1" errorTitle="Fout teken" error="U hebt een positief bedrag ingevuld" promptTitle="Nieuwe kapitaalverstrekkingen" prompt="Voer het bedrag (negatief) in voor de nieuwe kapitaalverstrekkingen aan verbonden partijen en aan derden in het begrotingsjaar 2017." sqref="H6" xr:uid="{00000000-0002-0000-0200-000002000000}">
      <formula1>0</formula1>
    </dataValidation>
    <dataValidation type="whole" operator="greaterThanOrEqual" allowBlank="1" showInputMessage="1" showErrorMessage="1" errorTitle="Fout teken" error="U hebt een negatief bedrag ingevuld. Een boekverlies vult u in op het blad Balansprognose " promptTitle="Verkoop deelnemingen" prompt="Voer het bedrag (positief) in voor de bruto opbrengst uit de verkoop of liquidatie van deelnemingen in het begrotingsjaar 2017. Vul pas er na de boekwinst of het boekverlies in op het blad Balansprognose. " sqref="H7" xr:uid="{00000000-0002-0000-0200-000003000000}">
      <formula1>0</formula1>
    </dataValidation>
    <dataValidation operator="lessThanOrEqual" allowBlank="1" showInputMessage="1" showErrorMessage="1" errorTitle="Fout teken" error="U hebt een positief bedrag ingevuld " promptTitle="Investeringen bouwgrond" prompt="Voer het bedrag (negatief) in voor de investeringen in de aankoop van grond (niet in exploitatie). Vul pas er na op het blad Balansprognose de afname van niet in exploitatie genomen (bouw-)grond door overboeking naar onderhanden werk._x000a_ " sqref="D10 D8" xr:uid="{00000000-0002-0000-0200-000004000000}"/>
    <dataValidation type="whole" operator="greaterThanOrEqual" allowBlank="1" showInputMessage="1" showErrorMessage="1" errorTitle="Fout teken" error="U hebt een negatiefg bedrag ingevuld" promptTitle="Opbrengst bouwgrondexploitatie " prompt="Vul een positief bedrag in voor de verwachte overboeking in 2022 van niet in exploitatie genomen grond naar onderhanden werk (exclusief de waardestijging). Vul erna op het blad Balansprognose linksonder de waardestijging bij deze overboeking in. " sqref="D7" xr:uid="{00000000-0002-0000-0200-000013000000}">
      <formula1>0</formula1>
    </dataValidation>
    <dataValidation type="whole" operator="greaterThanOrEqual" allowBlank="1" showInputMessage="1" showErrorMessage="1" errorTitle="Foutieve invoer" error="U hebt een negatief bedrag ingevuld. Een boekverlies vult u in op het blad Balansprognose." promptTitle="Verkoop deelnemingen" prompt="Vul voor de bruto opbrengst uit de verkoop of liquidatie van deelnemingen in 2022 een positief bedrag in. Vul erna de boekwinst of het boekverlies in op het blad Balansprognose. " sqref="G7" xr:uid="{00000000-0002-0000-0200-000014000000}">
      <formula1>0</formula1>
    </dataValidation>
    <dataValidation type="decimal" operator="lessThanOrEqual" allowBlank="1" showInputMessage="1" showErrorMessage="1" errorTitle="Fout teken" error="U hebt een positief bedrag ingevuld " promptTitle="Investeringen aankoop bouwgrond" prompt="Vul een negatief bedrag in voor de aankoop van strategische gronden / bouwgronden in 2022." sqref="D6" xr:uid="{00000000-0002-0000-0200-000015000000}">
      <formula1>0</formula1>
    </dataValidation>
    <dataValidation operator="lessThanOrEqual" allowBlank="1" showInputMessage="1" promptTitle="Investeringen in kapitaal" prompt="Vul voor de investeringen in 2022 in kapitaalverstrekkingen aan deelnemingen een negatief bedrag in." sqref="G6" xr:uid="{00000000-0002-0000-0200-000016000000}"/>
    <dataValidation operator="greaterThanOrEqual" allowBlank="1" showInputMessage="1" showErrorMessage="1" promptTitle="Aflossing uitgezette leningen" prompt="Vul voor de aflossingen op leningen aan verbonden partijen in 2022 een positief bedrag in. Vul erna op het blad Balansprognose de verstrekking van nieuwe leningen aan verbonden partijen in." sqref="C30" xr:uid="{00000000-0002-0000-0200-000017000000}"/>
    <dataValidation operator="greaterThanOrEqual" allowBlank="1" showInputMessage="1" showErrorMessage="1" promptTitle="Aflossing uitgezette leningen" prompt="Vul voor de aflossingen op de verstrekte leningen aan derden in 2022 een positief bedrag in. Vul erna op het blad Balansprognose de verstrekking van nieuwe leningen aan derden in. " sqref="D30" xr:uid="{00000000-0002-0000-0200-000018000000}"/>
    <dataValidation operator="greaterThanOrEqual" allowBlank="1" showInputMessage="1" showErrorMessage="1" promptTitle="Vrijval lanlopende uitzettingen" prompt="Vul voor de langlopende uitzettingen die in 2022 vrijvallen een positief bedrag in. Vul erna op het blad Balansprognose het bedrag van de nieuwe langlopende uitzettingen in.  " sqref="E30" xr:uid="{00000000-0002-0000-0200-000019000000}"/>
    <dataValidation allowBlank="1" showInputMessage="1" showErrorMessage="1" promptTitle="Mutatie vorderingen" prompt="Vul het bedrag in waarmee de vorderingen in 2022 muteren. Vul voor een afname een posief bedrag in. Vul voor een toename van de vorderingen een negatief bedrag in." sqref="F30" xr:uid="{00000000-0002-0000-0200-00001A000000}"/>
    <dataValidation allowBlank="1" showInputMessage="1" showErrorMessage="1" promptTitle="Mutatie liquide middelen" prompt="Vul het bedrag in waarmee de omvang van de kortlopende uitzettingen en liquide middelen in 2022 muteren. Vul bij een afname een positief bedrag in. Vul bij een toename een negatief bedrag in. " sqref="G30" xr:uid="{00000000-0002-0000-0200-00001B000000}"/>
    <dataValidation allowBlank="1" showInputMessage="1" showErrorMessage="1" promptTitle="Mutatie overlopende activa" prompt="Vul het bedrag in waarmee de overlopende activa in 2022 muteren. Vul voor een afname een positief bedrag in. Vul voor een toename een negatief bedrag in." sqref="H30" xr:uid="{00000000-0002-0000-0200-00001C000000}"/>
    <dataValidation allowBlank="1" showInputMessage="1" showErrorMessage="1" promptTitle="Mutatie kortlopende schulden" prompt="Vul het bedrag in waarmee de kortlopende schulden inclusief rekeningcourant kredieten in 2022 muteren. Vul voor een toename een positief bedrag in. Voer voor een afname een negatief bedrag in.  " sqref="K30" xr:uid="{00000000-0002-0000-0200-00001D000000}"/>
    <dataValidation allowBlank="1" showInputMessage="1" showErrorMessage="1" promptTitle="Mutatie crediteuren" prompt="Vul het bedrag in waarmee de post crediteuren in 2022 muteert. Vul bij een toename een positief bedrag in. Vul bij een afname een negatief bedrag in.   " sqref="L30" xr:uid="{00000000-0002-0000-0200-00001E000000}"/>
    <dataValidation allowBlank="1" showInputMessage="1" showErrorMessage="1" promptTitle="Mutatie overlopende passiva" prompt="Vul het bedrag in waarmee de overlopende passiva in 2022 muteren. Vul bij een toename een positief bedrag in. Vul bij een afname een negatief bedrag in." sqref="M30" xr:uid="{00000000-0002-0000-0200-00001F000000}"/>
    <dataValidation allowBlank="1" showInputMessage="1" showErrorMessage="1" promptTitle="Investeringen onderhanden werk" prompt="Vul voor de investeringen in onderhanden werk bouwgrondexploitatie in 2022 een negatief bedrag in." sqref="E6" xr:uid="{00000000-0002-0000-0200-000020000000}"/>
    <dataValidation allowBlank="1" showInputMessage="1" showErrorMessage="1" promptTitle="Opbrengst bouwgrondexploitatie" prompt="Vul voor de bruto opbrengsten uit de bouwgrondexploitatie in 2022 een positief bedrag in. Vul erna op het blad Balansprognose de afname van de voorraad onderhanden werk bouwgrondexploitatie in." sqref="E7" xr:uid="{00000000-0002-0000-0200-000021000000}"/>
    <dataValidation allowBlank="1" showInputMessage="1" showErrorMessage="1" promptTitle="Investeringen nieuwe voorraden" prompt="Vul voor de uitgaven in 2022 voor het aanvullen van de overige voorraden een negatief bedrag in." sqref="F6" xr:uid="{00000000-0002-0000-0200-000022000000}"/>
    <dataValidation allowBlank="1" showInputMessage="1" showErrorMessage="1" promptTitle="Afname voorraden" prompt="Vul voor het verbruik van de overige voorraden in 2022 een positief bedrag in." sqref="F7" xr:uid="{00000000-0002-0000-0200-000023000000}"/>
  </dataValidations>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3"/>
  <sheetViews>
    <sheetView showGridLines="0" zoomScale="80" zoomScaleNormal="80" workbookViewId="0">
      <selection activeCell="C3" sqref="C3"/>
    </sheetView>
  </sheetViews>
  <sheetFormatPr defaultColWidth="9.08984375" defaultRowHeight="12.5" x14ac:dyDescent="0.25"/>
  <cols>
    <col min="1" max="1" width="3" style="12" customWidth="1"/>
    <col min="2" max="2" width="99.6328125" style="220" bestFit="1" customWidth="1"/>
    <col min="3" max="3" width="17.90625" style="3" bestFit="1" customWidth="1"/>
    <col min="4" max="4" width="9.08984375" style="3" customWidth="1"/>
    <col min="5" max="5" width="3.453125" style="12" customWidth="1"/>
    <col min="6" max="6" width="125.90625" style="220" bestFit="1" customWidth="1"/>
    <col min="7" max="7" width="20.6328125" style="3" customWidth="1"/>
    <col min="8" max="8" width="18.6328125" style="3" hidden="1" customWidth="1"/>
    <col min="9" max="9" width="39.36328125" style="3" hidden="1" customWidth="1"/>
    <col min="10" max="10" width="18.6328125" style="3" hidden="1" customWidth="1"/>
    <col min="11" max="11" width="25" style="3" hidden="1" customWidth="1"/>
    <col min="12" max="12" width="40.6328125" style="3" hidden="1" customWidth="1"/>
    <col min="13" max="13" width="18.6328125" style="3" hidden="1" customWidth="1"/>
    <col min="14" max="14" width="23.453125" style="3" hidden="1" customWidth="1"/>
    <col min="15" max="15" width="18.6328125" style="3" customWidth="1"/>
    <col min="16" max="16" width="45.90625" style="3" customWidth="1"/>
    <col min="17" max="17" width="13.36328125" style="3" customWidth="1"/>
    <col min="18" max="18" width="37.6328125" style="3" customWidth="1"/>
    <col min="19" max="21" width="9.08984375" style="3" customWidth="1"/>
    <col min="22" max="22" width="14.453125" style="3" bestFit="1" customWidth="1"/>
    <col min="23" max="23" width="12.6328125" style="3" bestFit="1" customWidth="1"/>
    <col min="24" max="26" width="9.08984375" style="3" customWidth="1"/>
    <col min="27" max="16384" width="9.08984375" style="3"/>
  </cols>
  <sheetData>
    <row r="1" spans="1:23" ht="15.9" customHeight="1" x14ac:dyDescent="0.25">
      <c r="A1" s="367" t="s">
        <v>75</v>
      </c>
      <c r="B1" s="367"/>
      <c r="C1" s="1">
        <f>Macrogegevens!C2</f>
        <v>2022</v>
      </c>
      <c r="D1" s="1"/>
      <c r="E1" s="142" t="s">
        <v>76</v>
      </c>
      <c r="F1" s="142"/>
      <c r="G1" s="1">
        <f>Macrogegevens!C2</f>
        <v>2022</v>
      </c>
      <c r="H1" s="2"/>
      <c r="I1" s="2" t="s">
        <v>0</v>
      </c>
      <c r="L1" s="2" t="s">
        <v>27</v>
      </c>
      <c r="P1" s="142" t="s">
        <v>515</v>
      </c>
      <c r="Q1" s="143"/>
      <c r="R1" s="5"/>
      <c r="S1" s="5"/>
    </row>
    <row r="2" spans="1:23" ht="15.9" customHeight="1" x14ac:dyDescent="0.25">
      <c r="A2" s="209" t="s">
        <v>4</v>
      </c>
      <c r="B2" s="142" t="s">
        <v>683</v>
      </c>
      <c r="C2" s="4">
        <f>SUM(1,J10,SUM(J3,-J5),J6*J11,V14)</f>
        <v>1.0500749949387143</v>
      </c>
      <c r="D2" s="5"/>
      <c r="E2" s="209" t="s">
        <v>4</v>
      </c>
      <c r="F2" s="142" t="s">
        <v>597</v>
      </c>
      <c r="G2" s="357">
        <f>SUM(1,J4,J6)</f>
        <v>1.0443235234573112</v>
      </c>
      <c r="I2" s="3" t="s">
        <v>1</v>
      </c>
      <c r="J2" s="7">
        <f>Macrogegevens!C4</f>
        <v>2.4E-2</v>
      </c>
      <c r="L2" s="3" t="s">
        <v>738</v>
      </c>
      <c r="M2" s="18">
        <f>Macrogegevens!C21</f>
        <v>0.2</v>
      </c>
      <c r="N2" s="18">
        <f>SUM(1,-M2)</f>
        <v>0.8</v>
      </c>
      <c r="P2" s="144" t="s">
        <v>911</v>
      </c>
      <c r="Q2" s="4">
        <f>SUM(C3,C4,C15,C35,C36,C46,C47,C48)/C74</f>
        <v>0.71507739222843414</v>
      </c>
      <c r="R2" s="5" t="s">
        <v>62</v>
      </c>
      <c r="S2" s="159">
        <f>C3/C74</f>
        <v>0.43019160574364329</v>
      </c>
      <c r="U2" s="303" t="s">
        <v>19</v>
      </c>
      <c r="V2" s="304" t="s">
        <v>864</v>
      </c>
      <c r="W2" s="303" t="s">
        <v>866</v>
      </c>
    </row>
    <row r="3" spans="1:23" ht="15.9" customHeight="1" x14ac:dyDescent="0.25">
      <c r="A3" s="210">
        <v>1</v>
      </c>
      <c r="B3" s="216" t="s">
        <v>62</v>
      </c>
      <c r="C3" s="10">
        <f>VLOOKUP(Macrogegevens!$A$2,Inkomsten!B2:L357,3,0)</f>
        <v>465531846.1554836</v>
      </c>
      <c r="D3" s="5"/>
      <c r="E3" s="210">
        <v>1</v>
      </c>
      <c r="F3" s="216" t="s">
        <v>649</v>
      </c>
      <c r="G3" s="10">
        <f>VLOOKUP('Financiele conditie'!B2,Uitgaven!B2:S357,6,0)*1000</f>
        <v>240088000</v>
      </c>
      <c r="I3" s="3" t="s">
        <v>493</v>
      </c>
      <c r="J3" s="7">
        <f>SUM(Macrogegevens!C6,-J5)</f>
        <v>2.0199999999999999E-2</v>
      </c>
      <c r="L3" s="3" t="s">
        <v>739</v>
      </c>
      <c r="M3" s="18">
        <f>Macrogegevens!C22</f>
        <v>0.11</v>
      </c>
      <c r="N3" s="18">
        <f>SUM(1,-M3)</f>
        <v>0.89</v>
      </c>
      <c r="P3" s="145" t="s">
        <v>912</v>
      </c>
      <c r="Q3" s="4">
        <f>SUM(C25,C54)/C74</f>
        <v>9.0505937254539578E-2</v>
      </c>
      <c r="R3" s="145" t="s">
        <v>500</v>
      </c>
      <c r="S3" s="159">
        <f>C35/C74</f>
        <v>0.15285727486947281</v>
      </c>
      <c r="U3" s="112">
        <v>2022</v>
      </c>
      <c r="V3" s="305">
        <v>0</v>
      </c>
      <c r="W3" s="311">
        <v>0</v>
      </c>
    </row>
    <row r="4" spans="1:23" ht="15.9" customHeight="1" x14ac:dyDescent="0.4">
      <c r="A4" s="210">
        <v>2</v>
      </c>
      <c r="B4" s="216" t="s">
        <v>803</v>
      </c>
      <c r="C4" s="71">
        <f>VLOOKUP(Macrogegevens!$A$2,Inkomsten!B2:L357,7,0)</f>
        <v>31303281</v>
      </c>
      <c r="D4" s="5"/>
      <c r="E4" s="210">
        <v>2</v>
      </c>
      <c r="F4" s="216" t="s">
        <v>650</v>
      </c>
      <c r="G4" s="10">
        <f>VLOOKUP('Financiele conditie'!B2,Uitgaven!B2:Q357,13,0)*1000</f>
        <v>219213000</v>
      </c>
      <c r="I4" s="3" t="s">
        <v>2</v>
      </c>
      <c r="J4" s="7">
        <f>Macrogegevens!C7</f>
        <v>0.04</v>
      </c>
      <c r="M4" s="18"/>
      <c r="N4" s="18"/>
      <c r="P4" s="145" t="s">
        <v>913</v>
      </c>
      <c r="Q4" s="4">
        <f>C10/C74</f>
        <v>1.7103913505521415E-2</v>
      </c>
      <c r="R4" s="145" t="s">
        <v>501</v>
      </c>
      <c r="S4" s="159">
        <f>SUM(C4,C15,C36,C46,C47,C48)/C74</f>
        <v>0.13202851161531803</v>
      </c>
      <c r="U4" s="112">
        <v>2023</v>
      </c>
      <c r="V4" s="305">
        <v>0</v>
      </c>
      <c r="W4" s="311">
        <v>0</v>
      </c>
    </row>
    <row r="5" spans="1:23" ht="15.9" customHeight="1" x14ac:dyDescent="0.25">
      <c r="A5" s="210">
        <v>3</v>
      </c>
      <c r="B5" s="217"/>
      <c r="C5" s="10"/>
      <c r="D5" s="5"/>
      <c r="E5" s="210">
        <v>3</v>
      </c>
      <c r="F5" s="217"/>
      <c r="G5" s="69">
        <v>0</v>
      </c>
      <c r="I5" s="3" t="s">
        <v>57</v>
      </c>
      <c r="J5" s="7">
        <f>Macrogegevens!C11</f>
        <v>2.8E-3</v>
      </c>
      <c r="L5" s="3" t="s">
        <v>860</v>
      </c>
      <c r="M5" s="18">
        <f>Macrogegevens!C23</f>
        <v>0.01</v>
      </c>
      <c r="N5" s="18">
        <f>SUM(1,M24)</f>
        <v>1.0083451234156318</v>
      </c>
      <c r="P5" s="145" t="s">
        <v>914</v>
      </c>
      <c r="Q5" s="4">
        <f>C11/C74</f>
        <v>3.1572332855888743E-2</v>
      </c>
      <c r="U5" s="112">
        <v>2024</v>
      </c>
      <c r="V5" s="305">
        <v>0</v>
      </c>
      <c r="W5" s="311">
        <v>0</v>
      </c>
    </row>
    <row r="6" spans="1:23" ht="15.9" customHeight="1" x14ac:dyDescent="0.25">
      <c r="A6" s="210"/>
      <c r="B6" s="216"/>
      <c r="C6" s="8"/>
      <c r="D6" s="5"/>
      <c r="E6" s="210">
        <v>4</v>
      </c>
      <c r="F6" s="217"/>
      <c r="G6" s="30">
        <v>0</v>
      </c>
      <c r="I6" s="3" t="s">
        <v>58</v>
      </c>
      <c r="J6" s="7">
        <f>Macrogegevens!C12</f>
        <v>4.3235234573110199E-3</v>
      </c>
      <c r="L6" s="3" t="s">
        <v>861</v>
      </c>
      <c r="M6" s="18">
        <f>Macrogegevens!C24</f>
        <v>0.01</v>
      </c>
      <c r="N6" s="18">
        <f>SUM(1,M25)</f>
        <v>1.0083451234156318</v>
      </c>
      <c r="P6" s="145" t="s">
        <v>915</v>
      </c>
      <c r="Q6" s="4">
        <f>C71/C74</f>
        <v>1.1486392829090238E-3</v>
      </c>
      <c r="R6" s="145"/>
      <c r="S6" s="4"/>
      <c r="U6" s="112">
        <v>2025</v>
      </c>
      <c r="V6" s="305">
        <v>0</v>
      </c>
      <c r="W6" s="311">
        <v>0</v>
      </c>
    </row>
    <row r="7" spans="1:23" ht="15.9" customHeight="1" x14ac:dyDescent="0.25">
      <c r="A7" s="210"/>
      <c r="B7" s="216" t="s">
        <v>7</v>
      </c>
      <c r="C7" s="8">
        <f>SUM(C3:C5)</f>
        <v>496835127.1554836</v>
      </c>
      <c r="D7" s="5"/>
      <c r="E7" s="210"/>
      <c r="F7" s="216"/>
      <c r="G7" s="168"/>
      <c r="I7" s="3" t="s">
        <v>22</v>
      </c>
      <c r="J7" s="7">
        <f>Macrogegevens!C16</f>
        <v>6.9999999999999993E-3</v>
      </c>
      <c r="M7" s="18"/>
      <c r="N7" s="6"/>
      <c r="P7" s="145" t="s">
        <v>916</v>
      </c>
      <c r="Q7" s="4">
        <f>SUM(C14,C26,C27,C55)/C74</f>
        <v>2.5009471884674027E-2</v>
      </c>
      <c r="R7" s="145"/>
      <c r="S7" s="145"/>
      <c r="U7" s="112">
        <v>2026</v>
      </c>
      <c r="V7" s="305">
        <v>0</v>
      </c>
      <c r="W7" s="311">
        <v>0</v>
      </c>
    </row>
    <row r="8" spans="1:23" ht="15.9" customHeight="1" x14ac:dyDescent="0.25">
      <c r="B8" s="216"/>
      <c r="C8" s="8"/>
      <c r="D8" s="5"/>
      <c r="E8" s="210"/>
      <c r="F8" s="216" t="s">
        <v>7</v>
      </c>
      <c r="G8" s="8">
        <f>SUM(G3:G6)</f>
        <v>459301000</v>
      </c>
      <c r="I8" s="13" t="s">
        <v>596</v>
      </c>
      <c r="J8" s="7">
        <f>Macrogegevens!C8</f>
        <v>2.7999999999999997E-2</v>
      </c>
      <c r="L8" s="3" t="s">
        <v>880</v>
      </c>
      <c r="M8" s="7">
        <f>Macrogegevens!C35</f>
        <v>2.6700000000000002E-2</v>
      </c>
      <c r="P8" s="145" t="s">
        <v>917</v>
      </c>
      <c r="Q8" s="4">
        <f>SUM(C12,C43,C44,C45)/C74</f>
        <v>2.0680127523910734E-2</v>
      </c>
      <c r="R8" s="145"/>
      <c r="S8" s="145"/>
      <c r="U8" s="112">
        <v>2027</v>
      </c>
      <c r="V8" s="305">
        <v>0</v>
      </c>
      <c r="W8" s="311">
        <v>0</v>
      </c>
    </row>
    <row r="9" spans="1:23" ht="15.9" customHeight="1" x14ac:dyDescent="0.3">
      <c r="A9" s="209" t="s">
        <v>5</v>
      </c>
      <c r="B9" s="142" t="s">
        <v>1041</v>
      </c>
      <c r="C9" s="4">
        <f>SUM(1,(0.5*J8),(0.5*J4),J6)</f>
        <v>1.0383235234573112</v>
      </c>
      <c r="D9" s="5"/>
      <c r="E9" s="210"/>
      <c r="F9" s="216"/>
      <c r="G9" s="168"/>
      <c r="I9" s="3" t="s">
        <v>668</v>
      </c>
      <c r="J9" s="7">
        <f>Macrogegevens!C13</f>
        <v>0.03</v>
      </c>
      <c r="L9" s="3" t="s">
        <v>735</v>
      </c>
      <c r="M9" s="18">
        <f>Macrogegevens!C30</f>
        <v>0.01</v>
      </c>
      <c r="P9" s="5" t="s">
        <v>918</v>
      </c>
      <c r="Q9" s="4">
        <f>SUM(C28,C70)/C74</f>
        <v>2.8870827298298062E-2</v>
      </c>
      <c r="R9" s="145"/>
      <c r="S9" s="145"/>
      <c r="U9" s="112">
        <v>2028</v>
      </c>
      <c r="V9" s="305">
        <v>0</v>
      </c>
      <c r="W9" s="311">
        <v>0</v>
      </c>
    </row>
    <row r="10" spans="1:23" ht="15.9" customHeight="1" x14ac:dyDescent="0.4">
      <c r="A10" s="211">
        <v>4</v>
      </c>
      <c r="B10" s="218" t="s">
        <v>65</v>
      </c>
      <c r="C10" s="71">
        <f>VLOOKUP(Macrogegevens!$A$2,'Data belastingen 2022'!$B$2:$O$357,9,0)*1000</f>
        <v>18509000</v>
      </c>
      <c r="D10" s="5"/>
      <c r="E10" s="209" t="s">
        <v>5</v>
      </c>
      <c r="F10" s="142" t="s">
        <v>1038</v>
      </c>
      <c r="G10" s="33">
        <f>SUM(1,0.6*J15,0.4*J2,J6,SUM(J9,-J5))</f>
        <v>1.0609235234573111</v>
      </c>
      <c r="I10" s="3" t="s">
        <v>576</v>
      </c>
      <c r="J10" s="7">
        <f>Macrogegevens!C5</f>
        <v>2.8999999999999998E-2</v>
      </c>
      <c r="K10" s="102" t="s">
        <v>455</v>
      </c>
      <c r="L10" s="3" t="s">
        <v>736</v>
      </c>
      <c r="M10" s="18">
        <f>Macrogegevens!C31</f>
        <v>0.02</v>
      </c>
      <c r="N10" s="32"/>
      <c r="P10" s="3" t="s">
        <v>919</v>
      </c>
      <c r="Q10" s="18">
        <f>SUM(1,-Q2,-Q3,-Q4,-Q5,-Q6,-Q7,-Q8,-Q9)</f>
        <v>7.0031358165824231E-2</v>
      </c>
      <c r="U10" s="112">
        <v>2029</v>
      </c>
      <c r="V10" s="305">
        <v>0</v>
      </c>
      <c r="W10" s="311">
        <v>0</v>
      </c>
    </row>
    <row r="11" spans="1:23" s="26" customFormat="1" ht="15.9" customHeight="1" x14ac:dyDescent="0.4">
      <c r="A11" s="211">
        <v>5</v>
      </c>
      <c r="B11" s="218" t="s">
        <v>64</v>
      </c>
      <c r="C11" s="71">
        <f>VLOOKUP(Macrogegevens!$A$2,'Data belastingen 2022'!$B$2:$O$357,10,0)*1000</f>
        <v>34166000</v>
      </c>
      <c r="D11" s="28"/>
      <c r="E11" s="210">
        <v>5</v>
      </c>
      <c r="F11" s="216" t="s">
        <v>651</v>
      </c>
      <c r="G11" s="10">
        <f>VLOOKUP('Financiele conditie'!B2,Uitgaven!B2:Q357,14,0)*1000</f>
        <v>260017000</v>
      </c>
      <c r="I11" s="26" t="s">
        <v>78</v>
      </c>
      <c r="J11" s="32">
        <f>IF(Macrogegevens!C18="Hoog",85%,K11)</f>
        <v>0.85</v>
      </c>
      <c r="K11" s="103">
        <f>IF(Macrogegevens!C18="Midden",72.5%,60%)</f>
        <v>0.6</v>
      </c>
      <c r="L11" s="26" t="s">
        <v>737</v>
      </c>
      <c r="M11" s="32">
        <f>Macrogegevens!C32</f>
        <v>0.03</v>
      </c>
      <c r="N11" s="32"/>
      <c r="U11" s="302">
        <v>2030</v>
      </c>
      <c r="V11" s="306">
        <v>0</v>
      </c>
      <c r="W11" s="311">
        <v>0</v>
      </c>
    </row>
    <row r="12" spans="1:23" s="26" customFormat="1" ht="15.9" customHeight="1" x14ac:dyDescent="0.4">
      <c r="A12" s="212">
        <v>6</v>
      </c>
      <c r="B12" s="298" t="s">
        <v>644</v>
      </c>
      <c r="C12" s="71">
        <f>VLOOKUP(Macrogegevens!$A$2,'Data belastingen 2022'!$B$2:$O$357,12,0)*1000</f>
        <v>1624000</v>
      </c>
      <c r="D12" s="28"/>
      <c r="E12" s="210">
        <v>6</v>
      </c>
      <c r="F12" s="217"/>
      <c r="G12" s="10">
        <v>0</v>
      </c>
      <c r="I12" s="26" t="s">
        <v>446</v>
      </c>
      <c r="J12" s="11">
        <f>SUM(-C25,-C54,VLOOKUP(Macrogegevens!$A$2,'Data belastingen 2022'!$B$2:$T$347,19,0))</f>
        <v>-25331925</v>
      </c>
      <c r="L12" s="26" t="s">
        <v>47</v>
      </c>
      <c r="M12" s="31">
        <f>Macrogegevens!C36</f>
        <v>1</v>
      </c>
    </row>
    <row r="13" spans="1:23" s="26" customFormat="1" ht="15.9" customHeight="1" x14ac:dyDescent="0.25">
      <c r="A13" s="212">
        <v>7</v>
      </c>
      <c r="B13" s="218" t="s">
        <v>68</v>
      </c>
      <c r="C13" s="29">
        <v>0</v>
      </c>
      <c r="D13" s="28"/>
      <c r="E13" s="210">
        <v>7</v>
      </c>
      <c r="F13" s="217"/>
      <c r="G13" s="10">
        <v>0</v>
      </c>
      <c r="I13" s="26" t="s">
        <v>473</v>
      </c>
      <c r="J13" s="107">
        <v>0</v>
      </c>
      <c r="L13" s="26" t="s">
        <v>474</v>
      </c>
      <c r="M13" s="11">
        <f>SUM(-C25,-C54,VLOOKUP(Macrogegevens!$A$2,'Data belastingen 2022'!$B$2:$T$347,19,0))</f>
        <v>-25331925</v>
      </c>
      <c r="N13" s="125">
        <f>IF(M13&lt;M15,0.2*M13,0)</f>
        <v>-5066385</v>
      </c>
      <c r="U13" s="308"/>
      <c r="V13" s="307" t="s">
        <v>865</v>
      </c>
    </row>
    <row r="14" spans="1:23" ht="15.9" customHeight="1" x14ac:dyDescent="0.25">
      <c r="A14" s="212">
        <v>8</v>
      </c>
      <c r="B14" s="218" t="s">
        <v>499</v>
      </c>
      <c r="C14" s="19">
        <f>VLOOKUP(Macrogegevens!$A$2,'Data belastingen 2022'!$B$2:$O$357,8,0)*1000</f>
        <v>132000</v>
      </c>
      <c r="D14" s="5"/>
      <c r="E14" s="210"/>
      <c r="F14" s="216"/>
      <c r="G14" s="8"/>
      <c r="I14" s="3" t="s">
        <v>18</v>
      </c>
      <c r="J14" s="23">
        <f>Balansprognose!G35</f>
        <v>1082150000</v>
      </c>
      <c r="L14" s="3" t="s">
        <v>475</v>
      </c>
      <c r="M14" s="11">
        <f>SUM(G67,-C4,-C10,-C11,-C12,-C15,-C35,-C36,-C43,-C44,-C45,-C46,-C47,-C48)</f>
        <v>616214768.25358021</v>
      </c>
      <c r="U14" s="309"/>
      <c r="V14" s="310">
        <v>0</v>
      </c>
    </row>
    <row r="15" spans="1:23" ht="15.9" customHeight="1" x14ac:dyDescent="0.4">
      <c r="A15" s="212">
        <v>9</v>
      </c>
      <c r="B15" s="298" t="s">
        <v>83</v>
      </c>
      <c r="C15" s="71">
        <f>VLOOKUP(Macrogegevens!$A$2,Inkomsten!B2:L357,11,0)</f>
        <v>2429029.8445163965</v>
      </c>
      <c r="D15" s="5"/>
      <c r="E15" s="210"/>
      <c r="F15" s="216" t="s">
        <v>8</v>
      </c>
      <c r="G15" s="8">
        <f>SUM(G11:G13)</f>
        <v>260017000</v>
      </c>
      <c r="H15" s="2"/>
      <c r="I15" s="141" t="s">
        <v>1034</v>
      </c>
      <c r="J15" s="7">
        <f>Macrogegevens!C9</f>
        <v>3.3000000000000002E-2</v>
      </c>
      <c r="L15" s="3" t="s">
        <v>550</v>
      </c>
      <c r="M15" s="37">
        <f>Macrogegevens!D36</f>
        <v>78882859.574352965</v>
      </c>
    </row>
    <row r="16" spans="1:23" ht="15.9" customHeight="1" x14ac:dyDescent="0.3">
      <c r="A16" s="212">
        <v>10</v>
      </c>
      <c r="B16" s="218" t="s">
        <v>69</v>
      </c>
      <c r="C16" s="19">
        <v>0</v>
      </c>
      <c r="D16" s="5"/>
      <c r="E16" s="210"/>
      <c r="F16" s="216"/>
      <c r="G16" s="8"/>
      <c r="H16" s="12"/>
      <c r="I16" s="215" t="s">
        <v>863</v>
      </c>
      <c r="J16" s="7"/>
    </row>
    <row r="17" spans="1:18" ht="15.5" customHeight="1" x14ac:dyDescent="0.3">
      <c r="A17" s="212">
        <v>11</v>
      </c>
      <c r="B17" s="218" t="s">
        <v>547</v>
      </c>
      <c r="C17" s="19">
        <v>0</v>
      </c>
      <c r="D17" s="5"/>
      <c r="E17" s="209" t="s">
        <v>6</v>
      </c>
      <c r="F17" s="142" t="s">
        <v>1037</v>
      </c>
      <c r="G17" s="33">
        <f>SUM(1,(0.4*J8),(0.6*J15),J6)</f>
        <v>1.0353235234573113</v>
      </c>
      <c r="I17" s="3">
        <v>2022</v>
      </c>
      <c r="J17" s="23">
        <f t="shared" ref="J17:J25" si="0">V3</f>
        <v>0</v>
      </c>
      <c r="L17" s="3" t="s">
        <v>592</v>
      </c>
      <c r="M17" s="4">
        <f>SUM(C3,C4,C15,C16,C36,C37,C46,C47,C48)/C67</f>
        <v>0.56855402713367653</v>
      </c>
    </row>
    <row r="18" spans="1:18" ht="15" customHeight="1" x14ac:dyDescent="0.25">
      <c r="A18" s="212">
        <v>12</v>
      </c>
      <c r="B18" s="218" t="s">
        <v>1016</v>
      </c>
      <c r="C18" s="19">
        <f>VLOOKUP(Macrogegevens!$A$2,'Data belastingen 2022'!$B$2:$O$357,6,0)*1000</f>
        <v>1199000</v>
      </c>
      <c r="D18" s="210"/>
      <c r="E18" s="210">
        <v>8</v>
      </c>
      <c r="F18" s="216" t="s">
        <v>652</v>
      </c>
      <c r="G18" s="10">
        <f>VLOOKUP('Financiele conditie'!B2,Uitgaven!B2:Q357,7,0)*1000</f>
        <v>60696000</v>
      </c>
      <c r="I18" s="3">
        <v>2023</v>
      </c>
      <c r="J18" s="23">
        <f t="shared" si="0"/>
        <v>0</v>
      </c>
      <c r="L18" s="3" t="s">
        <v>594</v>
      </c>
      <c r="M18" s="4">
        <f>Q10</f>
        <v>7.0031358165824231E-2</v>
      </c>
    </row>
    <row r="19" spans="1:18" ht="14.5" customHeight="1" x14ac:dyDescent="0.25">
      <c r="A19" s="210">
        <v>13</v>
      </c>
      <c r="B19" s="217"/>
      <c r="C19" s="10">
        <v>0</v>
      </c>
      <c r="D19" s="210"/>
      <c r="E19" s="210">
        <v>9</v>
      </c>
      <c r="F19" s="216" t="s">
        <v>653</v>
      </c>
      <c r="G19" s="10">
        <f>VLOOKUP('Financiele conditie'!B2,Uitgaven!B2:Q357,8,0)*1000</f>
        <v>22610000</v>
      </c>
      <c r="I19" s="3">
        <v>2024</v>
      </c>
      <c r="J19" s="23">
        <f t="shared" si="0"/>
        <v>0</v>
      </c>
      <c r="L19" s="3" t="s">
        <v>593</v>
      </c>
      <c r="M19" s="18">
        <f>M2*SUM(M17,-S3)</f>
        <v>8.3139350452840752E-2</v>
      </c>
    </row>
    <row r="20" spans="1:18" ht="15" customHeight="1" x14ac:dyDescent="0.25">
      <c r="A20" s="210">
        <v>14</v>
      </c>
      <c r="B20" s="216" t="s">
        <v>457</v>
      </c>
      <c r="C20" s="353">
        <f>SUM($C$67,-$C$7,-C10,-C11,-C12,-C13,-C14,-C15,-C16,-C17,-C18,-C19,-C32,-C39,-$C$51,-C58)</f>
        <v>72435434.239146709</v>
      </c>
      <c r="D20" s="210"/>
      <c r="E20" s="210">
        <v>10</v>
      </c>
      <c r="F20" s="220" t="s">
        <v>654</v>
      </c>
      <c r="G20" s="10">
        <f>VLOOKUP('Financiele conditie'!B2,Uitgaven!B2:Q357,11,0)*1000</f>
        <v>22505000</v>
      </c>
      <c r="I20" s="3">
        <v>2025</v>
      </c>
      <c r="J20" s="23">
        <f t="shared" si="0"/>
        <v>0</v>
      </c>
      <c r="L20" s="3" t="s">
        <v>677</v>
      </c>
      <c r="M20" s="18">
        <f>M3*M18</f>
        <v>7.7034493982406655E-3</v>
      </c>
    </row>
    <row r="21" spans="1:18" ht="15.9" customHeight="1" x14ac:dyDescent="0.25">
      <c r="A21" s="210"/>
      <c r="B21" s="216"/>
      <c r="C21" s="8"/>
      <c r="D21" s="210"/>
      <c r="E21" s="210">
        <v>11</v>
      </c>
      <c r="F21" s="217"/>
      <c r="G21" s="10"/>
      <c r="I21" s="3">
        <v>2026</v>
      </c>
      <c r="J21" s="23">
        <f t="shared" si="0"/>
        <v>0</v>
      </c>
      <c r="L21" s="3" t="s">
        <v>666</v>
      </c>
      <c r="M21" s="4">
        <f>SUM(M19:M20)</f>
        <v>9.0842799851081416E-2</v>
      </c>
      <c r="N21" s="18">
        <f>SUM(1,-M21)</f>
        <v>0.90915720014891854</v>
      </c>
    </row>
    <row r="22" spans="1:18" ht="15.9" customHeight="1" x14ac:dyDescent="0.25">
      <c r="A22" s="210"/>
      <c r="B22" s="216" t="s">
        <v>8</v>
      </c>
      <c r="C22" s="8">
        <f>SUM(C10:C20)</f>
        <v>130494464.08366311</v>
      </c>
      <c r="D22" s="210"/>
      <c r="E22" s="210">
        <v>12</v>
      </c>
      <c r="F22" s="217"/>
      <c r="G22" s="10">
        <v>0</v>
      </c>
      <c r="I22" s="3">
        <v>2027</v>
      </c>
      <c r="J22" s="23">
        <f t="shared" si="0"/>
        <v>0</v>
      </c>
      <c r="M22" s="20"/>
    </row>
    <row r="23" spans="1:18" ht="15.9" customHeight="1" x14ac:dyDescent="0.3">
      <c r="A23" s="210"/>
      <c r="B23" s="216"/>
      <c r="C23" s="8"/>
      <c r="D23" s="5"/>
      <c r="E23" s="209"/>
      <c r="F23" s="142"/>
      <c r="G23" s="4"/>
      <c r="I23" s="3">
        <v>2028</v>
      </c>
      <c r="J23" s="23">
        <f t="shared" si="0"/>
        <v>0</v>
      </c>
      <c r="L23" s="3" t="s">
        <v>595</v>
      </c>
      <c r="M23" s="18">
        <f>SUM(G67,-C35)/G67</f>
        <v>0.83451234156316734</v>
      </c>
    </row>
    <row r="24" spans="1:18" ht="15.9" customHeight="1" x14ac:dyDescent="0.3">
      <c r="A24" s="209" t="s">
        <v>6</v>
      </c>
      <c r="B24" s="142" t="s">
        <v>1042</v>
      </c>
      <c r="C24" s="4">
        <f>SUM(1,J2,SUM(J3,-J5),J6)</f>
        <v>1.0457235234573112</v>
      </c>
      <c r="D24" s="5"/>
      <c r="E24" s="210"/>
      <c r="F24" s="221" t="s">
        <v>9</v>
      </c>
      <c r="G24" s="8">
        <f>SUM(G18:G22)</f>
        <v>105811000</v>
      </c>
      <c r="I24" s="3">
        <v>2029</v>
      </c>
      <c r="J24" s="23">
        <f t="shared" si="0"/>
        <v>0</v>
      </c>
      <c r="L24" s="3" t="s">
        <v>645</v>
      </c>
      <c r="M24" s="18">
        <f>M5*M23</f>
        <v>8.3451234156316743E-3</v>
      </c>
      <c r="N24" s="18"/>
    </row>
    <row r="25" spans="1:18" ht="15.9" customHeight="1" x14ac:dyDescent="0.25">
      <c r="A25" s="210">
        <v>15</v>
      </c>
      <c r="B25" s="216" t="s">
        <v>63</v>
      </c>
      <c r="C25" s="19">
        <f>VLOOKUP(Macrogegevens!$A$2,'Data belastingen 2022'!$B$2:$O$357,3,0)*1000</f>
        <v>49647000</v>
      </c>
      <c r="D25" s="5"/>
      <c r="E25" s="210"/>
      <c r="F25" s="221"/>
      <c r="G25" s="8"/>
      <c r="I25" s="3">
        <v>2030</v>
      </c>
      <c r="J25" s="23">
        <f t="shared" si="0"/>
        <v>0</v>
      </c>
      <c r="K25" s="20"/>
      <c r="L25" s="20" t="s">
        <v>667</v>
      </c>
      <c r="M25" s="18">
        <f>M6*M23</f>
        <v>8.3451234156316743E-3</v>
      </c>
      <c r="N25" s="18"/>
    </row>
    <row r="26" spans="1:18" ht="15.9" customHeight="1" x14ac:dyDescent="0.3">
      <c r="A26" s="210">
        <v>16</v>
      </c>
      <c r="B26" s="216" t="s">
        <v>67</v>
      </c>
      <c r="C26" s="352">
        <f>VLOOKUP(Macrogegevens!$A$2,'Data belastingen 2022'!$B$2:$O$357,7,0)*1000</f>
        <v>2276000</v>
      </c>
      <c r="D26" s="5"/>
      <c r="E26" s="209" t="s">
        <v>14</v>
      </c>
      <c r="F26" s="142" t="s">
        <v>1035</v>
      </c>
      <c r="G26" s="33">
        <f>SUM(1,(0.5*J8),(0.5*J15),0.5*J3,0.5*J6)</f>
        <v>1.0427617617286555</v>
      </c>
      <c r="K26" s="20"/>
      <c r="L26" s="20"/>
      <c r="M26" s="18"/>
    </row>
    <row r="27" spans="1:18" ht="15.9" customHeight="1" x14ac:dyDescent="0.25">
      <c r="A27" s="210">
        <v>17</v>
      </c>
      <c r="B27" s="216" t="s">
        <v>766</v>
      </c>
      <c r="C27" s="19">
        <f>VLOOKUP(Macrogegevens!$A$2,Inkomsten!$B$2:$W$357,15,0)*1000</f>
        <v>1648000</v>
      </c>
      <c r="D27" s="5"/>
      <c r="E27" s="210">
        <v>13</v>
      </c>
      <c r="F27" s="216" t="s">
        <v>827</v>
      </c>
      <c r="G27" s="10">
        <f>VLOOKUP('Financiele conditie'!B2,Uitgaven!B2:Q357,9,0)*1000</f>
        <v>31662000</v>
      </c>
    </row>
    <row r="28" spans="1:18" ht="15.9" customHeight="1" x14ac:dyDescent="0.3">
      <c r="A28" s="210">
        <v>18</v>
      </c>
      <c r="B28" s="216" t="s">
        <v>765</v>
      </c>
      <c r="C28" s="19">
        <f>VLOOKUP(Macrogegevens!$A$2,Inkomsten!$B$2:$W$357,14,0)*1000</f>
        <v>20430000</v>
      </c>
      <c r="D28" s="5"/>
      <c r="E28" s="210">
        <v>14</v>
      </c>
      <c r="F28" s="216" t="s">
        <v>655</v>
      </c>
      <c r="G28" s="10">
        <f>VLOOKUP('Financiele conditie'!B2,Uitgaven!B2:Q357,10,0)*1000</f>
        <v>8148000</v>
      </c>
      <c r="H28" s="2" t="s">
        <v>45</v>
      </c>
      <c r="P28" s="167" t="s">
        <v>546</v>
      </c>
      <c r="Q28" s="267">
        <v>2022</v>
      </c>
    </row>
    <row r="29" spans="1:18" ht="15.9" customHeight="1" x14ac:dyDescent="0.25">
      <c r="A29" s="210">
        <v>19</v>
      </c>
      <c r="B29" s="216" t="s">
        <v>764</v>
      </c>
      <c r="C29" s="19">
        <f>VLOOKUP(Macrogegevens!$A$2,Inkomsten!$B$2:$W$357,13,0)*1000</f>
        <v>2150000</v>
      </c>
      <c r="D29" s="5"/>
      <c r="E29" s="210">
        <v>15</v>
      </c>
      <c r="F29" s="217"/>
      <c r="G29" s="10">
        <v>0</v>
      </c>
      <c r="H29" s="12" t="s">
        <v>19</v>
      </c>
      <c r="I29" s="12" t="s">
        <v>18</v>
      </c>
      <c r="J29" s="12" t="s">
        <v>20</v>
      </c>
      <c r="K29" s="12" t="s">
        <v>44</v>
      </c>
      <c r="L29" s="12" t="s">
        <v>46</v>
      </c>
      <c r="M29" s="12" t="s">
        <v>3</v>
      </c>
      <c r="N29" s="3" t="s">
        <v>48</v>
      </c>
      <c r="P29" s="275" t="s">
        <v>540</v>
      </c>
      <c r="Q29" s="165">
        <f>Q2</f>
        <v>0.71507739222843414</v>
      </c>
    </row>
    <row r="30" spans="1:18" ht="15.9" customHeight="1" x14ac:dyDescent="0.25">
      <c r="A30" s="210">
        <v>20</v>
      </c>
      <c r="B30" s="217"/>
      <c r="C30" s="19">
        <v>0</v>
      </c>
      <c r="D30" s="5"/>
      <c r="E30" s="213">
        <v>16</v>
      </c>
      <c r="F30" s="217"/>
      <c r="G30" s="10">
        <v>0</v>
      </c>
      <c r="H30" s="3">
        <f>Macrogegevens!C2</f>
        <v>2022</v>
      </c>
      <c r="I30" s="27">
        <f>C67</f>
        <v>1070094434.2391467</v>
      </c>
      <c r="J30" s="27">
        <f>G67</f>
        <v>999557922.09809661</v>
      </c>
      <c r="K30" s="20">
        <v>0</v>
      </c>
      <c r="L30" s="20">
        <f>SUM(I30,-J30,K30)</f>
        <v>70536512.1410501</v>
      </c>
      <c r="M30" s="20">
        <f>J7*0.5*L30</f>
        <v>246877.79249367531</v>
      </c>
      <c r="N30" s="20">
        <f t="shared" ref="N30:N39" si="1">SUM(L30:M30)</f>
        <v>70783389.933543772</v>
      </c>
      <c r="P30" s="276" t="s">
        <v>563</v>
      </c>
      <c r="Q30" s="93">
        <f>$M$14/$G$74</f>
        <v>0.56954299775920447</v>
      </c>
    </row>
    <row r="31" spans="1:18" s="26" customFormat="1" ht="13.25" customHeight="1" x14ac:dyDescent="0.25">
      <c r="A31" s="210"/>
      <c r="B31" s="216"/>
      <c r="C31" s="8"/>
      <c r="D31" s="28"/>
      <c r="E31" s="210"/>
      <c r="F31" s="216"/>
      <c r="G31" s="5"/>
      <c r="H31" s="3">
        <f t="shared" ref="H31:H39" si="2">SUM(H30,1)</f>
        <v>2023</v>
      </c>
      <c r="I31" s="27">
        <f>SUM(SUM(C67*N21,J13,J17)*C66,N13*C24)</f>
        <v>1011324686.1049968</v>
      </c>
      <c r="J31" s="27">
        <f>SUM(G67*N5,J13,W3)*G66</f>
        <v>1053829649.136238</v>
      </c>
      <c r="K31" s="27">
        <f>SUM((M8*M12*SUM(M13,M14))*(G66^1),-N13*C24)</f>
        <v>21793553.26604848</v>
      </c>
      <c r="L31" s="27">
        <f t="shared" ref="L31:L39" si="3">SUM(I31,-J31,K31)</f>
        <v>-20711409.765192699</v>
      </c>
      <c r="M31" s="27">
        <f>SUM(SUM(J7,M9)*0.5*L31,J7*N30)</f>
        <v>319436.74653066834</v>
      </c>
      <c r="N31" s="27">
        <f t="shared" si="1"/>
        <v>-20391973.018662032</v>
      </c>
      <c r="P31" s="276" t="s">
        <v>561</v>
      </c>
      <c r="Q31" s="93">
        <f>M13/C74</f>
        <v>-2.3408885089867392E-2</v>
      </c>
    </row>
    <row r="32" spans="1:18" ht="13.25" customHeight="1" x14ac:dyDescent="0.25">
      <c r="A32" s="210"/>
      <c r="B32" s="216" t="s">
        <v>9</v>
      </c>
      <c r="C32" s="8">
        <f>SUM(C25:C30)</f>
        <v>76151000</v>
      </c>
      <c r="D32" s="5"/>
      <c r="F32" s="216" t="s">
        <v>11</v>
      </c>
      <c r="G32" s="11">
        <f>SUM(G27:G30)</f>
        <v>39810000</v>
      </c>
      <c r="H32" s="3">
        <f t="shared" si="2"/>
        <v>2024</v>
      </c>
      <c r="I32" s="20">
        <f>SUM(SUM(C67*N21,J13,J18)*(C66^2),2*N13*(C24^2))</f>
        <v>1051247213.8635263</v>
      </c>
      <c r="J32" s="20">
        <f>SUM(G67*N6,J13,W4)*(G66^2)</f>
        <v>1101852999.9408293</v>
      </c>
      <c r="K32" s="20">
        <f>SUM((M8*M12*SUM(M13,M14))*(G66^2)*2,-2*N13*(C24^2))</f>
        <v>45575008.169534341</v>
      </c>
      <c r="L32" s="20">
        <f t="shared" si="3"/>
        <v>-5030777.9077685922</v>
      </c>
      <c r="M32" s="20">
        <f>SUM(SUM(J7,M10)*0.5*L32,J7*N30,SUM(J7,M9)*N31)</f>
        <v>80904.686462675803</v>
      </c>
      <c r="N32" s="20">
        <f t="shared" si="1"/>
        <v>-4949873.2213059161</v>
      </c>
      <c r="P32" s="276" t="s">
        <v>559</v>
      </c>
      <c r="Q32" s="93">
        <f>SUM($C$74,-$G$74)/$C$74</f>
        <v>1.8851360717090976E-4</v>
      </c>
      <c r="R32" s="11"/>
    </row>
    <row r="33" spans="1:17" ht="15.9" customHeight="1" x14ac:dyDescent="0.25">
      <c r="A33" s="210"/>
      <c r="B33" s="216"/>
      <c r="C33" s="8"/>
      <c r="D33" s="5"/>
      <c r="H33" s="3">
        <f t="shared" si="2"/>
        <v>2025</v>
      </c>
      <c r="I33" s="20">
        <f>SUM(SUM(C67*N21,J13,J19)*(C66^3),3*N13*(C24^3))</f>
        <v>1092706818.6241512</v>
      </c>
      <c r="J33" s="20">
        <f>SUM(G67*N6,J13,W5)*(G66^3)</f>
        <v>1152064790.0481019</v>
      </c>
      <c r="K33" s="20">
        <f>SUM((M8*M12*SUM(M13,M14))*(G66^3)*3,-3*N13*(C24^3))</f>
        <v>71480360.011816904</v>
      </c>
      <c r="L33" s="20">
        <f t="shared" si="3"/>
        <v>12122388.587866232</v>
      </c>
      <c r="M33" s="20">
        <f>SUM(SUM(J7,M11)*0.5*L33,J7*N30,SUM(J7,M9)*N31,SUM(J7,M10)*N32)</f>
        <v>239437.80011781733</v>
      </c>
      <c r="N33" s="20">
        <f t="shared" si="1"/>
        <v>12361826.387984049</v>
      </c>
      <c r="P33" s="276" t="s">
        <v>560</v>
      </c>
      <c r="Q33" s="166">
        <f>$G$70/$C$74</f>
        <v>3.0523566882505553E-2</v>
      </c>
    </row>
    <row r="34" spans="1:17" ht="15.9" customHeight="1" x14ac:dyDescent="0.3">
      <c r="A34" s="209" t="s">
        <v>10</v>
      </c>
      <c r="B34" s="142" t="s">
        <v>1040</v>
      </c>
      <c r="C34" s="4">
        <f>SUM(1,J6,J4)</f>
        <v>1.0443235234573112</v>
      </c>
      <c r="D34" s="5"/>
      <c r="E34" s="223" t="s">
        <v>10</v>
      </c>
      <c r="F34" s="224" t="s">
        <v>1036</v>
      </c>
      <c r="G34" s="356">
        <f>SUM(1,(0.5*$J$2),(0.5*$J$15),$J$6)</f>
        <v>1.0328235234573111</v>
      </c>
      <c r="H34" s="3">
        <f t="shared" si="2"/>
        <v>2026</v>
      </c>
      <c r="I34" s="20">
        <f>SUM(SUM(C67*N21,J13,J20)*(C66^4),4*N13*(C24^4))</f>
        <v>1135760624.6851747</v>
      </c>
      <c r="J34" s="20">
        <f>SUM(G67*N6,J13,W6)*(G66^4)</f>
        <v>1204564747.3300452</v>
      </c>
      <c r="K34" s="20">
        <f>SUM((M8*M12*SUM(M13,M14))*(G66^4)*4,-4*N13*(C24^4))</f>
        <v>99653874.014037192</v>
      </c>
      <c r="L34" s="20">
        <f t="shared" si="3"/>
        <v>30849751.369166672</v>
      </c>
      <c r="M34" s="20">
        <f>SUM(SUM(J7,M11)*SUM(0.5*L34,N33),J7*N30,SUM(J7,M9)*N31,SUM(J7,M10)*N32)</f>
        <v>1043281.5879272851</v>
      </c>
      <c r="N34" s="20">
        <f t="shared" si="1"/>
        <v>31893032.957093958</v>
      </c>
      <c r="P34" s="276" t="s">
        <v>562</v>
      </c>
      <c r="Q34" s="166">
        <f>SUM($C$74,-$G$74,$G$72)/$C$74</f>
        <v>4.2304671256295341E-2</v>
      </c>
    </row>
    <row r="35" spans="1:17" s="109" customFormat="1" ht="15.9" customHeight="1" x14ac:dyDescent="0.4">
      <c r="A35" s="213">
        <v>21</v>
      </c>
      <c r="B35" s="219" t="s">
        <v>71</v>
      </c>
      <c r="C35" s="71">
        <f>VLOOKUP(Macrogegevens!$A$2,Inkomsten!B2:L357,8,0)</f>
        <v>165414500</v>
      </c>
      <c r="D35" s="108"/>
      <c r="E35" s="213">
        <v>17</v>
      </c>
      <c r="F35" s="216" t="s">
        <v>656</v>
      </c>
      <c r="G35" s="10">
        <f>VLOOKUP('Financiele conditie'!$B$2,Uitgaven!$B$2:$Q$357,12,0)*1000</f>
        <v>81137000</v>
      </c>
      <c r="H35" s="109">
        <f t="shared" si="2"/>
        <v>2027</v>
      </c>
      <c r="I35" s="110">
        <f>SUM(SUM(C67*N21,J13,J21)*(C66^5),5*N13*(C24^5))</f>
        <v>1180467767.9227004</v>
      </c>
      <c r="J35" s="110">
        <f>SUM(G67*N6,J13,W7)*(G66^5)</f>
        <v>1259457144.2893531</v>
      </c>
      <c r="K35" s="110">
        <f>SUM((M8*M12*SUM(M13,M14))*(G66^5)*5,-5*N13*(C24^5))</f>
        <v>130248556.78365262</v>
      </c>
      <c r="L35" s="110">
        <f t="shared" si="3"/>
        <v>51259180.416999891</v>
      </c>
      <c r="M35" s="110">
        <f>SUM(SUM(J7,M11)*SUM(0.5*L35,N33,N34),J7*N30,SUM(J7,M9)*N31,SUM(J7,M10)*N32)</f>
        <v>2600898.244724676</v>
      </c>
      <c r="N35" s="110">
        <f t="shared" si="1"/>
        <v>53860078.661724567</v>
      </c>
      <c r="P35" s="277" t="s">
        <v>578</v>
      </c>
      <c r="Q35" s="279">
        <f>SUM(M14,-C26,-C29,-C55)/VLOOKUP('Financiele conditie'!B2,'Data macro'!B2:F347,5,0)</f>
        <v>2505.6953159397735</v>
      </c>
    </row>
    <row r="36" spans="1:17" s="109" customFormat="1" ht="15.9" customHeight="1" x14ac:dyDescent="0.4">
      <c r="A36" s="213">
        <v>22</v>
      </c>
      <c r="B36" s="219" t="s">
        <v>648</v>
      </c>
      <c r="C36" s="71">
        <f>VLOOKUP(Macrogegevens!$A$2,Inkomsten!B2:L357,6,0)</f>
        <v>29431018</v>
      </c>
      <c r="D36" s="108"/>
      <c r="E36" s="213">
        <v>18</v>
      </c>
      <c r="F36" s="216" t="s">
        <v>657</v>
      </c>
      <c r="G36" s="10">
        <f>VLOOKUP('Financiele conditie'!$B$2,Uitgaven!$B$2:$Q$357,15,0)*1000</f>
        <v>41309000</v>
      </c>
      <c r="H36" s="109">
        <f t="shared" si="2"/>
        <v>2028</v>
      </c>
      <c r="I36" s="110">
        <f>SUM(SUM(C67*N21,J13,J22)*(C66^6),5*N13*(C24^6))</f>
        <v>1233514667.4082699</v>
      </c>
      <c r="J36" s="110">
        <f>SUM(G67*N6,J13,W8)*(G66^6)</f>
        <v>1316851005.1596851</v>
      </c>
      <c r="K36" s="110">
        <f>SUM((M8*M12*SUM(M13,M14))*(G66^6)*5,-5*N13*(C24^6))</f>
        <v>136188877.98676088</v>
      </c>
      <c r="L36" s="110">
        <f t="shared" si="3"/>
        <v>52852540.235345632</v>
      </c>
      <c r="M36" s="110">
        <f>SUM(SUM(J7,M11)*SUM(0.5*L36,N33,N34,N35),J7*N30,SUM(J7,M9)*N31,SUM(J7,M10)*N32)</f>
        <v>4623198.3118478814</v>
      </c>
      <c r="N36" s="110">
        <f t="shared" si="1"/>
        <v>57475738.547193512</v>
      </c>
      <c r="P36" s="3"/>
      <c r="Q36" s="3"/>
    </row>
    <row r="37" spans="1:17" s="109" customFormat="1" ht="15.9" customHeight="1" x14ac:dyDescent="0.25">
      <c r="A37" s="213">
        <v>23</v>
      </c>
      <c r="B37" s="217"/>
      <c r="C37" s="19">
        <v>0</v>
      </c>
      <c r="D37" s="108"/>
      <c r="E37" s="213">
        <v>19</v>
      </c>
      <c r="F37" s="216" t="s">
        <v>658</v>
      </c>
      <c r="G37" s="10">
        <f>VLOOKUP('Financiele conditie'!$B$2,Uitgaven!$B$2:$Q$357,16,0)*1000</f>
        <v>18985000</v>
      </c>
      <c r="H37" s="109">
        <f t="shared" si="2"/>
        <v>2029</v>
      </c>
      <c r="I37" s="110">
        <f>SUM(SUM(C67*N21,J13,J23)*(C66^7),5*N13*(C24^7))</f>
        <v>1288945326.1999271</v>
      </c>
      <c r="J37" s="110">
        <f>SUM(G67*N6,J13,W9)*(G66^7)</f>
        <v>1376860322.4435518</v>
      </c>
      <c r="K37" s="110">
        <f>SUM((M8*M12*SUM(M13,M14))*(G66^7)*5,-5*N13*(C24^7))</f>
        <v>142400123.41474858</v>
      </c>
      <c r="L37" s="110">
        <f t="shared" si="3"/>
        <v>54485127.171123892</v>
      </c>
      <c r="M37" s="110">
        <f>SUM(SUM(J7,M11)*SUM(0.5*L37,N33,N34,N35,N36),J7*N30,SUM(J7,M9)*N31,SUM(J7,M10)*N32)</f>
        <v>6780003.4964059386</v>
      </c>
      <c r="N37" s="110">
        <f t="shared" si="1"/>
        <v>61265130.667529829</v>
      </c>
      <c r="P37" s="3"/>
      <c r="Q37" s="3"/>
    </row>
    <row r="38" spans="1:17" s="26" customFormat="1" ht="15.9" customHeight="1" x14ac:dyDescent="0.25">
      <c r="A38" s="210"/>
      <c r="B38" s="216"/>
      <c r="C38" s="8"/>
      <c r="D38" s="28"/>
      <c r="E38" s="210">
        <v>20</v>
      </c>
      <c r="F38" s="217"/>
      <c r="G38" s="10">
        <v>0</v>
      </c>
      <c r="H38" s="3">
        <f t="shared" si="2"/>
        <v>2030</v>
      </c>
      <c r="I38" s="20">
        <f>SUM(SUM(C67*N21,J13,J24)*(C66^8),5*N13*(C24^8))</f>
        <v>1346866862.0028811</v>
      </c>
      <c r="J38" s="20">
        <f>SUM(G67*N6,J13,W10)*(G66^8)</f>
        <v>1439604283.3178971</v>
      </c>
      <c r="K38" s="27">
        <f>SUM((M8*M12*SUM(M13,M14))*(G66^8)*5,-5*N13*(C24^8))</f>
        <v>148894649.3166855</v>
      </c>
      <c r="L38" s="27">
        <f t="shared" si="3"/>
        <v>56157228.001669466</v>
      </c>
      <c r="M38" s="27">
        <f>SUM(SUM(J7,M11)*SUM(0.5*L38,N33,N34,N35,N36,N37),J7*N30,SUM(J7,M9)*N31,SUM(J7,M10)*N32)</f>
        <v>9077747.1964696366</v>
      </c>
      <c r="N38" s="27">
        <f t="shared" si="1"/>
        <v>65234975.198139101</v>
      </c>
    </row>
    <row r="39" spans="1:17" ht="15.9" customHeight="1" x14ac:dyDescent="0.25">
      <c r="A39" s="210"/>
      <c r="B39" s="216" t="s">
        <v>11</v>
      </c>
      <c r="C39" s="8">
        <f>SUM(C35:C37)</f>
        <v>194845518</v>
      </c>
      <c r="D39" s="5"/>
      <c r="E39" s="210">
        <v>21</v>
      </c>
      <c r="F39" s="216" t="s">
        <v>456</v>
      </c>
      <c r="G39" s="8">
        <f>SUM(G67,-G8,-G15,-G24,-G30,-G35,-G36,-G37,-G38)</f>
        <v>32997922.098096609</v>
      </c>
      <c r="H39" s="3">
        <f t="shared" si="2"/>
        <v>2031</v>
      </c>
      <c r="I39" s="20">
        <f>SUM(SUM(C67*N21,J13,J25)*(C66^9),5*N13*(C24^9))</f>
        <v>1407391205.9729235</v>
      </c>
      <c r="J39" s="20">
        <f>SUM(G67*N6,J13,W11)*(G66^9)</f>
        <v>1505207506.3570602</v>
      </c>
      <c r="K39" s="20">
        <f>SUM((M8*M12*SUM(M13,M14))*(G66^9)*5,-5*N13*(C24^9))</f>
        <v>155685375.48375136</v>
      </c>
      <c r="L39" s="20">
        <f t="shared" si="3"/>
        <v>57869075.09961468</v>
      </c>
      <c r="M39" s="20">
        <f>SUM(SUM(J7,M11)*SUM(0.5*L39,N33,N34,N35,N36,N37,N38),J7*N30,SUM(J7,M9)*N31,SUM(J7,M10)*N32)</f>
        <v>11523110.450112769</v>
      </c>
      <c r="N39" s="20">
        <f t="shared" si="1"/>
        <v>69392185.549727455</v>
      </c>
    </row>
    <row r="40" spans="1:17" ht="15.9" customHeight="1" x14ac:dyDescent="0.25">
      <c r="A40" s="210"/>
      <c r="B40" s="216"/>
      <c r="C40" s="8"/>
      <c r="D40" s="5"/>
      <c r="E40" s="210"/>
      <c r="F40" s="216"/>
      <c r="G40" s="5"/>
    </row>
    <row r="41" spans="1:17" ht="15.9" customHeight="1" x14ac:dyDescent="0.3">
      <c r="A41" s="209"/>
      <c r="B41" s="142"/>
      <c r="C41" s="4"/>
      <c r="D41" s="5"/>
      <c r="E41" s="210"/>
      <c r="F41" s="216" t="s">
        <v>11</v>
      </c>
      <c r="G41" s="8">
        <f>SUM(G34:G39)</f>
        <v>174428923.13092011</v>
      </c>
      <c r="H41" s="23">
        <f>IF(G41&lt;0,-G41,G41)</f>
        <v>174428923.13092011</v>
      </c>
    </row>
    <row r="42" spans="1:17" ht="15.9" customHeight="1" x14ac:dyDescent="0.3">
      <c r="A42" s="209" t="s">
        <v>12</v>
      </c>
      <c r="B42" s="142" t="s">
        <v>1043</v>
      </c>
      <c r="C42" s="4">
        <f>SUM(1,(0.3*J8),(0.7*J4),J6)</f>
        <v>1.0407235234573111</v>
      </c>
      <c r="D42" s="5"/>
      <c r="E42" s="210"/>
      <c r="F42" s="142"/>
      <c r="G42" s="142"/>
    </row>
    <row r="43" spans="1:17" ht="15.9" customHeight="1" x14ac:dyDescent="0.4">
      <c r="A43" s="212">
        <v>24</v>
      </c>
      <c r="B43" s="218" t="s">
        <v>66</v>
      </c>
      <c r="C43" s="71">
        <f>VLOOKUP(Macrogegevens!$A$2,'Data belastingen 2022'!$B$2:$O$357,11,0)*1000</f>
        <v>2281000</v>
      </c>
      <c r="D43" s="5"/>
      <c r="E43" s="209"/>
      <c r="F43" s="142"/>
      <c r="G43" s="142"/>
    </row>
    <row r="44" spans="1:17" ht="15.9" customHeight="1" x14ac:dyDescent="0.4">
      <c r="A44" s="210">
        <v>25</v>
      </c>
      <c r="B44" s="216" t="s">
        <v>685</v>
      </c>
      <c r="C44" s="71">
        <f>VLOOKUP(Macrogegevens!$A$2,'Data belastingen 2022'!$B$2:$O$357,13,0)*1000</f>
        <v>16146000</v>
      </c>
      <c r="D44" s="5"/>
      <c r="E44" s="214"/>
      <c r="F44" s="142"/>
      <c r="G44" s="142"/>
    </row>
    <row r="45" spans="1:17" ht="15.9" customHeight="1" x14ac:dyDescent="0.4">
      <c r="A45" s="210">
        <v>26</v>
      </c>
      <c r="B45" s="216" t="s">
        <v>591</v>
      </c>
      <c r="C45" s="71">
        <f>VLOOKUP(Macrogegevens!$A$2,'Data belastingen 2022'!$B$2:$O$357,14,0)*1000</f>
        <v>2328000</v>
      </c>
      <c r="D45" s="5"/>
      <c r="E45" s="210"/>
      <c r="F45" s="142"/>
      <c r="G45" s="142"/>
    </row>
    <row r="46" spans="1:17" ht="15.9" customHeight="1" x14ac:dyDescent="0.4">
      <c r="A46" s="210">
        <v>27</v>
      </c>
      <c r="B46" s="216" t="s">
        <v>70</v>
      </c>
      <c r="C46" s="71">
        <f>VLOOKUP(Macrogegevens!$A$2,Inkomsten!B2:L357,10,0)</f>
        <v>0</v>
      </c>
      <c r="D46" s="5"/>
      <c r="E46" s="210"/>
      <c r="F46" s="142"/>
      <c r="G46" s="142"/>
    </row>
    <row r="47" spans="1:17" ht="15.9" customHeight="1" x14ac:dyDescent="0.4">
      <c r="A47" s="210">
        <v>28</v>
      </c>
      <c r="B47" s="216" t="s">
        <v>557</v>
      </c>
      <c r="C47" s="71">
        <f>VLOOKUP(Macrogegevens!$A$2,Inkomsten!B2:L357,5,0)</f>
        <v>64268097</v>
      </c>
      <c r="D47" s="5"/>
      <c r="E47" s="210"/>
      <c r="F47" s="142"/>
      <c r="G47" s="142"/>
    </row>
    <row r="48" spans="1:17" ht="15.9" customHeight="1" x14ac:dyDescent="0.4">
      <c r="A48" s="210">
        <v>29</v>
      </c>
      <c r="B48" s="216" t="s">
        <v>558</v>
      </c>
      <c r="C48" s="71">
        <f>VLOOKUP(Macrogegevens!$A$2,Inkomsten!$B$2:$L$357,4,0)</f>
        <v>15443228</v>
      </c>
      <c r="D48" s="5"/>
      <c r="E48" s="210"/>
      <c r="F48" s="142"/>
      <c r="G48" s="142"/>
    </row>
    <row r="49" spans="1:8" ht="15.9" customHeight="1" x14ac:dyDescent="0.3">
      <c r="A49" s="210">
        <v>30</v>
      </c>
      <c r="B49" s="217"/>
      <c r="C49" s="10">
        <v>0</v>
      </c>
      <c r="D49" s="5"/>
      <c r="E49" s="210"/>
      <c r="F49" s="142"/>
      <c r="G49" s="142"/>
    </row>
    <row r="50" spans="1:8" ht="15.9" customHeight="1" x14ac:dyDescent="0.3">
      <c r="A50" s="210"/>
      <c r="B50" s="216"/>
      <c r="D50" s="5"/>
      <c r="E50" s="210"/>
      <c r="F50" s="142"/>
      <c r="G50" s="142"/>
    </row>
    <row r="51" spans="1:8" ht="15.9" customHeight="1" x14ac:dyDescent="0.3">
      <c r="A51" s="210"/>
      <c r="B51" s="216" t="s">
        <v>13</v>
      </c>
      <c r="C51" s="8">
        <f>SUM(C43:C49)</f>
        <v>100466325</v>
      </c>
      <c r="D51" s="5"/>
      <c r="E51" s="210"/>
      <c r="F51" s="142"/>
      <c r="G51" s="142"/>
    </row>
    <row r="52" spans="1:8" ht="15.9" customHeight="1" x14ac:dyDescent="0.3">
      <c r="D52" s="5"/>
      <c r="E52" s="210"/>
      <c r="F52" s="142"/>
      <c r="G52" s="142"/>
    </row>
    <row r="53" spans="1:8" ht="15.9" customHeight="1" x14ac:dyDescent="0.3">
      <c r="A53" s="209" t="s">
        <v>14</v>
      </c>
      <c r="B53" s="142" t="s">
        <v>1039</v>
      </c>
      <c r="C53" s="4">
        <f>SUM(1,J2,J6)</f>
        <v>1.0283235234573112</v>
      </c>
      <c r="D53" s="5"/>
      <c r="E53" s="210"/>
      <c r="F53" s="216"/>
      <c r="G53" s="8"/>
    </row>
    <row r="54" spans="1:8" ht="15.9" customHeight="1" x14ac:dyDescent="0.25">
      <c r="A54" s="210">
        <v>31</v>
      </c>
      <c r="B54" s="216" t="s">
        <v>531</v>
      </c>
      <c r="C54" s="19">
        <f>VLOOKUP(Macrogegevens!$A$2,'Data belastingen 2022'!$B$2:$O$357,4,0)*1000</f>
        <v>48294000</v>
      </c>
      <c r="D54" s="5"/>
      <c r="E54" s="210"/>
      <c r="F54" s="216"/>
      <c r="G54" s="5"/>
    </row>
    <row r="55" spans="1:8" ht="15.9" customHeight="1" x14ac:dyDescent="0.3">
      <c r="A55" s="210">
        <v>32</v>
      </c>
      <c r="B55" s="216" t="s">
        <v>876</v>
      </c>
      <c r="C55" s="19">
        <f>VLOOKUP(Macrogegevens!$A$2,'Data belastingen 2022'!$B$2:$O$357,5,0)*1000</f>
        <v>23008000</v>
      </c>
      <c r="D55" s="5"/>
      <c r="E55" s="209"/>
      <c r="F55" s="142"/>
      <c r="G55" s="142"/>
    </row>
    <row r="56" spans="1:8" ht="15.9" customHeight="1" x14ac:dyDescent="0.3">
      <c r="A56" s="210">
        <v>33</v>
      </c>
      <c r="B56" s="217"/>
      <c r="C56" s="10">
        <v>0</v>
      </c>
      <c r="D56" s="5"/>
      <c r="E56" s="210"/>
      <c r="F56" s="216"/>
      <c r="G56" s="142"/>
    </row>
    <row r="57" spans="1:8" ht="15.9" customHeight="1" x14ac:dyDescent="0.3">
      <c r="A57" s="210"/>
      <c r="D57" s="5"/>
      <c r="E57" s="210"/>
      <c r="F57" s="142"/>
      <c r="G57" s="142"/>
    </row>
    <row r="58" spans="1:8" ht="15.9" customHeight="1" x14ac:dyDescent="0.3">
      <c r="A58" s="210"/>
      <c r="B58" s="216" t="s">
        <v>15</v>
      </c>
      <c r="C58" s="8">
        <f>SUM(C54:C56)</f>
        <v>71302000</v>
      </c>
      <c r="D58" s="5"/>
      <c r="E58" s="210"/>
      <c r="F58" s="142"/>
      <c r="G58" s="142"/>
    </row>
    <row r="59" spans="1:8" ht="15.9" customHeight="1" x14ac:dyDescent="0.3">
      <c r="A59" s="209"/>
      <c r="B59" s="142"/>
      <c r="C59" s="4"/>
      <c r="D59" s="5"/>
      <c r="E59" s="210"/>
      <c r="F59" s="142"/>
      <c r="G59" s="142"/>
    </row>
    <row r="60" spans="1:8" ht="15.9" customHeight="1" x14ac:dyDescent="0.3">
      <c r="D60" s="5"/>
      <c r="E60" s="210"/>
      <c r="F60" s="142"/>
      <c r="G60" s="142"/>
      <c r="H60" s="23">
        <f>IF(C22&lt;0,-C22,C22)</f>
        <v>130494464.08366311</v>
      </c>
    </row>
    <row r="61" spans="1:8" ht="15.9" customHeight="1" x14ac:dyDescent="0.3">
      <c r="A61" s="210"/>
      <c r="D61" s="5"/>
      <c r="E61" s="210"/>
      <c r="F61" s="142"/>
      <c r="G61" s="142"/>
    </row>
    <row r="62" spans="1:8" ht="15.9" customHeight="1" x14ac:dyDescent="0.3">
      <c r="E62" s="210"/>
      <c r="F62" s="142"/>
      <c r="G62" s="142"/>
    </row>
    <row r="63" spans="1:8" ht="15.9" customHeight="1" x14ac:dyDescent="0.4">
      <c r="A63" s="214"/>
      <c r="E63" s="209"/>
      <c r="F63" s="216"/>
      <c r="G63" s="22"/>
    </row>
    <row r="64" spans="1:8" ht="15.9" customHeight="1" x14ac:dyDescent="0.25">
      <c r="A64" s="214"/>
      <c r="B64" s="216"/>
      <c r="C64" s="8"/>
      <c r="E64" s="210"/>
      <c r="F64" s="216"/>
      <c r="G64" s="8"/>
    </row>
    <row r="65" spans="1:8" ht="15.9" customHeight="1" x14ac:dyDescent="0.25">
      <c r="A65" s="214"/>
      <c r="B65" s="216"/>
      <c r="C65" s="8"/>
      <c r="E65" s="210"/>
      <c r="F65" s="216"/>
      <c r="G65" s="5"/>
    </row>
    <row r="66" spans="1:8" ht="15.9" customHeight="1" x14ac:dyDescent="0.3">
      <c r="A66" s="142" t="s">
        <v>17</v>
      </c>
      <c r="C66" s="33">
        <f>SUM((C2*C7),(C9*H60),(C24*C32),(C34*C39),(C42*C51),(C53*C58))/SUM(C7,H60,C32,C39,C51,C58)</f>
        <v>1.044957735624553</v>
      </c>
      <c r="D66" s="226"/>
      <c r="E66" s="142" t="s">
        <v>502</v>
      </c>
      <c r="F66" s="216"/>
      <c r="G66" s="33">
        <f>SUM((G2*G8),(G10*G15),(G17*G24),(G34*H41),(G26*G32))/SUM(G8,G15,G24,H41,G32)</f>
        <v>1.0455703166483816</v>
      </c>
    </row>
    <row r="67" spans="1:8" ht="15.9" customHeight="1" x14ac:dyDescent="0.3">
      <c r="A67" s="142" t="s">
        <v>503</v>
      </c>
      <c r="C67" s="8">
        <f>SUM(C74,-C70,-C71,-C72,-C73)</f>
        <v>1070094434.2391467</v>
      </c>
      <c r="D67" s="226"/>
      <c r="E67" s="142" t="s">
        <v>507</v>
      </c>
      <c r="F67" s="216"/>
      <c r="G67" s="233">
        <f>SUM(G74,-G70,-G71,-G72,-G73)</f>
        <v>999557922.09809661</v>
      </c>
    </row>
    <row r="68" spans="1:8" ht="15.9" customHeight="1" x14ac:dyDescent="0.3">
      <c r="A68" s="209"/>
      <c r="B68" s="142"/>
      <c r="C68" s="4"/>
      <c r="E68" s="210"/>
      <c r="F68" s="216"/>
      <c r="G68" s="5"/>
    </row>
    <row r="69" spans="1:8" ht="15.9" customHeight="1" x14ac:dyDescent="0.25">
      <c r="A69" s="210"/>
      <c r="E69" s="210"/>
      <c r="F69" s="216"/>
      <c r="G69" s="5"/>
    </row>
    <row r="70" spans="1:8" ht="15.9" customHeight="1" x14ac:dyDescent="0.3">
      <c r="A70" s="227" t="s">
        <v>504</v>
      </c>
      <c r="B70" s="225"/>
      <c r="C70" s="149">
        <f>'Investeringen &amp; financiering'!T30</f>
        <v>10812565.760853244</v>
      </c>
      <c r="E70" s="227" t="s">
        <v>508</v>
      </c>
      <c r="F70" s="232"/>
      <c r="G70" s="151">
        <f>SUM(-'Investeringen &amp; financiering'!S6,-'Investeringen &amp; financiering'!S30,-H70,H73)</f>
        <v>33031077.901903383</v>
      </c>
      <c r="H70" s="24">
        <f>J7*0.5*SUM(Balansprognose!G35,-Balansprognose!G36,-C70,-C71,-C72,G71,G72,-'Investeringen &amp; financiering'!S6,-'Investeringen &amp; financiering'!S30)</f>
        <v>247741.8541454713</v>
      </c>
    </row>
    <row r="71" spans="1:8" ht="15.9" customHeight="1" x14ac:dyDescent="0.3">
      <c r="A71" s="228" t="s">
        <v>506</v>
      </c>
      <c r="C71" s="150">
        <f>VLOOKUP(Macrogegevens!$A$2,Inkomsten!$B$2:$S$357,16,0)*1000</f>
        <v>1243000</v>
      </c>
      <c r="E71" s="228" t="s">
        <v>509</v>
      </c>
      <c r="F71" s="216"/>
      <c r="G71" s="152">
        <f>Balansprognose!C45</f>
        <v>3781000</v>
      </c>
      <c r="H71" s="24">
        <f>J7*0.5*SUM(C67,-G67)</f>
        <v>246877.79249367531</v>
      </c>
    </row>
    <row r="72" spans="1:8" ht="15.9" customHeight="1" x14ac:dyDescent="0.3">
      <c r="A72" s="228" t="s">
        <v>505</v>
      </c>
      <c r="B72" s="216"/>
      <c r="C72" s="150">
        <f>SUM(Balansprognose!C39,Balansprognose!C40)</f>
        <v>0</v>
      </c>
      <c r="E72" s="228" t="s">
        <v>510</v>
      </c>
      <c r="F72" s="216"/>
      <c r="G72" s="152">
        <f>Balansprognose!C35</f>
        <v>45576000</v>
      </c>
      <c r="H72" s="24">
        <f>SUM(H70,-H71)</f>
        <v>864.06165179598611</v>
      </c>
    </row>
    <row r="73" spans="1:8" ht="15.9" customHeight="1" x14ac:dyDescent="0.3">
      <c r="A73" s="229" t="s">
        <v>513</v>
      </c>
      <c r="B73" s="231"/>
      <c r="C73" s="153">
        <f>Balansprognose!C44</f>
        <v>0</v>
      </c>
      <c r="E73" s="229" t="s">
        <v>511</v>
      </c>
      <c r="F73" s="231"/>
      <c r="G73" s="153">
        <f>Balansprognose!G37</f>
        <v>0</v>
      </c>
      <c r="H73" s="140">
        <f>SUM(J7*0.5*H70,-0.5*J7*G73)</f>
        <v>867.09648950914948</v>
      </c>
    </row>
    <row r="74" spans="1:8" ht="15.9" customHeight="1" x14ac:dyDescent="0.3">
      <c r="A74" s="230" t="s">
        <v>512</v>
      </c>
      <c r="B74" s="216"/>
      <c r="C74" s="11">
        <f>Balansprognose!G35</f>
        <v>1082150000</v>
      </c>
      <c r="E74" s="230" t="s">
        <v>682</v>
      </c>
      <c r="F74" s="216"/>
      <c r="G74" s="11">
        <f>Balansprognose!G36</f>
        <v>1081946000</v>
      </c>
      <c r="H74" s="154">
        <f>SUM(H72,-H73)/C74</f>
        <v>-2.8044519827781451E-9</v>
      </c>
    </row>
    <row r="75" spans="1:8" ht="15.9" customHeight="1" x14ac:dyDescent="0.3">
      <c r="A75" s="209"/>
      <c r="E75" s="210"/>
      <c r="F75" s="216"/>
      <c r="G75" s="5"/>
    </row>
    <row r="76" spans="1:8" x14ac:dyDescent="0.25">
      <c r="A76" s="210"/>
    </row>
    <row r="77" spans="1:8" x14ac:dyDescent="0.25">
      <c r="A77" s="210"/>
    </row>
    <row r="78" spans="1:8" x14ac:dyDescent="0.25">
      <c r="A78" s="210"/>
    </row>
    <row r="79" spans="1:8" x14ac:dyDescent="0.25">
      <c r="A79" s="210"/>
      <c r="B79" s="216"/>
      <c r="C79" s="8"/>
    </row>
    <row r="80" spans="1:8" x14ac:dyDescent="0.25">
      <c r="A80" s="210"/>
      <c r="B80" s="216"/>
      <c r="C80" s="353"/>
    </row>
    <row r="81" spans="1:9" x14ac:dyDescent="0.25">
      <c r="A81" s="210"/>
      <c r="B81" s="221"/>
      <c r="C81" s="8"/>
    </row>
    <row r="82" spans="1:9" x14ac:dyDescent="0.25">
      <c r="B82" s="216"/>
    </row>
    <row r="83" spans="1:9" x14ac:dyDescent="0.25">
      <c r="B83" s="216"/>
    </row>
    <row r="84" spans="1:9" ht="13" x14ac:dyDescent="0.3">
      <c r="A84" s="209"/>
      <c r="B84" s="216"/>
      <c r="C84" s="8"/>
    </row>
    <row r="85" spans="1:9" ht="13" x14ac:dyDescent="0.3">
      <c r="A85" s="234"/>
      <c r="B85" s="234"/>
      <c r="C85" s="236"/>
      <c r="E85" s="234"/>
      <c r="F85" s="222"/>
      <c r="G85" s="235"/>
      <c r="I85" s="20"/>
    </row>
    <row r="86" spans="1:9" ht="13" x14ac:dyDescent="0.3">
      <c r="A86" s="234"/>
      <c r="B86" s="222"/>
      <c r="C86" s="236"/>
      <c r="E86" s="234"/>
      <c r="F86" s="222"/>
      <c r="G86" s="235"/>
    </row>
    <row r="87" spans="1:9" ht="13" x14ac:dyDescent="0.3">
      <c r="A87" s="234"/>
      <c r="B87" s="222"/>
      <c r="C87" s="236"/>
      <c r="E87" s="234"/>
      <c r="F87" s="222"/>
      <c r="G87" s="235"/>
      <c r="I87" s="146"/>
    </row>
    <row r="88" spans="1:9" ht="13" x14ac:dyDescent="0.3">
      <c r="A88" s="234"/>
      <c r="B88" s="222"/>
      <c r="C88" s="236"/>
      <c r="E88" s="234"/>
      <c r="F88" s="222"/>
      <c r="G88" s="236"/>
    </row>
    <row r="89" spans="1:9" ht="13" x14ac:dyDescent="0.3">
      <c r="A89" s="230"/>
      <c r="C89" s="11"/>
      <c r="E89" s="230"/>
      <c r="G89" s="11"/>
      <c r="H89" s="154"/>
    </row>
    <row r="90" spans="1:9" ht="13" x14ac:dyDescent="0.3">
      <c r="A90" s="209"/>
      <c r="C90" s="88"/>
    </row>
    <row r="91" spans="1:9" x14ac:dyDescent="0.25">
      <c r="C91" s="7"/>
    </row>
    <row r="92" spans="1:9" ht="13" x14ac:dyDescent="0.3">
      <c r="A92" s="209"/>
      <c r="C92" s="11"/>
    </row>
    <row r="93" spans="1:9" ht="13" x14ac:dyDescent="0.3">
      <c r="A93" s="215"/>
      <c r="C93" s="11"/>
    </row>
  </sheetData>
  <sheetProtection algorithmName="SHA-512" hashValue="Cmt19GapmgiUZ5pqkimEuafyrOoOUQy1Lx13+K5BBYL9WbXqfBj3/3jS+RYBnuc+s/TKrGqd2uYO6c2gFap8sg==" saltValue="gR87xQ22GRIdqQPi5ajJ6Q==" spinCount="100000" sheet="1" selectLockedCells="1"/>
  <customSheetViews>
    <customSheetView guid="{B41B624D-DA5C-4FA3-85F1-D5B8087B6A65}" topLeftCell="C1">
      <selection activeCell="J15" sqref="J15"/>
      <pageMargins left="0.7" right="0.7" top="0.75" bottom="0.75" header="0.3" footer="0.3"/>
      <pageSetup paperSize="9" orientation="portrait" r:id="rId1"/>
    </customSheetView>
  </customSheetViews>
  <mergeCells count="1">
    <mergeCell ref="A1:B1"/>
  </mergeCells>
  <dataValidations count="1">
    <dataValidation allowBlank="1" showErrorMessage="1" sqref="J12 M13 Q31" xr:uid="{00000000-0002-0000-0300-000000000000}"/>
  </dataValidation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153"/>
  <sheetViews>
    <sheetView showGridLines="0" zoomScaleNormal="100" workbookViewId="0">
      <selection activeCell="F16" sqref="F16"/>
    </sheetView>
  </sheetViews>
  <sheetFormatPr defaultColWidth="9.08984375" defaultRowHeight="12.5" x14ac:dyDescent="0.25"/>
  <cols>
    <col min="1" max="1" width="4.36328125" style="13" customWidth="1"/>
    <col min="2" max="2" width="44.1796875" style="13" customWidth="1"/>
    <col min="3" max="3" width="16.81640625" style="13" customWidth="1"/>
    <col min="4" max="4" width="16.1796875" style="13" bestFit="1" customWidth="1"/>
    <col min="5" max="5" width="10.36328125" style="13" bestFit="1" customWidth="1"/>
    <col min="6" max="6" width="17.36328125" style="13" bestFit="1" customWidth="1"/>
    <col min="7" max="7" width="16.81640625" style="13" customWidth="1"/>
    <col min="8" max="9" width="16.81640625" style="3" customWidth="1"/>
    <col min="10" max="10" width="16.81640625" style="5" customWidth="1"/>
    <col min="11" max="11" width="17.36328125" style="5" hidden="1" customWidth="1"/>
    <col min="12" max="13" width="17.36328125" style="3" hidden="1" customWidth="1"/>
    <col min="14" max="14" width="17.36328125" style="5" customWidth="1"/>
    <col min="15" max="15" width="16.81640625" style="5" customWidth="1"/>
    <col min="16" max="16" width="17" style="3" hidden="1" customWidth="1"/>
    <col min="17" max="17" width="16.453125" style="3" customWidth="1"/>
    <col min="18" max="18" width="15.08984375" style="3" customWidth="1"/>
    <col min="19" max="19" width="17.36328125" style="3" customWidth="1"/>
    <col min="20" max="20" width="12.453125" style="77" customWidth="1"/>
    <col min="21" max="21" width="17.6328125" style="77" customWidth="1"/>
    <col min="22" max="22" width="16.453125" style="77" customWidth="1"/>
    <col min="23" max="23" width="17.36328125" style="77" customWidth="1"/>
    <col min="24" max="24" width="16.36328125" style="3" customWidth="1"/>
    <col min="25" max="25" width="11" style="3" customWidth="1"/>
    <col min="26" max="26" width="14.90625" style="3" customWidth="1"/>
    <col min="27" max="27" width="20.08984375" style="13" customWidth="1"/>
    <col min="28" max="28" width="19.36328125" style="3" customWidth="1"/>
    <col min="29" max="29" width="31.54296875" style="177" hidden="1" customWidth="1"/>
    <col min="30" max="30" width="25" style="13" customWidth="1"/>
    <col min="31" max="31" width="15" style="13" bestFit="1" customWidth="1"/>
    <col min="32" max="32" width="13.453125" style="13" bestFit="1" customWidth="1"/>
    <col min="33" max="33" width="12.6328125" style="13" customWidth="1"/>
    <col min="34" max="34" width="9.08984375" style="13" customWidth="1"/>
    <col min="35" max="35" width="17.08984375" style="13" customWidth="1"/>
    <col min="36" max="36" width="11.6328125" style="13" customWidth="1"/>
    <col min="37" max="16384" width="9.08984375" style="13"/>
  </cols>
  <sheetData>
    <row r="1" spans="1:36" ht="13.25" x14ac:dyDescent="0.25">
      <c r="A1" s="366"/>
      <c r="B1" s="366"/>
      <c r="J1" s="76"/>
      <c r="K1" s="76"/>
      <c r="L1" s="77"/>
      <c r="M1" s="77"/>
      <c r="N1" s="76"/>
      <c r="O1" s="76"/>
      <c r="P1" s="77"/>
      <c r="Q1" s="77"/>
      <c r="R1" s="77"/>
      <c r="S1" s="77"/>
      <c r="X1" s="77"/>
      <c r="Y1" s="77"/>
      <c r="Z1" s="77"/>
      <c r="AA1" s="78"/>
    </row>
    <row r="2" spans="1:36" ht="13.25" x14ac:dyDescent="0.25">
      <c r="A2" s="142" t="str">
        <f>'Financiele conditie'!B2</f>
        <v>Groningen</v>
      </c>
      <c r="C2" s="39">
        <f>'Financiele conditie'!C1</f>
        <v>2022</v>
      </c>
      <c r="E2" s="368" t="s">
        <v>734</v>
      </c>
      <c r="F2" s="368"/>
      <c r="H2" s="13"/>
      <c r="I2" s="13"/>
      <c r="J2" s="1"/>
      <c r="K2" s="77"/>
      <c r="L2" s="77"/>
      <c r="M2" s="77"/>
      <c r="N2" s="77"/>
      <c r="O2" s="77"/>
      <c r="P2" s="77"/>
      <c r="Q2" s="77"/>
      <c r="R2" s="77"/>
      <c r="S2" s="77"/>
      <c r="X2" s="77"/>
      <c r="Y2" s="77"/>
      <c r="Z2" s="77"/>
      <c r="AA2" s="77"/>
      <c r="AC2" s="178" t="s">
        <v>98</v>
      </c>
      <c r="AE2" s="39"/>
    </row>
    <row r="3" spans="1:36" ht="13.25" x14ac:dyDescent="0.25">
      <c r="A3" s="253" t="s">
        <v>744</v>
      </c>
      <c r="C3" s="264" t="s">
        <v>745</v>
      </c>
      <c r="D3" s="263" t="s">
        <v>469</v>
      </c>
      <c r="E3" s="171" t="s">
        <v>19</v>
      </c>
      <c r="F3" s="171" t="s">
        <v>51</v>
      </c>
      <c r="G3" s="171" t="s">
        <v>18</v>
      </c>
      <c r="H3" s="171" t="s">
        <v>97</v>
      </c>
      <c r="I3" s="171" t="s">
        <v>484</v>
      </c>
      <c r="J3" s="171" t="s">
        <v>445</v>
      </c>
      <c r="K3" s="77"/>
      <c r="L3" s="77"/>
      <c r="M3" s="77"/>
      <c r="N3" s="53" t="s">
        <v>470</v>
      </c>
      <c r="O3" s="170" t="s">
        <v>496</v>
      </c>
      <c r="P3" s="79" t="s">
        <v>514</v>
      </c>
      <c r="Q3" s="79" t="s">
        <v>52</v>
      </c>
      <c r="R3" s="171" t="s">
        <v>461</v>
      </c>
      <c r="S3" s="171" t="s">
        <v>96</v>
      </c>
      <c r="T3" s="171" t="s">
        <v>74</v>
      </c>
      <c r="Z3" s="171"/>
      <c r="AA3" s="170"/>
      <c r="AB3" s="53"/>
      <c r="AC3" s="177">
        <f>IF(G2="Handmatig",#REF!,0%)</f>
        <v>0</v>
      </c>
    </row>
    <row r="4" spans="1:36" ht="13.25" x14ac:dyDescent="0.25">
      <c r="A4" s="40">
        <v>1</v>
      </c>
      <c r="B4" s="40" t="s">
        <v>548</v>
      </c>
      <c r="C4" s="346">
        <f>IF($C$3="Handmatig",D4,2.4%)</f>
        <v>2.4E-2</v>
      </c>
      <c r="D4" s="349">
        <v>0</v>
      </c>
      <c r="E4" s="80">
        <f>SUM(C2,-1)</f>
        <v>2021</v>
      </c>
      <c r="F4" s="81">
        <f>$N$4/Balansprognose!$F$35*-1</f>
        <v>1.1533094383765359</v>
      </c>
      <c r="G4" s="139">
        <f>Balansprognose!F35</f>
        <v>1014719000</v>
      </c>
      <c r="H4" s="139" t="s">
        <v>679</v>
      </c>
      <c r="I4" s="195" t="s">
        <v>487</v>
      </c>
      <c r="J4" s="195" t="s">
        <v>678</v>
      </c>
      <c r="K4" s="77" t="s">
        <v>59</v>
      </c>
      <c r="L4" s="77" t="s">
        <v>60</v>
      </c>
      <c r="M4" s="77" t="s">
        <v>61</v>
      </c>
      <c r="N4" s="21">
        <f>SUM('Investeringen &amp; financiering'!P29)</f>
        <v>-1170285000</v>
      </c>
      <c r="O4" s="92">
        <f t="shared" ref="O4:O14" si="0">N4/T4</f>
        <v>-4980.4236159283673</v>
      </c>
      <c r="P4" s="21">
        <f t="shared" ref="P4:P14" si="1">SUM(N4,-Q4)</f>
        <v>-1563314000</v>
      </c>
      <c r="Q4" s="139">
        <f>SUM(Balansprognose!B15)</f>
        <v>393029000</v>
      </c>
      <c r="R4" s="79"/>
      <c r="S4" s="20"/>
      <c r="T4" s="91">
        <f>C10</f>
        <v>234977</v>
      </c>
      <c r="Z4" s="20"/>
      <c r="AA4" s="92"/>
      <c r="AB4" s="114"/>
      <c r="AC4" s="177">
        <f>IF(G2="Handmatig",#REF!,0%)</f>
        <v>0</v>
      </c>
      <c r="AE4" s="114"/>
    </row>
    <row r="5" spans="1:36" ht="13.25" x14ac:dyDescent="0.25">
      <c r="A5" s="40">
        <v>2</v>
      </c>
      <c r="B5" s="40" t="s">
        <v>573</v>
      </c>
      <c r="C5" s="345">
        <f>IF($C$3="Handmatig",D5,2.9%)</f>
        <v>2.8999999999999998E-2</v>
      </c>
      <c r="D5" s="295">
        <v>0</v>
      </c>
      <c r="E5" s="80">
        <f>SUM(C2)</f>
        <v>2022</v>
      </c>
      <c r="F5" s="81">
        <f>$N$5/$G$5*-1</f>
        <v>1.1199714000397476</v>
      </c>
      <c r="G5" s="139">
        <f>SUM(R5,'Inkomsten &amp; uitgaven'!I30,'Investeringen &amp; financiering'!E7,Balansprognose!C39,Balansprognose!C40,Balansprognose!C44)</f>
        <v>1082150000</v>
      </c>
      <c r="H5" s="139">
        <f>SUM('Inkomsten &amp; uitgaven'!J30,-'Inkomsten &amp; uitgaven'!K30,'Inkomsten &amp; uitgaven'!G86,'Inkomsten &amp; uitgaven'!G85)</f>
        <v>999557922.09809661</v>
      </c>
      <c r="I5" s="139">
        <f>SUM('Investeringen &amp; financiering'!E7,Balansprognose!C44,-Balansprognose!C45)</f>
        <v>-2538000</v>
      </c>
      <c r="J5" s="139">
        <f>-SUM('Investeringen &amp; financiering'!C6,'Investeringen &amp; financiering'!F6,'Investeringen &amp; financiering'!G6,'Investeringen &amp; financiering'!H6)</f>
        <v>87472053.587850362</v>
      </c>
      <c r="K5" s="82">
        <f>'Inkomsten &amp; uitgaven'!N30</f>
        <v>70783389.933543772</v>
      </c>
      <c r="L5" s="82">
        <f>'Investeringen &amp; financiering'!T6</f>
        <v>-90325088.775407836</v>
      </c>
      <c r="M5" s="82">
        <f>'Investeringen &amp; financiering'!R30</f>
        <v>-22150351.711148627</v>
      </c>
      <c r="N5" s="21">
        <f t="shared" ref="N5:N14" si="2">SUM(N4,K5,L5,M5)</f>
        <v>-1211977050.5530128</v>
      </c>
      <c r="O5" s="92">
        <f t="shared" si="0"/>
        <v>-5135.6498598905291</v>
      </c>
      <c r="P5" s="21">
        <f t="shared" si="1"/>
        <v>-1605006050.5530128</v>
      </c>
      <c r="Q5" s="24">
        <f>SUM('Investeringen &amp; financiering'!C29,'Investeringen &amp; financiering'!D29,-'Investeringen &amp; financiering'!C30,-'Investeringen &amp; financiering'!D30,Balansprognose!C41,Balansprognose!C42)</f>
        <v>393029000</v>
      </c>
      <c r="R5" s="139">
        <f>'Investeringen &amp; financiering'!T30</f>
        <v>10812565.760853244</v>
      </c>
      <c r="S5" s="20">
        <f>SUM('Investeringen &amp; financiering'!S6,'Investeringen &amp; financiering'!S30,'Inkomsten &amp; uitgaven'!M30)</f>
        <v>-33031074.867065672</v>
      </c>
      <c r="T5" s="91">
        <f>SUM(T4,T4*C12)</f>
        <v>235992.92857142858</v>
      </c>
      <c r="Z5" s="20"/>
      <c r="AA5" s="92"/>
      <c r="AB5" s="114"/>
      <c r="AC5" s="177">
        <f>IF(G2="Handmatig",#REF!,0%)</f>
        <v>0</v>
      </c>
      <c r="AE5" s="169"/>
      <c r="AF5" s="114"/>
    </row>
    <row r="6" spans="1:36" ht="13.25" x14ac:dyDescent="0.25">
      <c r="A6" s="40">
        <v>3</v>
      </c>
      <c r="B6" s="40" t="s">
        <v>549</v>
      </c>
      <c r="C6" s="345">
        <f>IF($C$3="Handmatig",D6,2.3%)</f>
        <v>2.3E-2</v>
      </c>
      <c r="D6" s="295">
        <v>0</v>
      </c>
      <c r="E6" s="80">
        <f>SUM(C2,1)</f>
        <v>2023</v>
      </c>
      <c r="F6" s="81">
        <f>$N$6/$G$6*-1</f>
        <v>1.3487915690310419</v>
      </c>
      <c r="G6" s="139">
        <f>SUM(R6,'Inkomsten &amp; uitgaven'!I31,'Investeringen &amp; financiering'!E9)</f>
        <v>1035381934.5628119</v>
      </c>
      <c r="H6" s="139">
        <f>SUM('Inkomsten &amp; uitgaven'!J31,-'Inkomsten &amp; uitgaven'!K31,-'Investeringen &amp; financiering'!E8,-S6)</f>
        <v>1083352013.3199828</v>
      </c>
      <c r="I6" s="20">
        <f>SUM('Investeringen &amp; financiering'!E9,'Investeringen &amp; financiering'!E8)</f>
        <v>-3991679.9999999981</v>
      </c>
      <c r="J6" s="139">
        <f>-SUM('Investeringen &amp; financiering'!C8,'Investeringen &amp; financiering'!F8,'Investeringen &amp; financiering'!G8,'Investeringen &amp; financiering'!H8)*SUM(1,-G21)</f>
        <v>92170738.915186703</v>
      </c>
      <c r="K6" s="82">
        <f>'Inkomsten &amp; uitgaven'!N31</f>
        <v>-20391973.018662032</v>
      </c>
      <c r="L6" s="82">
        <f>'Investeringen &amp; financiering'!T8</f>
        <v>-97612075.097393647</v>
      </c>
      <c r="M6" s="82">
        <f>'Investeringen &amp; financiering'!R32</f>
        <v>-66533325.39630194</v>
      </c>
      <c r="N6" s="21">
        <f t="shared" si="2"/>
        <v>-1396514424.0653706</v>
      </c>
      <c r="O6" s="92">
        <f t="shared" si="0"/>
        <v>-5892.1365232192366</v>
      </c>
      <c r="P6" s="21">
        <f t="shared" si="1"/>
        <v>-1739613019.9053707</v>
      </c>
      <c r="Q6" s="139">
        <f>SUM(Q5,-'Investeringen &amp; financiering'!C32,-'Investeringen &amp; financiering'!D32,-'Investeringen &amp; financiering'!N32)</f>
        <v>343098595.84000003</v>
      </c>
      <c r="R6" s="139">
        <f>'Investeringen &amp; financiering'!T32</f>
        <v>9086128.457815107</v>
      </c>
      <c r="S6" s="20">
        <f>SUM('Investeringen &amp; financiering'!S8,'Investeringen &amp; financiering'!S32,'Inkomsten &amp; uitgaven'!M31)</f>
        <v>-32353117.449793316</v>
      </c>
      <c r="T6" s="91">
        <f>SUM(T5,T5*C12)</f>
        <v>237013.24953386668</v>
      </c>
      <c r="Z6" s="20"/>
      <c r="AA6" s="92"/>
      <c r="AB6" s="114"/>
      <c r="AC6" s="177">
        <f>IF(G2="Handmatig",#REF!,0%)</f>
        <v>0</v>
      </c>
      <c r="AE6" s="169"/>
      <c r="AF6" s="114"/>
      <c r="AG6" s="114"/>
      <c r="AJ6" s="160"/>
    </row>
    <row r="7" spans="1:36" ht="13.25" x14ac:dyDescent="0.25">
      <c r="A7" s="40">
        <v>4</v>
      </c>
      <c r="B7" s="40" t="s">
        <v>575</v>
      </c>
      <c r="C7" s="345">
        <f>IF($C$3="Handmatig",D7,4%)</f>
        <v>0.04</v>
      </c>
      <c r="D7" s="295">
        <v>0</v>
      </c>
      <c r="E7" s="80">
        <f>SUM(C2,2)</f>
        <v>2024</v>
      </c>
      <c r="F7" s="81">
        <f>$N$7/$G$7*-1</f>
        <v>1.4176783811451588</v>
      </c>
      <c r="G7" s="139">
        <f>SUM(R7,'Inkomsten &amp; uitgaven'!I32,'Investeringen &amp; financiering'!E11)</f>
        <v>1075189925.9978659</v>
      </c>
      <c r="H7" s="139">
        <f>SUM('Inkomsten &amp; uitgaven'!J32,-'Inkomsten &amp; uitgaven'!K32,-'Investeringen &amp; financiering'!E10,-S7)</f>
        <v>1110324444.7058949</v>
      </c>
      <c r="I7" s="20">
        <f>SUM('Investeringen &amp; financiering'!E10,'Investeringen &amp; financiering'!E11)</f>
        <v>-3991679.9999999981</v>
      </c>
      <c r="J7" s="139">
        <f>-SUM('Investeringen &amp; financiering'!C10,'Investeringen &amp; financiering'!F10,'Investeringen &amp; financiering'!G10,'Investeringen &amp; financiering'!H10)*SUM(1,-G21)</f>
        <v>92624570.938838273</v>
      </c>
      <c r="K7" s="82">
        <f>'Inkomsten &amp; uitgaven'!N32</f>
        <v>-4949873.2213059161</v>
      </c>
      <c r="L7" s="82">
        <f>'Investeringen &amp; financiering'!T10</f>
        <v>-100212251.22459614</v>
      </c>
      <c r="M7" s="82">
        <f>'Investeringen &amp; financiering'!R34</f>
        <v>-22596965.200965274</v>
      </c>
      <c r="N7" s="21">
        <f t="shared" si="2"/>
        <v>-1524273513.7122376</v>
      </c>
      <c r="O7" s="92">
        <f t="shared" si="0"/>
        <v>-6403.4886436483748</v>
      </c>
      <c r="P7" s="21">
        <f t="shared" si="1"/>
        <v>-1867372109.5522375</v>
      </c>
      <c r="Q7" s="139">
        <f>SUM(Q6,-'Investeringen &amp; financiering'!C34,-'Investeringen &amp; financiering'!D34,-'Investeringen &amp; financiering'!N34)</f>
        <v>343098595.84000003</v>
      </c>
      <c r="R7" s="139">
        <f>'Investeringen &amp; financiering'!T34</f>
        <v>8971592.1343394406</v>
      </c>
      <c r="S7" s="20">
        <f>SUM('Investeringen &amp; financiering'!S10,'Investeringen &amp; financiering'!S34,'Inkomsten &amp; uitgaven'!M32)</f>
        <v>-35083652.934599899</v>
      </c>
      <c r="T7" s="91">
        <f>SUM(T6,T6*C12)</f>
        <v>238037.98187791987</v>
      </c>
      <c r="Z7" s="20"/>
      <c r="AA7" s="92"/>
      <c r="AB7" s="114"/>
      <c r="AC7" s="177">
        <f>IF(G2="Handmatig",#REF!,0%)</f>
        <v>0</v>
      </c>
      <c r="AE7" s="169"/>
      <c r="AF7" s="114"/>
      <c r="AG7" s="114"/>
    </row>
    <row r="8" spans="1:36" ht="13.25" x14ac:dyDescent="0.25">
      <c r="A8" s="40">
        <v>5</v>
      </c>
      <c r="B8" s="40" t="s">
        <v>596</v>
      </c>
      <c r="C8" s="345">
        <f>IF($C$3="Handmatig",D8,2.8%)</f>
        <v>2.7999999999999997E-2</v>
      </c>
      <c r="D8" s="295">
        <v>0</v>
      </c>
      <c r="E8" s="80">
        <f>SUM(C2,3)</f>
        <v>2025</v>
      </c>
      <c r="F8" s="81">
        <f>$N$8/$G$8*-1</f>
        <v>1.4649796769458094</v>
      </c>
      <c r="G8" s="139">
        <f>SUM(R8,'Inkomsten &amp; uitgaven'!I33,'Investeringen &amp; financiering'!E13)</f>
        <v>1117751686.6180358</v>
      </c>
      <c r="H8" s="139">
        <f>SUM('Inkomsten &amp; uitgaven'!J33,-'Inkomsten &amp; uitgaven'!K33,-'Investeringen &amp; financiering'!E12,-S8)</f>
        <v>1137878388.1454988</v>
      </c>
      <c r="I8" s="20">
        <f>SUM('Investeringen &amp; financiering'!E12,'Investeringen &amp; financiering'!E13)</f>
        <v>-2806620.9999999981</v>
      </c>
      <c r="J8" s="139">
        <f>-SUM('Investeringen &amp; financiering'!C12,'Investeringen &amp; financiering'!F12,'Investeringen &amp; financiering'!G12,'Investeringen &amp; financiering'!H12)*SUM(1,-G21)</f>
        <v>93083289.527622938</v>
      </c>
      <c r="K8" s="82">
        <f>'Inkomsten &amp; uitgaven'!N33</f>
        <v>12361826.387984049</v>
      </c>
      <c r="L8" s="82">
        <f>'Investeringen &amp; financiering'!T12</f>
        <v>-102661285.5535316</v>
      </c>
      <c r="M8" s="82">
        <f>'Investeringen &amp; financiering'!R36</f>
        <v>-22910531.889538579</v>
      </c>
      <c r="N8" s="21">
        <f t="shared" si="2"/>
        <v>-1637483504.7673237</v>
      </c>
      <c r="O8" s="92">
        <f t="shared" si="0"/>
        <v>-6849.4711265510668</v>
      </c>
      <c r="P8" s="21">
        <f t="shared" si="1"/>
        <v>-1980582100.6073236</v>
      </c>
      <c r="Q8" s="139">
        <f>SUM(Q7,-'Investeringen &amp; financiering'!C36,-'Investeringen &amp; financiering'!D36,-'Investeringen &amp; financiering'!N36)</f>
        <v>343098595.84000003</v>
      </c>
      <c r="R8" s="139">
        <f>'Investeringen &amp; financiering'!T36</f>
        <v>8888688.9938844945</v>
      </c>
      <c r="S8" s="20">
        <f>SUM('Investeringen &amp; financiering'!S12,'Investeringen &amp; financiering'!S36,'Inkomsten &amp; uitgaven'!M33)</f>
        <v>-38331158.109213918</v>
      </c>
      <c r="T8" s="91">
        <f>SUM(T7,T7*C12)</f>
        <v>239067.14467630003</v>
      </c>
      <c r="Z8" s="20"/>
      <c r="AA8" s="92"/>
      <c r="AB8" s="114"/>
      <c r="AC8" s="177">
        <f>IF(G2="Handmatig",#REF!,0%)</f>
        <v>0</v>
      </c>
      <c r="AE8" s="169"/>
      <c r="AF8" s="114"/>
      <c r="AG8" s="114"/>
    </row>
    <row r="9" spans="1:36" ht="13.25" x14ac:dyDescent="0.25">
      <c r="A9" s="40">
        <v>6</v>
      </c>
      <c r="B9" s="40" t="s">
        <v>1033</v>
      </c>
      <c r="C9" s="345">
        <f>IF($C$3="Handmatig",D9,3.3%)</f>
        <v>3.3000000000000002E-2</v>
      </c>
      <c r="D9" s="295">
        <v>0</v>
      </c>
      <c r="E9" s="80">
        <f>SUM(C2,4)</f>
        <v>2026</v>
      </c>
      <c r="F9" s="81">
        <f>$N$9/$G$9*-1</f>
        <v>1.4932788362095739</v>
      </c>
      <c r="G9" s="139">
        <f>SUM(R9,'Inkomsten &amp; uitgaven'!I34,'Investeringen &amp; financiering'!E15)</f>
        <v>1162062039.8171639</v>
      </c>
      <c r="H9" s="139">
        <f>SUM('Inkomsten &amp; uitgaven'!J34,-'Inkomsten &amp; uitgaven'!K34,-'Investeringen &amp; financiering'!E14,-S9)</f>
        <v>1166314114.1865411</v>
      </c>
      <c r="I9" s="20">
        <f>SUM('Investeringen &amp; financiering'!E14,'Investeringen &amp; financiering'!E15)</f>
        <v>-1621562</v>
      </c>
      <c r="J9" s="139">
        <f>-SUM('Investeringen &amp; financiering'!C14,'Investeringen &amp; financiering'!F14,'Investeringen &amp; financiering'!G14,'Investeringen &amp; financiering'!H14)*SUM(1,-G21)</f>
        <v>93547071.284797311</v>
      </c>
      <c r="K9" s="82">
        <f>'Inkomsten &amp; uitgaven'!N34</f>
        <v>31893032.957093958</v>
      </c>
      <c r="L9" s="82">
        <f>'Investeringen &amp; financiering'!T14</f>
        <v>-105725132.24719438</v>
      </c>
      <c r="M9" s="82">
        <f>'Investeringen &amp; financiering'!R38</f>
        <v>-23967046.364074007</v>
      </c>
      <c r="N9" s="21">
        <f t="shared" si="2"/>
        <v>-1735282650.4214981</v>
      </c>
      <c r="O9" s="92">
        <f t="shared" si="0"/>
        <v>-7227.3101988308199</v>
      </c>
      <c r="P9" s="21">
        <f t="shared" si="1"/>
        <v>-2078381246.261498</v>
      </c>
      <c r="Q9" s="139">
        <f>SUM(Q8,-'Investeringen &amp; financiering'!C38,-'Investeringen &amp; financiering'!D38,-'Investeringen &amp; financiering'!N38)</f>
        <v>343098595.84000003</v>
      </c>
      <c r="R9" s="139">
        <f>'Investeringen &amp; financiering'!T38</f>
        <v>8960177.1319892593</v>
      </c>
      <c r="S9" s="20">
        <f>SUM('Investeringen &amp; financiering'!S14,'Investeringen &amp; financiering'!S38,'Inkomsten &amp; uitgaven'!M34)</f>
        <v>-42440440.870533049</v>
      </c>
      <c r="T9" s="91">
        <f>SUM(T8,T8*C12)</f>
        <v>240100.75708418037</v>
      </c>
      <c r="Z9" s="20"/>
      <c r="AA9" s="92"/>
      <c r="AB9" s="114"/>
      <c r="AC9" s="177">
        <f>IF(G2="Handmatig",#REF!,0%)</f>
        <v>0</v>
      </c>
      <c r="AE9" s="169"/>
      <c r="AF9" s="114"/>
      <c r="AG9" s="114"/>
    </row>
    <row r="10" spans="1:36" ht="13.25" x14ac:dyDescent="0.25">
      <c r="A10" s="40">
        <v>7</v>
      </c>
      <c r="B10" s="40" t="s">
        <v>920</v>
      </c>
      <c r="C10" s="347">
        <f>VLOOKUP($A$2,'Data macro'!$B$2:$F$347,5,0)</f>
        <v>234977</v>
      </c>
      <c r="D10" s="350"/>
      <c r="E10" s="80">
        <f>SUM(C2,5)</f>
        <v>2027</v>
      </c>
      <c r="F10" s="81">
        <f>$N$10/$G$10*-1</f>
        <v>1.5027892080300937</v>
      </c>
      <c r="G10" s="139">
        <f>SUM(R10,'Inkomsten &amp; uitgaven'!I35,'Investeringen &amp; financiering'!E17)</f>
        <v>1208036998.8769221</v>
      </c>
      <c r="H10" s="139">
        <f>SUM('Inkomsten &amp; uitgaven'!J35,-'Inkomsten &amp; uitgaven'!K35,-'Investeringen &amp; financiering'!E16,-S10)</f>
        <v>1194163211.3996353</v>
      </c>
      <c r="I10" s="20">
        <f>SUM('Investeringen &amp; financiering'!E16,'Investeringen &amp; financiering'!E17)</f>
        <v>-436503</v>
      </c>
      <c r="J10" s="139">
        <f>-SUM('Investeringen &amp; financiering'!C16,'Investeringen &amp; financiering'!F16,'Investeringen &amp; financiering'!G16,'Investeringen &amp; financiering'!H16)*SUM(1,-G21)</f>
        <v>94016101.869089693</v>
      </c>
      <c r="K10" s="82">
        <f>'Inkomsten &amp; uitgaven'!N35</f>
        <v>53860078.661724567</v>
      </c>
      <c r="L10" s="82">
        <f>'Investeringen &amp; financiering'!T16</f>
        <v>-108907687.19894236</v>
      </c>
      <c r="M10" s="82">
        <f>'Investeringen &amp; financiering'!R40</f>
        <v>-25094705.85458507</v>
      </c>
      <c r="N10" s="21">
        <f t="shared" si="2"/>
        <v>-1815424964.8133011</v>
      </c>
      <c r="O10" s="92">
        <f t="shared" si="0"/>
        <v>-7528.5465307623663</v>
      </c>
      <c r="P10" s="21">
        <f t="shared" si="1"/>
        <v>-2158523560.6533012</v>
      </c>
      <c r="Q10" s="139">
        <f>SUM(Q9,-'Investeringen &amp; financiering'!C40,-'Investeringen &amp; financiering'!D40,-'Investeringen &amp; financiering'!N40)</f>
        <v>343098595.84000003</v>
      </c>
      <c r="R10" s="139">
        <f>'Investeringen &amp; financiering'!T40</f>
        <v>9042933.9542216398</v>
      </c>
      <c r="S10" s="20">
        <f>SUM('Investeringen &amp; financiering'!S16,'Investeringen &amp; financiering'!S40,'Inkomsten &amp; uitgaven'!M35)</f>
        <v>-45991823.893934697</v>
      </c>
      <c r="T10" s="91">
        <f>SUM(T9,T9*C12)</f>
        <v>241138.83833955196</v>
      </c>
      <c r="Z10" s="20"/>
      <c r="AA10" s="92"/>
      <c r="AB10" s="114"/>
      <c r="AC10" s="177">
        <f>IF(G2="Handmatig",#REF!,0%)</f>
        <v>0</v>
      </c>
      <c r="AE10" s="169"/>
      <c r="AF10" s="114"/>
      <c r="AG10" s="114"/>
    </row>
    <row r="11" spans="1:36" ht="13.25" x14ac:dyDescent="0.25">
      <c r="A11" s="40">
        <v>8</v>
      </c>
      <c r="B11" s="40" t="s">
        <v>988</v>
      </c>
      <c r="C11" s="345">
        <v>2.8E-3</v>
      </c>
      <c r="D11" s="350"/>
      <c r="E11" s="80">
        <f>SUM(C2,6)</f>
        <v>2028</v>
      </c>
      <c r="F11" s="115">
        <f>$N$11/$G$11*-1</f>
        <v>1.5026139312261964</v>
      </c>
      <c r="G11" s="139">
        <f>SUM(R11,'Inkomsten &amp; uitgaven'!I36,'Investeringen &amp; financiering'!E19)</f>
        <v>1262575492.8110867</v>
      </c>
      <c r="H11" s="139">
        <f>SUM('Inkomsten &amp; uitgaven'!J36,-'Inkomsten &amp; uitgaven'!K36,-'Investeringen &amp; financiering'!E18,-S11)</f>
        <v>1249823476.2436817</v>
      </c>
      <c r="I11" s="20">
        <f>SUM('Investeringen &amp; financiering'!E18,'Investeringen &amp; financiering'!E19)</f>
        <v>748556</v>
      </c>
      <c r="J11" s="139">
        <f>-SUM('Investeringen &amp; financiering'!C18,'Investeringen &amp; financiering'!F18,'Investeringen &amp; financiering'!G18,'Investeringen &amp; financiering'!H18)*SUM(1,-G21)</f>
        <v>94490576.4768233</v>
      </c>
      <c r="K11" s="82">
        <f>'Inkomsten &amp; uitgaven'!N36</f>
        <v>57475738.547193512</v>
      </c>
      <c r="L11" s="82">
        <f>'Investeringen &amp; financiering'!T18</f>
        <v>-112213541.4217799</v>
      </c>
      <c r="M11" s="82">
        <f>'Investeringen &amp; financiering'!R42</f>
        <v>-27000757.034831785</v>
      </c>
      <c r="N11" s="21">
        <f t="shared" si="2"/>
        <v>-1897163524.7227192</v>
      </c>
      <c r="O11" s="92">
        <f t="shared" si="0"/>
        <v>-7833.6464480986751</v>
      </c>
      <c r="P11" s="21">
        <f t="shared" si="1"/>
        <v>-2240262120.5627193</v>
      </c>
      <c r="Q11" s="139">
        <f>SUM(Q10,-'Investeringen &amp; financiering'!C42,-'Investeringen &amp; financiering'!D42,-'Investeringen &amp; financiering'!N42)</f>
        <v>343098595.84000003</v>
      </c>
      <c r="R11" s="139">
        <f>'Investeringen &amp; financiering'!T42</f>
        <v>9349469.4028167743</v>
      </c>
      <c r="S11" s="20">
        <f>SUM('Investeringen &amp; financiering'!S18,'Investeringen &amp; financiering'!S42,'Inkomsten &amp; uitgaven'!M36)</f>
        <v>-50198549.070757277</v>
      </c>
      <c r="T11" s="91">
        <f>SUM(T10,T10*C12)</f>
        <v>242181.40776358175</v>
      </c>
      <c r="Z11" s="20"/>
      <c r="AA11" s="92"/>
      <c r="AB11" s="114"/>
      <c r="AE11" s="169"/>
      <c r="AF11" s="114"/>
      <c r="AG11" s="114"/>
    </row>
    <row r="12" spans="1:36" ht="13.25" x14ac:dyDescent="0.25">
      <c r="A12" s="40">
        <v>9</v>
      </c>
      <c r="B12" s="40" t="s">
        <v>989</v>
      </c>
      <c r="C12" s="345">
        <f>VLOOKUP($A$2,'Data macro'!$B$2:$F$347,2,0)</f>
        <v>4.3235234573110199E-3</v>
      </c>
      <c r="D12" s="350"/>
      <c r="E12" s="80">
        <f>SUM(C2,7)</f>
        <v>2029</v>
      </c>
      <c r="F12" s="81">
        <f>$N$12/$G$12*-1</f>
        <v>1.5032326495036754</v>
      </c>
      <c r="G12" s="139">
        <f>SUM(R12,'Inkomsten &amp; uitgaven'!I37,'Investeringen &amp; financiering'!E21)</f>
        <v>1318315942.3991878</v>
      </c>
      <c r="H12" s="139">
        <f>SUM('Inkomsten &amp; uitgaven'!J37,-'Inkomsten &amp; uitgaven'!K37,-'Investeringen &amp; financiering'!E20,-S12)</f>
        <v>1307917284.302325</v>
      </c>
      <c r="I12" s="20">
        <f>SUM('Investeringen &amp; financiering'!E20,'Investeringen &amp; financiering'!E21)</f>
        <v>748556</v>
      </c>
      <c r="J12" s="139">
        <f>-SUM('Investeringen &amp; financiering'!C20,'Investeringen &amp; financiering'!F20,'Investeringen &amp; financiering'!G20,'Investeringen &amp; financiering'!H20)*SUM(1,-G21)</f>
        <v>94970700.349809498</v>
      </c>
      <c r="K12" s="82">
        <f>'Inkomsten &amp; uitgaven'!N37</f>
        <v>61265130.667529829</v>
      </c>
      <c r="L12" s="82">
        <f>'Investeringen &amp; financiering'!T20</f>
        <v>-116854448.61902221</v>
      </c>
      <c r="M12" s="82">
        <f>'Investeringen &amp; financiering'!R44</f>
        <v>-28982724.301454388</v>
      </c>
      <c r="N12" s="21">
        <f t="shared" si="2"/>
        <v>-1981735566.9756658</v>
      </c>
      <c r="O12" s="92">
        <f t="shared" si="0"/>
        <v>-8147.6294559955659</v>
      </c>
      <c r="P12" s="21">
        <f t="shared" si="1"/>
        <v>-2324834162.8156657</v>
      </c>
      <c r="Q12" s="139">
        <f>SUM(Q11,-'Investeringen &amp; financiering'!C44,-'Investeringen &amp; financiering'!D44,-'Investeringen &amp; financiering'!N44)</f>
        <v>343098595.84000003</v>
      </c>
      <c r="R12" s="139">
        <f>'Investeringen &amp; financiering'!T44</f>
        <v>9659260.1992606912</v>
      </c>
      <c r="S12" s="20">
        <f>SUM('Investeringen &amp; financiering'!S20,'Investeringen &amp; financiering'!S44,'Inkomsten &amp; uitgaven'!M37)</f>
        <v>-54494285.273521848</v>
      </c>
      <c r="T12" s="91">
        <f>SUM(T11,T11*C12)</f>
        <v>243228.48476097221</v>
      </c>
      <c r="Z12" s="20"/>
      <c r="AA12" s="92"/>
      <c r="AB12" s="114"/>
      <c r="AC12" s="177">
        <f>IF(G2="Handmatig",#REF!,0%)</f>
        <v>0</v>
      </c>
      <c r="AE12" s="169"/>
      <c r="AF12" s="114"/>
      <c r="AG12" s="114"/>
    </row>
    <row r="13" spans="1:36" x14ac:dyDescent="0.25">
      <c r="A13" s="40">
        <v>10</v>
      </c>
      <c r="B13" s="13" t="s">
        <v>669</v>
      </c>
      <c r="C13" s="345">
        <f>IF($C$3="Handmatig",D13,3%)</f>
        <v>0.03</v>
      </c>
      <c r="D13" s="295">
        <v>0</v>
      </c>
      <c r="E13" s="80">
        <f>SUM(C2,8)</f>
        <v>2030</v>
      </c>
      <c r="F13" s="81">
        <f>$N$13/$G$13*-1</f>
        <v>1.5033338113958945</v>
      </c>
      <c r="G13" s="139">
        <f>SUM(R13,'Inkomsten &amp; uitgaven'!I38,'Investeringen &amp; financiering'!E23)</f>
        <v>1376659182.7243125</v>
      </c>
      <c r="H13" s="139">
        <f>SUM('Inkomsten &amp; uitgaven'!J38,-'Inkomsten &amp; uitgaven'!K38,-'Investeringen &amp; financiering'!E22,-S13)</f>
        <v>1369045222.5963552</v>
      </c>
      <c r="I13" s="20">
        <f>SUM('Investeringen &amp; financiering'!E22,'Investeringen &amp; financiering'!E23)</f>
        <v>748556</v>
      </c>
      <c r="J13" s="139">
        <f>-SUM('Investeringen &amp; financiering'!C22,'Investeringen &amp; financiering'!F22,'Investeringen &amp; financiering'!G22,'Investeringen &amp; financiering'!H22)*SUM(1,-G21)</f>
        <v>95456689.310389519</v>
      </c>
      <c r="K13" s="82">
        <f>'Inkomsten &amp; uitgaven'!N38</f>
        <v>65234975.198139101</v>
      </c>
      <c r="L13" s="82">
        <f>'Investeringen &amp; financiering'!T22</f>
        <v>-121673042.97427678</v>
      </c>
      <c r="M13" s="82">
        <f>'Investeringen &amp; financiering'!R46</f>
        <v>-31404661.406294554</v>
      </c>
      <c r="N13" s="21">
        <f t="shared" si="2"/>
        <v>-2069578296.158098</v>
      </c>
      <c r="O13" s="92">
        <f t="shared" si="0"/>
        <v>-8472.1530361009227</v>
      </c>
      <c r="P13" s="21">
        <f t="shared" si="1"/>
        <v>-2412676891.9980979</v>
      </c>
      <c r="Q13" s="139">
        <f>SUM(Q12,-'Investeringen &amp; financiering'!C46,-'Investeringen &amp; financiering'!D46,-'Investeringen &amp; financiering'!N46)</f>
        <v>343098595.84000003</v>
      </c>
      <c r="R13" s="139">
        <f>'Investeringen &amp; financiering'!T46</f>
        <v>10080964.721431442</v>
      </c>
      <c r="S13" s="20">
        <f>SUM('Investeringen &amp; financiering'!S22,'Investeringen &amp; financiering'!S46,'Inkomsten &amp; uitgaven'!M38)</f>
        <v>-59372788.595143616</v>
      </c>
      <c r="T13" s="91">
        <f>SUM(T12,T12*C12)</f>
        <v>244280.08882032247</v>
      </c>
      <c r="Z13" s="20"/>
      <c r="AA13" s="92"/>
      <c r="AB13" s="114"/>
      <c r="AC13" s="177">
        <f>IF(G2="Handmatig",#REF!,0%)</f>
        <v>0</v>
      </c>
      <c r="AE13" s="169"/>
      <c r="AF13" s="114"/>
      <c r="AG13" s="114"/>
    </row>
    <row r="14" spans="1:36" x14ac:dyDescent="0.25">
      <c r="A14" s="40">
        <v>11</v>
      </c>
      <c r="B14" s="40" t="s">
        <v>532</v>
      </c>
      <c r="C14" s="345">
        <f>IF($C$3="Handmatig",D14,0.2%)</f>
        <v>2E-3</v>
      </c>
      <c r="D14" s="295">
        <v>0</v>
      </c>
      <c r="E14" s="80">
        <f>SUM(C2,9)</f>
        <v>2031</v>
      </c>
      <c r="F14" s="81">
        <f>$N$14/$G$14*-1</f>
        <v>1.5032364186221727</v>
      </c>
      <c r="G14" s="139">
        <f>SUM(R14,'Inkomsten &amp; uitgaven'!I39,'Investeringen &amp; financiering'!E25)</f>
        <v>1437761031.4478271</v>
      </c>
      <c r="H14" s="139">
        <f>SUM('Inkomsten &amp; uitgaven'!J39,-'Inkomsten &amp; uitgaven'!K39,-'Investeringen &amp; financiering'!E24,-S14)</f>
        <v>1433528708.712805</v>
      </c>
      <c r="I14" s="20">
        <f>SUM('Investeringen &amp; financiering'!E24,'Investeringen &amp; financiering'!E25)</f>
        <v>748556</v>
      </c>
      <c r="J14" s="139">
        <f>-SUM('Investeringen &amp; financiering'!C24,'Investeringen &amp; financiering'!F24,'Investeringen &amp; financiering'!G24,'Investeringen &amp; financiering'!H24)*SUM(1,-G21)</f>
        <v>95948770.325076953</v>
      </c>
      <c r="K14" s="82">
        <f>'Inkomsten &amp; uitgaven'!N39</f>
        <v>69392185.549727455</v>
      </c>
      <c r="L14" s="82">
        <f>'Investeringen &amp; financiering'!T24</f>
        <v>-126676130.07778417</v>
      </c>
      <c r="M14" s="82">
        <f>'Investeringen &amp; financiering'!R48</f>
        <v>-34432503.061998144</v>
      </c>
      <c r="N14" s="21">
        <f t="shared" si="2"/>
        <v>-2161294743.7481527</v>
      </c>
      <c r="O14" s="92">
        <f t="shared" si="0"/>
        <v>-8809.5209579524526</v>
      </c>
      <c r="P14" s="21">
        <f t="shared" si="1"/>
        <v>-2504393339.5881529</v>
      </c>
      <c r="Q14" s="139">
        <f>SUM(Q13,-'Investeringen &amp; financiering'!C48,-'Investeringen &amp; financiering'!D48,-'Investeringen &amp; financiering'!N48)</f>
        <v>343098595.84000003</v>
      </c>
      <c r="R14" s="139">
        <f>'Investeringen &amp; financiering'!T48</f>
        <v>10658469.474903552</v>
      </c>
      <c r="S14" s="20">
        <f>SUM('Investeringen &amp; financiering'!S24,'Investeringen &amp; financiering'!S48,'Inkomsten &amp; uitgaven'!M39)</f>
        <v>-65043777.839496143</v>
      </c>
      <c r="T14" s="91">
        <f>SUM(T13,T13*C12)</f>
        <v>245336.23951449117</v>
      </c>
      <c r="Z14" s="20"/>
      <c r="AA14" s="92"/>
      <c r="AB14" s="114"/>
      <c r="AC14" s="177">
        <f>IF(G2="Handmatig",#REF!,0%)</f>
        <v>0</v>
      </c>
      <c r="AE14" s="169"/>
      <c r="AF14" s="114"/>
      <c r="AG14" s="114"/>
    </row>
    <row r="15" spans="1:36" x14ac:dyDescent="0.25">
      <c r="A15" s="40">
        <v>12</v>
      </c>
      <c r="B15" s="40" t="s">
        <v>84</v>
      </c>
      <c r="C15" s="345">
        <f>IF($C$3="Handmatig",D15,0.2%)</f>
        <v>2E-3</v>
      </c>
      <c r="D15" s="295">
        <v>0</v>
      </c>
      <c r="E15" s="40"/>
      <c r="F15" s="40"/>
      <c r="H15" s="13"/>
      <c r="I15" s="13"/>
      <c r="J15" s="3"/>
      <c r="K15" s="3"/>
      <c r="N15" s="3"/>
      <c r="O15" s="3"/>
      <c r="X15" s="23"/>
      <c r="AA15" s="3"/>
    </row>
    <row r="16" spans="1:36" ht="13" x14ac:dyDescent="0.3">
      <c r="A16" s="40">
        <v>13</v>
      </c>
      <c r="B16" s="40" t="s">
        <v>481</v>
      </c>
      <c r="C16" s="345">
        <f>IF($C$3="Handmatig",D16,0.7%)</f>
        <v>6.9999999999999993E-3</v>
      </c>
      <c r="D16" s="295">
        <v>0</v>
      </c>
      <c r="E16" s="40" t="s">
        <v>742</v>
      </c>
      <c r="F16" s="259">
        <f>SUM(F14,-F10)</f>
        <v>4.4721059207897262E-4</v>
      </c>
      <c r="H16" s="13"/>
      <c r="I16" s="13"/>
      <c r="J16" s="1"/>
      <c r="K16" s="240"/>
      <c r="O16" s="76"/>
      <c r="P16" s="82"/>
      <c r="Q16" s="77"/>
      <c r="R16" s="77"/>
      <c r="S16" s="77"/>
      <c r="X16" s="77"/>
      <c r="Y16" s="77"/>
      <c r="Z16" s="77"/>
      <c r="AA16" s="78"/>
    </row>
    <row r="17" spans="1:32" ht="13" x14ac:dyDescent="0.3">
      <c r="A17" s="40">
        <v>14</v>
      </c>
      <c r="B17" s="13" t="s">
        <v>533</v>
      </c>
      <c r="C17" s="345">
        <f>IF($C$3="Handmatig",D17,1.2%)</f>
        <v>1.2E-2</v>
      </c>
      <c r="D17" s="295">
        <v>0</v>
      </c>
      <c r="E17" s="265" t="s">
        <v>745</v>
      </c>
      <c r="F17" s="40"/>
      <c r="H17" s="13"/>
      <c r="I17" s="13"/>
      <c r="J17" s="1"/>
      <c r="K17" s="200"/>
      <c r="L17" s="1"/>
      <c r="M17" s="1"/>
      <c r="O17" s="76"/>
      <c r="P17" s="77"/>
      <c r="Q17" s="77"/>
      <c r="R17" s="77"/>
      <c r="S17" s="77"/>
      <c r="X17" s="77"/>
      <c r="Y17" s="79"/>
      <c r="Z17" s="204"/>
      <c r="AA17" s="79"/>
      <c r="AB17" s="39"/>
    </row>
    <row r="18" spans="1:32" x14ac:dyDescent="0.25">
      <c r="A18" s="13">
        <v>15</v>
      </c>
      <c r="B18" s="40" t="s">
        <v>680</v>
      </c>
      <c r="C18" s="348" t="str">
        <f>VLOOKUP($A$2,'Data macro'!$B$2:$F$347,3,0)</f>
        <v>Hoog</v>
      </c>
      <c r="D18" s="351"/>
      <c r="E18" s="265" t="s">
        <v>469</v>
      </c>
      <c r="F18" s="40"/>
      <c r="H18" s="13"/>
      <c r="I18" s="13"/>
      <c r="K18" s="3"/>
      <c r="L18" s="5"/>
      <c r="M18" s="5"/>
      <c r="O18" s="76"/>
      <c r="P18" s="77"/>
      <c r="Q18" s="77"/>
      <c r="R18" s="77"/>
      <c r="S18" s="77"/>
      <c r="X18" s="77"/>
      <c r="Y18" s="21"/>
      <c r="Z18" s="205"/>
      <c r="AA18" s="21"/>
      <c r="AB18" s="15"/>
    </row>
    <row r="19" spans="1:32" ht="13" x14ac:dyDescent="0.3">
      <c r="A19" s="206"/>
      <c r="B19" s="40"/>
      <c r="C19" s="72"/>
      <c r="E19" s="40"/>
      <c r="F19" s="40"/>
      <c r="H19" s="13"/>
      <c r="I19" s="13"/>
      <c r="K19" s="6"/>
      <c r="L19" s="4"/>
      <c r="M19" s="4"/>
      <c r="O19" s="76"/>
      <c r="P19" s="77"/>
      <c r="Q19" s="77"/>
      <c r="R19" s="77"/>
      <c r="S19" s="77"/>
      <c r="X19" s="77"/>
      <c r="Y19" s="21"/>
      <c r="Z19" s="205"/>
      <c r="AA19" s="21"/>
      <c r="AB19" s="15"/>
      <c r="AC19" s="179">
        <f>IF(G2="Handmatig",I19,0%)</f>
        <v>0</v>
      </c>
    </row>
    <row r="20" spans="1:32" ht="13" x14ac:dyDescent="0.3">
      <c r="A20" s="368" t="s">
        <v>98</v>
      </c>
      <c r="B20" s="368"/>
      <c r="C20" s="239" t="s">
        <v>1017</v>
      </c>
      <c r="D20" s="66" t="s">
        <v>79</v>
      </c>
      <c r="E20" s="113" t="s">
        <v>469</v>
      </c>
      <c r="F20" s="40"/>
      <c r="G20" s="118"/>
      <c r="H20" s="104"/>
      <c r="I20" s="104"/>
      <c r="K20" s="6"/>
      <c r="L20" s="4"/>
      <c r="M20" s="4"/>
      <c r="O20" s="76"/>
      <c r="P20" s="77"/>
      <c r="Q20" s="77"/>
      <c r="R20" s="77"/>
      <c r="S20" s="77"/>
      <c r="X20" s="77"/>
      <c r="Y20" s="21"/>
      <c r="Z20" s="205"/>
      <c r="AA20" s="21"/>
      <c r="AB20" s="15"/>
    </row>
    <row r="21" spans="1:32" x14ac:dyDescent="0.25">
      <c r="A21" s="40">
        <v>16</v>
      </c>
      <c r="B21" s="40" t="s">
        <v>932</v>
      </c>
      <c r="C21" s="106">
        <f>IF($C$20="Handmatig",E21,20%)</f>
        <v>0.2</v>
      </c>
      <c r="D21" s="41"/>
      <c r="E21" s="268">
        <v>0</v>
      </c>
      <c r="F21" s="40"/>
      <c r="G21" s="119"/>
      <c r="H21" s="104"/>
      <c r="I21" s="120"/>
      <c r="K21" s="6"/>
      <c r="L21" s="4"/>
      <c r="M21" s="4"/>
      <c r="O21" s="76"/>
      <c r="P21" s="77"/>
      <c r="Q21" s="77"/>
      <c r="R21" s="77"/>
      <c r="S21" s="77"/>
      <c r="X21" s="77"/>
      <c r="Y21" s="21"/>
      <c r="Z21" s="205"/>
      <c r="AA21" s="21"/>
      <c r="AB21" s="15"/>
      <c r="AC21" s="179"/>
    </row>
    <row r="22" spans="1:32" x14ac:dyDescent="0.25">
      <c r="A22" s="40">
        <v>17</v>
      </c>
      <c r="B22" s="40" t="s">
        <v>931</v>
      </c>
      <c r="C22" s="106">
        <f>IF($C$20="Handmatig",E22,11%)</f>
        <v>0.11</v>
      </c>
      <c r="D22" s="41"/>
      <c r="E22" s="116">
        <v>0</v>
      </c>
      <c r="F22" s="40"/>
      <c r="G22" s="105"/>
      <c r="H22" s="104"/>
      <c r="K22" s="6"/>
      <c r="O22" s="76"/>
      <c r="P22" s="77"/>
      <c r="Q22" s="77"/>
      <c r="R22" s="77"/>
      <c r="S22" s="77"/>
      <c r="V22" s="205"/>
      <c r="W22" s="205"/>
      <c r="X22" s="205"/>
      <c r="Y22" s="21"/>
      <c r="Z22" s="205"/>
      <c r="AA22" s="21"/>
      <c r="AB22" s="15"/>
    </row>
    <row r="23" spans="1:32" x14ac:dyDescent="0.25">
      <c r="A23" s="40">
        <v>18</v>
      </c>
      <c r="B23" s="40" t="s">
        <v>930</v>
      </c>
      <c r="C23" s="106">
        <f>IF($C$20="Handmatig",E23,1%)</f>
        <v>0.01</v>
      </c>
      <c r="D23" s="41"/>
      <c r="E23" s="116">
        <v>0</v>
      </c>
      <c r="H23" s="13"/>
      <c r="I23" s="13"/>
      <c r="J23" s="76"/>
      <c r="K23" s="196">
        <f>IF(Macrogegevens!$C$18="Hoog",1858,0)</f>
        <v>1858</v>
      </c>
      <c r="L23" s="190">
        <f>IF(Macrogegevens!$C$18="Midden",1532,0)</f>
        <v>0</v>
      </c>
      <c r="M23" s="190">
        <f>IF(Macrogegevens!$C$18="Laag",1369,0)</f>
        <v>0</v>
      </c>
      <c r="N23" s="252">
        <f>IF(SUM(I39,-K23,-L23,-M23)&lt;0,0.5,0)</f>
        <v>0.5</v>
      </c>
      <c r="O23" s="76"/>
      <c r="P23" s="77"/>
      <c r="Q23" s="77"/>
      <c r="R23" s="77"/>
      <c r="S23" s="77"/>
      <c r="V23" s="205"/>
      <c r="W23" s="205"/>
      <c r="X23" s="205"/>
      <c r="Y23" s="80"/>
      <c r="Z23" s="205"/>
      <c r="AA23" s="21"/>
      <c r="AB23" s="15"/>
    </row>
    <row r="24" spans="1:32" x14ac:dyDescent="0.25">
      <c r="A24" s="40">
        <v>19</v>
      </c>
      <c r="B24" s="40" t="s">
        <v>929</v>
      </c>
      <c r="C24" s="106">
        <f>IF($C$20="Handmatig",E24,1%)</f>
        <v>0.01</v>
      </c>
      <c r="D24" s="41"/>
      <c r="E24" s="116">
        <v>0</v>
      </c>
      <c r="H24" s="13"/>
      <c r="I24" s="13"/>
      <c r="J24" s="76"/>
      <c r="K24" s="196">
        <f>IF(Macrogegevens!$C$18="Hoog",2490,0)</f>
        <v>2490</v>
      </c>
      <c r="L24" s="245"/>
      <c r="M24" s="245"/>
      <c r="N24" s="252"/>
      <c r="O24" s="77"/>
      <c r="P24" s="77"/>
      <c r="Q24" s="77"/>
      <c r="R24" s="77"/>
      <c r="S24" s="77"/>
      <c r="X24" s="77"/>
      <c r="Y24" s="77"/>
      <c r="Z24" s="77"/>
      <c r="AA24" s="21"/>
      <c r="AB24" s="15"/>
    </row>
    <row r="25" spans="1:32" x14ac:dyDescent="0.25">
      <c r="A25" s="40">
        <v>20</v>
      </c>
      <c r="B25" s="40" t="s">
        <v>928</v>
      </c>
      <c r="C25" s="106">
        <f>IF($C$20="Handmatig",E25,20%)</f>
        <v>0.2</v>
      </c>
      <c r="D25" s="41"/>
      <c r="E25" s="116">
        <v>0</v>
      </c>
      <c r="H25" s="13"/>
      <c r="I25" s="13"/>
      <c r="J25" s="76"/>
      <c r="K25" s="244">
        <f>SUM(20.001%,-G25)</f>
        <v>0.20001000000000002</v>
      </c>
      <c r="L25" s="244"/>
      <c r="M25" s="244"/>
      <c r="N25" s="246"/>
      <c r="O25" s="77"/>
      <c r="P25" s="77"/>
      <c r="Q25" s="77"/>
      <c r="R25" s="77"/>
      <c r="S25" s="77"/>
      <c r="X25" s="77"/>
      <c r="Y25" s="77"/>
      <c r="Z25" s="77"/>
      <c r="AA25" s="21"/>
      <c r="AB25" s="15"/>
    </row>
    <row r="26" spans="1:32" x14ac:dyDescent="0.25">
      <c r="A26" s="40">
        <v>21</v>
      </c>
      <c r="B26" s="40" t="s">
        <v>927</v>
      </c>
      <c r="C26" s="106">
        <f>IF($C$20="Handmatig",E26,20%)</f>
        <v>0.2</v>
      </c>
      <c r="D26" s="41"/>
      <c r="E26" s="116">
        <v>0</v>
      </c>
      <c r="H26" s="13"/>
      <c r="I26" s="13"/>
      <c r="J26" s="76"/>
      <c r="K26" s="249">
        <f>SUM($G$38,-20%)</f>
        <v>-0.2</v>
      </c>
      <c r="L26" s="249"/>
      <c r="M26" s="249"/>
      <c r="N26" s="248"/>
      <c r="O26" s="77"/>
      <c r="P26" s="77"/>
      <c r="Q26" s="77"/>
      <c r="R26" s="77"/>
      <c r="S26" s="77"/>
      <c r="X26" s="77"/>
      <c r="Y26" s="77"/>
      <c r="Z26" s="77"/>
      <c r="AA26" s="21"/>
      <c r="AB26" s="203"/>
      <c r="AC26" s="202"/>
      <c r="AD26" s="99"/>
      <c r="AE26" s="99"/>
      <c r="AF26" s="99"/>
    </row>
    <row r="27" spans="1:32" x14ac:dyDescent="0.25">
      <c r="A27" s="40">
        <v>22</v>
      </c>
      <c r="B27" s="40" t="s">
        <v>926</v>
      </c>
      <c r="C27" s="106">
        <f>IF($C$20="Handmatig",E27,12%)</f>
        <v>0.12</v>
      </c>
      <c r="D27" s="42"/>
      <c r="E27" s="116">
        <v>0</v>
      </c>
      <c r="H27" s="13"/>
      <c r="I27" s="13"/>
      <c r="J27" s="76"/>
      <c r="K27" s="247">
        <f>IF(SUM(N29,N31,N38)&gt;0,1,0)</f>
        <v>0</v>
      </c>
      <c r="L27" s="247"/>
      <c r="M27" s="247"/>
      <c r="N27" s="248"/>
      <c r="O27" s="77"/>
      <c r="P27" s="77"/>
      <c r="Q27" s="77"/>
      <c r="R27" s="77"/>
      <c r="S27" s="77"/>
      <c r="X27" s="77"/>
      <c r="Y27" s="77"/>
      <c r="Z27" s="77"/>
      <c r="AA27" s="21"/>
      <c r="AB27" s="203"/>
      <c r="AC27" s="202"/>
      <c r="AD27" s="99"/>
      <c r="AE27" s="99"/>
      <c r="AF27" s="99"/>
    </row>
    <row r="28" spans="1:32" x14ac:dyDescent="0.25">
      <c r="A28" s="40">
        <v>23</v>
      </c>
      <c r="B28" s="40" t="s">
        <v>925</v>
      </c>
      <c r="C28" s="106">
        <f>IF($C$20="Handmatig",E28,12%)</f>
        <v>0.12</v>
      </c>
      <c r="D28" s="42"/>
      <c r="E28" s="116">
        <v>0</v>
      </c>
      <c r="H28" s="13"/>
      <c r="I28" s="13"/>
      <c r="J28" s="76"/>
      <c r="K28" s="249">
        <f>SUM(100%,-$G$28)</f>
        <v>1</v>
      </c>
      <c r="L28" s="249"/>
      <c r="M28" s="249"/>
      <c r="N28" s="246"/>
      <c r="O28" s="77"/>
      <c r="P28" s="77"/>
      <c r="Q28" s="77"/>
      <c r="R28" s="77"/>
      <c r="S28" s="77"/>
      <c r="X28" s="77"/>
      <c r="Y28" s="77"/>
      <c r="Z28" s="77"/>
      <c r="AA28" s="21"/>
      <c r="AB28" s="203"/>
      <c r="AC28" s="202"/>
      <c r="AD28" s="99"/>
      <c r="AE28" s="99"/>
      <c r="AF28" s="99"/>
    </row>
    <row r="29" spans="1:32" x14ac:dyDescent="0.25">
      <c r="A29" s="40">
        <v>24</v>
      </c>
      <c r="B29" s="40" t="s">
        <v>466</v>
      </c>
      <c r="C29" s="161"/>
      <c r="D29" s="42"/>
      <c r="E29" s="112"/>
      <c r="H29" s="13"/>
      <c r="I29" s="13"/>
      <c r="J29" s="76"/>
      <c r="K29" s="249">
        <f>SUM(130%,-$G$28)</f>
        <v>1.3</v>
      </c>
      <c r="L29" s="249"/>
      <c r="M29" s="249"/>
      <c r="N29" s="246"/>
      <c r="O29" s="77"/>
      <c r="P29" s="77"/>
      <c r="Q29" s="77"/>
      <c r="R29" s="77"/>
      <c r="S29" s="77"/>
      <c r="X29" s="77"/>
      <c r="Y29" s="77"/>
      <c r="Z29" s="77"/>
      <c r="AA29" s="78"/>
      <c r="AB29" s="141"/>
      <c r="AC29" s="202"/>
      <c r="AD29" s="99"/>
      <c r="AE29" s="99"/>
      <c r="AF29" s="99"/>
    </row>
    <row r="30" spans="1:32" x14ac:dyDescent="0.25">
      <c r="A30" s="40">
        <v>25</v>
      </c>
      <c r="B30" s="40" t="s">
        <v>921</v>
      </c>
      <c r="C30" s="44">
        <f>IF($C$20="Handmatig",E30,1%)</f>
        <v>0.01</v>
      </c>
      <c r="D30" s="42"/>
      <c r="E30" s="43">
        <v>0</v>
      </c>
      <c r="H30" s="13"/>
      <c r="I30" s="13"/>
      <c r="J30" s="76"/>
      <c r="K30" s="249">
        <f>SUM(90%,-0.12*$G$29,0.7*$G$30,-$G$28)</f>
        <v>0.9</v>
      </c>
      <c r="L30" s="249"/>
      <c r="M30" s="249"/>
      <c r="N30" s="246"/>
      <c r="O30" s="77"/>
      <c r="P30" s="77"/>
      <c r="Q30" s="77"/>
      <c r="R30" s="77"/>
      <c r="S30" s="77"/>
      <c r="X30" s="77"/>
      <c r="Y30" s="77"/>
      <c r="Z30" s="77"/>
      <c r="AA30" s="78"/>
      <c r="AB30" s="141"/>
      <c r="AC30" s="202"/>
      <c r="AD30" s="99"/>
      <c r="AE30" s="99"/>
      <c r="AF30" s="99"/>
    </row>
    <row r="31" spans="1:32" x14ac:dyDescent="0.25">
      <c r="A31" s="40">
        <v>26</v>
      </c>
      <c r="B31" s="40" t="s">
        <v>922</v>
      </c>
      <c r="C31" s="44">
        <f>IF($C$20="Handmatig",E31,2%)</f>
        <v>0.02</v>
      </c>
      <c r="D31" s="42"/>
      <c r="E31" s="43">
        <v>0</v>
      </c>
      <c r="H31" s="13"/>
      <c r="I31" s="13"/>
      <c r="J31" s="76"/>
      <c r="K31" s="249">
        <f>SUM(120%,-0.12*$G$29,0.7*$G$30,-$G$28)</f>
        <v>1.2</v>
      </c>
      <c r="L31" s="249"/>
      <c r="M31" s="249"/>
      <c r="N31" s="246"/>
      <c r="O31" s="77"/>
      <c r="P31" s="77"/>
      <c r="Q31" s="77"/>
      <c r="R31" s="77"/>
      <c r="S31" s="77"/>
      <c r="X31" s="77"/>
      <c r="Y31" s="77"/>
      <c r="Z31" s="77"/>
      <c r="AA31" s="78"/>
      <c r="AB31" s="141"/>
      <c r="AC31" s="202"/>
      <c r="AD31" s="99"/>
      <c r="AE31" s="99"/>
      <c r="AF31" s="99"/>
    </row>
    <row r="32" spans="1:32" x14ac:dyDescent="0.25">
      <c r="A32" s="40">
        <v>27</v>
      </c>
      <c r="B32" s="40" t="s">
        <v>933</v>
      </c>
      <c r="C32" s="44">
        <f>IF($C$20="Handmatig",E32,3%)</f>
        <v>0.03</v>
      </c>
      <c r="D32" s="42"/>
      <c r="E32" s="43">
        <v>0</v>
      </c>
      <c r="H32" s="13"/>
      <c r="I32" s="13"/>
      <c r="J32" s="76"/>
      <c r="K32" s="197">
        <f>IF(K33&lt;0,1,0)</f>
        <v>0</v>
      </c>
      <c r="L32" s="197"/>
      <c r="M32" s="197"/>
      <c r="N32" s="246"/>
      <c r="O32" s="77"/>
      <c r="P32" s="77"/>
      <c r="Q32" s="77"/>
      <c r="R32" s="77"/>
      <c r="S32" s="77"/>
      <c r="X32" s="77"/>
      <c r="Y32" s="77"/>
      <c r="Z32" s="77"/>
      <c r="AA32" s="78"/>
      <c r="AB32" s="141"/>
      <c r="AC32" s="202"/>
      <c r="AD32" s="99"/>
      <c r="AE32" s="99"/>
      <c r="AF32" s="99"/>
    </row>
    <row r="33" spans="1:32" x14ac:dyDescent="0.25">
      <c r="A33" s="40">
        <v>28</v>
      </c>
      <c r="B33" s="40" t="s">
        <v>446</v>
      </c>
      <c r="C33" s="45">
        <f>'Inkomsten &amp; uitgaven'!M13</f>
        <v>-25331925</v>
      </c>
      <c r="D33" s="42"/>
      <c r="E33" s="44"/>
      <c r="H33" s="13"/>
      <c r="I33" s="13"/>
      <c r="J33" s="76"/>
      <c r="K33" s="250">
        <f>G33</f>
        <v>0</v>
      </c>
      <c r="L33" s="250"/>
      <c r="M33" s="250"/>
      <c r="N33" s="246"/>
      <c r="O33" s="77"/>
      <c r="P33" s="77"/>
      <c r="Q33" s="77"/>
      <c r="R33" s="77"/>
      <c r="S33" s="77"/>
      <c r="X33" s="77"/>
      <c r="Y33" s="77"/>
      <c r="Z33" s="77"/>
      <c r="AA33" s="78"/>
      <c r="AB33" s="141"/>
      <c r="AC33" s="202"/>
      <c r="AD33" s="99"/>
      <c r="AE33" s="99"/>
      <c r="AF33" s="99"/>
    </row>
    <row r="34" spans="1:32" x14ac:dyDescent="0.25">
      <c r="A34" s="40">
        <v>29</v>
      </c>
      <c r="B34" s="40" t="s">
        <v>579</v>
      </c>
      <c r="C34" s="45">
        <f>'Inkomsten &amp; uitgaven'!M14</f>
        <v>616214768.25358021</v>
      </c>
      <c r="D34" s="42"/>
      <c r="E34" s="44"/>
      <c r="H34" s="13"/>
      <c r="I34" s="13"/>
      <c r="J34" s="76"/>
      <c r="K34" s="245"/>
      <c r="L34" s="245"/>
      <c r="M34" s="251"/>
      <c r="N34" s="246"/>
      <c r="O34" s="77"/>
      <c r="P34" s="77"/>
      <c r="Q34" s="77"/>
      <c r="R34" s="77"/>
      <c r="S34" s="77"/>
      <c r="X34" s="77"/>
      <c r="Y34" s="77"/>
      <c r="Z34" s="77"/>
      <c r="AA34" s="78"/>
      <c r="AB34" s="141"/>
      <c r="AC34" s="202"/>
      <c r="AD34" s="99"/>
      <c r="AE34" s="99"/>
      <c r="AF34" s="99"/>
    </row>
    <row r="35" spans="1:32" x14ac:dyDescent="0.25">
      <c r="A35" s="40">
        <v>30</v>
      </c>
      <c r="B35" s="40" t="s">
        <v>923</v>
      </c>
      <c r="C35" s="295">
        <f>VLOOKUP(A2,Inkomsten!B2:W347,22,0)</f>
        <v>2.6700000000000002E-2</v>
      </c>
      <c r="D35" s="150">
        <f>C35*SUM(C33,C34)</f>
        <v>15776571.914870592</v>
      </c>
      <c r="E35" s="112"/>
      <c r="H35" s="13"/>
      <c r="I35" s="13"/>
      <c r="J35" s="76"/>
      <c r="K35" s="251">
        <f>G35</f>
        <v>0</v>
      </c>
      <c r="L35" s="251"/>
      <c r="M35" s="251"/>
      <c r="N35" s="246"/>
      <c r="O35" s="77"/>
      <c r="P35" s="77"/>
      <c r="Q35" s="77"/>
      <c r="R35" s="77"/>
      <c r="S35" s="77"/>
      <c r="X35" s="77"/>
      <c r="Y35" s="77"/>
      <c r="Z35" s="77"/>
      <c r="AA35" s="78"/>
      <c r="AB35" s="141"/>
      <c r="AC35" s="202"/>
      <c r="AD35" s="99"/>
      <c r="AE35" s="99"/>
      <c r="AF35" s="99"/>
    </row>
    <row r="36" spans="1:32" x14ac:dyDescent="0.25">
      <c r="A36" s="40">
        <v>31</v>
      </c>
      <c r="B36" s="40" t="s">
        <v>580</v>
      </c>
      <c r="C36" s="83">
        <v>1</v>
      </c>
      <c r="D36" s="150">
        <f>D35*C36*5</f>
        <v>78882859.574352965</v>
      </c>
      <c r="E36" s="112"/>
      <c r="H36" s="13"/>
      <c r="I36" s="13"/>
      <c r="J36" s="76"/>
      <c r="K36" s="197">
        <f>IF($H$37&lt;1%,1,0)</f>
        <v>1</v>
      </c>
      <c r="L36" s="197"/>
      <c r="M36" s="248"/>
      <c r="N36" s="248"/>
      <c r="O36" s="77"/>
      <c r="P36" s="77"/>
      <c r="Q36" s="77"/>
      <c r="R36" s="77"/>
      <c r="S36" s="77"/>
      <c r="X36" s="77"/>
      <c r="Y36" s="77"/>
      <c r="Z36" s="77"/>
      <c r="AA36" s="78"/>
      <c r="AB36" s="141"/>
      <c r="AC36" s="202"/>
      <c r="AD36" s="99"/>
      <c r="AE36" s="99"/>
      <c r="AF36" s="99"/>
    </row>
    <row r="37" spans="1:32" x14ac:dyDescent="0.25">
      <c r="A37" s="40">
        <v>32</v>
      </c>
      <c r="B37" s="40" t="s">
        <v>924</v>
      </c>
      <c r="C37" s="270">
        <f>E37</f>
        <v>0</v>
      </c>
      <c r="D37" s="117"/>
      <c r="E37" s="269">
        <v>0</v>
      </c>
      <c r="H37" s="13"/>
      <c r="I37" s="13"/>
      <c r="J37" s="76"/>
      <c r="K37" s="197">
        <f>IF($H$37&lt;0%,1,0)</f>
        <v>0</v>
      </c>
      <c r="L37" s="197"/>
      <c r="M37" s="197"/>
      <c r="N37" s="248"/>
      <c r="O37" s="77"/>
      <c r="P37" s="77"/>
      <c r="Q37" s="77"/>
      <c r="R37" s="77"/>
      <c r="S37" s="77"/>
      <c r="X37" s="77"/>
      <c r="Y37" s="77"/>
      <c r="Z37" s="77"/>
      <c r="AA37" s="78"/>
      <c r="AB37" s="141"/>
      <c r="AC37" s="202"/>
      <c r="AD37" s="99"/>
      <c r="AE37" s="99"/>
      <c r="AF37" s="99"/>
    </row>
    <row r="38" spans="1:32" x14ac:dyDescent="0.25">
      <c r="A38" s="5"/>
      <c r="H38" s="13"/>
      <c r="I38" s="13"/>
      <c r="J38" s="76"/>
      <c r="K38" s="249">
        <f>G38</f>
        <v>0</v>
      </c>
      <c r="L38" s="249"/>
      <c r="M38" s="249"/>
      <c r="N38" s="248"/>
      <c r="O38" s="77"/>
      <c r="P38" s="77"/>
      <c r="Q38" s="77"/>
      <c r="R38" s="77"/>
      <c r="S38" s="77"/>
      <c r="X38" s="77"/>
      <c r="Y38" s="77"/>
      <c r="Z38" s="77"/>
      <c r="AA38" s="78"/>
      <c r="AB38" s="141"/>
      <c r="AC38" s="202"/>
      <c r="AD38" s="99"/>
      <c r="AE38" s="99"/>
      <c r="AF38" s="99"/>
    </row>
    <row r="39" spans="1:32" x14ac:dyDescent="0.25">
      <c r="A39" s="5"/>
      <c r="H39" s="13"/>
      <c r="I39" s="13"/>
      <c r="J39" s="76"/>
      <c r="K39" s="190">
        <f>IF(Macrogegevens!$C$18="Hoog",1809,0)</f>
        <v>1809</v>
      </c>
      <c r="L39" s="190"/>
      <c r="M39" s="190"/>
      <c r="N39" s="246"/>
      <c r="O39" s="77"/>
      <c r="P39" s="77"/>
      <c r="Q39" s="77"/>
      <c r="R39" s="77"/>
      <c r="S39" s="77"/>
      <c r="X39" s="77"/>
      <c r="Y39" s="77"/>
      <c r="Z39" s="77"/>
      <c r="AA39" s="78"/>
      <c r="AB39" s="141"/>
      <c r="AC39" s="202"/>
      <c r="AD39" s="99"/>
      <c r="AE39" s="99"/>
      <c r="AF39" s="99"/>
    </row>
    <row r="40" spans="1:32" x14ac:dyDescent="0.25">
      <c r="A40" s="5"/>
      <c r="H40" s="13"/>
      <c r="I40" s="13"/>
      <c r="J40" s="76"/>
      <c r="K40" s="190">
        <f>IF(Macrogegevens!$C$18="Hoog",2549,0)</f>
        <v>2549</v>
      </c>
      <c r="L40" s="190"/>
      <c r="M40" s="190"/>
      <c r="N40" s="246"/>
      <c r="O40" s="77"/>
      <c r="P40" s="77"/>
      <c r="Q40" s="77"/>
      <c r="R40" s="77"/>
      <c r="S40" s="77"/>
      <c r="X40" s="77"/>
      <c r="Y40" s="77"/>
      <c r="Z40" s="77"/>
      <c r="AA40" s="78"/>
      <c r="AB40" s="141"/>
      <c r="AC40" s="202"/>
      <c r="AD40" s="99"/>
      <c r="AE40" s="99"/>
      <c r="AF40" s="99"/>
    </row>
    <row r="41" spans="1:32" x14ac:dyDescent="0.25">
      <c r="A41" s="5"/>
      <c r="H41" s="13"/>
      <c r="I41" s="13"/>
      <c r="J41" s="76"/>
      <c r="K41" s="245"/>
      <c r="L41" s="245"/>
      <c r="M41" s="251"/>
      <c r="N41" s="246"/>
      <c r="O41" s="77"/>
      <c r="P41" s="77"/>
      <c r="Q41" s="77"/>
      <c r="R41" s="77"/>
      <c r="S41" s="77"/>
      <c r="X41" s="77"/>
      <c r="Y41" s="77"/>
      <c r="Z41" s="77"/>
      <c r="AA41" s="78"/>
      <c r="AB41" s="141"/>
      <c r="AC41" s="202"/>
      <c r="AD41" s="99"/>
      <c r="AE41" s="99"/>
      <c r="AF41" s="99"/>
    </row>
    <row r="42" spans="1:32" x14ac:dyDescent="0.25">
      <c r="A42" s="5"/>
      <c r="H42" s="13"/>
      <c r="I42" s="13"/>
      <c r="J42" s="76"/>
      <c r="K42" s="249"/>
      <c r="L42" s="249"/>
      <c r="M42" s="251"/>
      <c r="N42" s="246"/>
      <c r="O42" s="77"/>
      <c r="P42" s="77"/>
      <c r="Q42" s="77"/>
      <c r="R42" s="77"/>
      <c r="S42" s="77"/>
      <c r="X42" s="77"/>
      <c r="Y42" s="77"/>
      <c r="Z42" s="77"/>
      <c r="AA42" s="78"/>
    </row>
    <row r="43" spans="1:32" x14ac:dyDescent="0.25">
      <c r="A43" s="5"/>
      <c r="B43" s="5"/>
      <c r="H43" s="13"/>
      <c r="I43" s="13"/>
      <c r="J43" s="76"/>
      <c r="K43" s="76"/>
      <c r="L43" s="76"/>
      <c r="M43" s="76"/>
      <c r="N43" s="76"/>
      <c r="O43" s="77"/>
      <c r="P43" s="77"/>
      <c r="Q43" s="77"/>
      <c r="R43" s="77"/>
      <c r="S43" s="77"/>
      <c r="V43" s="205"/>
      <c r="W43" s="205"/>
      <c r="X43" s="205"/>
      <c r="Y43" s="80"/>
      <c r="Z43" s="77"/>
      <c r="AA43" s="78"/>
    </row>
    <row r="44" spans="1:32" x14ac:dyDescent="0.25">
      <c r="J44" s="76"/>
      <c r="K44" s="76"/>
      <c r="L44" s="77"/>
      <c r="M44" s="77"/>
      <c r="N44" s="76"/>
      <c r="O44" s="77"/>
      <c r="P44" s="77"/>
      <c r="Q44" s="77"/>
      <c r="R44" s="77"/>
      <c r="S44" s="77"/>
      <c r="V44" s="205"/>
      <c r="W44" s="205"/>
      <c r="X44" s="205"/>
      <c r="Y44" s="77"/>
      <c r="Z44" s="77"/>
      <c r="AA44" s="78"/>
    </row>
    <row r="45" spans="1:32" ht="13" x14ac:dyDescent="0.3">
      <c r="O45" s="76"/>
      <c r="P45" s="76"/>
      <c r="Q45" s="204"/>
      <c r="R45" s="78"/>
      <c r="S45" s="78"/>
      <c r="T45" s="78"/>
      <c r="U45" s="78"/>
      <c r="V45" s="78"/>
      <c r="W45" s="78"/>
      <c r="X45" s="78"/>
      <c r="Y45" s="78"/>
      <c r="Z45" s="78"/>
      <c r="AA45" s="78"/>
      <c r="AC45" s="177" t="s">
        <v>106</v>
      </c>
    </row>
    <row r="46" spans="1:32" x14ac:dyDescent="0.25">
      <c r="O46" s="76"/>
      <c r="P46" s="76"/>
      <c r="Q46" s="78"/>
      <c r="R46" s="78"/>
      <c r="S46" s="78"/>
      <c r="T46" s="78"/>
      <c r="U46" s="78"/>
      <c r="V46" s="78"/>
      <c r="W46" s="78"/>
      <c r="X46" s="78"/>
      <c r="Y46" s="78"/>
      <c r="Z46" s="78"/>
      <c r="AA46" s="78"/>
      <c r="AC46" s="177" t="s">
        <v>238</v>
      </c>
    </row>
    <row r="47" spans="1:32" x14ac:dyDescent="0.25">
      <c r="O47" s="76"/>
      <c r="P47" s="76"/>
      <c r="Q47" s="78"/>
      <c r="R47" s="78"/>
      <c r="S47" s="78"/>
      <c r="T47" s="78"/>
      <c r="U47" s="78"/>
      <c r="V47" s="78"/>
      <c r="W47" s="78"/>
      <c r="X47" s="78"/>
      <c r="Y47" s="78"/>
      <c r="Z47" s="78"/>
      <c r="AA47" s="78"/>
      <c r="AC47" s="177" t="s">
        <v>165</v>
      </c>
    </row>
    <row r="48" spans="1:32" x14ac:dyDescent="0.25">
      <c r="O48" s="76"/>
      <c r="P48" s="76"/>
      <c r="Q48" s="78"/>
      <c r="R48" s="78"/>
      <c r="S48" s="78"/>
      <c r="T48" s="78"/>
      <c r="U48" s="78"/>
      <c r="V48" s="78"/>
      <c r="W48" s="78"/>
      <c r="X48" s="78"/>
      <c r="Y48" s="78"/>
      <c r="Z48" s="78"/>
      <c r="AA48" s="78"/>
      <c r="AC48" s="177" t="s">
        <v>127</v>
      </c>
    </row>
    <row r="49" spans="7:29" x14ac:dyDescent="0.25">
      <c r="O49" s="76"/>
      <c r="P49" s="76"/>
      <c r="Q49" s="78"/>
      <c r="R49" s="78"/>
      <c r="S49" s="78"/>
      <c r="T49" s="78"/>
      <c r="U49" s="78"/>
      <c r="V49" s="78"/>
      <c r="W49" s="78"/>
      <c r="X49" s="78"/>
      <c r="Y49" s="260"/>
      <c r="Z49" s="262"/>
      <c r="AA49" s="78"/>
      <c r="AC49" s="177" t="s">
        <v>283</v>
      </c>
    </row>
    <row r="50" spans="7:29" x14ac:dyDescent="0.25">
      <c r="O50" s="76"/>
      <c r="P50" s="76"/>
      <c r="Q50" s="77"/>
      <c r="R50" s="77"/>
      <c r="S50" s="77"/>
      <c r="X50" s="77"/>
      <c r="Y50" s="261"/>
      <c r="Z50" s="77"/>
      <c r="AA50" s="261"/>
      <c r="AC50" s="177" t="s">
        <v>284</v>
      </c>
    </row>
    <row r="51" spans="7:29" x14ac:dyDescent="0.25">
      <c r="O51" s="76"/>
      <c r="P51" s="76"/>
      <c r="Q51" s="77"/>
      <c r="R51" s="77"/>
      <c r="S51" s="77"/>
      <c r="X51" s="77"/>
      <c r="Y51" s="77"/>
      <c r="Z51" s="77"/>
      <c r="AA51" s="78"/>
      <c r="AC51" s="177" t="s">
        <v>239</v>
      </c>
    </row>
    <row r="52" spans="7:29" x14ac:dyDescent="0.25">
      <c r="O52" s="76"/>
      <c r="P52" s="76"/>
      <c r="Q52" s="77"/>
      <c r="R52" s="77"/>
      <c r="S52" s="77"/>
      <c r="X52" s="77"/>
      <c r="Y52" s="77"/>
      <c r="Z52" s="77"/>
      <c r="AA52" s="78"/>
      <c r="AC52" s="177" t="s">
        <v>141</v>
      </c>
    </row>
    <row r="53" spans="7:29" x14ac:dyDescent="0.25">
      <c r="O53" s="76"/>
      <c r="P53" s="76"/>
      <c r="Q53" s="77"/>
      <c r="R53" s="77"/>
      <c r="S53" s="77"/>
      <c r="X53" s="77"/>
      <c r="Y53" s="77"/>
      <c r="Z53" s="77"/>
      <c r="AA53" s="78"/>
      <c r="AC53" s="177" t="s">
        <v>429</v>
      </c>
    </row>
    <row r="54" spans="7:29" x14ac:dyDescent="0.25">
      <c r="O54" s="76"/>
      <c r="P54" s="76"/>
      <c r="Q54" s="77"/>
      <c r="R54" s="77"/>
      <c r="S54" s="77"/>
      <c r="X54" s="77"/>
      <c r="Y54" s="77"/>
      <c r="Z54" s="77"/>
      <c r="AA54" s="78"/>
      <c r="AC54" s="177" t="s">
        <v>285</v>
      </c>
    </row>
    <row r="55" spans="7:29" x14ac:dyDescent="0.25">
      <c r="O55" s="76"/>
      <c r="P55" s="76"/>
      <c r="Q55" s="77"/>
      <c r="R55" s="77"/>
      <c r="S55" s="77"/>
      <c r="X55" s="77"/>
      <c r="Y55" s="77"/>
      <c r="Z55" s="77"/>
      <c r="AA55" s="78"/>
      <c r="AC55" s="177" t="s">
        <v>343</v>
      </c>
    </row>
    <row r="56" spans="7:29" x14ac:dyDescent="0.25">
      <c r="O56" s="76"/>
      <c r="P56" s="76"/>
      <c r="Q56" s="77"/>
      <c r="R56" s="77"/>
      <c r="S56" s="77"/>
      <c r="X56" s="77"/>
      <c r="Y56" s="77"/>
      <c r="Z56" s="77"/>
      <c r="AA56" s="78"/>
      <c r="AC56" s="177" t="s">
        <v>598</v>
      </c>
    </row>
    <row r="57" spans="7:29" x14ac:dyDescent="0.25">
      <c r="G57" s="3"/>
      <c r="J57" s="3"/>
      <c r="K57" s="3"/>
      <c r="N57" s="3"/>
      <c r="O57" s="77"/>
      <c r="P57" s="77"/>
      <c r="Q57" s="77"/>
      <c r="R57" s="77"/>
      <c r="S57" s="77"/>
      <c r="X57" s="77"/>
      <c r="Y57" s="77"/>
      <c r="Z57" s="77"/>
      <c r="AA57" s="78"/>
      <c r="AC57" s="177" t="s">
        <v>128</v>
      </c>
    </row>
    <row r="58" spans="7:29" x14ac:dyDescent="0.25">
      <c r="G58" s="3"/>
      <c r="J58" s="3"/>
      <c r="K58" s="3"/>
      <c r="N58" s="3"/>
      <c r="O58" s="77"/>
      <c r="P58" s="77"/>
      <c r="Q58" s="77"/>
      <c r="R58" s="77"/>
      <c r="S58" s="77"/>
      <c r="X58" s="77"/>
      <c r="Y58" s="77"/>
      <c r="Z58" s="77"/>
      <c r="AA58" s="78"/>
      <c r="AC58" s="177" t="s">
        <v>214</v>
      </c>
    </row>
    <row r="59" spans="7:29" x14ac:dyDescent="0.25">
      <c r="G59" s="3"/>
      <c r="J59" s="3"/>
      <c r="K59" s="3"/>
      <c r="N59" s="3"/>
      <c r="O59" s="77"/>
      <c r="P59" s="77"/>
      <c r="Q59" s="77"/>
      <c r="R59" s="77"/>
      <c r="S59" s="77"/>
      <c r="X59" s="77"/>
      <c r="Y59" s="77"/>
      <c r="Z59" s="77"/>
      <c r="AA59" s="78"/>
      <c r="AC59" s="177" t="s">
        <v>240</v>
      </c>
    </row>
    <row r="60" spans="7:29" x14ac:dyDescent="0.25">
      <c r="G60" s="3"/>
      <c r="J60" s="3"/>
      <c r="K60" s="3"/>
      <c r="N60" s="3"/>
      <c r="O60" s="77"/>
      <c r="P60" s="77"/>
      <c r="Q60" s="77"/>
      <c r="R60" s="77"/>
      <c r="S60" s="77"/>
      <c r="X60" s="77"/>
      <c r="Y60" s="77"/>
      <c r="Z60" s="77"/>
      <c r="AA60" s="78"/>
      <c r="AC60" s="177" t="s">
        <v>241</v>
      </c>
    </row>
    <row r="61" spans="7:29" x14ac:dyDescent="0.25">
      <c r="G61" s="3"/>
      <c r="J61" s="3"/>
      <c r="K61" s="3"/>
      <c r="N61" s="3"/>
      <c r="O61" s="77"/>
      <c r="P61" s="77"/>
      <c r="Q61" s="77"/>
      <c r="R61" s="77"/>
      <c r="S61" s="77"/>
      <c r="X61" s="77"/>
      <c r="Y61" s="77"/>
      <c r="Z61" s="77"/>
      <c r="AA61" s="78"/>
      <c r="AC61" s="177" t="s">
        <v>166</v>
      </c>
    </row>
    <row r="62" spans="7:29" x14ac:dyDescent="0.25">
      <c r="G62" s="3"/>
      <c r="J62" s="3"/>
      <c r="K62" s="3"/>
      <c r="N62" s="3"/>
      <c r="O62" s="77"/>
      <c r="P62" s="77"/>
      <c r="Q62" s="77"/>
      <c r="R62" s="77"/>
      <c r="S62" s="77"/>
      <c r="X62" s="77"/>
      <c r="Y62" s="77"/>
      <c r="Z62" s="77"/>
      <c r="AA62" s="78"/>
      <c r="AC62" s="177" t="s">
        <v>119</v>
      </c>
    </row>
    <row r="63" spans="7:29" x14ac:dyDescent="0.25">
      <c r="G63" s="3"/>
      <c r="J63" s="3"/>
      <c r="K63" s="3"/>
      <c r="N63" s="3"/>
      <c r="O63" s="77"/>
      <c r="P63" s="77"/>
      <c r="Q63" s="77"/>
      <c r="R63" s="77"/>
      <c r="S63" s="77"/>
      <c r="X63" s="77"/>
      <c r="Y63" s="77"/>
      <c r="Z63" s="77"/>
      <c r="AA63" s="78"/>
      <c r="AC63" s="177" t="s">
        <v>167</v>
      </c>
    </row>
    <row r="64" spans="7:29" x14ac:dyDescent="0.25">
      <c r="G64" s="3"/>
      <c r="J64" s="3"/>
      <c r="K64" s="3"/>
      <c r="N64" s="3"/>
      <c r="O64" s="77"/>
      <c r="P64" s="77"/>
      <c r="Q64" s="77"/>
      <c r="R64" s="77"/>
      <c r="S64" s="77"/>
      <c r="X64" s="77"/>
      <c r="Y64" s="77"/>
      <c r="Z64" s="77"/>
      <c r="AA64" s="78"/>
      <c r="AC64" s="177" t="s">
        <v>107</v>
      </c>
    </row>
    <row r="65" spans="7:29" x14ac:dyDescent="0.25">
      <c r="G65" s="3"/>
      <c r="J65" s="3"/>
      <c r="K65" s="3"/>
      <c r="N65" s="3"/>
      <c r="O65" s="77"/>
      <c r="P65" s="77"/>
      <c r="Q65" s="77"/>
      <c r="R65" s="77"/>
      <c r="S65" s="77"/>
      <c r="X65" s="77"/>
      <c r="Y65" s="77"/>
      <c r="Z65" s="77"/>
      <c r="AA65" s="78"/>
      <c r="AC65" s="177" t="s">
        <v>344</v>
      </c>
    </row>
    <row r="66" spans="7:29" x14ac:dyDescent="0.25">
      <c r="G66" s="3"/>
      <c r="J66" s="3"/>
      <c r="K66" s="3"/>
      <c r="N66" s="3"/>
      <c r="O66" s="77"/>
      <c r="P66" s="77"/>
      <c r="Q66" s="77"/>
      <c r="R66" s="77"/>
      <c r="S66" s="77"/>
      <c r="X66" s="77"/>
      <c r="Y66" s="77"/>
      <c r="Z66" s="77"/>
      <c r="AA66" s="78"/>
      <c r="AC66" s="177" t="s">
        <v>345</v>
      </c>
    </row>
    <row r="67" spans="7:29" x14ac:dyDescent="0.25">
      <c r="G67" s="3"/>
      <c r="J67" s="3"/>
      <c r="K67" s="3"/>
      <c r="N67" s="3"/>
      <c r="O67" s="77"/>
      <c r="P67" s="77"/>
      <c r="Q67" s="77"/>
      <c r="R67" s="77"/>
      <c r="S67" s="77"/>
      <c r="X67" s="77"/>
      <c r="Y67" s="77"/>
      <c r="Z67" s="77"/>
      <c r="AA67" s="78"/>
      <c r="AC67" s="177" t="s">
        <v>215</v>
      </c>
    </row>
    <row r="68" spans="7:29" x14ac:dyDescent="0.25">
      <c r="G68" s="3"/>
      <c r="J68" s="3"/>
      <c r="K68" s="3"/>
      <c r="N68" s="3"/>
      <c r="O68" s="77"/>
      <c r="P68" s="77"/>
      <c r="Q68" s="77"/>
      <c r="R68" s="77"/>
      <c r="S68" s="77"/>
      <c r="X68" s="77"/>
      <c r="Y68" s="77"/>
      <c r="Z68" s="77"/>
      <c r="AA68" s="78"/>
      <c r="AC68" s="177" t="s">
        <v>286</v>
      </c>
    </row>
    <row r="69" spans="7:29" x14ac:dyDescent="0.25">
      <c r="G69" s="3"/>
      <c r="J69" s="3"/>
      <c r="K69" s="3"/>
      <c r="N69" s="3"/>
      <c r="O69" s="77"/>
      <c r="P69" s="77"/>
      <c r="Q69" s="77"/>
      <c r="R69" s="77"/>
      <c r="S69" s="77"/>
      <c r="X69" s="77"/>
      <c r="Y69" s="77"/>
      <c r="Z69" s="77"/>
      <c r="AA69" s="78"/>
      <c r="AC69" s="177" t="s">
        <v>168</v>
      </c>
    </row>
    <row r="70" spans="7:29" x14ac:dyDescent="0.25">
      <c r="G70" s="3"/>
      <c r="J70" s="3"/>
      <c r="K70" s="3"/>
      <c r="N70" s="3"/>
      <c r="O70" s="77"/>
      <c r="P70" s="77"/>
      <c r="Q70" s="77"/>
      <c r="R70" s="77"/>
      <c r="S70" s="77"/>
      <c r="X70" s="77"/>
      <c r="Y70" s="77"/>
      <c r="Z70" s="77"/>
      <c r="AA70" s="78"/>
      <c r="AC70" s="177" t="s">
        <v>400</v>
      </c>
    </row>
    <row r="71" spans="7:29" x14ac:dyDescent="0.25">
      <c r="G71" s="3"/>
      <c r="J71" s="3"/>
      <c r="K71" s="3"/>
      <c r="N71" s="3"/>
      <c r="O71" s="77"/>
      <c r="P71" s="77"/>
      <c r="Q71" s="77"/>
      <c r="R71" s="77"/>
      <c r="S71" s="77"/>
      <c r="X71" s="77"/>
      <c r="Y71" s="77"/>
      <c r="Z71" s="77"/>
      <c r="AA71" s="78"/>
      <c r="AC71" s="177" t="s">
        <v>599</v>
      </c>
    </row>
    <row r="72" spans="7:29" x14ac:dyDescent="0.25">
      <c r="G72" s="3"/>
      <c r="J72" s="3"/>
      <c r="K72" s="3"/>
      <c r="N72" s="3"/>
      <c r="O72" s="77"/>
      <c r="P72" s="77"/>
      <c r="Q72" s="77"/>
      <c r="R72" s="77"/>
      <c r="S72" s="77"/>
      <c r="X72" s="77"/>
      <c r="Y72" s="77"/>
      <c r="Z72" s="77"/>
      <c r="AA72" s="78"/>
      <c r="AC72" s="177" t="s">
        <v>242</v>
      </c>
    </row>
    <row r="73" spans="7:29" x14ac:dyDescent="0.25">
      <c r="G73" s="3"/>
      <c r="J73" s="3"/>
      <c r="K73" s="3"/>
      <c r="N73" s="3"/>
      <c r="O73" s="77"/>
      <c r="P73" s="77"/>
      <c r="Q73" s="77"/>
      <c r="R73" s="77"/>
      <c r="S73" s="77"/>
      <c r="X73" s="77"/>
      <c r="Y73" s="77"/>
      <c r="Z73" s="77"/>
      <c r="AA73" s="78"/>
      <c r="AC73" s="177" t="s">
        <v>401</v>
      </c>
    </row>
    <row r="74" spans="7:29" x14ac:dyDescent="0.25">
      <c r="G74" s="3"/>
      <c r="J74" s="3"/>
      <c r="K74" s="3"/>
      <c r="N74" s="3"/>
      <c r="O74" s="77"/>
      <c r="P74" s="77"/>
      <c r="Q74" s="77"/>
      <c r="R74" s="77"/>
      <c r="S74" s="77"/>
      <c r="X74" s="77"/>
      <c r="Y74" s="77"/>
      <c r="Z74" s="77"/>
      <c r="AA74" s="78"/>
      <c r="AC74" s="177" t="s">
        <v>527</v>
      </c>
    </row>
    <row r="75" spans="7:29" x14ac:dyDescent="0.25">
      <c r="G75" s="3"/>
      <c r="J75" s="3"/>
      <c r="K75" s="3"/>
      <c r="N75" s="3"/>
      <c r="O75" s="77"/>
      <c r="P75" s="77"/>
      <c r="Q75" s="77"/>
      <c r="R75" s="77"/>
      <c r="S75" s="77"/>
      <c r="X75" s="77"/>
      <c r="Y75" s="77"/>
      <c r="Z75" s="77"/>
      <c r="AA75" s="78"/>
      <c r="AC75" s="177" t="s">
        <v>346</v>
      </c>
    </row>
    <row r="76" spans="7:29" x14ac:dyDescent="0.25">
      <c r="G76" s="3"/>
      <c r="J76" s="3"/>
      <c r="K76" s="3"/>
      <c r="N76" s="3"/>
      <c r="O76" s="77"/>
      <c r="P76" s="77"/>
      <c r="Q76" s="77"/>
      <c r="R76" s="77"/>
      <c r="S76" s="77"/>
      <c r="X76" s="77"/>
      <c r="Y76" s="77"/>
      <c r="Z76" s="77"/>
      <c r="AA76" s="78"/>
      <c r="AC76" s="177" t="s">
        <v>436</v>
      </c>
    </row>
    <row r="77" spans="7:29" x14ac:dyDescent="0.25">
      <c r="G77" s="3"/>
      <c r="J77" s="3"/>
      <c r="K77" s="3"/>
      <c r="N77" s="3"/>
      <c r="O77" s="77"/>
      <c r="P77" s="77"/>
      <c r="Q77" s="77"/>
      <c r="R77" s="77"/>
      <c r="S77" s="77"/>
      <c r="X77" s="77"/>
      <c r="Y77" s="77"/>
      <c r="Z77" s="77"/>
      <c r="AA77" s="78"/>
      <c r="AC77" s="177" t="s">
        <v>437</v>
      </c>
    </row>
    <row r="78" spans="7:29" x14ac:dyDescent="0.25">
      <c r="G78" s="3"/>
      <c r="J78" s="3"/>
      <c r="K78" s="3"/>
      <c r="N78" s="3"/>
      <c r="O78" s="77"/>
      <c r="P78" s="77"/>
      <c r="Q78" s="77"/>
      <c r="R78" s="77"/>
      <c r="S78" s="77"/>
      <c r="X78" s="77"/>
      <c r="Y78" s="77"/>
      <c r="Z78" s="77"/>
      <c r="AA78" s="78"/>
      <c r="AC78" s="177" t="s">
        <v>347</v>
      </c>
    </row>
    <row r="79" spans="7:29" x14ac:dyDescent="0.25">
      <c r="G79" s="3"/>
      <c r="J79" s="3"/>
      <c r="K79" s="3"/>
      <c r="N79" s="3"/>
      <c r="O79" s="77"/>
      <c r="P79" s="77"/>
      <c r="Q79" s="77"/>
      <c r="R79" s="77"/>
      <c r="S79" s="77"/>
      <c r="X79" s="77"/>
      <c r="Y79" s="77"/>
      <c r="Z79" s="77"/>
      <c r="AA79" s="78"/>
      <c r="AC79" s="177" t="s">
        <v>169</v>
      </c>
    </row>
    <row r="80" spans="7:29" x14ac:dyDescent="0.25">
      <c r="G80" s="3"/>
      <c r="J80" s="3"/>
      <c r="K80" s="3"/>
      <c r="N80" s="3"/>
      <c r="O80" s="77"/>
      <c r="P80" s="77"/>
      <c r="Q80" s="77"/>
      <c r="R80" s="77"/>
      <c r="S80" s="77"/>
      <c r="X80" s="77"/>
      <c r="Y80" s="77"/>
      <c r="Z80" s="77"/>
      <c r="AA80" s="78"/>
      <c r="AC80" s="177" t="s">
        <v>348</v>
      </c>
    </row>
    <row r="81" spans="15:29" x14ac:dyDescent="0.25">
      <c r="O81" s="76"/>
      <c r="P81" s="76"/>
      <c r="Q81" s="77"/>
      <c r="R81" s="77"/>
      <c r="S81" s="77"/>
      <c r="X81" s="77"/>
      <c r="Y81" s="77"/>
      <c r="Z81" s="77"/>
      <c r="AA81" s="78"/>
      <c r="AC81" s="177" t="s">
        <v>349</v>
      </c>
    </row>
    <row r="82" spans="15:29" x14ac:dyDescent="0.25">
      <c r="O82" s="76"/>
      <c r="P82" s="76"/>
      <c r="Q82" s="77"/>
      <c r="R82" s="77"/>
      <c r="S82" s="77"/>
      <c r="X82" s="77"/>
      <c r="Y82" s="77"/>
      <c r="Z82" s="77"/>
      <c r="AA82" s="78"/>
      <c r="AC82" s="177" t="s">
        <v>170</v>
      </c>
    </row>
    <row r="83" spans="15:29" x14ac:dyDescent="0.25">
      <c r="O83" s="76"/>
      <c r="P83" s="76"/>
      <c r="Q83" s="77"/>
      <c r="R83" s="77"/>
      <c r="S83" s="77"/>
      <c r="X83" s="77"/>
      <c r="Y83" s="77"/>
      <c r="Z83" s="77"/>
      <c r="AA83" s="78"/>
      <c r="AC83" s="177" t="s">
        <v>243</v>
      </c>
    </row>
    <row r="84" spans="15:29" x14ac:dyDescent="0.25">
      <c r="O84" s="76"/>
      <c r="P84" s="76"/>
      <c r="Q84" s="77"/>
      <c r="R84" s="77"/>
      <c r="S84" s="77"/>
      <c r="X84" s="77"/>
      <c r="Y84" s="77"/>
      <c r="Z84" s="77"/>
      <c r="AA84" s="78"/>
      <c r="AC84" s="177" t="s">
        <v>350</v>
      </c>
    </row>
    <row r="85" spans="15:29" x14ac:dyDescent="0.25">
      <c r="O85" s="76"/>
      <c r="P85" s="76"/>
      <c r="Q85" s="77"/>
      <c r="R85" s="77"/>
      <c r="S85" s="77"/>
      <c r="X85" s="77"/>
      <c r="Y85" s="77"/>
      <c r="Z85" s="77"/>
      <c r="AA85" s="78"/>
      <c r="AC85" s="177" t="s">
        <v>244</v>
      </c>
    </row>
    <row r="86" spans="15:29" x14ac:dyDescent="0.25">
      <c r="O86" s="76"/>
      <c r="P86" s="76"/>
      <c r="Q86" s="77"/>
      <c r="R86" s="77"/>
      <c r="S86" s="77"/>
      <c r="X86" s="77"/>
      <c r="Y86" s="77"/>
      <c r="Z86" s="77"/>
      <c r="AA86" s="78"/>
      <c r="AC86" s="177" t="s">
        <v>245</v>
      </c>
    </row>
    <row r="87" spans="15:29" x14ac:dyDescent="0.25">
      <c r="O87" s="76"/>
      <c r="P87" s="76"/>
      <c r="Q87" s="77"/>
      <c r="R87" s="77"/>
      <c r="S87" s="77"/>
      <c r="X87" s="77"/>
      <c r="Y87" s="77"/>
      <c r="Z87" s="77"/>
      <c r="AA87" s="78"/>
      <c r="AC87" s="177" t="s">
        <v>287</v>
      </c>
    </row>
    <row r="88" spans="15:29" x14ac:dyDescent="0.25">
      <c r="O88" s="76"/>
      <c r="P88" s="76"/>
      <c r="Q88" s="77"/>
      <c r="R88" s="77"/>
      <c r="S88" s="77"/>
      <c r="X88" s="77"/>
      <c r="Y88" s="77"/>
      <c r="Z88" s="77"/>
      <c r="AA88" s="78"/>
      <c r="AC88" s="177" t="s">
        <v>351</v>
      </c>
    </row>
    <row r="89" spans="15:29" x14ac:dyDescent="0.25">
      <c r="O89" s="76"/>
      <c r="P89" s="76"/>
      <c r="Q89" s="77"/>
      <c r="R89" s="77"/>
      <c r="S89" s="77"/>
      <c r="X89" s="77"/>
      <c r="Y89" s="77"/>
      <c r="Z89" s="77"/>
      <c r="AA89" s="78"/>
      <c r="AC89" s="177" t="s">
        <v>108</v>
      </c>
    </row>
    <row r="90" spans="15:29" x14ac:dyDescent="0.25">
      <c r="O90" s="76"/>
      <c r="P90" s="76"/>
      <c r="Q90" s="77"/>
      <c r="R90" s="77"/>
      <c r="S90" s="77"/>
      <c r="X90" s="77"/>
      <c r="Y90" s="77"/>
      <c r="Z90" s="77"/>
      <c r="AA90" s="78"/>
      <c r="AC90" s="177" t="s">
        <v>142</v>
      </c>
    </row>
    <row r="91" spans="15:29" x14ac:dyDescent="0.25">
      <c r="O91" s="76"/>
      <c r="P91" s="76"/>
      <c r="Q91" s="77"/>
      <c r="R91" s="77"/>
      <c r="S91" s="77"/>
      <c r="X91" s="77"/>
      <c r="Y91" s="77"/>
      <c r="Z91" s="77"/>
      <c r="AA91" s="78"/>
      <c r="AC91" s="177" t="s">
        <v>330</v>
      </c>
    </row>
    <row r="92" spans="15:29" x14ac:dyDescent="0.25">
      <c r="O92" s="76"/>
      <c r="P92" s="76"/>
      <c r="Q92" s="77"/>
      <c r="R92" s="77"/>
      <c r="S92" s="77"/>
      <c r="X92" s="77"/>
      <c r="Y92" s="77"/>
      <c r="Z92" s="77"/>
      <c r="AA92" s="78"/>
      <c r="AC92" s="177" t="s">
        <v>352</v>
      </c>
    </row>
    <row r="93" spans="15:29" x14ac:dyDescent="0.25">
      <c r="O93" s="76"/>
      <c r="P93" s="76"/>
      <c r="Q93" s="77"/>
      <c r="R93" s="77"/>
      <c r="S93" s="77"/>
      <c r="X93" s="77"/>
      <c r="Y93" s="77"/>
      <c r="Z93" s="77"/>
      <c r="AA93" s="78"/>
      <c r="AC93" s="177" t="s">
        <v>353</v>
      </c>
    </row>
    <row r="94" spans="15:29" x14ac:dyDescent="0.25">
      <c r="O94" s="76"/>
      <c r="P94" s="76"/>
      <c r="Q94" s="77"/>
      <c r="R94" s="77"/>
      <c r="S94" s="77"/>
      <c r="X94" s="77"/>
      <c r="Y94" s="77"/>
      <c r="Z94" s="77"/>
      <c r="AA94" s="78"/>
      <c r="AC94" s="177" t="s">
        <v>354</v>
      </c>
    </row>
    <row r="95" spans="15:29" x14ac:dyDescent="0.25">
      <c r="O95" s="76"/>
      <c r="P95" s="76"/>
      <c r="Q95" s="77"/>
      <c r="R95" s="77"/>
      <c r="S95" s="77"/>
      <c r="X95" s="77"/>
      <c r="Y95" s="77"/>
      <c r="Z95" s="77"/>
      <c r="AA95" s="78"/>
      <c r="AC95" s="177" t="s">
        <v>288</v>
      </c>
    </row>
    <row r="96" spans="15:29" x14ac:dyDescent="0.25">
      <c r="O96" s="76"/>
      <c r="P96" s="76"/>
      <c r="Q96" s="77"/>
      <c r="R96" s="77"/>
      <c r="S96" s="77"/>
      <c r="X96" s="77"/>
      <c r="Y96" s="77"/>
      <c r="Z96" s="77"/>
      <c r="AA96" s="78"/>
      <c r="AC96" s="177" t="s">
        <v>171</v>
      </c>
    </row>
    <row r="97" spans="15:29" x14ac:dyDescent="0.25">
      <c r="O97" s="76"/>
      <c r="P97" s="76"/>
      <c r="Q97" s="77"/>
      <c r="R97" s="77"/>
      <c r="S97" s="77"/>
      <c r="X97" s="77"/>
      <c r="Y97" s="77"/>
      <c r="Z97" s="77"/>
      <c r="AA97" s="78"/>
      <c r="AC97" s="177" t="s">
        <v>172</v>
      </c>
    </row>
    <row r="98" spans="15:29" x14ac:dyDescent="0.25">
      <c r="O98" s="76"/>
      <c r="P98" s="76"/>
      <c r="Q98" s="77"/>
      <c r="R98" s="77"/>
      <c r="S98" s="77"/>
      <c r="X98" s="77"/>
      <c r="Y98" s="77"/>
      <c r="Z98" s="77"/>
      <c r="AA98" s="78"/>
      <c r="AC98" s="177" t="s">
        <v>402</v>
      </c>
    </row>
    <row r="99" spans="15:29" x14ac:dyDescent="0.25">
      <c r="O99" s="76"/>
      <c r="P99" s="76"/>
      <c r="Q99" s="77"/>
      <c r="R99" s="77"/>
      <c r="S99" s="77"/>
      <c r="X99" s="77"/>
      <c r="Y99" s="77"/>
      <c r="Z99" s="77"/>
      <c r="AA99" s="78"/>
      <c r="AC99" s="177" t="s">
        <v>216</v>
      </c>
    </row>
    <row r="100" spans="15:29" x14ac:dyDescent="0.25">
      <c r="O100" s="76"/>
      <c r="P100" s="76"/>
      <c r="Q100" s="77"/>
      <c r="R100" s="77"/>
      <c r="S100" s="77"/>
      <c r="X100" s="77"/>
      <c r="Y100" s="77"/>
      <c r="Z100" s="77"/>
      <c r="AA100" s="78"/>
      <c r="AC100" s="177" t="s">
        <v>217</v>
      </c>
    </row>
    <row r="101" spans="15:29" x14ac:dyDescent="0.25">
      <c r="O101" s="76"/>
      <c r="P101" s="76"/>
      <c r="Q101" s="77"/>
      <c r="R101" s="77"/>
      <c r="S101" s="77"/>
      <c r="X101" s="77"/>
      <c r="Y101" s="77"/>
      <c r="Z101" s="77"/>
      <c r="AA101" s="78"/>
      <c r="AC101" s="177" t="s">
        <v>173</v>
      </c>
    </row>
    <row r="102" spans="15:29" x14ac:dyDescent="0.25">
      <c r="O102" s="76"/>
      <c r="P102" s="76"/>
      <c r="Q102" s="77"/>
      <c r="R102" s="77"/>
      <c r="S102" s="77"/>
      <c r="X102" s="77"/>
      <c r="Y102" s="77"/>
      <c r="Z102" s="77"/>
      <c r="AA102" s="78"/>
      <c r="AC102" s="177" t="s">
        <v>289</v>
      </c>
    </row>
    <row r="103" spans="15:29" x14ac:dyDescent="0.25">
      <c r="O103" s="76"/>
      <c r="P103" s="76"/>
      <c r="Q103" s="77"/>
      <c r="R103" s="77"/>
      <c r="S103" s="77"/>
      <c r="X103" s="77"/>
      <c r="Y103" s="77"/>
      <c r="Z103" s="77"/>
      <c r="AA103" s="78"/>
      <c r="AC103" s="177" t="s">
        <v>246</v>
      </c>
    </row>
    <row r="104" spans="15:29" x14ac:dyDescent="0.25">
      <c r="O104" s="76"/>
      <c r="P104" s="76"/>
      <c r="Q104" s="77"/>
      <c r="R104" s="77"/>
      <c r="S104" s="77"/>
      <c r="X104" s="77"/>
      <c r="Y104" s="77"/>
      <c r="Z104" s="77"/>
      <c r="AA104" s="78"/>
      <c r="AC104" s="177" t="s">
        <v>109</v>
      </c>
    </row>
    <row r="105" spans="15:29" x14ac:dyDescent="0.25">
      <c r="O105" s="76"/>
      <c r="P105" s="76"/>
      <c r="Q105" s="77"/>
      <c r="R105" s="77"/>
      <c r="S105" s="77"/>
      <c r="X105" s="77"/>
      <c r="Y105" s="77"/>
      <c r="Z105" s="77"/>
      <c r="AA105" s="78"/>
      <c r="AC105" s="177" t="s">
        <v>355</v>
      </c>
    </row>
    <row r="106" spans="15:29" x14ac:dyDescent="0.25">
      <c r="O106" s="76"/>
      <c r="P106" s="76"/>
      <c r="Q106" s="77"/>
      <c r="R106" s="77"/>
      <c r="S106" s="77"/>
      <c r="X106" s="77"/>
      <c r="Y106" s="77"/>
      <c r="Z106" s="77"/>
      <c r="AA106" s="78"/>
      <c r="AC106" s="177" t="s">
        <v>356</v>
      </c>
    </row>
    <row r="107" spans="15:29" x14ac:dyDescent="0.25">
      <c r="O107" s="76"/>
      <c r="P107" s="76"/>
      <c r="Q107" s="77"/>
      <c r="R107" s="77"/>
      <c r="S107" s="77"/>
      <c r="X107" s="77"/>
      <c r="Y107" s="77"/>
      <c r="Z107" s="77"/>
      <c r="AA107" s="78"/>
      <c r="AC107" s="177" t="s">
        <v>174</v>
      </c>
    </row>
    <row r="108" spans="15:29" x14ac:dyDescent="0.25">
      <c r="O108" s="76"/>
      <c r="P108" s="76"/>
      <c r="Q108" s="77"/>
      <c r="R108" s="77"/>
      <c r="S108" s="77"/>
      <c r="X108" s="77"/>
      <c r="Y108" s="77"/>
      <c r="Z108" s="77"/>
      <c r="AA108" s="78"/>
      <c r="AC108" s="177" t="s">
        <v>143</v>
      </c>
    </row>
    <row r="109" spans="15:29" x14ac:dyDescent="0.25">
      <c r="O109" s="76"/>
      <c r="P109" s="76"/>
      <c r="Q109" s="77"/>
      <c r="R109" s="77"/>
      <c r="S109" s="77"/>
      <c r="X109" s="77"/>
      <c r="Y109" s="77"/>
      <c r="Z109" s="77"/>
      <c r="AA109" s="78"/>
      <c r="AC109" s="177" t="s">
        <v>129</v>
      </c>
    </row>
    <row r="110" spans="15:29" x14ac:dyDescent="0.25">
      <c r="O110" s="76"/>
      <c r="P110" s="76"/>
      <c r="Q110" s="77"/>
      <c r="R110" s="77"/>
      <c r="S110" s="77"/>
      <c r="X110" s="77"/>
      <c r="Y110" s="77"/>
      <c r="Z110" s="77"/>
      <c r="AA110" s="78"/>
      <c r="AC110" s="177" t="s">
        <v>218</v>
      </c>
    </row>
    <row r="111" spans="15:29" x14ac:dyDescent="0.25">
      <c r="O111" s="76"/>
      <c r="P111" s="76"/>
      <c r="Q111" s="77"/>
      <c r="R111" s="77"/>
      <c r="S111" s="77"/>
      <c r="X111" s="77"/>
      <c r="Y111" s="77"/>
      <c r="Z111" s="77"/>
      <c r="AA111" s="78"/>
      <c r="AC111" s="177" t="s">
        <v>529</v>
      </c>
    </row>
    <row r="112" spans="15:29" x14ac:dyDescent="0.25">
      <c r="O112" s="76"/>
      <c r="P112" s="76"/>
      <c r="Q112" s="77"/>
      <c r="R112" s="77"/>
      <c r="S112" s="77"/>
      <c r="X112" s="77"/>
      <c r="Y112" s="77"/>
      <c r="Z112" s="77"/>
      <c r="AA112" s="78"/>
      <c r="AC112" s="177" t="s">
        <v>219</v>
      </c>
    </row>
    <row r="113" spans="15:29" x14ac:dyDescent="0.25">
      <c r="O113" s="76"/>
      <c r="P113" s="76"/>
      <c r="Q113" s="77"/>
      <c r="R113" s="77"/>
      <c r="S113" s="77"/>
      <c r="X113" s="77"/>
      <c r="Y113" s="77"/>
      <c r="Z113" s="77"/>
      <c r="AA113" s="78"/>
      <c r="AC113" s="177" t="s">
        <v>117</v>
      </c>
    </row>
    <row r="114" spans="15:29" x14ac:dyDescent="0.25">
      <c r="O114" s="76"/>
      <c r="P114" s="76"/>
      <c r="Q114" s="77"/>
      <c r="R114" s="77"/>
      <c r="S114" s="77"/>
      <c r="X114" s="77"/>
      <c r="Y114" s="77"/>
      <c r="Z114" s="77"/>
      <c r="AA114" s="78"/>
      <c r="AC114" s="177" t="s">
        <v>290</v>
      </c>
    </row>
    <row r="115" spans="15:29" x14ac:dyDescent="0.25">
      <c r="O115" s="76"/>
      <c r="P115" s="76"/>
      <c r="Q115" s="77"/>
      <c r="R115" s="77"/>
      <c r="S115" s="77"/>
      <c r="X115" s="77"/>
      <c r="Y115" s="77"/>
      <c r="Z115" s="77"/>
      <c r="AA115" s="78"/>
      <c r="AC115" s="177" t="s">
        <v>120</v>
      </c>
    </row>
    <row r="116" spans="15:29" x14ac:dyDescent="0.25">
      <c r="O116" s="76"/>
      <c r="P116" s="76"/>
      <c r="Q116" s="77"/>
      <c r="R116" s="77"/>
      <c r="S116" s="77"/>
      <c r="X116" s="77"/>
      <c r="Y116" s="77"/>
      <c r="Z116" s="77"/>
      <c r="AA116" s="78"/>
      <c r="AC116" s="177" t="s">
        <v>247</v>
      </c>
    </row>
    <row r="117" spans="15:29" x14ac:dyDescent="0.25">
      <c r="O117" s="76"/>
      <c r="P117" s="76"/>
      <c r="Q117" s="77"/>
      <c r="R117" s="77"/>
      <c r="S117" s="77"/>
      <c r="X117" s="77"/>
      <c r="Y117" s="77"/>
      <c r="Z117" s="77"/>
      <c r="AA117" s="78"/>
      <c r="AC117" s="177" t="s">
        <v>357</v>
      </c>
    </row>
    <row r="118" spans="15:29" x14ac:dyDescent="0.25">
      <c r="O118" s="76"/>
      <c r="P118" s="76"/>
      <c r="Q118" s="77"/>
      <c r="R118" s="77"/>
      <c r="S118" s="77"/>
      <c r="X118" s="77"/>
      <c r="Y118" s="77"/>
      <c r="Z118" s="77"/>
      <c r="AA118" s="78"/>
      <c r="AC118" s="177" t="s">
        <v>144</v>
      </c>
    </row>
    <row r="119" spans="15:29" x14ac:dyDescent="0.25">
      <c r="O119" s="76"/>
      <c r="P119" s="76"/>
      <c r="Q119" s="77"/>
      <c r="R119" s="77"/>
      <c r="S119" s="77"/>
      <c r="X119" s="77"/>
      <c r="Y119" s="77"/>
      <c r="Z119" s="77"/>
      <c r="AA119" s="78"/>
      <c r="AC119" s="177" t="s">
        <v>248</v>
      </c>
    </row>
    <row r="120" spans="15:29" x14ac:dyDescent="0.25">
      <c r="O120" s="76"/>
      <c r="P120" s="76"/>
      <c r="Q120" s="77"/>
      <c r="R120" s="77"/>
      <c r="S120" s="77"/>
      <c r="X120" s="77"/>
      <c r="Y120" s="77"/>
      <c r="Z120" s="77"/>
      <c r="AA120" s="78"/>
      <c r="AC120" s="177" t="s">
        <v>145</v>
      </c>
    </row>
    <row r="121" spans="15:29" x14ac:dyDescent="0.25">
      <c r="O121" s="76"/>
      <c r="P121" s="76"/>
      <c r="Q121" s="77"/>
      <c r="R121" s="77"/>
      <c r="S121" s="77"/>
      <c r="X121" s="77"/>
      <c r="Y121" s="77"/>
      <c r="Z121" s="77"/>
      <c r="AA121" s="78"/>
      <c r="AC121" s="177" t="s">
        <v>175</v>
      </c>
    </row>
    <row r="122" spans="15:29" x14ac:dyDescent="0.25">
      <c r="O122" s="76"/>
      <c r="P122" s="76"/>
      <c r="Q122" s="77"/>
      <c r="R122" s="77"/>
      <c r="S122" s="77"/>
      <c r="X122" s="77"/>
      <c r="Y122" s="77"/>
      <c r="Z122" s="77"/>
      <c r="AA122" s="78"/>
      <c r="AC122" s="177" t="s">
        <v>176</v>
      </c>
    </row>
    <row r="123" spans="15:29" x14ac:dyDescent="0.25">
      <c r="O123" s="76"/>
      <c r="P123" s="76"/>
      <c r="Q123" s="77"/>
      <c r="R123" s="77"/>
      <c r="S123" s="77"/>
      <c r="X123" s="77"/>
      <c r="Y123" s="77"/>
      <c r="Z123" s="77"/>
      <c r="AA123" s="78"/>
      <c r="AC123" s="177" t="s">
        <v>358</v>
      </c>
    </row>
    <row r="124" spans="15:29" x14ac:dyDescent="0.25">
      <c r="O124" s="76"/>
      <c r="P124" s="76"/>
      <c r="Q124" s="77"/>
      <c r="R124" s="77"/>
      <c r="S124" s="77"/>
      <c r="X124" s="77"/>
      <c r="Y124" s="77"/>
      <c r="Z124" s="77"/>
      <c r="AA124" s="78"/>
      <c r="AC124" s="177" t="s">
        <v>291</v>
      </c>
    </row>
    <row r="125" spans="15:29" x14ac:dyDescent="0.25">
      <c r="O125" s="76"/>
      <c r="P125" s="76"/>
      <c r="Q125" s="77"/>
      <c r="R125" s="77"/>
      <c r="S125" s="77"/>
      <c r="X125" s="77"/>
      <c r="Y125" s="77"/>
      <c r="Z125" s="77"/>
      <c r="AA125" s="78"/>
      <c r="AC125" s="177" t="s">
        <v>249</v>
      </c>
    </row>
    <row r="126" spans="15:29" x14ac:dyDescent="0.25">
      <c r="O126" s="76"/>
      <c r="P126" s="76"/>
      <c r="Q126" s="77"/>
      <c r="R126" s="77"/>
      <c r="S126" s="77"/>
      <c r="X126" s="77"/>
      <c r="Y126" s="77"/>
      <c r="Z126" s="77"/>
      <c r="AA126" s="78"/>
      <c r="AC126" s="177" t="s">
        <v>359</v>
      </c>
    </row>
    <row r="127" spans="15:29" x14ac:dyDescent="0.25">
      <c r="O127" s="76"/>
      <c r="P127" s="76"/>
      <c r="Q127" s="77"/>
      <c r="R127" s="77"/>
      <c r="S127" s="77"/>
      <c r="X127" s="77"/>
      <c r="Y127" s="77"/>
      <c r="Z127" s="77"/>
      <c r="AA127" s="78"/>
      <c r="AC127" s="177" t="s">
        <v>430</v>
      </c>
    </row>
    <row r="128" spans="15:29" x14ac:dyDescent="0.25">
      <c r="O128" s="76"/>
      <c r="P128" s="76"/>
      <c r="Q128" s="77"/>
      <c r="R128" s="77"/>
      <c r="S128" s="77"/>
      <c r="X128" s="77"/>
      <c r="Y128" s="77"/>
      <c r="Z128" s="77"/>
      <c r="AA128" s="78"/>
      <c r="AC128" s="177" t="s">
        <v>177</v>
      </c>
    </row>
    <row r="129" spans="15:29" x14ac:dyDescent="0.25">
      <c r="O129" s="76"/>
      <c r="P129" s="76"/>
      <c r="Q129" s="77"/>
      <c r="R129" s="77"/>
      <c r="S129" s="77"/>
      <c r="X129" s="77"/>
      <c r="Y129" s="77"/>
      <c r="Z129" s="77"/>
      <c r="AA129" s="78"/>
      <c r="AC129" s="177" t="s">
        <v>178</v>
      </c>
    </row>
    <row r="130" spans="15:29" x14ac:dyDescent="0.25">
      <c r="O130" s="76"/>
      <c r="P130" s="76"/>
      <c r="Q130" s="77"/>
      <c r="R130" s="77"/>
      <c r="S130" s="77"/>
      <c r="X130" s="77"/>
      <c r="Y130" s="77"/>
      <c r="Z130" s="77"/>
      <c r="AA130" s="78"/>
      <c r="AC130" s="177" t="s">
        <v>403</v>
      </c>
    </row>
    <row r="131" spans="15:29" x14ac:dyDescent="0.25">
      <c r="O131" s="76"/>
      <c r="P131" s="76"/>
      <c r="Q131" s="77"/>
      <c r="R131" s="77"/>
      <c r="S131" s="77"/>
      <c r="X131" s="77"/>
      <c r="Y131" s="77"/>
      <c r="Z131" s="77"/>
      <c r="AA131" s="78"/>
      <c r="AC131" s="177" t="s">
        <v>250</v>
      </c>
    </row>
    <row r="132" spans="15:29" x14ac:dyDescent="0.25">
      <c r="O132" s="76"/>
      <c r="P132" s="76"/>
      <c r="Q132" s="77"/>
      <c r="R132" s="77"/>
      <c r="S132" s="77"/>
      <c r="X132" s="77"/>
      <c r="Y132" s="77"/>
      <c r="Z132" s="77"/>
      <c r="AA132" s="78"/>
      <c r="AC132" s="177" t="s">
        <v>179</v>
      </c>
    </row>
    <row r="133" spans="15:29" x14ac:dyDescent="0.25">
      <c r="O133" s="76"/>
      <c r="P133" s="76"/>
      <c r="Q133" s="77"/>
      <c r="R133" s="77"/>
      <c r="S133" s="77"/>
      <c r="X133" s="77"/>
      <c r="Y133" s="77"/>
      <c r="Z133" s="77"/>
      <c r="AA133" s="78"/>
      <c r="AC133" s="177" t="s">
        <v>220</v>
      </c>
    </row>
    <row r="134" spans="15:29" x14ac:dyDescent="0.25">
      <c r="O134" s="76"/>
      <c r="P134" s="76"/>
      <c r="Q134" s="77"/>
      <c r="R134" s="77"/>
      <c r="S134" s="77"/>
      <c r="X134" s="77"/>
      <c r="Y134" s="77"/>
      <c r="Z134" s="77"/>
      <c r="AA134" s="78"/>
      <c r="AC134" s="177" t="s">
        <v>360</v>
      </c>
    </row>
    <row r="135" spans="15:29" x14ac:dyDescent="0.25">
      <c r="O135" s="76"/>
      <c r="P135" s="76"/>
      <c r="Q135" s="77"/>
      <c r="R135" s="77"/>
      <c r="S135" s="77"/>
      <c r="X135" s="77"/>
      <c r="Y135" s="77"/>
      <c r="Z135" s="77"/>
      <c r="AA135" s="78"/>
      <c r="AC135" s="177" t="s">
        <v>404</v>
      </c>
    </row>
    <row r="136" spans="15:29" x14ac:dyDescent="0.25">
      <c r="O136" s="76"/>
      <c r="P136" s="76"/>
      <c r="Q136" s="77"/>
      <c r="R136" s="77"/>
      <c r="S136" s="77"/>
      <c r="X136" s="77"/>
      <c r="Y136" s="77"/>
      <c r="Z136" s="77"/>
      <c r="AA136" s="78"/>
      <c r="AC136" s="177" t="s">
        <v>361</v>
      </c>
    </row>
    <row r="137" spans="15:29" x14ac:dyDescent="0.25">
      <c r="O137" s="76"/>
      <c r="P137" s="76"/>
      <c r="Q137" s="77"/>
      <c r="R137" s="77"/>
      <c r="S137" s="77"/>
      <c r="X137" s="77"/>
      <c r="Y137" s="77"/>
      <c r="Z137" s="77"/>
      <c r="AA137" s="78"/>
      <c r="AC137" s="177" t="s">
        <v>180</v>
      </c>
    </row>
    <row r="138" spans="15:29" x14ac:dyDescent="0.25">
      <c r="O138" s="76"/>
      <c r="P138" s="76"/>
      <c r="Q138" s="77"/>
      <c r="R138" s="77"/>
      <c r="S138" s="77"/>
      <c r="X138" s="77"/>
      <c r="Y138" s="77"/>
      <c r="Z138" s="77"/>
      <c r="AA138" s="78"/>
      <c r="AC138" s="177" t="s">
        <v>110</v>
      </c>
    </row>
    <row r="139" spans="15:29" x14ac:dyDescent="0.25">
      <c r="O139" s="76"/>
      <c r="P139" s="76"/>
      <c r="Q139" s="77"/>
      <c r="R139" s="77"/>
      <c r="S139" s="77"/>
      <c r="X139" s="77"/>
      <c r="Y139" s="77"/>
      <c r="Z139" s="77"/>
      <c r="AA139" s="78"/>
      <c r="AC139" s="177" t="s">
        <v>251</v>
      </c>
    </row>
    <row r="140" spans="15:29" x14ac:dyDescent="0.25">
      <c r="O140" s="76"/>
      <c r="P140" s="76"/>
      <c r="Q140" s="77"/>
      <c r="R140" s="77"/>
      <c r="S140" s="77"/>
      <c r="X140" s="77"/>
      <c r="Y140" s="77"/>
      <c r="Z140" s="77"/>
      <c r="AA140" s="78"/>
      <c r="AC140" s="177" t="s">
        <v>146</v>
      </c>
    </row>
    <row r="141" spans="15:29" x14ac:dyDescent="0.25">
      <c r="O141" s="76"/>
      <c r="P141" s="76"/>
      <c r="Q141" s="77"/>
      <c r="R141" s="77"/>
      <c r="S141" s="77"/>
      <c r="X141" s="77"/>
      <c r="Y141" s="77"/>
      <c r="Z141" s="77"/>
      <c r="AA141" s="78"/>
      <c r="AC141" s="177" t="s">
        <v>181</v>
      </c>
    </row>
    <row r="142" spans="15:29" x14ac:dyDescent="0.25">
      <c r="O142" s="76"/>
      <c r="P142" s="76"/>
      <c r="Q142" s="77"/>
      <c r="R142" s="77"/>
      <c r="S142" s="77"/>
      <c r="X142" s="77"/>
      <c r="Y142" s="77"/>
      <c r="Z142" s="77"/>
      <c r="AA142" s="78"/>
      <c r="AC142" s="177" t="s">
        <v>182</v>
      </c>
    </row>
    <row r="143" spans="15:29" x14ac:dyDescent="0.25">
      <c r="O143" s="76"/>
      <c r="P143" s="76"/>
      <c r="Q143" s="77"/>
      <c r="R143" s="77"/>
      <c r="S143" s="77"/>
      <c r="X143" s="77"/>
      <c r="Y143" s="77"/>
      <c r="Z143" s="77"/>
      <c r="AA143" s="78"/>
      <c r="AC143" s="177" t="s">
        <v>362</v>
      </c>
    </row>
    <row r="144" spans="15:29" x14ac:dyDescent="0.25">
      <c r="O144" s="76"/>
      <c r="P144" s="76"/>
      <c r="Q144" s="77"/>
      <c r="R144" s="77"/>
      <c r="S144" s="77"/>
      <c r="X144" s="77"/>
      <c r="Y144" s="77"/>
      <c r="Z144" s="77"/>
      <c r="AA144" s="78"/>
      <c r="AC144" s="177" t="s">
        <v>363</v>
      </c>
    </row>
    <row r="145" spans="15:29" x14ac:dyDescent="0.25">
      <c r="O145" s="76"/>
      <c r="P145" s="76"/>
      <c r="Q145" s="77"/>
      <c r="R145" s="77"/>
      <c r="S145" s="77"/>
      <c r="X145" s="77"/>
      <c r="Y145" s="77"/>
      <c r="Z145" s="77"/>
      <c r="AA145" s="78"/>
      <c r="AC145" s="177" t="s">
        <v>364</v>
      </c>
    </row>
    <row r="146" spans="15:29" x14ac:dyDescent="0.25">
      <c r="O146" s="76"/>
      <c r="P146" s="76"/>
      <c r="Q146" s="77"/>
      <c r="R146" s="77"/>
      <c r="S146" s="77"/>
      <c r="X146" s="77"/>
      <c r="Y146" s="77"/>
      <c r="Z146" s="77"/>
      <c r="AA146" s="78"/>
      <c r="AC146" s="177" t="s">
        <v>365</v>
      </c>
    </row>
    <row r="147" spans="15:29" x14ac:dyDescent="0.25">
      <c r="O147" s="76"/>
      <c r="P147" s="76"/>
      <c r="Q147" s="77"/>
      <c r="R147" s="77"/>
      <c r="S147" s="77"/>
      <c r="X147" s="77"/>
      <c r="Y147" s="77"/>
      <c r="Z147" s="77"/>
      <c r="AA147" s="78"/>
      <c r="AC147" s="177" t="s">
        <v>405</v>
      </c>
    </row>
    <row r="148" spans="15:29" x14ac:dyDescent="0.25">
      <c r="O148" s="76"/>
      <c r="P148" s="76"/>
      <c r="Q148" s="77"/>
      <c r="R148" s="77"/>
      <c r="S148" s="77"/>
      <c r="X148" s="77"/>
      <c r="Y148" s="77"/>
      <c r="Z148" s="77"/>
      <c r="AA148" s="78"/>
      <c r="AC148" s="177" t="s">
        <v>366</v>
      </c>
    </row>
    <row r="149" spans="15:29" x14ac:dyDescent="0.25">
      <c r="O149" s="76"/>
      <c r="P149" s="76"/>
      <c r="Q149" s="77"/>
      <c r="R149" s="77"/>
      <c r="S149" s="77"/>
      <c r="X149" s="77"/>
      <c r="Y149" s="77"/>
      <c r="Z149" s="77"/>
      <c r="AA149" s="78"/>
      <c r="AC149" s="177" t="s">
        <v>292</v>
      </c>
    </row>
    <row r="150" spans="15:29" x14ac:dyDescent="0.25">
      <c r="O150" s="76"/>
      <c r="P150" s="76"/>
      <c r="Q150" s="77"/>
      <c r="R150" s="77"/>
      <c r="S150" s="77"/>
      <c r="X150" s="77"/>
      <c r="Y150" s="77"/>
      <c r="Z150" s="77"/>
      <c r="AA150" s="78"/>
      <c r="AC150" s="177" t="s">
        <v>331</v>
      </c>
    </row>
    <row r="151" spans="15:29" x14ac:dyDescent="0.25">
      <c r="O151" s="76"/>
      <c r="P151" s="76"/>
      <c r="Q151" s="77"/>
      <c r="R151" s="77"/>
      <c r="S151" s="77"/>
      <c r="X151" s="77"/>
      <c r="Y151" s="77"/>
      <c r="Z151" s="77"/>
      <c r="AA151" s="78"/>
      <c r="AC151" s="177" t="s">
        <v>367</v>
      </c>
    </row>
    <row r="152" spans="15:29" x14ac:dyDescent="0.25">
      <c r="O152" s="76"/>
      <c r="P152" s="76"/>
      <c r="Q152" s="77"/>
      <c r="R152" s="77"/>
      <c r="S152" s="77"/>
      <c r="X152" s="77"/>
      <c r="Y152" s="77"/>
      <c r="Z152" s="77"/>
      <c r="AA152" s="78"/>
      <c r="AC152" s="177" t="s">
        <v>490</v>
      </c>
    </row>
    <row r="153" spans="15:29" x14ac:dyDescent="0.25">
      <c r="O153" s="76"/>
      <c r="P153" s="76"/>
      <c r="Q153" s="77"/>
      <c r="R153" s="77"/>
      <c r="S153" s="77"/>
      <c r="X153" s="77"/>
      <c r="Y153" s="77"/>
      <c r="Z153" s="77"/>
      <c r="AA153" s="78"/>
      <c r="AC153" s="177" t="s">
        <v>293</v>
      </c>
    </row>
    <row r="154" spans="15:29" x14ac:dyDescent="0.25">
      <c r="O154" s="76"/>
      <c r="P154" s="76"/>
      <c r="Q154" s="77"/>
      <c r="R154" s="77"/>
      <c r="S154" s="77"/>
      <c r="X154" s="77"/>
      <c r="Y154" s="77"/>
      <c r="Z154" s="77"/>
      <c r="AA154" s="78"/>
      <c r="AC154" s="177" t="s">
        <v>294</v>
      </c>
    </row>
    <row r="155" spans="15:29" x14ac:dyDescent="0.25">
      <c r="O155" s="76"/>
      <c r="P155" s="76"/>
      <c r="Q155" s="77"/>
      <c r="R155" s="77"/>
      <c r="S155" s="77"/>
      <c r="X155" s="77"/>
      <c r="Y155" s="77"/>
      <c r="Z155" s="77"/>
      <c r="AA155" s="78"/>
      <c r="AC155" s="177" t="s">
        <v>368</v>
      </c>
    </row>
    <row r="156" spans="15:29" x14ac:dyDescent="0.25">
      <c r="O156" s="76"/>
      <c r="P156" s="76"/>
      <c r="Q156" s="77"/>
      <c r="R156" s="77"/>
      <c r="S156" s="77"/>
      <c r="X156" s="77"/>
      <c r="Y156" s="77"/>
      <c r="Z156" s="77"/>
      <c r="AA156" s="78"/>
      <c r="AC156" s="177" t="s">
        <v>121</v>
      </c>
    </row>
    <row r="157" spans="15:29" x14ac:dyDescent="0.25">
      <c r="O157" s="76"/>
      <c r="P157" s="76"/>
      <c r="Q157" s="77"/>
      <c r="R157" s="77"/>
      <c r="S157" s="77"/>
      <c r="X157" s="77"/>
      <c r="Y157" s="77"/>
      <c r="Z157" s="77"/>
      <c r="AA157" s="78"/>
      <c r="AC157" s="177" t="s">
        <v>406</v>
      </c>
    </row>
    <row r="158" spans="15:29" x14ac:dyDescent="0.25">
      <c r="O158" s="76"/>
      <c r="P158" s="76"/>
      <c r="Q158" s="77"/>
      <c r="R158" s="77"/>
      <c r="S158" s="77"/>
      <c r="X158" s="77"/>
      <c r="Y158" s="77"/>
      <c r="Z158" s="77"/>
      <c r="AA158" s="78"/>
      <c r="AC158" s="177" t="s">
        <v>147</v>
      </c>
    </row>
    <row r="159" spans="15:29" x14ac:dyDescent="0.25">
      <c r="O159" s="76"/>
      <c r="P159" s="76"/>
      <c r="Q159" s="77"/>
      <c r="R159" s="77"/>
      <c r="S159" s="77"/>
      <c r="X159" s="77"/>
      <c r="Y159" s="77"/>
      <c r="Z159" s="77"/>
      <c r="AA159" s="78"/>
      <c r="AC159" s="177" t="s">
        <v>369</v>
      </c>
    </row>
    <row r="160" spans="15:29" x14ac:dyDescent="0.25">
      <c r="O160" s="76"/>
      <c r="P160" s="76"/>
      <c r="Q160" s="77"/>
      <c r="R160" s="77"/>
      <c r="S160" s="77"/>
      <c r="X160" s="77"/>
      <c r="Y160" s="77"/>
      <c r="Z160" s="77"/>
      <c r="AA160" s="78"/>
      <c r="AC160" s="177" t="s">
        <v>252</v>
      </c>
    </row>
    <row r="161" spans="15:29" x14ac:dyDescent="0.25">
      <c r="O161" s="76"/>
      <c r="P161" s="76"/>
      <c r="Q161" s="77"/>
      <c r="R161" s="77"/>
      <c r="S161" s="77"/>
      <c r="X161" s="77"/>
      <c r="Y161" s="77"/>
      <c r="Z161" s="77"/>
      <c r="AA161" s="78"/>
      <c r="AC161" s="177" t="s">
        <v>253</v>
      </c>
    </row>
    <row r="162" spans="15:29" x14ac:dyDescent="0.25">
      <c r="O162" s="76"/>
      <c r="P162" s="76"/>
      <c r="Q162" s="77"/>
      <c r="R162" s="77"/>
      <c r="S162" s="77"/>
      <c r="X162" s="77"/>
      <c r="Y162" s="77"/>
      <c r="Z162" s="77"/>
      <c r="AA162" s="78"/>
      <c r="AC162" s="177" t="s">
        <v>370</v>
      </c>
    </row>
    <row r="163" spans="15:29" x14ac:dyDescent="0.25">
      <c r="O163" s="76"/>
      <c r="P163" s="76"/>
      <c r="Q163" s="77"/>
      <c r="R163" s="77"/>
      <c r="S163" s="77"/>
      <c r="X163" s="77"/>
      <c r="Y163" s="77"/>
      <c r="Z163" s="77"/>
      <c r="AA163" s="78"/>
      <c r="AC163" s="177" t="s">
        <v>148</v>
      </c>
    </row>
    <row r="164" spans="15:29" x14ac:dyDescent="0.25">
      <c r="O164" s="76"/>
      <c r="P164" s="76"/>
      <c r="Q164" s="77"/>
      <c r="R164" s="77"/>
      <c r="S164" s="77"/>
      <c r="X164" s="77"/>
      <c r="Y164" s="77"/>
      <c r="Z164" s="77"/>
      <c r="AA164" s="78"/>
      <c r="AC164" s="177" t="s">
        <v>183</v>
      </c>
    </row>
    <row r="165" spans="15:29" x14ac:dyDescent="0.25">
      <c r="O165" s="76"/>
      <c r="P165" s="76"/>
      <c r="Q165" s="77"/>
      <c r="R165" s="77"/>
      <c r="S165" s="77"/>
      <c r="X165" s="77"/>
      <c r="Y165" s="77"/>
      <c r="Z165" s="77"/>
      <c r="AA165" s="78"/>
      <c r="AC165" s="177" t="s">
        <v>295</v>
      </c>
    </row>
    <row r="166" spans="15:29" x14ac:dyDescent="0.25">
      <c r="O166" s="76"/>
      <c r="P166" s="76"/>
      <c r="Q166" s="77"/>
      <c r="R166" s="77"/>
      <c r="S166" s="77"/>
      <c r="X166" s="77"/>
      <c r="Y166" s="77"/>
      <c r="Z166" s="77"/>
      <c r="AA166" s="78"/>
      <c r="AC166" s="177" t="s">
        <v>130</v>
      </c>
    </row>
    <row r="167" spans="15:29" x14ac:dyDescent="0.25">
      <c r="O167" s="76"/>
      <c r="P167" s="76"/>
      <c r="Q167" s="77"/>
      <c r="R167" s="77"/>
      <c r="S167" s="77"/>
      <c r="X167" s="77"/>
      <c r="Y167" s="77"/>
      <c r="Z167" s="77"/>
      <c r="AA167" s="78"/>
      <c r="AC167" s="177" t="s">
        <v>184</v>
      </c>
    </row>
    <row r="168" spans="15:29" x14ac:dyDescent="0.25">
      <c r="O168" s="76"/>
      <c r="P168" s="76"/>
      <c r="Q168" s="77"/>
      <c r="R168" s="77"/>
      <c r="S168" s="77"/>
      <c r="X168" s="77"/>
      <c r="Y168" s="77"/>
      <c r="Z168" s="77"/>
      <c r="AA168" s="78"/>
      <c r="AC168" s="177" t="s">
        <v>254</v>
      </c>
    </row>
    <row r="169" spans="15:29" x14ac:dyDescent="0.25">
      <c r="O169" s="76"/>
      <c r="P169" s="76"/>
      <c r="Q169" s="77"/>
      <c r="R169" s="77"/>
      <c r="S169" s="77"/>
      <c r="X169" s="77"/>
      <c r="Y169" s="77"/>
      <c r="Z169" s="77"/>
      <c r="AA169" s="78"/>
      <c r="AC169" s="177" t="s">
        <v>255</v>
      </c>
    </row>
    <row r="170" spans="15:29" x14ac:dyDescent="0.25">
      <c r="O170" s="76"/>
      <c r="P170" s="76"/>
      <c r="Q170" s="77"/>
      <c r="R170" s="77"/>
      <c r="S170" s="77"/>
      <c r="X170" s="77"/>
      <c r="Y170" s="77"/>
      <c r="Z170" s="77"/>
      <c r="AA170" s="78"/>
      <c r="AC170" s="177" t="s">
        <v>185</v>
      </c>
    </row>
    <row r="171" spans="15:29" x14ac:dyDescent="0.25">
      <c r="O171" s="76"/>
      <c r="P171" s="76"/>
      <c r="Q171" s="77"/>
      <c r="R171" s="77"/>
      <c r="S171" s="77"/>
      <c r="X171" s="77"/>
      <c r="Y171" s="77"/>
      <c r="Z171" s="77"/>
      <c r="AA171" s="78"/>
      <c r="AC171" s="177" t="s">
        <v>131</v>
      </c>
    </row>
    <row r="172" spans="15:29" x14ac:dyDescent="0.25">
      <c r="O172" s="76"/>
      <c r="P172" s="76"/>
      <c r="Q172" s="77"/>
      <c r="R172" s="77"/>
      <c r="S172" s="77"/>
      <c r="X172" s="77"/>
      <c r="Y172" s="77"/>
      <c r="Z172" s="77"/>
      <c r="AA172" s="78"/>
      <c r="AC172" s="177" t="s">
        <v>256</v>
      </c>
    </row>
    <row r="173" spans="15:29" x14ac:dyDescent="0.25">
      <c r="O173" s="76"/>
      <c r="P173" s="76"/>
      <c r="Q173" s="77"/>
      <c r="R173" s="77"/>
      <c r="S173" s="77"/>
      <c r="X173" s="77"/>
      <c r="Y173" s="77"/>
      <c r="Z173" s="77"/>
      <c r="AA173" s="78"/>
      <c r="AC173" s="177" t="s">
        <v>407</v>
      </c>
    </row>
    <row r="174" spans="15:29" x14ac:dyDescent="0.25">
      <c r="O174" s="76"/>
      <c r="P174" s="76"/>
      <c r="Q174" s="77"/>
      <c r="R174" s="77"/>
      <c r="S174" s="77"/>
      <c r="X174" s="77"/>
      <c r="Y174" s="77"/>
      <c r="Z174" s="77"/>
      <c r="AA174" s="78"/>
      <c r="AC174" s="177" t="s">
        <v>371</v>
      </c>
    </row>
    <row r="175" spans="15:29" x14ac:dyDescent="0.25">
      <c r="O175" s="76"/>
      <c r="P175" s="76"/>
      <c r="Q175" s="77"/>
      <c r="R175" s="77"/>
      <c r="S175" s="77"/>
      <c r="X175" s="77"/>
      <c r="Y175" s="77"/>
      <c r="Z175" s="77"/>
      <c r="AA175" s="78"/>
      <c r="AC175" s="177" t="s">
        <v>257</v>
      </c>
    </row>
    <row r="176" spans="15:29" x14ac:dyDescent="0.25">
      <c r="O176" s="76"/>
      <c r="P176" s="76"/>
      <c r="Q176" s="77"/>
      <c r="R176" s="77"/>
      <c r="S176" s="77"/>
      <c r="X176" s="77"/>
      <c r="Y176" s="77"/>
      <c r="Z176" s="77"/>
      <c r="AA176" s="78"/>
      <c r="AC176" s="177" t="s">
        <v>149</v>
      </c>
    </row>
    <row r="177" spans="15:29" x14ac:dyDescent="0.25">
      <c r="O177" s="76"/>
      <c r="P177" s="76"/>
      <c r="Q177" s="77"/>
      <c r="R177" s="77"/>
      <c r="S177" s="77"/>
      <c r="X177" s="77"/>
      <c r="Y177" s="77"/>
      <c r="Z177" s="77"/>
      <c r="AA177" s="78"/>
      <c r="AC177" s="177" t="s">
        <v>296</v>
      </c>
    </row>
    <row r="178" spans="15:29" x14ac:dyDescent="0.25">
      <c r="O178" s="76"/>
      <c r="P178" s="76"/>
      <c r="Q178" s="77"/>
      <c r="R178" s="77"/>
      <c r="S178" s="77"/>
      <c r="X178" s="77"/>
      <c r="Y178" s="77"/>
      <c r="Z178" s="77"/>
      <c r="AA178" s="78"/>
      <c r="AC178" s="177" t="s">
        <v>372</v>
      </c>
    </row>
    <row r="179" spans="15:29" x14ac:dyDescent="0.25">
      <c r="O179" s="76"/>
      <c r="P179" s="76"/>
      <c r="Q179" s="77"/>
      <c r="R179" s="77"/>
      <c r="S179" s="77"/>
      <c r="X179" s="77"/>
      <c r="Y179" s="77"/>
      <c r="Z179" s="77"/>
      <c r="AA179" s="78"/>
      <c r="AC179" s="177" t="s">
        <v>297</v>
      </c>
    </row>
    <row r="180" spans="15:29" x14ac:dyDescent="0.25">
      <c r="O180" s="76"/>
      <c r="P180" s="76"/>
      <c r="Q180" s="77"/>
      <c r="R180" s="77"/>
      <c r="S180" s="77"/>
      <c r="X180" s="77"/>
      <c r="Y180" s="77"/>
      <c r="Z180" s="77"/>
      <c r="AA180" s="78"/>
      <c r="AC180" s="177" t="s">
        <v>444</v>
      </c>
    </row>
    <row r="181" spans="15:29" x14ac:dyDescent="0.25">
      <c r="O181" s="76"/>
      <c r="P181" s="76"/>
      <c r="Q181" s="77"/>
      <c r="R181" s="77"/>
      <c r="S181" s="77"/>
      <c r="X181" s="77"/>
      <c r="Y181" s="77"/>
      <c r="Z181" s="77"/>
      <c r="AA181" s="78"/>
      <c r="AC181" s="177" t="s">
        <v>600</v>
      </c>
    </row>
    <row r="182" spans="15:29" x14ac:dyDescent="0.25">
      <c r="O182" s="76"/>
      <c r="P182" s="76"/>
      <c r="Q182" s="77"/>
      <c r="R182" s="77"/>
      <c r="S182" s="77"/>
      <c r="X182" s="77"/>
      <c r="Y182" s="77"/>
      <c r="Z182" s="77"/>
      <c r="AA182" s="78"/>
      <c r="AC182" s="177" t="s">
        <v>186</v>
      </c>
    </row>
    <row r="183" spans="15:29" x14ac:dyDescent="0.25">
      <c r="O183" s="76"/>
      <c r="P183" s="76"/>
      <c r="Q183" s="77"/>
      <c r="R183" s="77"/>
      <c r="S183" s="77"/>
      <c r="X183" s="77"/>
      <c r="Y183" s="77"/>
      <c r="Z183" s="77"/>
      <c r="AA183" s="78"/>
      <c r="AC183" s="177" t="s">
        <v>373</v>
      </c>
    </row>
    <row r="184" spans="15:29" x14ac:dyDescent="0.25">
      <c r="O184" s="76"/>
      <c r="P184" s="76"/>
      <c r="Q184" s="77"/>
      <c r="R184" s="77"/>
      <c r="S184" s="77"/>
      <c r="X184" s="77"/>
      <c r="Y184" s="77"/>
      <c r="Z184" s="77"/>
      <c r="AA184" s="78"/>
      <c r="AC184" s="177" t="s">
        <v>298</v>
      </c>
    </row>
    <row r="185" spans="15:29" x14ac:dyDescent="0.25">
      <c r="O185" s="76"/>
      <c r="P185" s="76"/>
      <c r="Q185" s="77"/>
      <c r="R185" s="77"/>
      <c r="S185" s="77"/>
      <c r="X185" s="77"/>
      <c r="Y185" s="77"/>
      <c r="Z185" s="77"/>
      <c r="AA185" s="78"/>
      <c r="AC185" s="177" t="s">
        <v>374</v>
      </c>
    </row>
    <row r="186" spans="15:29" x14ac:dyDescent="0.25">
      <c r="O186" s="76"/>
      <c r="P186" s="76"/>
      <c r="Q186" s="77"/>
      <c r="R186" s="77"/>
      <c r="S186" s="77"/>
      <c r="X186" s="77"/>
      <c r="Y186" s="77"/>
      <c r="Z186" s="77"/>
      <c r="AA186" s="78"/>
      <c r="AC186" s="177" t="s">
        <v>258</v>
      </c>
    </row>
    <row r="187" spans="15:29" x14ac:dyDescent="0.25">
      <c r="O187" s="76"/>
      <c r="P187" s="76"/>
      <c r="Q187" s="77"/>
      <c r="R187" s="77"/>
      <c r="S187" s="77"/>
      <c r="X187" s="77"/>
      <c r="Y187" s="77"/>
      <c r="Z187" s="77"/>
      <c r="AA187" s="78"/>
      <c r="AC187" s="177" t="s">
        <v>601</v>
      </c>
    </row>
    <row r="188" spans="15:29" x14ac:dyDescent="0.25">
      <c r="O188" s="76"/>
      <c r="P188" s="76"/>
      <c r="Q188" s="77"/>
      <c r="R188" s="77"/>
      <c r="S188" s="77"/>
      <c r="X188" s="77"/>
      <c r="Y188" s="77"/>
      <c r="Z188" s="77"/>
      <c r="AA188" s="78"/>
      <c r="AC188" s="177" t="s">
        <v>150</v>
      </c>
    </row>
    <row r="189" spans="15:29" x14ac:dyDescent="0.25">
      <c r="O189" s="76"/>
      <c r="P189" s="76"/>
      <c r="Q189" s="77"/>
      <c r="R189" s="77"/>
      <c r="S189" s="77"/>
      <c r="X189" s="77"/>
      <c r="Y189" s="77"/>
      <c r="Z189" s="77"/>
      <c r="AA189" s="78"/>
      <c r="AC189" s="177" t="s">
        <v>259</v>
      </c>
    </row>
    <row r="190" spans="15:29" x14ac:dyDescent="0.25">
      <c r="O190" s="76"/>
      <c r="P190" s="76"/>
      <c r="Q190" s="77"/>
      <c r="R190" s="77"/>
      <c r="S190" s="77"/>
      <c r="X190" s="77"/>
      <c r="Y190" s="77"/>
      <c r="Z190" s="77"/>
      <c r="AA190" s="78"/>
      <c r="AC190" s="177" t="s">
        <v>111</v>
      </c>
    </row>
    <row r="191" spans="15:29" x14ac:dyDescent="0.25">
      <c r="O191" s="76"/>
      <c r="P191" s="76"/>
      <c r="Q191" s="77"/>
      <c r="R191" s="77"/>
      <c r="S191" s="77"/>
      <c r="X191" s="77"/>
      <c r="Y191" s="77"/>
      <c r="Z191" s="77"/>
      <c r="AA191" s="78"/>
      <c r="AC191" s="177" t="s">
        <v>260</v>
      </c>
    </row>
    <row r="192" spans="15:29" x14ac:dyDescent="0.25">
      <c r="O192" s="76"/>
      <c r="P192" s="76"/>
      <c r="Q192" s="77"/>
      <c r="R192" s="77"/>
      <c r="S192" s="77"/>
      <c r="X192" s="77"/>
      <c r="Y192" s="77"/>
      <c r="Z192" s="77"/>
      <c r="AA192" s="78"/>
      <c r="AC192" s="177" t="s">
        <v>408</v>
      </c>
    </row>
    <row r="193" spans="15:29" x14ac:dyDescent="0.25">
      <c r="O193" s="76"/>
      <c r="P193" s="76"/>
      <c r="Q193" s="77"/>
      <c r="R193" s="77"/>
      <c r="S193" s="77"/>
      <c r="X193" s="77"/>
      <c r="Y193" s="77"/>
      <c r="Z193" s="77"/>
      <c r="AA193" s="78"/>
      <c r="AC193" s="177" t="s">
        <v>221</v>
      </c>
    </row>
    <row r="194" spans="15:29" x14ac:dyDescent="0.25">
      <c r="O194" s="76"/>
      <c r="P194" s="76"/>
      <c r="Q194" s="77"/>
      <c r="R194" s="77"/>
      <c r="S194" s="77"/>
      <c r="X194" s="77"/>
      <c r="Y194" s="77"/>
      <c r="Z194" s="77"/>
      <c r="AA194" s="78"/>
      <c r="AC194" s="177" t="s">
        <v>261</v>
      </c>
    </row>
    <row r="195" spans="15:29" x14ac:dyDescent="0.25">
      <c r="O195" s="76"/>
      <c r="P195" s="76"/>
      <c r="Q195" s="77"/>
      <c r="R195" s="77"/>
      <c r="S195" s="77"/>
      <c r="X195" s="77"/>
      <c r="Y195" s="77"/>
      <c r="Z195" s="77"/>
      <c r="AA195" s="78"/>
      <c r="AC195" s="177" t="s">
        <v>332</v>
      </c>
    </row>
    <row r="196" spans="15:29" x14ac:dyDescent="0.25">
      <c r="O196" s="76"/>
      <c r="P196" s="76"/>
      <c r="Q196" s="77"/>
      <c r="R196" s="77"/>
      <c r="S196" s="77"/>
      <c r="X196" s="77"/>
      <c r="Y196" s="77"/>
      <c r="Z196" s="77"/>
      <c r="AA196" s="78"/>
      <c r="AC196" s="177" t="s">
        <v>222</v>
      </c>
    </row>
    <row r="197" spans="15:29" x14ac:dyDescent="0.25">
      <c r="O197" s="76"/>
      <c r="P197" s="76"/>
      <c r="Q197" s="77"/>
      <c r="R197" s="77"/>
      <c r="S197" s="77"/>
      <c r="X197" s="77"/>
      <c r="Y197" s="77"/>
      <c r="Z197" s="77"/>
      <c r="AA197" s="78"/>
      <c r="AC197" s="177" t="s">
        <v>299</v>
      </c>
    </row>
    <row r="198" spans="15:29" x14ac:dyDescent="0.25">
      <c r="O198" s="76"/>
      <c r="P198" s="76"/>
      <c r="Q198" s="77"/>
      <c r="R198" s="77"/>
      <c r="S198" s="77"/>
      <c r="X198" s="77"/>
      <c r="Y198" s="77"/>
      <c r="Z198" s="77"/>
      <c r="AA198" s="78"/>
      <c r="AC198" s="177" t="s">
        <v>151</v>
      </c>
    </row>
    <row r="199" spans="15:29" x14ac:dyDescent="0.25">
      <c r="O199" s="76"/>
      <c r="P199" s="76"/>
      <c r="Q199" s="77"/>
      <c r="R199" s="77"/>
      <c r="S199" s="77"/>
      <c r="X199" s="77"/>
      <c r="Y199" s="77"/>
      <c r="Z199" s="77"/>
      <c r="AA199" s="78"/>
      <c r="AC199" s="177" t="s">
        <v>333</v>
      </c>
    </row>
    <row r="200" spans="15:29" x14ac:dyDescent="0.25">
      <c r="O200" s="76"/>
      <c r="P200" s="76"/>
      <c r="Q200" s="77"/>
      <c r="R200" s="77"/>
      <c r="S200" s="77"/>
      <c r="X200" s="77"/>
      <c r="Y200" s="77"/>
      <c r="Z200" s="77"/>
      <c r="AA200" s="78"/>
      <c r="AC200" s="177" t="s">
        <v>300</v>
      </c>
    </row>
    <row r="201" spans="15:29" x14ac:dyDescent="0.25">
      <c r="O201" s="76"/>
      <c r="P201" s="76"/>
      <c r="Q201" s="77"/>
      <c r="R201" s="77"/>
      <c r="S201" s="77"/>
      <c r="X201" s="77"/>
      <c r="Y201" s="77"/>
      <c r="Z201" s="77"/>
      <c r="AA201" s="78"/>
      <c r="AC201" s="177" t="s">
        <v>409</v>
      </c>
    </row>
    <row r="202" spans="15:29" x14ac:dyDescent="0.25">
      <c r="O202" s="76"/>
      <c r="P202" s="76"/>
      <c r="Q202" s="77"/>
      <c r="R202" s="77"/>
      <c r="S202" s="77"/>
      <c r="X202" s="77"/>
      <c r="Y202" s="77"/>
      <c r="Z202" s="77"/>
      <c r="AA202" s="78"/>
      <c r="AC202" s="177" t="s">
        <v>262</v>
      </c>
    </row>
    <row r="203" spans="15:29" x14ac:dyDescent="0.25">
      <c r="O203" s="76"/>
      <c r="P203" s="76"/>
      <c r="Q203" s="77"/>
      <c r="R203" s="77"/>
      <c r="S203" s="77"/>
      <c r="X203" s="77"/>
      <c r="Y203" s="77"/>
      <c r="Z203" s="77"/>
      <c r="AA203" s="78"/>
      <c r="AC203" s="177" t="s">
        <v>301</v>
      </c>
    </row>
    <row r="204" spans="15:29" x14ac:dyDescent="0.25">
      <c r="O204" s="76"/>
      <c r="P204" s="76"/>
      <c r="Q204" s="77"/>
      <c r="R204" s="77"/>
      <c r="S204" s="77"/>
      <c r="X204" s="77"/>
      <c r="Y204" s="77"/>
      <c r="Z204" s="77"/>
      <c r="AA204" s="78"/>
      <c r="AC204" s="177" t="s">
        <v>478</v>
      </c>
    </row>
    <row r="205" spans="15:29" x14ac:dyDescent="0.25">
      <c r="O205" s="76"/>
      <c r="P205" s="76"/>
      <c r="Q205" s="77"/>
      <c r="R205" s="77"/>
      <c r="S205" s="77"/>
      <c r="X205" s="77"/>
      <c r="Y205" s="77"/>
      <c r="Z205" s="77"/>
      <c r="AA205" s="78"/>
      <c r="AC205" s="177" t="s">
        <v>375</v>
      </c>
    </row>
    <row r="206" spans="15:29" x14ac:dyDescent="0.25">
      <c r="O206" s="76"/>
      <c r="P206" s="76"/>
      <c r="Q206" s="77"/>
      <c r="R206" s="77"/>
      <c r="S206" s="77"/>
      <c r="X206" s="77"/>
      <c r="Y206" s="77"/>
      <c r="Z206" s="77"/>
      <c r="AA206" s="78"/>
      <c r="AC206" s="177" t="s">
        <v>376</v>
      </c>
    </row>
    <row r="207" spans="15:29" x14ac:dyDescent="0.25">
      <c r="O207" s="76"/>
      <c r="P207" s="76"/>
      <c r="Q207" s="77"/>
      <c r="R207" s="77"/>
      <c r="S207" s="77"/>
      <c r="X207" s="77"/>
      <c r="Y207" s="77"/>
      <c r="Z207" s="77"/>
      <c r="AA207" s="78"/>
      <c r="AC207" s="177" t="s">
        <v>410</v>
      </c>
    </row>
    <row r="208" spans="15:29" x14ac:dyDescent="0.25">
      <c r="O208" s="76"/>
      <c r="P208" s="76"/>
      <c r="Q208" s="77"/>
      <c r="R208" s="77"/>
      <c r="S208" s="77"/>
      <c r="X208" s="77"/>
      <c r="Y208" s="77"/>
      <c r="Z208" s="77"/>
      <c r="AA208" s="78"/>
      <c r="AC208" s="177" t="s">
        <v>263</v>
      </c>
    </row>
    <row r="209" spans="15:29" x14ac:dyDescent="0.25">
      <c r="O209" s="76"/>
      <c r="P209" s="76"/>
      <c r="Q209" s="77"/>
      <c r="R209" s="77"/>
      <c r="S209" s="77"/>
      <c r="X209" s="77"/>
      <c r="Y209" s="77"/>
      <c r="Z209" s="77"/>
      <c r="AA209" s="78"/>
      <c r="AC209" s="177" t="s">
        <v>264</v>
      </c>
    </row>
    <row r="210" spans="15:29" x14ac:dyDescent="0.25">
      <c r="O210" s="76"/>
      <c r="P210" s="76"/>
      <c r="Q210" s="77"/>
      <c r="R210" s="77"/>
      <c r="S210" s="77"/>
      <c r="X210" s="77"/>
      <c r="Y210" s="77"/>
      <c r="Z210" s="77"/>
      <c r="AA210" s="78"/>
      <c r="AC210" s="177" t="s">
        <v>302</v>
      </c>
    </row>
    <row r="211" spans="15:29" x14ac:dyDescent="0.25">
      <c r="O211" s="76"/>
      <c r="P211" s="76"/>
      <c r="Q211" s="77"/>
      <c r="R211" s="77"/>
      <c r="S211" s="77"/>
      <c r="X211" s="77"/>
      <c r="Y211" s="77"/>
      <c r="Z211" s="77"/>
      <c r="AA211" s="78"/>
      <c r="AC211" s="177" t="s">
        <v>265</v>
      </c>
    </row>
    <row r="212" spans="15:29" x14ac:dyDescent="0.25">
      <c r="O212" s="76"/>
      <c r="P212" s="76"/>
      <c r="Q212" s="77"/>
      <c r="R212" s="77"/>
      <c r="S212" s="77"/>
      <c r="X212" s="77"/>
      <c r="Y212" s="77"/>
      <c r="Z212" s="77"/>
      <c r="AA212" s="78"/>
      <c r="AC212" s="177" t="s">
        <v>132</v>
      </c>
    </row>
    <row r="213" spans="15:29" x14ac:dyDescent="0.25">
      <c r="O213" s="76"/>
      <c r="P213" s="76"/>
      <c r="Q213" s="77"/>
      <c r="R213" s="77"/>
      <c r="S213" s="77"/>
      <c r="X213" s="77"/>
      <c r="Y213" s="77"/>
      <c r="Z213" s="77"/>
      <c r="AA213" s="78"/>
      <c r="AC213" s="177" t="s">
        <v>303</v>
      </c>
    </row>
    <row r="214" spans="15:29" x14ac:dyDescent="0.25">
      <c r="O214" s="76"/>
      <c r="P214" s="76"/>
      <c r="Q214" s="77"/>
      <c r="R214" s="77"/>
      <c r="S214" s="77"/>
      <c r="X214" s="77"/>
      <c r="Y214" s="77"/>
      <c r="Z214" s="77"/>
      <c r="AA214" s="78"/>
      <c r="AC214" s="177" t="s">
        <v>304</v>
      </c>
    </row>
    <row r="215" spans="15:29" x14ac:dyDescent="0.25">
      <c r="O215" s="76"/>
      <c r="P215" s="76"/>
      <c r="Q215" s="77"/>
      <c r="R215" s="77"/>
      <c r="S215" s="77"/>
      <c r="X215" s="77"/>
      <c r="Y215" s="77"/>
      <c r="Z215" s="77"/>
      <c r="AA215" s="78"/>
      <c r="AC215" s="177" t="s">
        <v>305</v>
      </c>
    </row>
    <row r="216" spans="15:29" x14ac:dyDescent="0.25">
      <c r="O216" s="76"/>
      <c r="P216" s="76"/>
      <c r="Q216" s="77"/>
      <c r="R216" s="77"/>
      <c r="S216" s="77"/>
      <c r="X216" s="77"/>
      <c r="Y216" s="77"/>
      <c r="Z216" s="77"/>
      <c r="AA216" s="78"/>
      <c r="AC216" s="177" t="s">
        <v>431</v>
      </c>
    </row>
    <row r="217" spans="15:29" x14ac:dyDescent="0.25">
      <c r="O217" s="76"/>
      <c r="P217" s="76"/>
      <c r="Q217" s="77"/>
      <c r="R217" s="77"/>
      <c r="S217" s="77"/>
      <c r="X217" s="77"/>
      <c r="Y217" s="77"/>
      <c r="Z217" s="77"/>
      <c r="AA217" s="78"/>
      <c r="AC217" s="177" t="s">
        <v>411</v>
      </c>
    </row>
    <row r="218" spans="15:29" x14ac:dyDescent="0.25">
      <c r="O218" s="76"/>
      <c r="P218" s="76"/>
      <c r="Q218" s="77"/>
      <c r="R218" s="77"/>
      <c r="S218" s="77"/>
      <c r="X218" s="77"/>
      <c r="Y218" s="77"/>
      <c r="Z218" s="77"/>
      <c r="AA218" s="78"/>
      <c r="AC218" s="177" t="s">
        <v>223</v>
      </c>
    </row>
    <row r="219" spans="15:29" x14ac:dyDescent="0.25">
      <c r="O219" s="76"/>
      <c r="P219" s="76"/>
      <c r="Q219" s="77"/>
      <c r="R219" s="77"/>
      <c r="S219" s="77"/>
      <c r="X219" s="77"/>
      <c r="Y219" s="77"/>
      <c r="Z219" s="77"/>
      <c r="AA219" s="78"/>
      <c r="AC219" s="177" t="s">
        <v>187</v>
      </c>
    </row>
    <row r="220" spans="15:29" x14ac:dyDescent="0.25">
      <c r="O220" s="76"/>
      <c r="P220" s="76"/>
      <c r="Q220" s="77"/>
      <c r="R220" s="77"/>
      <c r="S220" s="77"/>
      <c r="X220" s="77"/>
      <c r="Y220" s="77"/>
      <c r="Z220" s="77"/>
      <c r="AA220" s="78"/>
      <c r="AC220" s="177" t="s">
        <v>306</v>
      </c>
    </row>
    <row r="221" spans="15:29" x14ac:dyDescent="0.25">
      <c r="O221" s="76"/>
      <c r="P221" s="76"/>
      <c r="Q221" s="77"/>
      <c r="R221" s="77"/>
      <c r="S221" s="77"/>
      <c r="X221" s="77"/>
      <c r="Y221" s="77"/>
      <c r="Z221" s="77"/>
      <c r="AA221" s="78"/>
      <c r="AC221" s="177" t="s">
        <v>188</v>
      </c>
    </row>
    <row r="222" spans="15:29" x14ac:dyDescent="0.25">
      <c r="O222" s="76"/>
      <c r="P222" s="76"/>
      <c r="Q222" s="77"/>
      <c r="R222" s="77"/>
      <c r="S222" s="77"/>
      <c r="X222" s="77"/>
      <c r="Y222" s="77"/>
      <c r="Z222" s="77"/>
      <c r="AA222" s="78"/>
      <c r="AC222" s="177" t="s">
        <v>377</v>
      </c>
    </row>
    <row r="223" spans="15:29" x14ac:dyDescent="0.25">
      <c r="O223" s="76"/>
      <c r="P223" s="76"/>
      <c r="Q223" s="77"/>
      <c r="R223" s="77"/>
      <c r="S223" s="77"/>
      <c r="X223" s="77"/>
      <c r="Y223" s="77"/>
      <c r="Z223" s="77"/>
      <c r="AA223" s="78"/>
      <c r="AC223" s="177" t="s">
        <v>224</v>
      </c>
    </row>
    <row r="224" spans="15:29" x14ac:dyDescent="0.25">
      <c r="O224" s="76"/>
      <c r="P224" s="76"/>
      <c r="Q224" s="77"/>
      <c r="R224" s="77"/>
      <c r="S224" s="77"/>
      <c r="X224" s="77"/>
      <c r="Y224" s="77"/>
      <c r="Z224" s="77"/>
      <c r="AA224" s="78"/>
      <c r="AC224" s="177" t="s">
        <v>122</v>
      </c>
    </row>
    <row r="225" spans="15:29" x14ac:dyDescent="0.25">
      <c r="O225" s="76"/>
      <c r="P225" s="76"/>
      <c r="Q225" s="77"/>
      <c r="R225" s="77"/>
      <c r="S225" s="77"/>
      <c r="X225" s="77"/>
      <c r="Y225" s="77"/>
      <c r="Z225" s="77"/>
      <c r="AA225" s="78"/>
      <c r="AC225" s="177" t="s">
        <v>152</v>
      </c>
    </row>
    <row r="226" spans="15:29" x14ac:dyDescent="0.25">
      <c r="O226" s="76"/>
      <c r="P226" s="76"/>
      <c r="Q226" s="77"/>
      <c r="R226" s="77"/>
      <c r="S226" s="77"/>
      <c r="X226" s="77"/>
      <c r="Y226" s="77"/>
      <c r="Z226" s="77"/>
      <c r="AA226" s="78"/>
      <c r="AC226" s="177" t="s">
        <v>189</v>
      </c>
    </row>
    <row r="227" spans="15:29" x14ac:dyDescent="0.25">
      <c r="O227" s="76"/>
      <c r="P227" s="76"/>
      <c r="Q227" s="77"/>
      <c r="R227" s="77"/>
      <c r="S227" s="77"/>
      <c r="X227" s="77"/>
      <c r="Y227" s="77"/>
      <c r="Z227" s="77"/>
      <c r="AA227" s="78"/>
      <c r="AC227" s="177" t="s">
        <v>412</v>
      </c>
    </row>
    <row r="228" spans="15:29" x14ac:dyDescent="0.25">
      <c r="O228" s="76"/>
      <c r="P228" s="76"/>
      <c r="Q228" s="77"/>
      <c r="R228" s="77"/>
      <c r="S228" s="77"/>
      <c r="X228" s="77"/>
      <c r="Y228" s="77"/>
      <c r="Z228" s="77"/>
      <c r="AA228" s="78"/>
      <c r="AC228" s="177" t="s">
        <v>307</v>
      </c>
    </row>
    <row r="229" spans="15:29" x14ac:dyDescent="0.25">
      <c r="O229" s="76"/>
      <c r="P229" s="76"/>
      <c r="Q229" s="77"/>
      <c r="R229" s="77"/>
      <c r="S229" s="77"/>
      <c r="X229" s="77"/>
      <c r="Y229" s="77"/>
      <c r="Z229" s="77"/>
      <c r="AA229" s="78"/>
      <c r="AC229" s="177" t="s">
        <v>413</v>
      </c>
    </row>
    <row r="230" spans="15:29" x14ac:dyDescent="0.25">
      <c r="O230" s="76"/>
      <c r="P230" s="76"/>
      <c r="Q230" s="77"/>
      <c r="R230" s="77"/>
      <c r="S230" s="77"/>
      <c r="X230" s="77"/>
      <c r="Y230" s="77"/>
      <c r="Z230" s="77"/>
      <c r="AA230" s="78"/>
      <c r="AC230" s="177" t="s">
        <v>266</v>
      </c>
    </row>
    <row r="231" spans="15:29" x14ac:dyDescent="0.25">
      <c r="O231" s="76"/>
      <c r="P231" s="76"/>
      <c r="Q231" s="77"/>
      <c r="R231" s="77"/>
      <c r="S231" s="77"/>
      <c r="X231" s="77"/>
      <c r="Y231" s="77"/>
      <c r="Z231" s="77"/>
      <c r="AA231" s="78"/>
      <c r="AC231" s="177" t="s">
        <v>414</v>
      </c>
    </row>
    <row r="232" spans="15:29" x14ac:dyDescent="0.25">
      <c r="O232" s="76"/>
      <c r="P232" s="76"/>
      <c r="Q232" s="77"/>
      <c r="R232" s="77"/>
      <c r="S232" s="77"/>
      <c r="X232" s="77"/>
      <c r="Y232" s="77"/>
      <c r="Z232" s="77"/>
      <c r="AA232" s="78"/>
      <c r="AC232" s="177" t="s">
        <v>587</v>
      </c>
    </row>
    <row r="233" spans="15:29" x14ac:dyDescent="0.25">
      <c r="O233" s="76"/>
      <c r="P233" s="76"/>
      <c r="Q233" s="77"/>
      <c r="R233" s="77"/>
      <c r="S233" s="77"/>
      <c r="X233" s="77"/>
      <c r="Y233" s="77"/>
      <c r="Z233" s="77"/>
      <c r="AA233" s="78"/>
      <c r="AC233" s="177" t="s">
        <v>112</v>
      </c>
    </row>
    <row r="234" spans="15:29" x14ac:dyDescent="0.25">
      <c r="O234" s="76"/>
      <c r="P234" s="76"/>
      <c r="Q234" s="77"/>
      <c r="R234" s="77"/>
      <c r="S234" s="77"/>
      <c r="X234" s="77"/>
      <c r="Y234" s="77"/>
      <c r="Z234" s="77"/>
      <c r="AA234" s="78"/>
      <c r="AC234" s="177" t="s">
        <v>334</v>
      </c>
    </row>
    <row r="235" spans="15:29" x14ac:dyDescent="0.25">
      <c r="O235" s="76"/>
      <c r="P235" s="76"/>
      <c r="Q235" s="77"/>
      <c r="R235" s="77"/>
      <c r="S235" s="77"/>
      <c r="X235" s="77"/>
      <c r="Y235" s="77"/>
      <c r="Z235" s="77"/>
      <c r="AA235" s="78"/>
      <c r="AC235" s="177" t="s">
        <v>308</v>
      </c>
    </row>
    <row r="236" spans="15:29" x14ac:dyDescent="0.25">
      <c r="O236" s="76"/>
      <c r="P236" s="76"/>
      <c r="Q236" s="77"/>
      <c r="R236" s="77"/>
      <c r="S236" s="77"/>
      <c r="X236" s="77"/>
      <c r="Y236" s="77"/>
      <c r="Z236" s="77"/>
      <c r="AA236" s="78"/>
      <c r="AC236" s="177" t="s">
        <v>113</v>
      </c>
    </row>
    <row r="237" spans="15:29" x14ac:dyDescent="0.25">
      <c r="O237" s="76"/>
      <c r="P237" s="76"/>
      <c r="Q237" s="77"/>
      <c r="R237" s="77"/>
      <c r="S237" s="77"/>
      <c r="X237" s="77"/>
      <c r="Y237" s="77"/>
      <c r="Z237" s="77"/>
      <c r="AA237" s="78"/>
      <c r="AC237" s="177" t="s">
        <v>602</v>
      </c>
    </row>
    <row r="238" spans="15:29" x14ac:dyDescent="0.25">
      <c r="O238" s="76"/>
      <c r="P238" s="76"/>
      <c r="Q238" s="77"/>
      <c r="R238" s="77"/>
      <c r="S238" s="77"/>
      <c r="X238" s="77"/>
      <c r="Y238" s="77"/>
      <c r="Z238" s="77"/>
      <c r="AA238" s="78"/>
      <c r="AC238" s="177" t="s">
        <v>378</v>
      </c>
    </row>
    <row r="239" spans="15:29" x14ac:dyDescent="0.25">
      <c r="O239" s="76"/>
      <c r="P239" s="76"/>
      <c r="Q239" s="77"/>
      <c r="R239" s="77"/>
      <c r="S239" s="77"/>
      <c r="X239" s="77"/>
      <c r="Y239" s="77"/>
      <c r="Z239" s="77"/>
      <c r="AA239" s="78"/>
      <c r="AC239" s="177" t="s">
        <v>379</v>
      </c>
    </row>
    <row r="240" spans="15:29" x14ac:dyDescent="0.25">
      <c r="O240" s="76"/>
      <c r="P240" s="76"/>
      <c r="Q240" s="77"/>
      <c r="R240" s="77"/>
      <c r="S240" s="77"/>
      <c r="X240" s="77"/>
      <c r="Y240" s="77"/>
      <c r="Z240" s="77"/>
      <c r="AA240" s="78"/>
      <c r="AC240" s="177" t="s">
        <v>603</v>
      </c>
    </row>
    <row r="241" spans="15:29" x14ac:dyDescent="0.25">
      <c r="O241" s="76"/>
      <c r="P241" s="76"/>
      <c r="Q241" s="77"/>
      <c r="R241" s="77"/>
      <c r="S241" s="77"/>
      <c r="X241" s="77"/>
      <c r="Y241" s="77"/>
      <c r="Z241" s="77"/>
      <c r="AA241" s="78"/>
      <c r="AC241" s="177" t="s">
        <v>190</v>
      </c>
    </row>
    <row r="242" spans="15:29" x14ac:dyDescent="0.25">
      <c r="O242" s="76"/>
      <c r="P242" s="76"/>
      <c r="Q242" s="77"/>
      <c r="R242" s="77"/>
      <c r="S242" s="77"/>
      <c r="X242" s="77"/>
      <c r="Y242" s="77"/>
      <c r="Z242" s="77"/>
      <c r="AA242" s="78"/>
      <c r="AC242" s="177" t="s">
        <v>438</v>
      </c>
    </row>
    <row r="243" spans="15:29" x14ac:dyDescent="0.25">
      <c r="O243" s="76"/>
      <c r="P243" s="76"/>
      <c r="Q243" s="77"/>
      <c r="R243" s="77"/>
      <c r="S243" s="77"/>
      <c r="X243" s="77"/>
      <c r="Y243" s="77"/>
      <c r="Z243" s="77"/>
      <c r="AA243" s="78"/>
      <c r="AC243" s="177" t="s">
        <v>415</v>
      </c>
    </row>
    <row r="244" spans="15:29" x14ac:dyDescent="0.25">
      <c r="O244" s="76"/>
      <c r="P244" s="76"/>
      <c r="Q244" s="77"/>
      <c r="R244" s="77"/>
      <c r="S244" s="77"/>
      <c r="X244" s="77"/>
      <c r="Y244" s="77"/>
      <c r="Z244" s="77"/>
      <c r="AA244" s="78"/>
      <c r="AC244" s="177" t="s">
        <v>191</v>
      </c>
    </row>
    <row r="245" spans="15:29" x14ac:dyDescent="0.25">
      <c r="O245" s="76"/>
      <c r="P245" s="76"/>
      <c r="Q245" s="77"/>
      <c r="R245" s="77"/>
      <c r="S245" s="77"/>
      <c r="X245" s="77"/>
      <c r="Y245" s="77"/>
      <c r="Z245" s="77"/>
      <c r="AA245" s="78"/>
      <c r="AC245" s="177" t="s">
        <v>416</v>
      </c>
    </row>
    <row r="246" spans="15:29" x14ac:dyDescent="0.25">
      <c r="O246" s="76"/>
      <c r="P246" s="76"/>
      <c r="Q246" s="77"/>
      <c r="R246" s="77"/>
      <c r="S246" s="77"/>
      <c r="X246" s="77"/>
      <c r="Y246" s="77"/>
      <c r="Z246" s="77"/>
      <c r="AA246" s="78"/>
      <c r="AC246" s="177" t="s">
        <v>225</v>
      </c>
    </row>
    <row r="247" spans="15:29" x14ac:dyDescent="0.25">
      <c r="O247" s="76"/>
      <c r="P247" s="76"/>
      <c r="Q247" s="77"/>
      <c r="R247" s="77"/>
      <c r="S247" s="77"/>
      <c r="X247" s="77"/>
      <c r="Y247" s="77"/>
      <c r="Z247" s="77"/>
      <c r="AA247" s="78"/>
      <c r="AC247" s="177" t="s">
        <v>309</v>
      </c>
    </row>
    <row r="248" spans="15:29" x14ac:dyDescent="0.25">
      <c r="O248" s="76"/>
      <c r="P248" s="76"/>
      <c r="Q248" s="77"/>
      <c r="R248" s="77"/>
      <c r="S248" s="77"/>
      <c r="X248" s="77"/>
      <c r="Y248" s="77"/>
      <c r="Z248" s="77"/>
      <c r="AA248" s="78"/>
      <c r="AC248" s="177" t="s">
        <v>192</v>
      </c>
    </row>
    <row r="249" spans="15:29" x14ac:dyDescent="0.25">
      <c r="O249" s="76"/>
      <c r="P249" s="76"/>
      <c r="Q249" s="77"/>
      <c r="R249" s="77"/>
      <c r="S249" s="77"/>
      <c r="X249" s="77"/>
      <c r="Y249" s="77"/>
      <c r="Z249" s="77"/>
      <c r="AA249" s="78"/>
      <c r="AC249" s="177" t="s">
        <v>193</v>
      </c>
    </row>
    <row r="250" spans="15:29" x14ac:dyDescent="0.25">
      <c r="O250" s="76"/>
      <c r="P250" s="76"/>
      <c r="Q250" s="77"/>
      <c r="R250" s="77"/>
      <c r="S250" s="77"/>
      <c r="X250" s="77"/>
      <c r="Y250" s="77"/>
      <c r="Z250" s="77"/>
      <c r="AA250" s="78"/>
      <c r="AC250" s="177" t="s">
        <v>479</v>
      </c>
    </row>
    <row r="251" spans="15:29" x14ac:dyDescent="0.25">
      <c r="O251" s="76"/>
      <c r="P251" s="76"/>
      <c r="Q251" s="77"/>
      <c r="R251" s="77"/>
      <c r="S251" s="77"/>
      <c r="X251" s="77"/>
      <c r="Y251" s="77"/>
      <c r="Z251" s="77"/>
      <c r="AA251" s="78"/>
      <c r="AC251" s="177" t="s">
        <v>604</v>
      </c>
    </row>
    <row r="252" spans="15:29" x14ac:dyDescent="0.25">
      <c r="O252" s="76"/>
      <c r="P252" s="76"/>
      <c r="Q252" s="77"/>
      <c r="R252" s="77"/>
      <c r="S252" s="77"/>
      <c r="X252" s="77"/>
      <c r="Y252" s="77"/>
      <c r="Z252" s="77"/>
      <c r="AA252" s="78"/>
      <c r="AC252" s="177" t="s">
        <v>335</v>
      </c>
    </row>
    <row r="253" spans="15:29" x14ac:dyDescent="0.25">
      <c r="O253" s="76"/>
      <c r="P253" s="76"/>
      <c r="Q253" s="77"/>
      <c r="R253" s="77"/>
      <c r="S253" s="77"/>
      <c r="X253" s="77"/>
      <c r="Y253" s="77"/>
      <c r="Z253" s="77"/>
      <c r="AA253" s="78"/>
      <c r="AC253" s="177" t="s">
        <v>114</v>
      </c>
    </row>
    <row r="254" spans="15:29" x14ac:dyDescent="0.25">
      <c r="O254" s="76"/>
      <c r="P254" s="76"/>
      <c r="Q254" s="77"/>
      <c r="R254" s="77"/>
      <c r="S254" s="77"/>
      <c r="X254" s="77"/>
      <c r="Y254" s="77"/>
      <c r="Z254" s="77"/>
      <c r="AA254" s="78"/>
      <c r="AC254" s="177" t="s">
        <v>432</v>
      </c>
    </row>
    <row r="255" spans="15:29" x14ac:dyDescent="0.25">
      <c r="O255" s="76"/>
      <c r="P255" s="76"/>
      <c r="Q255" s="77"/>
      <c r="R255" s="77"/>
      <c r="S255" s="77"/>
      <c r="X255" s="77"/>
      <c r="Y255" s="77"/>
      <c r="Z255" s="77"/>
      <c r="AA255" s="78"/>
      <c r="AC255" s="177" t="s">
        <v>310</v>
      </c>
    </row>
    <row r="256" spans="15:29" x14ac:dyDescent="0.25">
      <c r="O256" s="76"/>
      <c r="P256" s="76"/>
      <c r="Q256" s="77"/>
      <c r="R256" s="77"/>
      <c r="S256" s="77"/>
      <c r="X256" s="77"/>
      <c r="Y256" s="77"/>
      <c r="Z256" s="77"/>
      <c r="AA256" s="78"/>
      <c r="AC256" s="177" t="s">
        <v>435</v>
      </c>
    </row>
    <row r="257" spans="15:29" x14ac:dyDescent="0.25">
      <c r="O257" s="76"/>
      <c r="P257" s="76"/>
      <c r="Q257" s="77"/>
      <c r="R257" s="77"/>
      <c r="S257" s="77"/>
      <c r="X257" s="77"/>
      <c r="Y257" s="77"/>
      <c r="Z257" s="77"/>
      <c r="AA257" s="78"/>
      <c r="AC257" s="177" t="s">
        <v>194</v>
      </c>
    </row>
    <row r="258" spans="15:29" x14ac:dyDescent="0.25">
      <c r="O258" s="76"/>
      <c r="P258" s="76"/>
      <c r="Q258" s="77"/>
      <c r="R258" s="77"/>
      <c r="S258" s="77"/>
      <c r="X258" s="77"/>
      <c r="Y258" s="77"/>
      <c r="Z258" s="77"/>
      <c r="AA258" s="78"/>
      <c r="AC258" s="177" t="s">
        <v>311</v>
      </c>
    </row>
    <row r="259" spans="15:29" x14ac:dyDescent="0.25">
      <c r="O259" s="76"/>
      <c r="P259" s="76"/>
      <c r="Q259" s="77"/>
      <c r="R259" s="77"/>
      <c r="S259" s="77"/>
      <c r="X259" s="77"/>
      <c r="Y259" s="77"/>
      <c r="Z259" s="77"/>
      <c r="AA259" s="78"/>
      <c r="AC259" s="177" t="s">
        <v>380</v>
      </c>
    </row>
    <row r="260" spans="15:29" x14ac:dyDescent="0.25">
      <c r="O260" s="76"/>
      <c r="P260" s="76"/>
      <c r="Q260" s="77"/>
      <c r="R260" s="77"/>
      <c r="S260" s="77"/>
      <c r="X260" s="77"/>
      <c r="Y260" s="77"/>
      <c r="Z260" s="77"/>
      <c r="AA260" s="78"/>
      <c r="AC260" s="177" t="s">
        <v>381</v>
      </c>
    </row>
    <row r="261" spans="15:29" x14ac:dyDescent="0.25">
      <c r="O261" s="76"/>
      <c r="P261" s="76"/>
      <c r="Q261" s="77"/>
      <c r="R261" s="77"/>
      <c r="S261" s="77"/>
      <c r="X261" s="77"/>
      <c r="Y261" s="77"/>
      <c r="Z261" s="77"/>
      <c r="AA261" s="78"/>
      <c r="AC261" s="177" t="s">
        <v>123</v>
      </c>
    </row>
    <row r="262" spans="15:29" x14ac:dyDescent="0.25">
      <c r="O262" s="76"/>
      <c r="P262" s="76"/>
      <c r="Q262" s="77"/>
      <c r="R262" s="77"/>
      <c r="S262" s="77"/>
      <c r="X262" s="77"/>
      <c r="Y262" s="77"/>
      <c r="Z262" s="77"/>
      <c r="AA262" s="78"/>
      <c r="AC262" s="177" t="s">
        <v>195</v>
      </c>
    </row>
    <row r="263" spans="15:29" x14ac:dyDescent="0.25">
      <c r="O263" s="76"/>
      <c r="P263" s="76"/>
      <c r="Q263" s="77"/>
      <c r="R263" s="77"/>
      <c r="S263" s="77"/>
      <c r="X263" s="77"/>
      <c r="Y263" s="77"/>
      <c r="Z263" s="77"/>
      <c r="AA263" s="78"/>
      <c r="AC263" s="177" t="s">
        <v>153</v>
      </c>
    </row>
    <row r="264" spans="15:29" x14ac:dyDescent="0.25">
      <c r="O264" s="76"/>
      <c r="P264" s="76"/>
      <c r="Q264" s="77"/>
      <c r="R264" s="77"/>
      <c r="S264" s="77"/>
      <c r="X264" s="77"/>
      <c r="Y264" s="77"/>
      <c r="Z264" s="77"/>
      <c r="AA264" s="78"/>
      <c r="AC264" s="177" t="s">
        <v>154</v>
      </c>
    </row>
    <row r="265" spans="15:29" x14ac:dyDescent="0.25">
      <c r="O265" s="76"/>
      <c r="P265" s="76"/>
      <c r="Q265" s="77"/>
      <c r="R265" s="77"/>
      <c r="S265" s="77"/>
      <c r="X265" s="77"/>
      <c r="Y265" s="77"/>
      <c r="Z265" s="77"/>
      <c r="AA265" s="78"/>
      <c r="AC265" s="177" t="s">
        <v>155</v>
      </c>
    </row>
    <row r="266" spans="15:29" x14ac:dyDescent="0.25">
      <c r="O266" s="76"/>
      <c r="P266" s="76"/>
      <c r="Q266" s="77"/>
      <c r="R266" s="77"/>
      <c r="S266" s="77"/>
      <c r="X266" s="77"/>
      <c r="Y266" s="77"/>
      <c r="Z266" s="77"/>
      <c r="AA266" s="78"/>
      <c r="AC266" s="177" t="s">
        <v>196</v>
      </c>
    </row>
    <row r="267" spans="15:29" x14ac:dyDescent="0.25">
      <c r="O267" s="76"/>
      <c r="P267" s="76"/>
      <c r="Q267" s="77"/>
      <c r="R267" s="77"/>
      <c r="S267" s="77"/>
      <c r="X267" s="77"/>
      <c r="Y267" s="77"/>
      <c r="Z267" s="77"/>
      <c r="AA267" s="78"/>
      <c r="AC267" s="177" t="s">
        <v>382</v>
      </c>
    </row>
    <row r="268" spans="15:29" x14ac:dyDescent="0.25">
      <c r="O268" s="76"/>
      <c r="P268" s="76"/>
      <c r="Q268" s="77"/>
      <c r="R268" s="77"/>
      <c r="S268" s="77"/>
      <c r="X268" s="77"/>
      <c r="Y268" s="77"/>
      <c r="Z268" s="77"/>
      <c r="AA268" s="78"/>
      <c r="AC268" s="177" t="s">
        <v>133</v>
      </c>
    </row>
    <row r="269" spans="15:29" x14ac:dyDescent="0.25">
      <c r="O269" s="76"/>
      <c r="P269" s="76"/>
      <c r="Q269" s="77"/>
      <c r="R269" s="77"/>
      <c r="S269" s="77"/>
      <c r="X269" s="77"/>
      <c r="Y269" s="77"/>
      <c r="Z269" s="77"/>
      <c r="AA269" s="78"/>
      <c r="AC269" s="177" t="s">
        <v>267</v>
      </c>
    </row>
    <row r="270" spans="15:29" x14ac:dyDescent="0.25">
      <c r="O270" s="76"/>
      <c r="P270" s="76"/>
      <c r="Q270" s="77"/>
      <c r="R270" s="77"/>
      <c r="S270" s="77"/>
      <c r="X270" s="77"/>
      <c r="Y270" s="77"/>
      <c r="Z270" s="77"/>
      <c r="AA270" s="78"/>
      <c r="AC270" s="177" t="s">
        <v>268</v>
      </c>
    </row>
    <row r="271" spans="15:29" x14ac:dyDescent="0.25">
      <c r="O271" s="76"/>
      <c r="P271" s="76"/>
      <c r="Q271" s="77"/>
      <c r="R271" s="77"/>
      <c r="S271" s="77"/>
      <c r="X271" s="77"/>
      <c r="Y271" s="77"/>
      <c r="Z271" s="77"/>
      <c r="AA271" s="78"/>
      <c r="AC271" s="177" t="s">
        <v>134</v>
      </c>
    </row>
    <row r="272" spans="15:29" x14ac:dyDescent="0.25">
      <c r="O272" s="76"/>
      <c r="P272" s="76"/>
      <c r="Q272" s="77"/>
      <c r="R272" s="77"/>
      <c r="S272" s="77"/>
      <c r="X272" s="77"/>
      <c r="Y272" s="77"/>
      <c r="Z272" s="77"/>
      <c r="AA272" s="78"/>
      <c r="AC272" s="177" t="s">
        <v>383</v>
      </c>
    </row>
    <row r="273" spans="15:29" x14ac:dyDescent="0.25">
      <c r="O273" s="76"/>
      <c r="P273" s="76"/>
      <c r="Q273" s="77"/>
      <c r="R273" s="77"/>
      <c r="S273" s="77"/>
      <c r="X273" s="77"/>
      <c r="Y273" s="77"/>
      <c r="Z273" s="77"/>
      <c r="AA273" s="78"/>
      <c r="AC273" s="177" t="s">
        <v>197</v>
      </c>
    </row>
    <row r="274" spans="15:29" x14ac:dyDescent="0.25">
      <c r="O274" s="76"/>
      <c r="P274" s="76"/>
      <c r="Q274" s="77"/>
      <c r="R274" s="77"/>
      <c r="S274" s="77"/>
      <c r="X274" s="77"/>
      <c r="Y274" s="77"/>
      <c r="Z274" s="77"/>
      <c r="AA274" s="78"/>
      <c r="AC274" s="177" t="s">
        <v>269</v>
      </c>
    </row>
    <row r="275" spans="15:29" x14ac:dyDescent="0.25">
      <c r="O275" s="76"/>
      <c r="P275" s="76"/>
      <c r="Q275" s="77"/>
      <c r="R275" s="77"/>
      <c r="S275" s="77"/>
      <c r="X275" s="77"/>
      <c r="Y275" s="77"/>
      <c r="Z275" s="77"/>
      <c r="AA275" s="78"/>
      <c r="AC275" s="177" t="s">
        <v>226</v>
      </c>
    </row>
    <row r="276" spans="15:29" x14ac:dyDescent="0.25">
      <c r="O276" s="76"/>
      <c r="P276" s="76"/>
      <c r="Q276" s="77"/>
      <c r="R276" s="77"/>
      <c r="S276" s="77"/>
      <c r="X276" s="77"/>
      <c r="Y276" s="77"/>
      <c r="Z276" s="77"/>
      <c r="AA276" s="78"/>
      <c r="AC276" s="177" t="s">
        <v>198</v>
      </c>
    </row>
    <row r="277" spans="15:29" x14ac:dyDescent="0.25">
      <c r="O277" s="76"/>
      <c r="P277" s="76"/>
      <c r="Q277" s="77"/>
      <c r="R277" s="77"/>
      <c r="S277" s="77"/>
      <c r="X277" s="77"/>
      <c r="Y277" s="77"/>
      <c r="Z277" s="77"/>
      <c r="AA277" s="78"/>
      <c r="AC277" s="177" t="s">
        <v>312</v>
      </c>
    </row>
    <row r="278" spans="15:29" x14ac:dyDescent="0.25">
      <c r="O278" s="76"/>
      <c r="P278" s="76"/>
      <c r="Q278" s="77"/>
      <c r="R278" s="77"/>
      <c r="S278" s="77"/>
      <c r="X278" s="77"/>
      <c r="Y278" s="77"/>
      <c r="Z278" s="77"/>
      <c r="AA278" s="78"/>
      <c r="AC278" s="177" t="s">
        <v>417</v>
      </c>
    </row>
    <row r="279" spans="15:29" x14ac:dyDescent="0.25">
      <c r="O279" s="76"/>
      <c r="P279" s="76"/>
      <c r="Q279" s="77"/>
      <c r="R279" s="77"/>
      <c r="S279" s="77"/>
      <c r="X279" s="77"/>
      <c r="Y279" s="77"/>
      <c r="Z279" s="77"/>
      <c r="AA279" s="78"/>
      <c r="AC279" s="177" t="s">
        <v>124</v>
      </c>
    </row>
    <row r="280" spans="15:29" x14ac:dyDescent="0.25">
      <c r="O280" s="76"/>
      <c r="P280" s="76"/>
      <c r="Q280" s="77"/>
      <c r="R280" s="77"/>
      <c r="S280" s="77"/>
      <c r="X280" s="77"/>
      <c r="Y280" s="77"/>
      <c r="Z280" s="77"/>
      <c r="AA280" s="78"/>
      <c r="AC280" s="177" t="s">
        <v>313</v>
      </c>
    </row>
    <row r="281" spans="15:29" x14ac:dyDescent="0.25">
      <c r="O281" s="76"/>
      <c r="P281" s="76"/>
      <c r="Q281" s="77"/>
      <c r="R281" s="77"/>
      <c r="S281" s="77"/>
      <c r="X281" s="77"/>
      <c r="Y281" s="77"/>
      <c r="Z281" s="77"/>
      <c r="AA281" s="78"/>
      <c r="AC281" s="177" t="s">
        <v>270</v>
      </c>
    </row>
    <row r="282" spans="15:29" x14ac:dyDescent="0.25">
      <c r="O282" s="76"/>
      <c r="P282" s="76"/>
      <c r="Q282" s="77"/>
      <c r="R282" s="77"/>
      <c r="S282" s="77"/>
      <c r="X282" s="77"/>
      <c r="Y282" s="77"/>
      <c r="Z282" s="77"/>
      <c r="AA282" s="78"/>
      <c r="AC282" s="177" t="s">
        <v>199</v>
      </c>
    </row>
    <row r="283" spans="15:29" x14ac:dyDescent="0.25">
      <c r="O283" s="76"/>
      <c r="P283" s="76"/>
      <c r="Q283" s="77"/>
      <c r="R283" s="77"/>
      <c r="S283" s="77"/>
      <c r="X283" s="77"/>
      <c r="Y283" s="77"/>
      <c r="Z283" s="77"/>
      <c r="AA283" s="78"/>
      <c r="AC283" s="177" t="s">
        <v>156</v>
      </c>
    </row>
    <row r="284" spans="15:29" x14ac:dyDescent="0.25">
      <c r="O284" s="76"/>
      <c r="P284" s="76"/>
      <c r="Q284" s="77"/>
      <c r="R284" s="77"/>
      <c r="S284" s="77"/>
      <c r="X284" s="77"/>
      <c r="Y284" s="77"/>
      <c r="Z284" s="77"/>
      <c r="AA284" s="78"/>
      <c r="AC284" s="177" t="s">
        <v>336</v>
      </c>
    </row>
    <row r="285" spans="15:29" x14ac:dyDescent="0.25">
      <c r="O285" s="76"/>
      <c r="P285" s="76"/>
      <c r="Q285" s="77"/>
      <c r="R285" s="77"/>
      <c r="S285" s="77"/>
      <c r="X285" s="77"/>
      <c r="Y285" s="77"/>
      <c r="Z285" s="77"/>
      <c r="AA285" s="78"/>
      <c r="AC285" s="177" t="s">
        <v>200</v>
      </c>
    </row>
    <row r="286" spans="15:29" x14ac:dyDescent="0.25">
      <c r="O286" s="76"/>
      <c r="P286" s="76"/>
      <c r="Q286" s="77"/>
      <c r="R286" s="77"/>
      <c r="S286" s="77"/>
      <c r="X286" s="77"/>
      <c r="Y286" s="77"/>
      <c r="Z286" s="77"/>
      <c r="AA286" s="78"/>
      <c r="AC286" s="177" t="s">
        <v>227</v>
      </c>
    </row>
    <row r="287" spans="15:29" x14ac:dyDescent="0.25">
      <c r="O287" s="76"/>
      <c r="P287" s="76"/>
      <c r="Q287" s="77"/>
      <c r="R287" s="77"/>
      <c r="S287" s="77"/>
      <c r="X287" s="77"/>
      <c r="Y287" s="77"/>
      <c r="Z287" s="77"/>
      <c r="AA287" s="78"/>
      <c r="AC287" s="177" t="s">
        <v>384</v>
      </c>
    </row>
    <row r="288" spans="15:29" x14ac:dyDescent="0.25">
      <c r="O288" s="76"/>
      <c r="P288" s="76"/>
      <c r="Q288" s="77"/>
      <c r="R288" s="77"/>
      <c r="S288" s="77"/>
      <c r="X288" s="77"/>
      <c r="Y288" s="77"/>
      <c r="Z288" s="77"/>
      <c r="AA288" s="78"/>
      <c r="AC288" s="177" t="s">
        <v>201</v>
      </c>
    </row>
    <row r="289" spans="15:29" x14ac:dyDescent="0.25">
      <c r="O289" s="76"/>
      <c r="P289" s="76"/>
      <c r="Q289" s="77"/>
      <c r="R289" s="77"/>
      <c r="S289" s="77"/>
      <c r="X289" s="77"/>
      <c r="Y289" s="77"/>
      <c r="Z289" s="77"/>
      <c r="AA289" s="78"/>
      <c r="AC289" s="177" t="s">
        <v>228</v>
      </c>
    </row>
    <row r="290" spans="15:29" x14ac:dyDescent="0.25">
      <c r="O290" s="76"/>
      <c r="P290" s="76"/>
      <c r="Q290" s="77"/>
      <c r="R290" s="77"/>
      <c r="S290" s="77"/>
      <c r="X290" s="77"/>
      <c r="Y290" s="77"/>
      <c r="Z290" s="77"/>
      <c r="AA290" s="78"/>
      <c r="AC290" s="177" t="s">
        <v>314</v>
      </c>
    </row>
    <row r="291" spans="15:29" x14ac:dyDescent="0.25">
      <c r="O291" s="76"/>
      <c r="P291" s="76"/>
      <c r="Q291" s="77"/>
      <c r="R291" s="77"/>
      <c r="S291" s="77"/>
      <c r="X291" s="77"/>
      <c r="Y291" s="77"/>
      <c r="Z291" s="77"/>
      <c r="AA291" s="78"/>
      <c r="AC291" s="177" t="s">
        <v>157</v>
      </c>
    </row>
    <row r="292" spans="15:29" x14ac:dyDescent="0.25">
      <c r="O292" s="76"/>
      <c r="P292" s="76"/>
      <c r="Q292" s="77"/>
      <c r="R292" s="77"/>
      <c r="S292" s="77"/>
      <c r="X292" s="77"/>
      <c r="Y292" s="77"/>
      <c r="Z292" s="77"/>
      <c r="AA292" s="78"/>
      <c r="AC292" s="177" t="s">
        <v>315</v>
      </c>
    </row>
    <row r="293" spans="15:29" x14ac:dyDescent="0.25">
      <c r="O293" s="76"/>
      <c r="P293" s="76"/>
      <c r="Q293" s="77"/>
      <c r="R293" s="77"/>
      <c r="S293" s="77"/>
      <c r="X293" s="77"/>
      <c r="Y293" s="77"/>
      <c r="Z293" s="77"/>
      <c r="AA293" s="78"/>
      <c r="AC293" s="177" t="s">
        <v>418</v>
      </c>
    </row>
    <row r="294" spans="15:29" x14ac:dyDescent="0.25">
      <c r="O294" s="76"/>
      <c r="P294" s="76"/>
      <c r="Q294" s="77"/>
      <c r="R294" s="77"/>
      <c r="S294" s="77"/>
      <c r="X294" s="77"/>
      <c r="Y294" s="77"/>
      <c r="Z294" s="77"/>
      <c r="AA294" s="78"/>
      <c r="AC294" s="177" t="s">
        <v>419</v>
      </c>
    </row>
    <row r="295" spans="15:29" x14ac:dyDescent="0.25">
      <c r="O295" s="76"/>
      <c r="P295" s="76"/>
      <c r="Q295" s="77"/>
      <c r="R295" s="77"/>
      <c r="S295" s="77"/>
      <c r="X295" s="77"/>
      <c r="Y295" s="77"/>
      <c r="Z295" s="77"/>
      <c r="AA295" s="78"/>
      <c r="AC295" s="177" t="s">
        <v>385</v>
      </c>
    </row>
    <row r="296" spans="15:29" x14ac:dyDescent="0.25">
      <c r="O296" s="76"/>
      <c r="P296" s="76"/>
      <c r="Q296" s="77"/>
      <c r="R296" s="77"/>
      <c r="S296" s="77"/>
      <c r="X296" s="77"/>
      <c r="Y296" s="77"/>
      <c r="Z296" s="77"/>
      <c r="AA296" s="78"/>
      <c r="AC296" s="177" t="s">
        <v>316</v>
      </c>
    </row>
    <row r="297" spans="15:29" x14ac:dyDescent="0.25">
      <c r="O297" s="76"/>
      <c r="P297" s="76"/>
      <c r="Q297" s="77"/>
      <c r="R297" s="77"/>
      <c r="S297" s="77"/>
      <c r="X297" s="77"/>
      <c r="Y297" s="77"/>
      <c r="Z297" s="77"/>
      <c r="AA297" s="78"/>
      <c r="AC297" s="177" t="s">
        <v>202</v>
      </c>
    </row>
    <row r="298" spans="15:29" x14ac:dyDescent="0.25">
      <c r="O298" s="76"/>
      <c r="P298" s="76"/>
      <c r="Q298" s="77"/>
      <c r="R298" s="77"/>
      <c r="S298" s="77"/>
      <c r="X298" s="77"/>
      <c r="Y298" s="77"/>
      <c r="Z298" s="77"/>
      <c r="AA298" s="78"/>
      <c r="AC298" s="177" t="s">
        <v>386</v>
      </c>
    </row>
    <row r="299" spans="15:29" x14ac:dyDescent="0.25">
      <c r="O299" s="76"/>
      <c r="P299" s="76"/>
      <c r="Q299" s="77"/>
      <c r="R299" s="77"/>
      <c r="S299" s="77"/>
      <c r="X299" s="77"/>
      <c r="Y299" s="77"/>
      <c r="Z299" s="77"/>
      <c r="AA299" s="78"/>
      <c r="AC299" s="177" t="s">
        <v>271</v>
      </c>
    </row>
    <row r="300" spans="15:29" x14ac:dyDescent="0.25">
      <c r="O300" s="76"/>
      <c r="P300" s="76"/>
      <c r="Q300" s="77"/>
      <c r="R300" s="77"/>
      <c r="S300" s="77"/>
      <c r="X300" s="77"/>
      <c r="Y300" s="77"/>
      <c r="Z300" s="77"/>
      <c r="AA300" s="78"/>
      <c r="AC300" s="177" t="s">
        <v>203</v>
      </c>
    </row>
    <row r="301" spans="15:29" x14ac:dyDescent="0.25">
      <c r="O301" s="76"/>
      <c r="P301" s="76"/>
      <c r="Q301" s="77"/>
      <c r="R301" s="77"/>
      <c r="S301" s="77"/>
      <c r="X301" s="77"/>
      <c r="Y301" s="77"/>
      <c r="Z301" s="77"/>
      <c r="AA301" s="78"/>
      <c r="AC301" s="177" t="s">
        <v>317</v>
      </c>
    </row>
    <row r="302" spans="15:29" x14ac:dyDescent="0.25">
      <c r="O302" s="76"/>
      <c r="P302" s="76"/>
      <c r="Q302" s="77"/>
      <c r="R302" s="77"/>
      <c r="S302" s="77"/>
      <c r="X302" s="77"/>
      <c r="Y302" s="77"/>
      <c r="Z302" s="77"/>
      <c r="AA302" s="78"/>
      <c r="AC302" s="177" t="s">
        <v>135</v>
      </c>
    </row>
    <row r="303" spans="15:29" x14ac:dyDescent="0.25">
      <c r="O303" s="76"/>
      <c r="P303" s="76"/>
      <c r="Q303" s="77"/>
      <c r="R303" s="77"/>
      <c r="S303" s="77"/>
      <c r="X303" s="77"/>
      <c r="Y303" s="77"/>
      <c r="Z303" s="77"/>
      <c r="AA303" s="78"/>
      <c r="AC303" s="177" t="s">
        <v>337</v>
      </c>
    </row>
    <row r="304" spans="15:29" x14ac:dyDescent="0.25">
      <c r="O304" s="76"/>
      <c r="P304" s="76"/>
      <c r="Q304" s="77"/>
      <c r="R304" s="77"/>
      <c r="S304" s="77"/>
      <c r="X304" s="77"/>
      <c r="Y304" s="77"/>
      <c r="Z304" s="77"/>
      <c r="AA304" s="78"/>
      <c r="AC304" s="177" t="s">
        <v>443</v>
      </c>
    </row>
    <row r="305" spans="15:29" x14ac:dyDescent="0.25">
      <c r="O305" s="76"/>
      <c r="P305" s="76"/>
      <c r="Q305" s="77"/>
      <c r="R305" s="77"/>
      <c r="S305" s="77"/>
      <c r="X305" s="77"/>
      <c r="Y305" s="77"/>
      <c r="Z305" s="77"/>
      <c r="AA305" s="78"/>
      <c r="AC305" s="177" t="s">
        <v>480</v>
      </c>
    </row>
    <row r="306" spans="15:29" x14ac:dyDescent="0.25">
      <c r="O306" s="76"/>
      <c r="P306" s="76"/>
      <c r="Q306" s="77"/>
      <c r="R306" s="77"/>
      <c r="S306" s="77"/>
      <c r="X306" s="77"/>
      <c r="Y306" s="77"/>
      <c r="Z306" s="77"/>
      <c r="AA306" s="78"/>
      <c r="AC306" s="177" t="s">
        <v>420</v>
      </c>
    </row>
    <row r="307" spans="15:29" x14ac:dyDescent="0.25">
      <c r="O307" s="76"/>
      <c r="P307" s="76"/>
      <c r="Q307" s="77"/>
      <c r="R307" s="77"/>
      <c r="S307" s="77"/>
      <c r="X307" s="77"/>
      <c r="Y307" s="77"/>
      <c r="Z307" s="77"/>
      <c r="AA307" s="78"/>
      <c r="AC307" s="177" t="s">
        <v>439</v>
      </c>
    </row>
    <row r="308" spans="15:29" x14ac:dyDescent="0.25">
      <c r="O308" s="76"/>
      <c r="P308" s="76"/>
      <c r="Q308" s="77"/>
      <c r="R308" s="77"/>
      <c r="S308" s="77"/>
      <c r="X308" s="77"/>
      <c r="Y308" s="77"/>
      <c r="Z308" s="77"/>
      <c r="AA308" s="78"/>
      <c r="AC308" s="177" t="s">
        <v>387</v>
      </c>
    </row>
    <row r="309" spans="15:29" x14ac:dyDescent="0.25">
      <c r="O309" s="76"/>
      <c r="P309" s="76"/>
      <c r="Q309" s="77"/>
      <c r="R309" s="77"/>
      <c r="S309" s="77"/>
      <c r="X309" s="77"/>
      <c r="Y309" s="77"/>
      <c r="Z309" s="77"/>
      <c r="AA309" s="78"/>
      <c r="AC309" s="177" t="s">
        <v>421</v>
      </c>
    </row>
    <row r="310" spans="15:29" x14ac:dyDescent="0.25">
      <c r="O310" s="76"/>
      <c r="P310" s="76"/>
      <c r="Q310" s="77"/>
      <c r="R310" s="77"/>
      <c r="S310" s="77"/>
      <c r="X310" s="77"/>
      <c r="Y310" s="77"/>
      <c r="Z310" s="77"/>
      <c r="AA310" s="78"/>
      <c r="AC310" s="177" t="s">
        <v>318</v>
      </c>
    </row>
    <row r="311" spans="15:29" x14ac:dyDescent="0.25">
      <c r="O311" s="76"/>
      <c r="P311" s="76"/>
      <c r="Q311" s="77"/>
      <c r="R311" s="77"/>
      <c r="S311" s="77"/>
      <c r="X311" s="77"/>
      <c r="Y311" s="77"/>
      <c r="Z311" s="77"/>
      <c r="AA311" s="78"/>
      <c r="AC311" s="177" t="s">
        <v>338</v>
      </c>
    </row>
    <row r="312" spans="15:29" x14ac:dyDescent="0.25">
      <c r="O312" s="76"/>
      <c r="P312" s="76"/>
      <c r="Q312" s="77"/>
      <c r="R312" s="77"/>
      <c r="S312" s="77"/>
      <c r="X312" s="77"/>
      <c r="Y312" s="77"/>
      <c r="Z312" s="77"/>
      <c r="AA312" s="78"/>
      <c r="AC312" s="177" t="s">
        <v>136</v>
      </c>
    </row>
    <row r="313" spans="15:29" x14ac:dyDescent="0.25">
      <c r="O313" s="76"/>
      <c r="P313" s="76"/>
      <c r="Q313" s="77"/>
      <c r="R313" s="77"/>
      <c r="S313" s="77"/>
      <c r="X313" s="77"/>
      <c r="Y313" s="77"/>
      <c r="Z313" s="77"/>
      <c r="AA313" s="78"/>
      <c r="AC313" s="177" t="s">
        <v>229</v>
      </c>
    </row>
    <row r="314" spans="15:29" x14ac:dyDescent="0.25">
      <c r="O314" s="76"/>
      <c r="P314" s="76"/>
      <c r="Q314" s="77"/>
      <c r="R314" s="77"/>
      <c r="S314" s="77"/>
      <c r="X314" s="77"/>
      <c r="Y314" s="77"/>
      <c r="Z314" s="77"/>
      <c r="AA314" s="78"/>
      <c r="AC314" s="177" t="s">
        <v>388</v>
      </c>
    </row>
    <row r="315" spans="15:29" x14ac:dyDescent="0.25">
      <c r="O315" s="76"/>
      <c r="P315" s="76"/>
      <c r="Q315" s="77"/>
      <c r="R315" s="77"/>
      <c r="S315" s="77"/>
      <c r="X315" s="77"/>
      <c r="Y315" s="77"/>
      <c r="Z315" s="77"/>
      <c r="AA315" s="78"/>
      <c r="AC315" s="177" t="s">
        <v>389</v>
      </c>
    </row>
    <row r="316" spans="15:29" x14ac:dyDescent="0.25">
      <c r="O316" s="76"/>
      <c r="P316" s="76"/>
      <c r="Q316" s="77"/>
      <c r="R316" s="77"/>
      <c r="S316" s="77"/>
      <c r="X316" s="77"/>
      <c r="Y316" s="77"/>
      <c r="Z316" s="77"/>
      <c r="AA316" s="78"/>
      <c r="AC316" s="177" t="s">
        <v>125</v>
      </c>
    </row>
    <row r="317" spans="15:29" x14ac:dyDescent="0.25">
      <c r="O317" s="76"/>
      <c r="P317" s="76"/>
      <c r="Q317" s="77"/>
      <c r="R317" s="77"/>
      <c r="S317" s="77"/>
      <c r="X317" s="77"/>
      <c r="Y317" s="77"/>
      <c r="Z317" s="77"/>
      <c r="AA317" s="78"/>
      <c r="AC317" s="177" t="s">
        <v>158</v>
      </c>
    </row>
    <row r="318" spans="15:29" x14ac:dyDescent="0.25">
      <c r="O318" s="76"/>
      <c r="P318" s="76"/>
      <c r="Q318" s="77"/>
      <c r="R318" s="77"/>
      <c r="S318" s="77"/>
      <c r="X318" s="77"/>
      <c r="Y318" s="77"/>
      <c r="Z318" s="77"/>
      <c r="AA318" s="78"/>
      <c r="AC318" s="177" t="s">
        <v>272</v>
      </c>
    </row>
    <row r="319" spans="15:29" x14ac:dyDescent="0.25">
      <c r="O319" s="76"/>
      <c r="P319" s="76"/>
      <c r="Q319" s="77"/>
      <c r="R319" s="77"/>
      <c r="S319" s="77"/>
      <c r="X319" s="77"/>
      <c r="Y319" s="77"/>
      <c r="Z319" s="77"/>
      <c r="AA319" s="78"/>
      <c r="AC319" s="177" t="s">
        <v>390</v>
      </c>
    </row>
    <row r="320" spans="15:29" x14ac:dyDescent="0.25">
      <c r="O320" s="76"/>
      <c r="P320" s="76"/>
      <c r="Q320" s="77"/>
      <c r="R320" s="77"/>
      <c r="S320" s="77"/>
      <c r="X320" s="77"/>
      <c r="Y320" s="77"/>
      <c r="Z320" s="77"/>
      <c r="AA320" s="78"/>
      <c r="AC320" s="177" t="s">
        <v>159</v>
      </c>
    </row>
    <row r="321" spans="15:29" x14ac:dyDescent="0.25">
      <c r="O321" s="76"/>
      <c r="P321" s="76"/>
      <c r="Q321" s="77"/>
      <c r="R321" s="77"/>
      <c r="S321" s="77"/>
      <c r="X321" s="77"/>
      <c r="Y321" s="77"/>
      <c r="Z321" s="77"/>
      <c r="AA321" s="78"/>
      <c r="AC321" s="177" t="s">
        <v>422</v>
      </c>
    </row>
    <row r="322" spans="15:29" x14ac:dyDescent="0.25">
      <c r="O322" s="76"/>
      <c r="P322" s="76"/>
      <c r="Q322" s="77"/>
      <c r="R322" s="77"/>
      <c r="S322" s="77"/>
      <c r="X322" s="77"/>
      <c r="Y322" s="77"/>
      <c r="Z322" s="77"/>
      <c r="AA322" s="78"/>
      <c r="AC322" s="177" t="s">
        <v>230</v>
      </c>
    </row>
    <row r="323" spans="15:29" x14ac:dyDescent="0.25">
      <c r="O323" s="76"/>
      <c r="P323" s="76"/>
      <c r="Q323" s="77"/>
      <c r="R323" s="77"/>
      <c r="S323" s="77"/>
      <c r="X323" s="77"/>
      <c r="Y323" s="77"/>
      <c r="Z323" s="77"/>
      <c r="AA323" s="78"/>
      <c r="AC323" s="177" t="s">
        <v>440</v>
      </c>
    </row>
    <row r="324" spans="15:29" x14ac:dyDescent="0.25">
      <c r="O324" s="76"/>
      <c r="P324" s="76"/>
      <c r="Q324" s="77"/>
      <c r="R324" s="77"/>
      <c r="S324" s="77"/>
      <c r="X324" s="77"/>
      <c r="Y324" s="77"/>
      <c r="Z324" s="77"/>
      <c r="AA324" s="78"/>
      <c r="AC324" s="177" t="s">
        <v>339</v>
      </c>
    </row>
    <row r="325" spans="15:29" x14ac:dyDescent="0.25">
      <c r="O325" s="76"/>
      <c r="P325" s="76"/>
      <c r="Q325" s="77"/>
      <c r="R325" s="77"/>
      <c r="S325" s="77"/>
      <c r="X325" s="77"/>
      <c r="Y325" s="77"/>
      <c r="Z325" s="77"/>
      <c r="AA325" s="78"/>
      <c r="AC325" s="177" t="s">
        <v>137</v>
      </c>
    </row>
    <row r="326" spans="15:29" x14ac:dyDescent="0.25">
      <c r="O326" s="76"/>
      <c r="P326" s="76"/>
      <c r="Q326" s="77"/>
      <c r="R326" s="77"/>
      <c r="S326" s="77"/>
      <c r="X326" s="77"/>
      <c r="Y326" s="77"/>
      <c r="Z326" s="77"/>
      <c r="AA326" s="78"/>
      <c r="AC326" s="177" t="s">
        <v>273</v>
      </c>
    </row>
    <row r="327" spans="15:29" x14ac:dyDescent="0.25">
      <c r="O327" s="76"/>
      <c r="P327" s="76"/>
      <c r="Q327" s="77"/>
      <c r="R327" s="77"/>
      <c r="S327" s="77"/>
      <c r="X327" s="77"/>
      <c r="Y327" s="77"/>
      <c r="Z327" s="77"/>
      <c r="AA327" s="78"/>
      <c r="AC327" s="177" t="s">
        <v>319</v>
      </c>
    </row>
    <row r="328" spans="15:29" x14ac:dyDescent="0.25">
      <c r="O328" s="76"/>
      <c r="P328" s="76"/>
      <c r="Q328" s="77"/>
      <c r="R328" s="77"/>
      <c r="S328" s="77"/>
      <c r="X328" s="77"/>
      <c r="Y328" s="77"/>
      <c r="Z328" s="77"/>
      <c r="AA328" s="78"/>
      <c r="AC328" s="177" t="s">
        <v>340</v>
      </c>
    </row>
    <row r="329" spans="15:29" x14ac:dyDescent="0.25">
      <c r="O329" s="76"/>
      <c r="P329" s="76"/>
      <c r="Q329" s="77"/>
      <c r="R329" s="77"/>
      <c r="S329" s="77"/>
      <c r="X329" s="77"/>
      <c r="Y329" s="77"/>
      <c r="Z329" s="77"/>
      <c r="AA329" s="78"/>
      <c r="AC329" s="177" t="s">
        <v>204</v>
      </c>
    </row>
    <row r="330" spans="15:29" x14ac:dyDescent="0.25">
      <c r="O330" s="76"/>
      <c r="P330" s="76"/>
      <c r="Q330" s="77"/>
      <c r="R330" s="77"/>
      <c r="S330" s="77"/>
      <c r="X330" s="77"/>
      <c r="Y330" s="77"/>
      <c r="Z330" s="77"/>
      <c r="AA330" s="78"/>
      <c r="AC330" s="177" t="s">
        <v>391</v>
      </c>
    </row>
    <row r="331" spans="15:29" x14ac:dyDescent="0.25">
      <c r="O331" s="76"/>
      <c r="P331" s="76"/>
      <c r="Q331" s="77"/>
      <c r="R331" s="77"/>
      <c r="S331" s="77"/>
      <c r="X331" s="77"/>
      <c r="Y331" s="77"/>
      <c r="Z331" s="77"/>
      <c r="AA331" s="78"/>
      <c r="AC331" s="198" t="s">
        <v>160</v>
      </c>
    </row>
    <row r="332" spans="15:29" x14ac:dyDescent="0.25">
      <c r="O332" s="76"/>
      <c r="P332" s="76"/>
      <c r="Q332" s="77"/>
      <c r="R332" s="77"/>
      <c r="S332" s="77"/>
      <c r="X332" s="77"/>
      <c r="Y332" s="77"/>
      <c r="Z332" s="77"/>
      <c r="AA332" s="78"/>
      <c r="AC332" s="198" t="s">
        <v>161</v>
      </c>
    </row>
    <row r="333" spans="15:29" x14ac:dyDescent="0.25">
      <c r="O333" s="76"/>
      <c r="P333" s="76"/>
      <c r="Q333" s="77"/>
      <c r="R333" s="77"/>
      <c r="S333" s="77"/>
      <c r="X333" s="77"/>
      <c r="Y333" s="77"/>
      <c r="Z333" s="77"/>
      <c r="AA333" s="78"/>
      <c r="AC333" s="177" t="s">
        <v>115</v>
      </c>
    </row>
    <row r="334" spans="15:29" x14ac:dyDescent="0.25">
      <c r="O334" s="76"/>
      <c r="P334" s="76"/>
      <c r="Q334" s="77"/>
      <c r="R334" s="77"/>
      <c r="S334" s="77"/>
      <c r="X334" s="77"/>
      <c r="Y334" s="77"/>
      <c r="Z334" s="77"/>
      <c r="AA334" s="78"/>
      <c r="AC334" s="177" t="s">
        <v>138</v>
      </c>
    </row>
    <row r="335" spans="15:29" x14ac:dyDescent="0.25">
      <c r="O335" s="76"/>
      <c r="P335" s="76"/>
      <c r="Q335" s="77"/>
      <c r="R335" s="77"/>
      <c r="S335" s="77"/>
      <c r="X335" s="77"/>
      <c r="Y335" s="77"/>
      <c r="Z335" s="77"/>
      <c r="AA335" s="78"/>
      <c r="AC335" s="177" t="s">
        <v>392</v>
      </c>
    </row>
    <row r="336" spans="15:29" x14ac:dyDescent="0.25">
      <c r="O336" s="76"/>
      <c r="P336" s="76"/>
      <c r="Q336" s="77"/>
      <c r="R336" s="77"/>
      <c r="S336" s="77"/>
      <c r="X336" s="77"/>
      <c r="Y336" s="77"/>
      <c r="Z336" s="77"/>
      <c r="AA336" s="78"/>
      <c r="AC336" s="177" t="s">
        <v>274</v>
      </c>
    </row>
    <row r="337" spans="15:29" x14ac:dyDescent="0.25">
      <c r="O337" s="76"/>
      <c r="P337" s="76"/>
      <c r="Q337" s="77"/>
      <c r="R337" s="77"/>
      <c r="S337" s="77"/>
      <c r="X337" s="77"/>
      <c r="Y337" s="77"/>
      <c r="Z337" s="77"/>
      <c r="AA337" s="78"/>
      <c r="AC337" s="177" t="s">
        <v>275</v>
      </c>
    </row>
    <row r="338" spans="15:29" x14ac:dyDescent="0.25">
      <c r="O338" s="76"/>
      <c r="P338" s="76"/>
      <c r="Q338" s="77"/>
      <c r="R338" s="77"/>
      <c r="S338" s="77"/>
      <c r="X338" s="77"/>
      <c r="Y338" s="77"/>
      <c r="Z338" s="77"/>
      <c r="AA338" s="78"/>
      <c r="AC338" s="177" t="s">
        <v>433</v>
      </c>
    </row>
    <row r="339" spans="15:29" x14ac:dyDescent="0.25">
      <c r="O339" s="76"/>
      <c r="P339" s="76"/>
      <c r="Q339" s="77"/>
      <c r="R339" s="77"/>
      <c r="S339" s="77"/>
      <c r="X339" s="77"/>
      <c r="Y339" s="77"/>
      <c r="Z339" s="77"/>
      <c r="AA339" s="78"/>
      <c r="AC339" s="177" t="s">
        <v>231</v>
      </c>
    </row>
    <row r="340" spans="15:29" x14ac:dyDescent="0.25">
      <c r="O340" s="76"/>
      <c r="P340" s="76"/>
      <c r="Q340" s="77"/>
      <c r="R340" s="77"/>
      <c r="S340" s="77"/>
      <c r="X340" s="77"/>
      <c r="Y340" s="77"/>
      <c r="Z340" s="77"/>
      <c r="AA340" s="78"/>
      <c r="AC340" s="177" t="s">
        <v>232</v>
      </c>
    </row>
    <row r="341" spans="15:29" x14ac:dyDescent="0.25">
      <c r="O341" s="76"/>
      <c r="P341" s="76"/>
      <c r="Q341" s="77"/>
      <c r="R341" s="77"/>
      <c r="S341" s="77"/>
      <c r="X341" s="77"/>
      <c r="Y341" s="77"/>
      <c r="Z341" s="77"/>
      <c r="AA341" s="78"/>
      <c r="AC341" s="177" t="s">
        <v>423</v>
      </c>
    </row>
    <row r="342" spans="15:29" x14ac:dyDescent="0.25">
      <c r="O342" s="76"/>
      <c r="P342" s="76"/>
      <c r="Q342" s="77"/>
      <c r="R342" s="77"/>
      <c r="S342" s="77"/>
      <c r="X342" s="77"/>
      <c r="Y342" s="77"/>
      <c r="Z342" s="77"/>
      <c r="AA342" s="78"/>
      <c r="AC342" s="177" t="s">
        <v>424</v>
      </c>
    </row>
    <row r="343" spans="15:29" x14ac:dyDescent="0.25">
      <c r="O343" s="76"/>
      <c r="P343" s="76"/>
      <c r="Q343" s="77"/>
      <c r="R343" s="77"/>
      <c r="S343" s="77"/>
      <c r="X343" s="77"/>
      <c r="Y343" s="77"/>
      <c r="Z343" s="77"/>
      <c r="AA343" s="78"/>
      <c r="AC343" s="177" t="s">
        <v>393</v>
      </c>
    </row>
    <row r="344" spans="15:29" x14ac:dyDescent="0.25">
      <c r="O344" s="76"/>
      <c r="P344" s="76"/>
      <c r="Q344" s="77"/>
      <c r="R344" s="77"/>
      <c r="S344" s="77"/>
      <c r="X344" s="77"/>
      <c r="Y344" s="77"/>
      <c r="Z344" s="77"/>
      <c r="AA344" s="78"/>
      <c r="AC344" s="177" t="s">
        <v>126</v>
      </c>
    </row>
    <row r="345" spans="15:29" x14ac:dyDescent="0.25">
      <c r="O345" s="76"/>
      <c r="P345" s="76"/>
      <c r="Q345" s="77"/>
      <c r="R345" s="77"/>
      <c r="S345" s="77"/>
      <c r="X345" s="77"/>
      <c r="Y345" s="77"/>
      <c r="Z345" s="77"/>
      <c r="AA345" s="78"/>
      <c r="AC345" s="177" t="s">
        <v>233</v>
      </c>
    </row>
    <row r="346" spans="15:29" x14ac:dyDescent="0.25">
      <c r="O346" s="76"/>
      <c r="P346" s="76"/>
      <c r="Q346" s="77"/>
      <c r="R346" s="77"/>
      <c r="S346" s="77"/>
      <c r="X346" s="77"/>
      <c r="Y346" s="77"/>
      <c r="Z346" s="77"/>
      <c r="AA346" s="78"/>
      <c r="AC346" s="177" t="s">
        <v>341</v>
      </c>
    </row>
    <row r="347" spans="15:29" x14ac:dyDescent="0.25">
      <c r="O347" s="76"/>
      <c r="P347" s="76"/>
      <c r="Q347" s="77"/>
      <c r="R347" s="77"/>
      <c r="S347" s="77"/>
      <c r="X347" s="77"/>
      <c r="Y347" s="77"/>
      <c r="Z347" s="77"/>
      <c r="AA347" s="78"/>
      <c r="AC347" s="177" t="s">
        <v>394</v>
      </c>
    </row>
    <row r="348" spans="15:29" x14ac:dyDescent="0.25">
      <c r="O348" s="76"/>
      <c r="P348" s="76"/>
      <c r="Q348" s="77"/>
      <c r="R348" s="77"/>
      <c r="S348" s="77"/>
      <c r="X348" s="77"/>
      <c r="Y348" s="77"/>
      <c r="Z348" s="77"/>
      <c r="AA348" s="78"/>
      <c r="AC348" s="177" t="s">
        <v>276</v>
      </c>
    </row>
    <row r="349" spans="15:29" x14ac:dyDescent="0.25">
      <c r="O349" s="76"/>
      <c r="P349" s="76"/>
      <c r="Q349" s="77"/>
      <c r="R349" s="77"/>
      <c r="S349" s="77"/>
      <c r="X349" s="77"/>
      <c r="Y349" s="77"/>
      <c r="Z349" s="77"/>
      <c r="AA349" s="78"/>
      <c r="AC349" s="177" t="s">
        <v>425</v>
      </c>
    </row>
    <row r="350" spans="15:29" x14ac:dyDescent="0.25">
      <c r="O350" s="76"/>
      <c r="P350" s="76"/>
      <c r="Q350" s="77"/>
      <c r="R350" s="77"/>
      <c r="S350" s="77"/>
      <c r="X350" s="77"/>
      <c r="Y350" s="77"/>
      <c r="Z350" s="77"/>
      <c r="AA350" s="78"/>
      <c r="AC350" s="177" t="s">
        <v>426</v>
      </c>
    </row>
    <row r="351" spans="15:29" x14ac:dyDescent="0.25">
      <c r="O351" s="76"/>
      <c r="P351" s="76"/>
      <c r="Q351" s="77"/>
      <c r="R351" s="77"/>
      <c r="S351" s="77"/>
      <c r="X351" s="77"/>
      <c r="Y351" s="77"/>
      <c r="Z351" s="77"/>
      <c r="AA351" s="78"/>
      <c r="AC351" s="177" t="s">
        <v>605</v>
      </c>
    </row>
    <row r="352" spans="15:29" x14ac:dyDescent="0.25">
      <c r="O352" s="76"/>
      <c r="P352" s="76"/>
      <c r="Q352" s="77"/>
      <c r="R352" s="77"/>
      <c r="S352" s="77"/>
      <c r="X352" s="77"/>
      <c r="Y352" s="77"/>
      <c r="Z352" s="77"/>
      <c r="AA352" s="78"/>
      <c r="AC352" s="177" t="s">
        <v>320</v>
      </c>
    </row>
    <row r="353" spans="15:29" x14ac:dyDescent="0.25">
      <c r="O353" s="76"/>
      <c r="P353" s="76"/>
      <c r="Q353" s="77"/>
      <c r="R353" s="77"/>
      <c r="S353" s="77"/>
      <c r="X353" s="77"/>
      <c r="Y353" s="77"/>
      <c r="Z353" s="77"/>
      <c r="AA353" s="78"/>
      <c r="AC353" s="177" t="s">
        <v>139</v>
      </c>
    </row>
    <row r="354" spans="15:29" x14ac:dyDescent="0.25">
      <c r="O354" s="76"/>
      <c r="P354" s="76"/>
      <c r="Q354" s="77"/>
      <c r="R354" s="77"/>
      <c r="S354" s="77"/>
      <c r="X354" s="77"/>
      <c r="Y354" s="77"/>
      <c r="Z354" s="77"/>
      <c r="AA354" s="78"/>
      <c r="AC354" s="177" t="s">
        <v>342</v>
      </c>
    </row>
    <row r="355" spans="15:29" x14ac:dyDescent="0.25">
      <c r="O355" s="76"/>
      <c r="P355" s="76"/>
      <c r="Q355" s="77"/>
      <c r="R355" s="77"/>
      <c r="S355" s="77"/>
      <c r="X355" s="77"/>
      <c r="Y355" s="77"/>
      <c r="Z355" s="77"/>
      <c r="AA355" s="78"/>
      <c r="AC355" s="177" t="s">
        <v>427</v>
      </c>
    </row>
    <row r="356" spans="15:29" x14ac:dyDescent="0.25">
      <c r="O356" s="76"/>
      <c r="P356" s="76"/>
      <c r="Q356" s="77"/>
      <c r="R356" s="77"/>
      <c r="S356" s="77"/>
      <c r="X356" s="77"/>
      <c r="Y356" s="77"/>
      <c r="Z356" s="77"/>
      <c r="AA356" s="78"/>
      <c r="AC356" s="177" t="s">
        <v>321</v>
      </c>
    </row>
    <row r="357" spans="15:29" x14ac:dyDescent="0.25">
      <c r="O357" s="76"/>
      <c r="P357" s="76"/>
      <c r="Q357" s="77"/>
      <c r="R357" s="77"/>
      <c r="S357" s="77"/>
      <c r="X357" s="77"/>
      <c r="Y357" s="77"/>
      <c r="Z357" s="77"/>
      <c r="AA357" s="78"/>
      <c r="AC357" s="177" t="s">
        <v>205</v>
      </c>
    </row>
    <row r="358" spans="15:29" x14ac:dyDescent="0.25">
      <c r="O358" s="76"/>
      <c r="P358" s="76"/>
      <c r="Q358" s="77"/>
      <c r="R358" s="77"/>
      <c r="S358" s="77"/>
      <c r="X358" s="77"/>
      <c r="Y358" s="77"/>
      <c r="Z358" s="77"/>
      <c r="AA358" s="78"/>
      <c r="AC358" s="177" t="s">
        <v>395</v>
      </c>
    </row>
    <row r="359" spans="15:29" x14ac:dyDescent="0.25">
      <c r="O359" s="76"/>
      <c r="P359" s="76"/>
      <c r="Q359" s="77"/>
      <c r="R359" s="77"/>
      <c r="S359" s="77"/>
      <c r="X359" s="77"/>
      <c r="Y359" s="77"/>
      <c r="Z359" s="77"/>
      <c r="AA359" s="78"/>
      <c r="AC359" s="177" t="s">
        <v>606</v>
      </c>
    </row>
    <row r="360" spans="15:29" x14ac:dyDescent="0.25">
      <c r="O360" s="76"/>
      <c r="P360" s="76"/>
      <c r="Q360" s="77"/>
      <c r="R360" s="77"/>
      <c r="S360" s="77"/>
      <c r="X360" s="77"/>
      <c r="Y360" s="77"/>
      <c r="Z360" s="77"/>
      <c r="AA360" s="78"/>
      <c r="AC360" s="177" t="s">
        <v>396</v>
      </c>
    </row>
    <row r="361" spans="15:29" x14ac:dyDescent="0.25">
      <c r="O361" s="76"/>
      <c r="P361" s="76"/>
      <c r="Q361" s="77"/>
      <c r="R361" s="77"/>
      <c r="S361" s="77"/>
      <c r="X361" s="77"/>
      <c r="Y361" s="77"/>
      <c r="Z361" s="77"/>
      <c r="AA361" s="78"/>
      <c r="AC361" s="177" t="s">
        <v>397</v>
      </c>
    </row>
    <row r="362" spans="15:29" x14ac:dyDescent="0.25">
      <c r="O362" s="76"/>
      <c r="P362" s="76"/>
      <c r="Q362" s="77"/>
      <c r="R362" s="77"/>
      <c r="S362" s="77"/>
      <c r="X362" s="77"/>
      <c r="Y362" s="77"/>
      <c r="Z362" s="77"/>
      <c r="AA362" s="78"/>
      <c r="AC362" s="177" t="s">
        <v>322</v>
      </c>
    </row>
    <row r="363" spans="15:29" x14ac:dyDescent="0.25">
      <c r="O363" s="76"/>
      <c r="P363" s="76"/>
      <c r="Q363" s="77"/>
      <c r="R363" s="77"/>
      <c r="S363" s="77"/>
      <c r="X363" s="77"/>
      <c r="Y363" s="77"/>
      <c r="Z363" s="77"/>
      <c r="AA363" s="78"/>
      <c r="AC363" s="177" t="s">
        <v>206</v>
      </c>
    </row>
    <row r="364" spans="15:29" x14ac:dyDescent="0.25">
      <c r="O364" s="76"/>
      <c r="P364" s="76"/>
      <c r="Q364" s="77"/>
      <c r="R364" s="77"/>
      <c r="S364" s="77"/>
      <c r="X364" s="77"/>
      <c r="Y364" s="77"/>
      <c r="Z364" s="77"/>
      <c r="AA364" s="78"/>
      <c r="AC364" s="177" t="s">
        <v>323</v>
      </c>
    </row>
    <row r="365" spans="15:29" x14ac:dyDescent="0.25">
      <c r="O365" s="76"/>
      <c r="P365" s="76"/>
      <c r="Q365" s="77"/>
      <c r="R365" s="77"/>
      <c r="S365" s="77"/>
      <c r="X365" s="77"/>
      <c r="Y365" s="77"/>
      <c r="Z365" s="77"/>
      <c r="AA365" s="78"/>
      <c r="AC365" s="177" t="s">
        <v>277</v>
      </c>
    </row>
    <row r="366" spans="15:29" x14ac:dyDescent="0.25">
      <c r="O366" s="76"/>
      <c r="P366" s="76"/>
      <c r="Q366" s="77"/>
      <c r="R366" s="77"/>
      <c r="S366" s="77"/>
      <c r="X366" s="77"/>
      <c r="Y366" s="77"/>
      <c r="Z366" s="77"/>
      <c r="AA366" s="78"/>
      <c r="AC366" s="177" t="s">
        <v>428</v>
      </c>
    </row>
    <row r="367" spans="15:29" x14ac:dyDescent="0.25">
      <c r="O367" s="76"/>
      <c r="P367" s="76"/>
      <c r="Q367" s="77"/>
      <c r="R367" s="77"/>
      <c r="S367" s="77"/>
      <c r="X367" s="77"/>
      <c r="Y367" s="77"/>
      <c r="Z367" s="77"/>
      <c r="AA367" s="78"/>
      <c r="AC367" s="177" t="s">
        <v>278</v>
      </c>
    </row>
    <row r="368" spans="15:29" x14ac:dyDescent="0.25">
      <c r="O368" s="76"/>
      <c r="P368" s="76"/>
      <c r="Q368" s="77"/>
      <c r="R368" s="77"/>
      <c r="S368" s="77"/>
      <c r="X368" s="77"/>
      <c r="Y368" s="77"/>
      <c r="Z368" s="77"/>
      <c r="AA368" s="78"/>
      <c r="AC368" s="177" t="s">
        <v>607</v>
      </c>
    </row>
    <row r="369" spans="15:29" x14ac:dyDescent="0.25">
      <c r="O369" s="76"/>
      <c r="P369" s="76"/>
      <c r="Q369" s="77"/>
      <c r="R369" s="77"/>
      <c r="S369" s="77"/>
      <c r="X369" s="77"/>
      <c r="Y369" s="77"/>
      <c r="Z369" s="77"/>
      <c r="AA369" s="78"/>
      <c r="AC369" s="177" t="s">
        <v>207</v>
      </c>
    </row>
    <row r="370" spans="15:29" x14ac:dyDescent="0.25">
      <c r="O370" s="76"/>
      <c r="P370" s="76"/>
      <c r="Q370" s="77"/>
      <c r="R370" s="77"/>
      <c r="S370" s="77"/>
      <c r="X370" s="77"/>
      <c r="Y370" s="77"/>
      <c r="Z370" s="77"/>
      <c r="AA370" s="78"/>
      <c r="AC370" s="177" t="s">
        <v>608</v>
      </c>
    </row>
    <row r="371" spans="15:29" x14ac:dyDescent="0.25">
      <c r="O371" s="76"/>
      <c r="P371" s="76"/>
      <c r="Q371" s="77"/>
      <c r="R371" s="77"/>
      <c r="S371" s="77"/>
      <c r="X371" s="77"/>
      <c r="Y371" s="77"/>
      <c r="Z371" s="77"/>
      <c r="AA371" s="78"/>
      <c r="AC371" s="177" t="s">
        <v>116</v>
      </c>
    </row>
    <row r="372" spans="15:29" x14ac:dyDescent="0.25">
      <c r="O372" s="76"/>
      <c r="P372" s="76"/>
      <c r="Q372" s="77"/>
      <c r="R372" s="77"/>
      <c r="S372" s="77"/>
      <c r="X372" s="77"/>
      <c r="Y372" s="77"/>
      <c r="Z372" s="77"/>
      <c r="AA372" s="78"/>
      <c r="AC372" s="177" t="s">
        <v>208</v>
      </c>
    </row>
    <row r="373" spans="15:29" x14ac:dyDescent="0.25">
      <c r="O373" s="76"/>
      <c r="P373" s="76"/>
      <c r="Q373" s="77"/>
      <c r="R373" s="77"/>
      <c r="S373" s="77"/>
      <c r="X373" s="77"/>
      <c r="Y373" s="77"/>
      <c r="Z373" s="77"/>
      <c r="AA373" s="78"/>
      <c r="AC373" s="177" t="s">
        <v>609</v>
      </c>
    </row>
    <row r="374" spans="15:29" x14ac:dyDescent="0.25">
      <c r="O374" s="76"/>
      <c r="P374" s="76"/>
      <c r="Q374" s="77"/>
      <c r="R374" s="77"/>
      <c r="S374" s="77"/>
      <c r="X374" s="77"/>
      <c r="Y374" s="77"/>
      <c r="Z374" s="77"/>
      <c r="AA374" s="78"/>
      <c r="AC374" s="177" t="s">
        <v>324</v>
      </c>
    </row>
    <row r="375" spans="15:29" x14ac:dyDescent="0.25">
      <c r="O375" s="76"/>
      <c r="P375" s="76"/>
      <c r="Q375" s="77"/>
      <c r="R375" s="77"/>
      <c r="S375" s="77"/>
      <c r="X375" s="77"/>
      <c r="Y375" s="77"/>
      <c r="Z375" s="77"/>
      <c r="AA375" s="78"/>
      <c r="AC375" s="177" t="s">
        <v>140</v>
      </c>
    </row>
    <row r="376" spans="15:29" x14ac:dyDescent="0.25">
      <c r="O376" s="76"/>
      <c r="P376" s="76"/>
      <c r="Q376" s="77"/>
      <c r="R376" s="77"/>
      <c r="S376" s="77"/>
      <c r="X376" s="77"/>
      <c r="Y376" s="77"/>
      <c r="Z376" s="77"/>
      <c r="AA376" s="78"/>
      <c r="AC376" s="177" t="s">
        <v>325</v>
      </c>
    </row>
    <row r="377" spans="15:29" x14ac:dyDescent="0.25">
      <c r="O377" s="76"/>
      <c r="P377" s="76"/>
      <c r="Q377" s="77"/>
      <c r="R377" s="77"/>
      <c r="S377" s="77"/>
      <c r="X377" s="77"/>
      <c r="Y377" s="77"/>
      <c r="Z377" s="77"/>
      <c r="AA377" s="78"/>
      <c r="AC377" s="177" t="s">
        <v>162</v>
      </c>
    </row>
    <row r="378" spans="15:29" x14ac:dyDescent="0.25">
      <c r="O378" s="76"/>
      <c r="P378" s="76"/>
      <c r="Q378" s="77"/>
      <c r="R378" s="77"/>
      <c r="S378" s="77"/>
      <c r="X378" s="77"/>
      <c r="Y378" s="77"/>
      <c r="Z378" s="77"/>
      <c r="AA378" s="78"/>
      <c r="AC378" s="177" t="s">
        <v>209</v>
      </c>
    </row>
    <row r="379" spans="15:29" x14ac:dyDescent="0.25">
      <c r="O379" s="76"/>
      <c r="P379" s="76"/>
      <c r="Q379" s="77"/>
      <c r="R379" s="77"/>
      <c r="S379" s="77"/>
      <c r="X379" s="77"/>
      <c r="Y379" s="77"/>
      <c r="Z379" s="77"/>
      <c r="AA379" s="78"/>
      <c r="AC379" s="177" t="s">
        <v>279</v>
      </c>
    </row>
    <row r="380" spans="15:29" x14ac:dyDescent="0.25">
      <c r="O380" s="76"/>
      <c r="P380" s="76"/>
      <c r="Q380" s="77"/>
      <c r="R380" s="77"/>
      <c r="S380" s="77"/>
      <c r="X380" s="77"/>
      <c r="Y380" s="77"/>
      <c r="Z380" s="77"/>
      <c r="AA380" s="78"/>
      <c r="AC380" s="177" t="s">
        <v>234</v>
      </c>
    </row>
    <row r="381" spans="15:29" x14ac:dyDescent="0.25">
      <c r="O381" s="76"/>
      <c r="P381" s="76"/>
      <c r="Q381" s="77"/>
      <c r="R381" s="77"/>
      <c r="S381" s="77"/>
      <c r="X381" s="77"/>
      <c r="Y381" s="77"/>
      <c r="Z381" s="77"/>
      <c r="AA381" s="78"/>
      <c r="AC381" s="177" t="s">
        <v>210</v>
      </c>
    </row>
    <row r="382" spans="15:29" x14ac:dyDescent="0.25">
      <c r="O382" s="76"/>
      <c r="P382" s="76"/>
      <c r="Q382" s="77"/>
      <c r="R382" s="77"/>
      <c r="S382" s="77"/>
      <c r="X382" s="77"/>
      <c r="Y382" s="77"/>
      <c r="Z382" s="77"/>
      <c r="AA382" s="78"/>
      <c r="AC382" s="177" t="s">
        <v>398</v>
      </c>
    </row>
    <row r="383" spans="15:29" x14ac:dyDescent="0.25">
      <c r="O383" s="76"/>
      <c r="P383" s="76"/>
      <c r="Q383" s="77"/>
      <c r="R383" s="77"/>
      <c r="S383" s="77"/>
      <c r="X383" s="77"/>
      <c r="Y383" s="77"/>
      <c r="Z383" s="77"/>
      <c r="AA383" s="78"/>
      <c r="AC383" s="177" t="s">
        <v>235</v>
      </c>
    </row>
    <row r="384" spans="15:29" x14ac:dyDescent="0.25">
      <c r="O384" s="76"/>
      <c r="P384" s="76"/>
      <c r="Q384" s="77"/>
      <c r="R384" s="77"/>
      <c r="S384" s="77"/>
      <c r="X384" s="77"/>
      <c r="Y384" s="77"/>
      <c r="Z384" s="77"/>
      <c r="AA384" s="78"/>
      <c r="AC384" s="177" t="s">
        <v>280</v>
      </c>
    </row>
    <row r="385" spans="15:29" x14ac:dyDescent="0.25">
      <c r="O385" s="76"/>
      <c r="P385" s="76"/>
      <c r="Q385" s="77"/>
      <c r="R385" s="77"/>
      <c r="S385" s="77"/>
      <c r="X385" s="77"/>
      <c r="Y385" s="77"/>
      <c r="Z385" s="77"/>
      <c r="AA385" s="78"/>
      <c r="AC385" s="177" t="s">
        <v>236</v>
      </c>
    </row>
    <row r="386" spans="15:29" x14ac:dyDescent="0.25">
      <c r="O386" s="76"/>
      <c r="P386" s="76"/>
      <c r="Q386" s="77"/>
      <c r="R386" s="77"/>
      <c r="S386" s="77"/>
      <c r="X386" s="77"/>
      <c r="Y386" s="77"/>
      <c r="Z386" s="77"/>
      <c r="AA386" s="78"/>
      <c r="AC386" s="177" t="s">
        <v>281</v>
      </c>
    </row>
    <row r="387" spans="15:29" x14ac:dyDescent="0.25">
      <c r="O387" s="76"/>
      <c r="P387" s="76"/>
      <c r="Q387" s="77"/>
      <c r="R387" s="77"/>
      <c r="S387" s="77"/>
      <c r="X387" s="77"/>
      <c r="Y387" s="77"/>
      <c r="Z387" s="77"/>
      <c r="AA387" s="78"/>
      <c r="AC387" s="177" t="s">
        <v>211</v>
      </c>
    </row>
    <row r="388" spans="15:29" x14ac:dyDescent="0.25">
      <c r="O388" s="76"/>
      <c r="P388" s="76"/>
      <c r="Q388" s="77"/>
      <c r="R388" s="77"/>
      <c r="S388" s="77"/>
      <c r="X388" s="77"/>
      <c r="Y388" s="77"/>
      <c r="Z388" s="77"/>
      <c r="AA388" s="78"/>
      <c r="AC388" s="177" t="s">
        <v>282</v>
      </c>
    </row>
    <row r="389" spans="15:29" x14ac:dyDescent="0.25">
      <c r="O389" s="76"/>
      <c r="P389" s="76"/>
      <c r="Q389" s="77"/>
      <c r="R389" s="77"/>
      <c r="S389" s="77"/>
      <c r="X389" s="77"/>
      <c r="Y389" s="77"/>
      <c r="Z389" s="77"/>
      <c r="AA389" s="78"/>
      <c r="AC389" s="177" t="s">
        <v>434</v>
      </c>
    </row>
    <row r="390" spans="15:29" x14ac:dyDescent="0.25">
      <c r="O390" s="76"/>
      <c r="P390" s="76"/>
      <c r="Q390" s="77"/>
      <c r="R390" s="77"/>
      <c r="S390" s="77"/>
      <c r="X390" s="77"/>
      <c r="Y390" s="77"/>
      <c r="Z390" s="77"/>
      <c r="AA390" s="78"/>
      <c r="AC390" s="177" t="s">
        <v>237</v>
      </c>
    </row>
    <row r="391" spans="15:29" x14ac:dyDescent="0.25">
      <c r="O391" s="76"/>
      <c r="P391" s="76"/>
      <c r="Q391" s="77"/>
      <c r="R391" s="77"/>
      <c r="S391" s="77"/>
      <c r="X391" s="77"/>
      <c r="Y391" s="77"/>
      <c r="Z391" s="77"/>
      <c r="AA391" s="78"/>
      <c r="AC391" s="177" t="s">
        <v>212</v>
      </c>
    </row>
    <row r="392" spans="15:29" x14ac:dyDescent="0.25">
      <c r="O392" s="76"/>
      <c r="P392" s="76"/>
      <c r="Q392" s="77"/>
      <c r="R392" s="77"/>
      <c r="S392" s="77"/>
      <c r="X392" s="77"/>
      <c r="Y392" s="77"/>
      <c r="Z392" s="77"/>
      <c r="AA392" s="78"/>
      <c r="AC392" s="177" t="s">
        <v>326</v>
      </c>
    </row>
    <row r="393" spans="15:29" x14ac:dyDescent="0.25">
      <c r="O393" s="76"/>
      <c r="P393" s="76"/>
      <c r="Q393" s="77"/>
      <c r="R393" s="77"/>
      <c r="S393" s="77"/>
      <c r="X393" s="77"/>
      <c r="Y393" s="77"/>
      <c r="Z393" s="77"/>
      <c r="AA393" s="78"/>
      <c r="AC393" s="177" t="s">
        <v>327</v>
      </c>
    </row>
    <row r="394" spans="15:29" x14ac:dyDescent="0.25">
      <c r="O394" s="76"/>
      <c r="P394" s="76"/>
      <c r="Q394" s="77"/>
      <c r="R394" s="77"/>
      <c r="S394" s="77"/>
      <c r="X394" s="77"/>
      <c r="Y394" s="77"/>
      <c r="Z394" s="77"/>
      <c r="AA394" s="78"/>
      <c r="AC394" s="177" t="s">
        <v>328</v>
      </c>
    </row>
    <row r="395" spans="15:29" x14ac:dyDescent="0.25">
      <c r="O395" s="76"/>
      <c r="P395" s="76"/>
      <c r="Q395" s="77"/>
      <c r="R395" s="77"/>
      <c r="S395" s="77"/>
      <c r="X395" s="77"/>
      <c r="Y395" s="77"/>
      <c r="Z395" s="77"/>
      <c r="AA395" s="78"/>
      <c r="AC395" s="177" t="s">
        <v>399</v>
      </c>
    </row>
    <row r="396" spans="15:29" x14ac:dyDescent="0.25">
      <c r="O396" s="76"/>
      <c r="P396" s="76"/>
      <c r="Q396" s="77"/>
      <c r="R396" s="77"/>
      <c r="S396" s="77"/>
      <c r="X396" s="77"/>
      <c r="Y396" s="77"/>
      <c r="Z396" s="77"/>
      <c r="AA396" s="78"/>
      <c r="AC396" s="177" t="s">
        <v>213</v>
      </c>
    </row>
    <row r="397" spans="15:29" x14ac:dyDescent="0.25">
      <c r="O397" s="76"/>
      <c r="P397" s="76"/>
      <c r="Q397" s="77"/>
      <c r="R397" s="77"/>
      <c r="S397" s="77"/>
      <c r="X397" s="77"/>
      <c r="Y397" s="77"/>
      <c r="Z397" s="77"/>
      <c r="AA397" s="78"/>
      <c r="AC397" s="177" t="s">
        <v>163</v>
      </c>
    </row>
    <row r="398" spans="15:29" x14ac:dyDescent="0.25">
      <c r="O398" s="76"/>
      <c r="P398" s="76"/>
      <c r="Q398" s="77"/>
      <c r="R398" s="77"/>
      <c r="S398" s="77"/>
      <c r="X398" s="77"/>
      <c r="Y398" s="77"/>
      <c r="Z398" s="77"/>
      <c r="AA398" s="78"/>
      <c r="AC398" s="177" t="s">
        <v>329</v>
      </c>
    </row>
    <row r="399" spans="15:29" x14ac:dyDescent="0.25">
      <c r="O399" s="76"/>
      <c r="P399" s="76"/>
      <c r="Q399" s="77"/>
      <c r="R399" s="77"/>
      <c r="S399" s="77"/>
      <c r="X399" s="77"/>
      <c r="Y399" s="77"/>
      <c r="Z399" s="77"/>
      <c r="AA399" s="78"/>
      <c r="AC399" s="177" t="s">
        <v>164</v>
      </c>
    </row>
    <row r="400" spans="15:29" x14ac:dyDescent="0.25">
      <c r="O400" s="76"/>
      <c r="P400" s="76"/>
      <c r="Q400" s="77"/>
      <c r="R400" s="77"/>
      <c r="S400" s="77"/>
      <c r="X400" s="77"/>
      <c r="Y400" s="77"/>
      <c r="Z400" s="77"/>
      <c r="AA400" s="78"/>
      <c r="AC400" s="177" t="s">
        <v>442</v>
      </c>
    </row>
    <row r="401" spans="15:27" x14ac:dyDescent="0.25">
      <c r="O401" s="76"/>
      <c r="P401" s="76"/>
      <c r="Q401" s="77"/>
      <c r="R401" s="77"/>
      <c r="S401" s="77"/>
      <c r="X401" s="77"/>
      <c r="Y401" s="77"/>
      <c r="Z401" s="77"/>
      <c r="AA401" s="78"/>
    </row>
    <row r="402" spans="15:27" x14ac:dyDescent="0.25">
      <c r="O402" s="76"/>
      <c r="P402" s="76"/>
      <c r="Q402" s="77"/>
      <c r="R402" s="77"/>
      <c r="S402" s="77"/>
      <c r="X402" s="77"/>
      <c r="Y402" s="77"/>
      <c r="Z402" s="77"/>
      <c r="AA402" s="78"/>
    </row>
    <row r="403" spans="15:27" x14ac:dyDescent="0.25">
      <c r="O403" s="76"/>
      <c r="P403" s="76"/>
      <c r="Q403" s="77"/>
      <c r="R403" s="77"/>
      <c r="S403" s="77"/>
      <c r="X403" s="77"/>
      <c r="Y403" s="77"/>
      <c r="Z403" s="77"/>
      <c r="AA403" s="78"/>
    </row>
    <row r="404" spans="15:27" x14ac:dyDescent="0.25">
      <c r="O404" s="76"/>
      <c r="P404" s="76"/>
      <c r="Q404" s="77"/>
      <c r="R404" s="77"/>
      <c r="S404" s="77"/>
      <c r="X404" s="77"/>
      <c r="Y404" s="77"/>
      <c r="Z404" s="77"/>
      <c r="AA404" s="78"/>
    </row>
    <row r="405" spans="15:27" x14ac:dyDescent="0.25">
      <c r="O405" s="76"/>
      <c r="P405" s="76"/>
      <c r="Q405" s="77"/>
      <c r="R405" s="77"/>
      <c r="S405" s="77"/>
      <c r="X405" s="77"/>
      <c r="Y405" s="77"/>
      <c r="Z405" s="77"/>
      <c r="AA405" s="78"/>
    </row>
    <row r="406" spans="15:27" x14ac:dyDescent="0.25">
      <c r="O406" s="76"/>
      <c r="P406" s="76"/>
      <c r="Q406" s="77"/>
      <c r="R406" s="77"/>
      <c r="S406" s="77"/>
      <c r="X406" s="77"/>
      <c r="Y406" s="77"/>
      <c r="Z406" s="77"/>
      <c r="AA406" s="78"/>
    </row>
    <row r="407" spans="15:27" x14ac:dyDescent="0.25">
      <c r="O407" s="76"/>
      <c r="P407" s="76"/>
      <c r="Q407" s="77"/>
      <c r="R407" s="77"/>
      <c r="S407" s="77"/>
      <c r="X407" s="77"/>
      <c r="Y407" s="77"/>
      <c r="Z407" s="77"/>
      <c r="AA407" s="78"/>
    </row>
    <row r="408" spans="15:27" x14ac:dyDescent="0.25">
      <c r="O408" s="76"/>
      <c r="P408" s="76"/>
      <c r="Q408" s="77"/>
      <c r="R408" s="77"/>
      <c r="S408" s="77"/>
      <c r="X408" s="77"/>
      <c r="Y408" s="77"/>
      <c r="Z408" s="77"/>
      <c r="AA408" s="78"/>
    </row>
    <row r="409" spans="15:27" x14ac:dyDescent="0.25">
      <c r="O409" s="76"/>
      <c r="P409" s="76"/>
      <c r="Q409" s="77"/>
      <c r="R409" s="77"/>
      <c r="S409" s="77"/>
      <c r="X409" s="77"/>
      <c r="Y409" s="77"/>
      <c r="Z409" s="77"/>
      <c r="AA409" s="78"/>
    </row>
    <row r="410" spans="15:27" x14ac:dyDescent="0.25">
      <c r="O410" s="76"/>
      <c r="P410" s="76"/>
      <c r="Q410" s="77"/>
      <c r="R410" s="77"/>
      <c r="S410" s="77"/>
      <c r="X410" s="77"/>
      <c r="Y410" s="77"/>
      <c r="Z410" s="77"/>
      <c r="AA410" s="78"/>
    </row>
    <row r="411" spans="15:27" x14ac:dyDescent="0.25">
      <c r="O411" s="76"/>
      <c r="P411" s="76"/>
      <c r="Q411" s="77"/>
      <c r="R411" s="77"/>
      <c r="S411" s="77"/>
      <c r="X411" s="77"/>
      <c r="Y411" s="77"/>
      <c r="Z411" s="77"/>
      <c r="AA411" s="78"/>
    </row>
    <row r="412" spans="15:27" x14ac:dyDescent="0.25">
      <c r="O412" s="76"/>
      <c r="P412" s="76"/>
      <c r="Q412" s="77"/>
      <c r="R412" s="77"/>
      <c r="S412" s="77"/>
      <c r="X412" s="77"/>
      <c r="Y412" s="77"/>
      <c r="Z412" s="77"/>
      <c r="AA412" s="78"/>
    </row>
    <row r="413" spans="15:27" x14ac:dyDescent="0.25">
      <c r="O413" s="76"/>
      <c r="P413" s="76"/>
      <c r="Q413" s="77"/>
      <c r="R413" s="77"/>
      <c r="S413" s="77"/>
      <c r="X413" s="77"/>
      <c r="Y413" s="77"/>
      <c r="Z413" s="77"/>
      <c r="AA413" s="78"/>
    </row>
    <row r="414" spans="15:27" x14ac:dyDescent="0.25">
      <c r="O414" s="76"/>
      <c r="P414" s="76"/>
      <c r="Q414" s="77"/>
      <c r="R414" s="77"/>
      <c r="S414" s="77"/>
      <c r="X414" s="77"/>
      <c r="Y414" s="77"/>
      <c r="Z414" s="77"/>
      <c r="AA414" s="78"/>
    </row>
    <row r="415" spans="15:27" x14ac:dyDescent="0.25">
      <c r="O415" s="76"/>
      <c r="P415" s="76"/>
      <c r="Q415" s="77"/>
      <c r="R415" s="77"/>
      <c r="S415" s="77"/>
      <c r="X415" s="77"/>
      <c r="Y415" s="77"/>
      <c r="Z415" s="77"/>
      <c r="AA415" s="78"/>
    </row>
    <row r="416" spans="15:27" x14ac:dyDescent="0.25">
      <c r="O416" s="76"/>
      <c r="P416" s="76"/>
      <c r="Q416" s="77"/>
      <c r="R416" s="77"/>
      <c r="S416" s="77"/>
      <c r="X416" s="77"/>
      <c r="Y416" s="77"/>
      <c r="Z416" s="77"/>
      <c r="AA416" s="78"/>
    </row>
    <row r="417" spans="15:27" x14ac:dyDescent="0.25">
      <c r="O417" s="76"/>
      <c r="P417" s="76"/>
      <c r="Q417" s="77"/>
      <c r="R417" s="77"/>
      <c r="S417" s="77"/>
      <c r="X417" s="77"/>
      <c r="Y417" s="77"/>
      <c r="Z417" s="77"/>
      <c r="AA417" s="78"/>
    </row>
    <row r="418" spans="15:27" x14ac:dyDescent="0.25">
      <c r="O418" s="76"/>
      <c r="P418" s="76"/>
      <c r="Q418" s="77"/>
      <c r="R418" s="77"/>
      <c r="S418" s="77"/>
      <c r="X418" s="77"/>
      <c r="Y418" s="77"/>
      <c r="Z418" s="77"/>
      <c r="AA418" s="78"/>
    </row>
    <row r="419" spans="15:27" x14ac:dyDescent="0.25">
      <c r="O419" s="76"/>
      <c r="P419" s="76"/>
      <c r="Q419" s="77"/>
      <c r="R419" s="77"/>
      <c r="S419" s="77"/>
      <c r="X419" s="77"/>
      <c r="Y419" s="77"/>
      <c r="Z419" s="77"/>
      <c r="AA419" s="78"/>
    </row>
    <row r="420" spans="15:27" x14ac:dyDescent="0.25">
      <c r="O420" s="76"/>
      <c r="P420" s="76"/>
      <c r="Q420" s="77"/>
      <c r="R420" s="77"/>
      <c r="S420" s="77"/>
      <c r="X420" s="77"/>
      <c r="Y420" s="77"/>
      <c r="Z420" s="77"/>
      <c r="AA420" s="78"/>
    </row>
    <row r="421" spans="15:27" x14ac:dyDescent="0.25">
      <c r="O421" s="76"/>
      <c r="P421" s="76"/>
      <c r="Q421" s="77"/>
      <c r="R421" s="77"/>
      <c r="S421" s="77"/>
      <c r="X421" s="77"/>
      <c r="Y421" s="77"/>
      <c r="Z421" s="77"/>
      <c r="AA421" s="78"/>
    </row>
    <row r="422" spans="15:27" x14ac:dyDescent="0.25">
      <c r="O422" s="76"/>
      <c r="P422" s="76"/>
      <c r="Q422" s="77"/>
      <c r="R422" s="77"/>
      <c r="S422" s="77"/>
      <c r="X422" s="77"/>
      <c r="Y422" s="77"/>
      <c r="Z422" s="77"/>
      <c r="AA422" s="78"/>
    </row>
    <row r="423" spans="15:27" x14ac:dyDescent="0.25">
      <c r="O423" s="76"/>
      <c r="P423" s="76"/>
      <c r="Q423" s="77"/>
      <c r="R423" s="77"/>
      <c r="S423" s="77"/>
      <c r="X423" s="77"/>
      <c r="Y423" s="77"/>
      <c r="Z423" s="77"/>
      <c r="AA423" s="78"/>
    </row>
    <row r="424" spans="15:27" x14ac:dyDescent="0.25">
      <c r="O424" s="76"/>
      <c r="P424" s="76"/>
      <c r="Q424" s="77"/>
      <c r="R424" s="77"/>
      <c r="S424" s="77"/>
      <c r="X424" s="77"/>
      <c r="Y424" s="77"/>
      <c r="Z424" s="77"/>
      <c r="AA424" s="78"/>
    </row>
    <row r="425" spans="15:27" x14ac:dyDescent="0.25">
      <c r="O425" s="76"/>
      <c r="P425" s="76"/>
      <c r="Q425" s="77"/>
      <c r="R425" s="77"/>
      <c r="S425" s="77"/>
      <c r="X425" s="77"/>
      <c r="Y425" s="77"/>
      <c r="Z425" s="77"/>
      <c r="AA425" s="78"/>
    </row>
    <row r="426" spans="15:27" x14ac:dyDescent="0.25">
      <c r="O426" s="76"/>
      <c r="P426" s="76"/>
      <c r="Q426" s="77"/>
      <c r="R426" s="77"/>
      <c r="S426" s="77"/>
      <c r="X426" s="77"/>
      <c r="Y426" s="77"/>
      <c r="Z426" s="77"/>
      <c r="AA426" s="78"/>
    </row>
    <row r="427" spans="15:27" x14ac:dyDescent="0.25">
      <c r="O427" s="76"/>
      <c r="P427" s="76"/>
      <c r="Q427" s="77"/>
      <c r="R427" s="77"/>
      <c r="S427" s="77"/>
      <c r="X427" s="77"/>
      <c r="Y427" s="77"/>
      <c r="Z427" s="77"/>
      <c r="AA427" s="78"/>
    </row>
    <row r="428" spans="15:27" x14ac:dyDescent="0.25">
      <c r="O428" s="76"/>
      <c r="P428" s="76"/>
      <c r="Q428" s="77"/>
      <c r="R428" s="77"/>
      <c r="S428" s="77"/>
      <c r="X428" s="77"/>
      <c r="Y428" s="77"/>
      <c r="Z428" s="77"/>
      <c r="AA428" s="78"/>
    </row>
    <row r="429" spans="15:27" x14ac:dyDescent="0.25">
      <c r="O429" s="76"/>
      <c r="P429" s="76"/>
      <c r="Q429" s="77"/>
      <c r="R429" s="77"/>
      <c r="S429" s="77"/>
      <c r="X429" s="77"/>
      <c r="Y429" s="77"/>
      <c r="Z429" s="77"/>
      <c r="AA429" s="78"/>
    </row>
    <row r="430" spans="15:27" x14ac:dyDescent="0.25">
      <c r="O430" s="76"/>
      <c r="P430" s="76"/>
      <c r="Q430" s="77"/>
      <c r="R430" s="77"/>
      <c r="S430" s="77"/>
      <c r="X430" s="77"/>
      <c r="Y430" s="77"/>
      <c r="Z430" s="77"/>
      <c r="AA430" s="78"/>
    </row>
    <row r="431" spans="15:27" x14ac:dyDescent="0.25">
      <c r="O431" s="76"/>
      <c r="P431" s="76"/>
      <c r="Q431" s="77"/>
      <c r="R431" s="77"/>
      <c r="S431" s="77"/>
      <c r="X431" s="77"/>
      <c r="Y431" s="77"/>
      <c r="Z431" s="77"/>
      <c r="AA431" s="78"/>
    </row>
    <row r="432" spans="15:27" x14ac:dyDescent="0.25">
      <c r="O432" s="76"/>
      <c r="P432" s="76"/>
      <c r="Q432" s="77"/>
      <c r="R432" s="77"/>
      <c r="S432" s="77"/>
      <c r="X432" s="77"/>
      <c r="Y432" s="77"/>
      <c r="Z432" s="77"/>
      <c r="AA432" s="78"/>
    </row>
    <row r="433" spans="15:27" x14ac:dyDescent="0.25">
      <c r="O433" s="76"/>
      <c r="P433" s="76"/>
      <c r="Q433" s="77"/>
      <c r="R433" s="77"/>
      <c r="S433" s="77"/>
      <c r="X433" s="77"/>
      <c r="Y433" s="77"/>
      <c r="Z433" s="77"/>
      <c r="AA433" s="78"/>
    </row>
    <row r="434" spans="15:27" x14ac:dyDescent="0.25">
      <c r="O434" s="76"/>
      <c r="P434" s="76"/>
      <c r="Q434" s="77"/>
      <c r="R434" s="77"/>
      <c r="S434" s="77"/>
      <c r="X434" s="77"/>
      <c r="Y434" s="77"/>
      <c r="Z434" s="77"/>
      <c r="AA434" s="78"/>
    </row>
    <row r="435" spans="15:27" x14ac:dyDescent="0.25">
      <c r="O435" s="76"/>
      <c r="P435" s="76"/>
      <c r="Q435" s="77"/>
      <c r="R435" s="77"/>
      <c r="S435" s="77"/>
      <c r="X435" s="77"/>
      <c r="Y435" s="77"/>
      <c r="Z435" s="77"/>
      <c r="AA435" s="78"/>
    </row>
    <row r="436" spans="15:27" x14ac:dyDescent="0.25">
      <c r="O436" s="76"/>
      <c r="P436" s="76"/>
      <c r="Q436" s="77"/>
      <c r="R436" s="77"/>
      <c r="S436" s="77"/>
      <c r="X436" s="77"/>
      <c r="Y436" s="77"/>
      <c r="Z436" s="77"/>
      <c r="AA436" s="78"/>
    </row>
    <row r="437" spans="15:27" x14ac:dyDescent="0.25">
      <c r="O437" s="76"/>
      <c r="P437" s="76"/>
      <c r="Q437" s="77"/>
      <c r="R437" s="77"/>
      <c r="S437" s="77"/>
      <c r="X437" s="77"/>
      <c r="Y437" s="77"/>
      <c r="Z437" s="77"/>
      <c r="AA437" s="78"/>
    </row>
    <row r="438" spans="15:27" x14ac:dyDescent="0.25">
      <c r="O438" s="76"/>
      <c r="P438" s="76"/>
      <c r="Q438" s="77"/>
      <c r="R438" s="77"/>
      <c r="S438" s="77"/>
      <c r="X438" s="77"/>
      <c r="Y438" s="77"/>
      <c r="Z438" s="77"/>
      <c r="AA438" s="78"/>
    </row>
    <row r="439" spans="15:27" x14ac:dyDescent="0.25">
      <c r="O439" s="76"/>
      <c r="P439" s="76"/>
      <c r="Q439" s="77"/>
      <c r="R439" s="77"/>
      <c r="S439" s="77"/>
      <c r="X439" s="77"/>
      <c r="Y439" s="77"/>
      <c r="Z439" s="77"/>
      <c r="AA439" s="78"/>
    </row>
    <row r="440" spans="15:27" x14ac:dyDescent="0.25">
      <c r="O440" s="76"/>
      <c r="P440" s="76"/>
      <c r="Q440" s="77"/>
      <c r="R440" s="77"/>
      <c r="S440" s="77"/>
      <c r="X440" s="77"/>
      <c r="Y440" s="77"/>
      <c r="Z440" s="77"/>
      <c r="AA440" s="78"/>
    </row>
    <row r="441" spans="15:27" x14ac:dyDescent="0.25">
      <c r="O441" s="76"/>
      <c r="P441" s="76"/>
      <c r="Q441" s="77"/>
      <c r="R441" s="77"/>
      <c r="S441" s="77"/>
      <c r="X441" s="77"/>
      <c r="Y441" s="77"/>
      <c r="Z441" s="77"/>
      <c r="AA441" s="78"/>
    </row>
    <row r="442" spans="15:27" x14ac:dyDescent="0.25">
      <c r="O442" s="76"/>
      <c r="P442" s="76"/>
      <c r="Q442" s="77"/>
      <c r="R442" s="77"/>
      <c r="S442" s="77"/>
      <c r="X442" s="77"/>
      <c r="Y442" s="77"/>
      <c r="Z442" s="77"/>
      <c r="AA442" s="78"/>
    </row>
    <row r="443" spans="15:27" x14ac:dyDescent="0.25">
      <c r="O443" s="76"/>
      <c r="P443" s="76"/>
      <c r="Q443" s="77"/>
      <c r="R443" s="77"/>
      <c r="S443" s="77"/>
      <c r="X443" s="77"/>
      <c r="Y443" s="77"/>
      <c r="Z443" s="77"/>
      <c r="AA443" s="78"/>
    </row>
    <row r="444" spans="15:27" x14ac:dyDescent="0.25">
      <c r="O444" s="76"/>
      <c r="P444" s="76"/>
      <c r="Q444" s="77"/>
      <c r="R444" s="77"/>
      <c r="S444" s="77"/>
      <c r="X444" s="77"/>
      <c r="Y444" s="77"/>
      <c r="Z444" s="77"/>
      <c r="AA444" s="78"/>
    </row>
    <row r="445" spans="15:27" x14ac:dyDescent="0.25">
      <c r="O445" s="76"/>
      <c r="P445" s="76"/>
      <c r="Q445" s="77"/>
      <c r="R445" s="77"/>
      <c r="S445" s="77"/>
      <c r="X445" s="77"/>
      <c r="Y445" s="77"/>
      <c r="Z445" s="77"/>
      <c r="AA445" s="78"/>
    </row>
    <row r="446" spans="15:27" x14ac:dyDescent="0.25">
      <c r="O446" s="76"/>
      <c r="P446" s="76"/>
      <c r="Q446" s="77"/>
      <c r="R446" s="77"/>
      <c r="S446" s="77"/>
      <c r="X446" s="77"/>
      <c r="Y446" s="77"/>
      <c r="Z446" s="77"/>
      <c r="AA446" s="78"/>
    </row>
    <row r="447" spans="15:27" x14ac:dyDescent="0.25">
      <c r="O447" s="76"/>
      <c r="P447" s="76"/>
      <c r="Q447" s="77"/>
      <c r="R447" s="77"/>
      <c r="S447" s="77"/>
      <c r="X447" s="77"/>
      <c r="Y447" s="77"/>
      <c r="Z447" s="77"/>
      <c r="AA447" s="78"/>
    </row>
    <row r="448" spans="15:27" x14ac:dyDescent="0.25">
      <c r="O448" s="76"/>
      <c r="P448" s="77"/>
      <c r="Q448" s="77"/>
      <c r="R448" s="77"/>
      <c r="S448" s="77"/>
      <c r="X448" s="77"/>
      <c r="Y448" s="77"/>
      <c r="Z448" s="77"/>
      <c r="AA448" s="78"/>
    </row>
    <row r="449" spans="15:27" x14ac:dyDescent="0.25">
      <c r="O449" s="76"/>
      <c r="P449" s="77"/>
      <c r="Q449" s="77"/>
      <c r="R449" s="77"/>
      <c r="S449" s="77"/>
      <c r="X449" s="77"/>
      <c r="Y449" s="77"/>
      <c r="Z449" s="77"/>
      <c r="AA449" s="78"/>
    </row>
    <row r="450" spans="15:27" x14ac:dyDescent="0.25">
      <c r="O450" s="76"/>
      <c r="P450" s="77"/>
      <c r="Q450" s="77"/>
      <c r="R450" s="77"/>
      <c r="S450" s="77"/>
      <c r="X450" s="77"/>
      <c r="Y450" s="77"/>
      <c r="Z450" s="77"/>
      <c r="AA450" s="78"/>
    </row>
    <row r="451" spans="15:27" x14ac:dyDescent="0.25">
      <c r="O451" s="76"/>
      <c r="P451" s="77"/>
      <c r="Q451" s="77"/>
      <c r="R451" s="77"/>
      <c r="S451" s="77"/>
      <c r="X451" s="77"/>
      <c r="Y451" s="77"/>
      <c r="Z451" s="77"/>
      <c r="AA451" s="78"/>
    </row>
    <row r="452" spans="15:27" x14ac:dyDescent="0.25">
      <c r="O452" s="76"/>
      <c r="P452" s="77"/>
      <c r="Q452" s="77"/>
      <c r="R452" s="77"/>
      <c r="S452" s="77"/>
      <c r="X452" s="77"/>
      <c r="Y452" s="77"/>
      <c r="Z452" s="77"/>
      <c r="AA452" s="78"/>
    </row>
    <row r="453" spans="15:27" x14ac:dyDescent="0.25">
      <c r="O453" s="76"/>
      <c r="P453" s="77"/>
      <c r="Q453" s="77"/>
      <c r="R453" s="77"/>
      <c r="S453" s="77"/>
      <c r="X453" s="77"/>
      <c r="Y453" s="77"/>
      <c r="Z453" s="77"/>
      <c r="AA453" s="78"/>
    </row>
    <row r="454" spans="15:27" x14ac:dyDescent="0.25">
      <c r="O454" s="76"/>
      <c r="P454" s="77"/>
      <c r="Q454" s="77"/>
      <c r="R454" s="77"/>
      <c r="S454" s="77"/>
      <c r="X454" s="77"/>
      <c r="Y454" s="77"/>
      <c r="Z454" s="77"/>
      <c r="AA454" s="78"/>
    </row>
    <row r="455" spans="15:27" x14ac:dyDescent="0.25">
      <c r="O455" s="76"/>
      <c r="P455" s="77"/>
      <c r="Q455" s="77"/>
      <c r="R455" s="77"/>
      <c r="S455" s="77"/>
      <c r="X455" s="77"/>
      <c r="Y455" s="77"/>
      <c r="Z455" s="77"/>
      <c r="AA455" s="78"/>
    </row>
    <row r="456" spans="15:27" x14ac:dyDescent="0.25">
      <c r="O456" s="76"/>
      <c r="P456" s="77"/>
      <c r="Q456" s="77"/>
      <c r="R456" s="77"/>
      <c r="S456" s="77"/>
      <c r="X456" s="77"/>
      <c r="Y456" s="77"/>
      <c r="Z456" s="77"/>
      <c r="AA456" s="78"/>
    </row>
    <row r="457" spans="15:27" x14ac:dyDescent="0.25">
      <c r="O457" s="76"/>
      <c r="P457" s="77"/>
      <c r="Q457" s="77"/>
      <c r="R457" s="77"/>
      <c r="S457" s="77"/>
      <c r="X457" s="77"/>
      <c r="Y457" s="77"/>
      <c r="Z457" s="77"/>
      <c r="AA457" s="78"/>
    </row>
    <row r="458" spans="15:27" x14ac:dyDescent="0.25">
      <c r="O458" s="76"/>
      <c r="P458" s="77"/>
      <c r="Q458" s="77"/>
      <c r="R458" s="77"/>
      <c r="S458" s="77"/>
      <c r="X458" s="77"/>
      <c r="Y458" s="77"/>
      <c r="Z458" s="77"/>
      <c r="AA458" s="78"/>
    </row>
    <row r="459" spans="15:27" x14ac:dyDescent="0.25">
      <c r="O459" s="76"/>
      <c r="P459" s="77"/>
      <c r="Q459" s="77"/>
      <c r="R459" s="77"/>
      <c r="S459" s="77"/>
      <c r="X459" s="77"/>
      <c r="Y459" s="77"/>
      <c r="Z459" s="77"/>
      <c r="AA459" s="78"/>
    </row>
    <row r="460" spans="15:27" x14ac:dyDescent="0.25">
      <c r="O460" s="76"/>
      <c r="P460" s="77"/>
      <c r="Q460" s="77"/>
      <c r="R460" s="77"/>
      <c r="S460" s="77"/>
      <c r="X460" s="77"/>
      <c r="Y460" s="77"/>
      <c r="Z460" s="77"/>
      <c r="AA460" s="78"/>
    </row>
    <row r="461" spans="15:27" x14ac:dyDescent="0.25">
      <c r="O461" s="76"/>
      <c r="P461" s="77"/>
      <c r="Q461" s="77"/>
      <c r="R461" s="77"/>
      <c r="S461" s="77"/>
      <c r="X461" s="77"/>
      <c r="Y461" s="77"/>
      <c r="Z461" s="77"/>
      <c r="AA461" s="78"/>
    </row>
    <row r="462" spans="15:27" x14ac:dyDescent="0.25">
      <c r="O462" s="76"/>
      <c r="P462" s="77"/>
      <c r="Q462" s="77"/>
      <c r="R462" s="77"/>
      <c r="S462" s="77"/>
      <c r="X462" s="77"/>
      <c r="Y462" s="77"/>
      <c r="Z462" s="77"/>
      <c r="AA462" s="78"/>
    </row>
    <row r="463" spans="15:27" x14ac:dyDescent="0.25">
      <c r="O463" s="76"/>
      <c r="P463" s="77"/>
      <c r="Q463" s="77"/>
      <c r="R463" s="77"/>
      <c r="S463" s="77"/>
      <c r="X463" s="77"/>
      <c r="Y463" s="77"/>
      <c r="Z463" s="77"/>
      <c r="AA463" s="78"/>
    </row>
    <row r="464" spans="15:27" x14ac:dyDescent="0.25">
      <c r="O464" s="76"/>
      <c r="P464" s="77"/>
      <c r="Q464" s="77"/>
      <c r="R464" s="77"/>
      <c r="S464" s="77"/>
      <c r="X464" s="77"/>
      <c r="Y464" s="77"/>
      <c r="Z464" s="77"/>
      <c r="AA464" s="78"/>
    </row>
    <row r="465" spans="15:27" x14ac:dyDescent="0.25">
      <c r="O465" s="76"/>
      <c r="P465" s="77"/>
      <c r="Q465" s="77"/>
      <c r="R465" s="77"/>
      <c r="S465" s="77"/>
      <c r="X465" s="77"/>
      <c r="Y465" s="77"/>
      <c r="Z465" s="77"/>
      <c r="AA465" s="78"/>
    </row>
    <row r="466" spans="15:27" x14ac:dyDescent="0.25">
      <c r="O466" s="76"/>
      <c r="P466" s="77"/>
      <c r="Q466" s="77"/>
      <c r="R466" s="77"/>
      <c r="S466" s="77"/>
      <c r="X466" s="77"/>
      <c r="Y466" s="77"/>
      <c r="Z466" s="77"/>
      <c r="AA466" s="78"/>
    </row>
    <row r="467" spans="15:27" x14ac:dyDescent="0.25">
      <c r="O467" s="76"/>
      <c r="P467" s="77"/>
      <c r="Q467" s="77"/>
      <c r="R467" s="77"/>
      <c r="S467" s="77"/>
      <c r="X467" s="77"/>
      <c r="Y467" s="77"/>
      <c r="Z467" s="77"/>
      <c r="AA467" s="78"/>
    </row>
    <row r="468" spans="15:27" x14ac:dyDescent="0.25">
      <c r="O468" s="76"/>
      <c r="P468" s="77"/>
      <c r="Q468" s="77"/>
      <c r="R468" s="77"/>
      <c r="S468" s="77"/>
      <c r="X468" s="77"/>
      <c r="Y468" s="77"/>
      <c r="Z468" s="77"/>
      <c r="AA468" s="78"/>
    </row>
    <row r="469" spans="15:27" x14ac:dyDescent="0.25">
      <c r="O469" s="76"/>
      <c r="P469" s="77"/>
      <c r="Q469" s="77"/>
      <c r="R469" s="77"/>
      <c r="S469" s="77"/>
      <c r="X469" s="77"/>
      <c r="Y469" s="77"/>
      <c r="Z469" s="77"/>
      <c r="AA469" s="78"/>
    </row>
    <row r="470" spans="15:27" x14ac:dyDescent="0.25">
      <c r="O470" s="76"/>
      <c r="P470" s="77"/>
      <c r="Q470" s="77"/>
      <c r="R470" s="77"/>
      <c r="S470" s="77"/>
      <c r="X470" s="77"/>
      <c r="Y470" s="77"/>
      <c r="Z470" s="77"/>
      <c r="AA470" s="78"/>
    </row>
    <row r="471" spans="15:27" x14ac:dyDescent="0.25">
      <c r="O471" s="76"/>
      <c r="P471" s="77"/>
      <c r="Q471" s="77"/>
      <c r="R471" s="77"/>
      <c r="S471" s="77"/>
      <c r="X471" s="77"/>
      <c r="Y471" s="77"/>
      <c r="Z471" s="77"/>
      <c r="AA471" s="78"/>
    </row>
    <row r="472" spans="15:27" x14ac:dyDescent="0.25">
      <c r="O472" s="76"/>
      <c r="P472" s="77"/>
      <c r="Q472" s="77"/>
      <c r="R472" s="77"/>
      <c r="S472" s="77"/>
      <c r="X472" s="77"/>
      <c r="Y472" s="77"/>
      <c r="Z472" s="77"/>
      <c r="AA472" s="78"/>
    </row>
    <row r="473" spans="15:27" x14ac:dyDescent="0.25">
      <c r="O473" s="76"/>
      <c r="P473" s="77"/>
      <c r="Q473" s="77"/>
      <c r="R473" s="77"/>
      <c r="S473" s="77"/>
      <c r="X473" s="77"/>
      <c r="Y473" s="77"/>
      <c r="Z473" s="77"/>
      <c r="AA473" s="78"/>
    </row>
    <row r="474" spans="15:27" x14ac:dyDescent="0.25">
      <c r="O474" s="76"/>
      <c r="P474" s="77"/>
      <c r="Q474" s="77"/>
      <c r="R474" s="77"/>
      <c r="S474" s="77"/>
      <c r="X474" s="77"/>
      <c r="Y474" s="77"/>
      <c r="Z474" s="77"/>
      <c r="AA474" s="78"/>
    </row>
    <row r="475" spans="15:27" x14ac:dyDescent="0.25">
      <c r="O475" s="76"/>
      <c r="P475" s="77"/>
      <c r="Q475" s="77"/>
      <c r="R475" s="77"/>
      <c r="S475" s="77"/>
      <c r="X475" s="77"/>
      <c r="Y475" s="77"/>
      <c r="Z475" s="77"/>
      <c r="AA475" s="78"/>
    </row>
    <row r="476" spans="15:27" x14ac:dyDescent="0.25">
      <c r="O476" s="76"/>
      <c r="P476" s="77"/>
      <c r="Q476" s="77"/>
      <c r="R476" s="77"/>
      <c r="S476" s="77"/>
      <c r="X476" s="77"/>
      <c r="Y476" s="77"/>
      <c r="Z476" s="77"/>
      <c r="AA476" s="78"/>
    </row>
    <row r="477" spans="15:27" x14ac:dyDescent="0.25">
      <c r="O477" s="76"/>
      <c r="P477" s="77"/>
      <c r="Q477" s="77"/>
      <c r="R477" s="77"/>
      <c r="S477" s="77"/>
      <c r="X477" s="77"/>
      <c r="Y477" s="77"/>
      <c r="Z477" s="77"/>
      <c r="AA477" s="78"/>
    </row>
    <row r="478" spans="15:27" x14ac:dyDescent="0.25">
      <c r="O478" s="76"/>
      <c r="P478" s="77"/>
      <c r="Q478" s="77"/>
      <c r="R478" s="77"/>
      <c r="S478" s="77"/>
      <c r="X478" s="77"/>
      <c r="Y478" s="77"/>
      <c r="Z478" s="77"/>
      <c r="AA478" s="78"/>
    </row>
    <row r="479" spans="15:27" x14ac:dyDescent="0.25">
      <c r="O479" s="76"/>
      <c r="P479" s="77"/>
      <c r="Q479" s="77"/>
      <c r="R479" s="77"/>
      <c r="S479" s="77"/>
      <c r="X479" s="77"/>
      <c r="Y479" s="77"/>
      <c r="Z479" s="77"/>
      <c r="AA479" s="78"/>
    </row>
    <row r="480" spans="15:27" x14ac:dyDescent="0.25">
      <c r="O480" s="76"/>
      <c r="P480" s="77"/>
      <c r="Q480" s="77"/>
      <c r="R480" s="77"/>
      <c r="S480" s="77"/>
      <c r="X480" s="77"/>
      <c r="Y480" s="77"/>
      <c r="Z480" s="77"/>
      <c r="AA480" s="78"/>
    </row>
    <row r="481" spans="15:27" x14ac:dyDescent="0.25">
      <c r="O481" s="76"/>
      <c r="P481" s="77"/>
      <c r="Q481" s="77"/>
      <c r="R481" s="77"/>
      <c r="S481" s="77"/>
      <c r="X481" s="77"/>
      <c r="Y481" s="77"/>
      <c r="Z481" s="77"/>
      <c r="AA481" s="78"/>
    </row>
    <row r="482" spans="15:27" x14ac:dyDescent="0.25">
      <c r="O482" s="76"/>
      <c r="P482" s="77"/>
      <c r="Q482" s="77"/>
      <c r="R482" s="77"/>
      <c r="S482" s="77"/>
      <c r="X482" s="77"/>
      <c r="Y482" s="77"/>
      <c r="Z482" s="77"/>
      <c r="AA482" s="78"/>
    </row>
    <row r="483" spans="15:27" x14ac:dyDescent="0.25">
      <c r="O483" s="76"/>
      <c r="P483" s="77"/>
      <c r="Q483" s="77"/>
      <c r="R483" s="77"/>
      <c r="S483" s="77"/>
      <c r="X483" s="77"/>
      <c r="Y483" s="77"/>
      <c r="Z483" s="77"/>
      <c r="AA483" s="78"/>
    </row>
    <row r="484" spans="15:27" x14ac:dyDescent="0.25">
      <c r="O484" s="76"/>
      <c r="P484" s="77"/>
      <c r="Q484" s="77"/>
      <c r="R484" s="77"/>
      <c r="S484" s="77"/>
      <c r="X484" s="77"/>
      <c r="Y484" s="77"/>
      <c r="Z484" s="77"/>
      <c r="AA484" s="78"/>
    </row>
    <row r="485" spans="15:27" x14ac:dyDescent="0.25">
      <c r="O485" s="76"/>
      <c r="P485" s="77"/>
      <c r="Q485" s="77"/>
      <c r="R485" s="77"/>
      <c r="S485" s="77"/>
      <c r="X485" s="77"/>
      <c r="Y485" s="77"/>
      <c r="Z485" s="77"/>
      <c r="AA485" s="78"/>
    </row>
    <row r="486" spans="15:27" x14ac:dyDescent="0.25">
      <c r="O486" s="76"/>
      <c r="P486" s="77"/>
      <c r="Q486" s="77"/>
      <c r="R486" s="77"/>
      <c r="S486" s="77"/>
      <c r="X486" s="77"/>
      <c r="Y486" s="77"/>
      <c r="Z486" s="77"/>
      <c r="AA486" s="78"/>
    </row>
    <row r="487" spans="15:27" x14ac:dyDescent="0.25">
      <c r="O487" s="76"/>
      <c r="P487" s="77"/>
      <c r="Q487" s="77"/>
      <c r="R487" s="77"/>
      <c r="S487" s="77"/>
      <c r="X487" s="77"/>
      <c r="Y487" s="77"/>
      <c r="Z487" s="77"/>
      <c r="AA487" s="78"/>
    </row>
    <row r="488" spans="15:27" x14ac:dyDescent="0.25">
      <c r="O488" s="76"/>
      <c r="P488" s="77"/>
      <c r="Q488" s="77"/>
      <c r="R488" s="77"/>
      <c r="S488" s="77"/>
      <c r="X488" s="77"/>
      <c r="Y488" s="77"/>
      <c r="Z488" s="77"/>
      <c r="AA488" s="78"/>
    </row>
    <row r="489" spans="15:27" x14ac:dyDescent="0.25">
      <c r="O489" s="76"/>
      <c r="P489" s="77"/>
      <c r="Q489" s="77"/>
      <c r="R489" s="77"/>
      <c r="S489" s="77"/>
      <c r="X489" s="77"/>
      <c r="Y489" s="77"/>
      <c r="Z489" s="77"/>
      <c r="AA489" s="78"/>
    </row>
    <row r="490" spans="15:27" x14ac:dyDescent="0.25">
      <c r="O490" s="76"/>
      <c r="P490" s="77"/>
      <c r="Q490" s="77"/>
      <c r="R490" s="77"/>
      <c r="S490" s="77"/>
      <c r="X490" s="77"/>
      <c r="Y490" s="77"/>
      <c r="Z490" s="77"/>
      <c r="AA490" s="78"/>
    </row>
    <row r="491" spans="15:27" x14ac:dyDescent="0.25">
      <c r="O491" s="76"/>
      <c r="P491" s="77"/>
      <c r="Q491" s="77"/>
      <c r="R491" s="77"/>
      <c r="S491" s="77"/>
      <c r="X491" s="77"/>
      <c r="Y491" s="77"/>
      <c r="Z491" s="77"/>
      <c r="AA491" s="78"/>
    </row>
    <row r="492" spans="15:27" x14ac:dyDescent="0.25">
      <c r="O492" s="76"/>
      <c r="P492" s="77"/>
      <c r="Q492" s="77"/>
      <c r="R492" s="77"/>
      <c r="S492" s="77"/>
      <c r="X492" s="77"/>
      <c r="Y492" s="77"/>
      <c r="Z492" s="77"/>
      <c r="AA492" s="78"/>
    </row>
    <row r="493" spans="15:27" x14ac:dyDescent="0.25">
      <c r="O493" s="76"/>
      <c r="P493" s="77"/>
      <c r="Q493" s="77"/>
      <c r="R493" s="77"/>
      <c r="S493" s="77"/>
      <c r="X493" s="77"/>
      <c r="Y493" s="77"/>
      <c r="Z493" s="77"/>
      <c r="AA493" s="78"/>
    </row>
    <row r="494" spans="15:27" x14ac:dyDescent="0.25">
      <c r="O494" s="76"/>
      <c r="P494" s="77"/>
      <c r="Q494" s="77"/>
      <c r="R494" s="77"/>
      <c r="S494" s="77"/>
      <c r="X494" s="77"/>
      <c r="Y494" s="77"/>
      <c r="Z494" s="77"/>
      <c r="AA494" s="78"/>
    </row>
    <row r="495" spans="15:27" x14ac:dyDescent="0.25">
      <c r="O495" s="76"/>
      <c r="P495" s="77"/>
      <c r="Q495" s="77"/>
      <c r="R495" s="77"/>
      <c r="S495" s="77"/>
      <c r="X495" s="77"/>
      <c r="Y495" s="77"/>
      <c r="Z495" s="77"/>
      <c r="AA495" s="78"/>
    </row>
    <row r="496" spans="15:27" x14ac:dyDescent="0.25">
      <c r="O496" s="76"/>
      <c r="P496" s="77"/>
      <c r="Q496" s="77"/>
      <c r="R496" s="77"/>
      <c r="S496" s="77"/>
      <c r="X496" s="77"/>
      <c r="Y496" s="77"/>
      <c r="Z496" s="77"/>
      <c r="AA496" s="78"/>
    </row>
    <row r="497" spans="15:27" x14ac:dyDescent="0.25">
      <c r="O497" s="76"/>
      <c r="P497" s="77"/>
      <c r="Q497" s="77"/>
      <c r="R497" s="77"/>
      <c r="S497" s="77"/>
      <c r="X497" s="77"/>
      <c r="Y497" s="77"/>
      <c r="Z497" s="77"/>
      <c r="AA497" s="78"/>
    </row>
    <row r="498" spans="15:27" x14ac:dyDescent="0.25">
      <c r="O498" s="76"/>
      <c r="P498" s="77"/>
      <c r="Q498" s="77"/>
      <c r="R498" s="77"/>
      <c r="S498" s="77"/>
      <c r="X498" s="77"/>
      <c r="Y498" s="77"/>
      <c r="Z498" s="77"/>
      <c r="AA498" s="78"/>
    </row>
    <row r="499" spans="15:27" x14ac:dyDescent="0.25">
      <c r="O499" s="76"/>
      <c r="P499" s="77"/>
      <c r="Q499" s="77"/>
      <c r="R499" s="77"/>
      <c r="S499" s="77"/>
      <c r="X499" s="77"/>
      <c r="Y499" s="77"/>
      <c r="Z499" s="77"/>
      <c r="AA499" s="78"/>
    </row>
    <row r="500" spans="15:27" x14ac:dyDescent="0.25">
      <c r="O500" s="76"/>
      <c r="P500" s="77"/>
      <c r="Q500" s="77"/>
      <c r="R500" s="77"/>
      <c r="S500" s="77"/>
      <c r="X500" s="77"/>
      <c r="Y500" s="77"/>
      <c r="Z500" s="77"/>
      <c r="AA500" s="78"/>
    </row>
    <row r="501" spans="15:27" x14ac:dyDescent="0.25">
      <c r="O501" s="76"/>
      <c r="P501" s="77"/>
      <c r="Q501" s="77"/>
      <c r="R501" s="77"/>
      <c r="S501" s="77"/>
      <c r="X501" s="77"/>
      <c r="Y501" s="77"/>
      <c r="Z501" s="77"/>
      <c r="AA501" s="78"/>
    </row>
    <row r="502" spans="15:27" x14ac:dyDescent="0.25">
      <c r="O502" s="76"/>
      <c r="P502" s="77"/>
      <c r="Q502" s="77"/>
      <c r="R502" s="77"/>
      <c r="S502" s="77"/>
      <c r="X502" s="77"/>
      <c r="Y502" s="77"/>
      <c r="Z502" s="77"/>
      <c r="AA502" s="78"/>
    </row>
    <row r="503" spans="15:27" x14ac:dyDescent="0.25">
      <c r="O503" s="76"/>
      <c r="P503" s="77"/>
      <c r="Q503" s="77"/>
      <c r="R503" s="77"/>
      <c r="S503" s="77"/>
      <c r="X503" s="77"/>
      <c r="Y503" s="77"/>
      <c r="Z503" s="77"/>
      <c r="AA503" s="78"/>
    </row>
    <row r="504" spans="15:27" x14ac:dyDescent="0.25">
      <c r="O504" s="76"/>
      <c r="P504" s="77"/>
      <c r="Q504" s="77"/>
      <c r="R504" s="77"/>
      <c r="S504" s="77"/>
      <c r="X504" s="77"/>
      <c r="Y504" s="77"/>
      <c r="Z504" s="77"/>
      <c r="AA504" s="78"/>
    </row>
    <row r="505" spans="15:27" x14ac:dyDescent="0.25">
      <c r="O505" s="76"/>
      <c r="P505" s="77"/>
      <c r="Q505" s="77"/>
      <c r="R505" s="77"/>
      <c r="S505" s="77"/>
      <c r="X505" s="77"/>
      <c r="Y505" s="77"/>
      <c r="Z505" s="77"/>
      <c r="AA505" s="78"/>
    </row>
    <row r="506" spans="15:27" x14ac:dyDescent="0.25">
      <c r="O506" s="76"/>
      <c r="P506" s="77"/>
      <c r="Q506" s="77"/>
      <c r="R506" s="77"/>
      <c r="S506" s="77"/>
      <c r="X506" s="77"/>
      <c r="Y506" s="77"/>
      <c r="Z506" s="77"/>
      <c r="AA506" s="78"/>
    </row>
    <row r="507" spans="15:27" x14ac:dyDescent="0.25">
      <c r="O507" s="76"/>
      <c r="P507" s="77"/>
      <c r="Q507" s="77"/>
      <c r="R507" s="77"/>
      <c r="S507" s="77"/>
      <c r="X507" s="77"/>
      <c r="Y507" s="77"/>
      <c r="Z507" s="77"/>
      <c r="AA507" s="78"/>
    </row>
    <row r="508" spans="15:27" x14ac:dyDescent="0.25">
      <c r="O508" s="76"/>
      <c r="P508" s="77"/>
      <c r="Q508" s="77"/>
      <c r="R508" s="77"/>
      <c r="S508" s="77"/>
      <c r="X508" s="77"/>
      <c r="Y508" s="77"/>
      <c r="Z508" s="77"/>
      <c r="AA508" s="78"/>
    </row>
    <row r="509" spans="15:27" x14ac:dyDescent="0.25">
      <c r="O509" s="76"/>
      <c r="P509" s="77"/>
      <c r="Q509" s="77"/>
      <c r="R509" s="77"/>
      <c r="S509" s="77"/>
      <c r="X509" s="77"/>
      <c r="Y509" s="77"/>
      <c r="Z509" s="77"/>
      <c r="AA509" s="78"/>
    </row>
    <row r="510" spans="15:27" x14ac:dyDescent="0.25">
      <c r="O510" s="76"/>
      <c r="P510" s="77"/>
      <c r="Q510" s="77"/>
      <c r="R510" s="77"/>
      <c r="S510" s="77"/>
      <c r="X510" s="77"/>
      <c r="Y510" s="77"/>
      <c r="Z510" s="77"/>
      <c r="AA510" s="78"/>
    </row>
    <row r="511" spans="15:27" x14ac:dyDescent="0.25">
      <c r="O511" s="76"/>
      <c r="P511" s="77"/>
      <c r="Q511" s="77"/>
      <c r="R511" s="77"/>
      <c r="S511" s="77"/>
      <c r="X511" s="77"/>
      <c r="Y511" s="77"/>
      <c r="Z511" s="77"/>
      <c r="AA511" s="78"/>
    </row>
    <row r="512" spans="15:27" x14ac:dyDescent="0.25">
      <c r="O512" s="76"/>
      <c r="P512" s="77"/>
      <c r="Q512" s="77"/>
      <c r="R512" s="77"/>
      <c r="S512" s="77"/>
      <c r="X512" s="77"/>
      <c r="Y512" s="77"/>
      <c r="Z512" s="77"/>
      <c r="AA512" s="78"/>
    </row>
    <row r="513" spans="15:27" x14ac:dyDescent="0.25">
      <c r="O513" s="76"/>
      <c r="P513" s="77"/>
      <c r="Q513" s="77"/>
      <c r="R513" s="77"/>
      <c r="S513" s="77"/>
      <c r="X513" s="77"/>
      <c r="Y513" s="77"/>
      <c r="Z513" s="77"/>
      <c r="AA513" s="78"/>
    </row>
    <row r="514" spans="15:27" x14ac:dyDescent="0.25">
      <c r="O514" s="76"/>
      <c r="P514" s="77"/>
      <c r="Q514" s="77"/>
      <c r="R514" s="77"/>
      <c r="S514" s="77"/>
      <c r="X514" s="77"/>
      <c r="Y514" s="77"/>
      <c r="Z514" s="77"/>
      <c r="AA514" s="78"/>
    </row>
    <row r="515" spans="15:27" x14ac:dyDescent="0.25">
      <c r="O515" s="76"/>
      <c r="P515" s="77"/>
      <c r="Q515" s="77"/>
      <c r="R515" s="77"/>
      <c r="S515" s="77"/>
      <c r="X515" s="77"/>
      <c r="Y515" s="77"/>
      <c r="Z515" s="77"/>
      <c r="AA515" s="78"/>
    </row>
    <row r="516" spans="15:27" x14ac:dyDescent="0.25">
      <c r="O516" s="76"/>
      <c r="P516" s="77"/>
      <c r="Q516" s="77"/>
      <c r="R516" s="77"/>
      <c r="S516" s="77"/>
      <c r="X516" s="77"/>
      <c r="Y516" s="77"/>
      <c r="Z516" s="77"/>
      <c r="AA516" s="78"/>
    </row>
    <row r="517" spans="15:27" x14ac:dyDescent="0.25">
      <c r="O517" s="76"/>
      <c r="P517" s="77"/>
      <c r="Q517" s="77"/>
      <c r="R517" s="77"/>
      <c r="S517" s="77"/>
      <c r="X517" s="77"/>
      <c r="Y517" s="77"/>
      <c r="Z517" s="77"/>
      <c r="AA517" s="78"/>
    </row>
    <row r="518" spans="15:27" x14ac:dyDescent="0.25">
      <c r="O518" s="76"/>
      <c r="P518" s="77"/>
      <c r="Q518" s="77"/>
      <c r="R518" s="77"/>
      <c r="S518" s="77"/>
      <c r="X518" s="77"/>
      <c r="Y518" s="77"/>
      <c r="Z518" s="77"/>
      <c r="AA518" s="78"/>
    </row>
    <row r="519" spans="15:27" x14ac:dyDescent="0.25">
      <c r="O519" s="76"/>
      <c r="P519" s="77"/>
      <c r="Q519" s="77"/>
      <c r="R519" s="77"/>
      <c r="S519" s="77"/>
      <c r="X519" s="77"/>
      <c r="Y519" s="77"/>
      <c r="Z519" s="77"/>
      <c r="AA519" s="78"/>
    </row>
    <row r="520" spans="15:27" x14ac:dyDescent="0.25">
      <c r="O520" s="76"/>
      <c r="P520" s="77"/>
      <c r="Q520" s="77"/>
      <c r="R520" s="77"/>
      <c r="S520" s="77"/>
      <c r="X520" s="77"/>
      <c r="Y520" s="77"/>
      <c r="Z520" s="77"/>
      <c r="AA520" s="78"/>
    </row>
    <row r="521" spans="15:27" x14ac:dyDescent="0.25">
      <c r="O521" s="76"/>
      <c r="P521" s="77"/>
      <c r="Q521" s="77"/>
      <c r="R521" s="77"/>
      <c r="S521" s="77"/>
      <c r="X521" s="77"/>
      <c r="Y521" s="77"/>
      <c r="Z521" s="77"/>
      <c r="AA521" s="78"/>
    </row>
    <row r="522" spans="15:27" x14ac:dyDescent="0.25">
      <c r="O522" s="76"/>
      <c r="P522" s="77"/>
      <c r="Q522" s="77"/>
      <c r="R522" s="77"/>
      <c r="S522" s="77"/>
      <c r="X522" s="77"/>
      <c r="Y522" s="77"/>
      <c r="Z522" s="77"/>
      <c r="AA522" s="78"/>
    </row>
    <row r="523" spans="15:27" x14ac:dyDescent="0.25">
      <c r="O523" s="76"/>
      <c r="P523" s="77"/>
      <c r="Q523" s="77"/>
      <c r="R523" s="77"/>
      <c r="S523" s="77"/>
      <c r="X523" s="77"/>
      <c r="Y523" s="77"/>
      <c r="Z523" s="77"/>
      <c r="AA523" s="78"/>
    </row>
    <row r="524" spans="15:27" x14ac:dyDescent="0.25">
      <c r="O524" s="76"/>
      <c r="P524" s="77"/>
      <c r="Q524" s="77"/>
      <c r="R524" s="77"/>
      <c r="S524" s="77"/>
      <c r="X524" s="77"/>
      <c r="Y524" s="77"/>
      <c r="Z524" s="77"/>
      <c r="AA524" s="78"/>
    </row>
    <row r="525" spans="15:27" x14ac:dyDescent="0.25">
      <c r="O525" s="76"/>
      <c r="P525" s="77"/>
      <c r="Q525" s="77"/>
      <c r="R525" s="77"/>
      <c r="S525" s="77"/>
      <c r="X525" s="77"/>
      <c r="Y525" s="77"/>
      <c r="Z525" s="77"/>
      <c r="AA525" s="78"/>
    </row>
    <row r="526" spans="15:27" x14ac:dyDescent="0.25">
      <c r="O526" s="76"/>
      <c r="P526" s="77"/>
      <c r="Q526" s="77"/>
      <c r="R526" s="77"/>
      <c r="S526" s="77"/>
      <c r="X526" s="77"/>
      <c r="Y526" s="77"/>
      <c r="Z526" s="77"/>
      <c r="AA526" s="78"/>
    </row>
    <row r="527" spans="15:27" x14ac:dyDescent="0.25">
      <c r="O527" s="76"/>
      <c r="P527" s="77"/>
      <c r="Q527" s="77"/>
      <c r="R527" s="77"/>
      <c r="S527" s="77"/>
      <c r="X527" s="77"/>
      <c r="Y527" s="77"/>
      <c r="Z527" s="77"/>
      <c r="AA527" s="78"/>
    </row>
    <row r="528" spans="15:27" x14ac:dyDescent="0.25">
      <c r="O528" s="76"/>
      <c r="P528" s="77"/>
      <c r="Q528" s="77"/>
      <c r="R528" s="77"/>
      <c r="S528" s="77"/>
      <c r="X528" s="77"/>
      <c r="Y528" s="77"/>
      <c r="Z528" s="77"/>
      <c r="AA528" s="78"/>
    </row>
    <row r="529" spans="15:27" x14ac:dyDescent="0.25">
      <c r="O529" s="76"/>
      <c r="P529" s="77"/>
      <c r="Q529" s="77"/>
      <c r="R529" s="77"/>
      <c r="S529" s="77"/>
      <c r="X529" s="77"/>
      <c r="Y529" s="77"/>
      <c r="Z529" s="77"/>
      <c r="AA529" s="78"/>
    </row>
    <row r="530" spans="15:27" x14ac:dyDescent="0.25">
      <c r="O530" s="76"/>
      <c r="P530" s="77"/>
      <c r="Q530" s="77"/>
      <c r="R530" s="77"/>
      <c r="S530" s="77"/>
      <c r="X530" s="77"/>
      <c r="Y530" s="77"/>
      <c r="Z530" s="77"/>
      <c r="AA530" s="78"/>
    </row>
    <row r="531" spans="15:27" x14ac:dyDescent="0.25">
      <c r="O531" s="76"/>
      <c r="P531" s="77"/>
      <c r="Q531" s="77"/>
      <c r="R531" s="77"/>
      <c r="S531" s="77"/>
      <c r="X531" s="77"/>
      <c r="Y531" s="77"/>
      <c r="Z531" s="77"/>
      <c r="AA531" s="78"/>
    </row>
    <row r="532" spans="15:27" x14ac:dyDescent="0.25">
      <c r="O532" s="76"/>
      <c r="P532" s="77"/>
      <c r="Q532" s="77"/>
      <c r="R532" s="77"/>
      <c r="S532" s="77"/>
      <c r="X532" s="77"/>
      <c r="Y532" s="77"/>
      <c r="Z532" s="77"/>
      <c r="AA532" s="78"/>
    </row>
    <row r="533" spans="15:27" x14ac:dyDescent="0.25">
      <c r="O533" s="76"/>
      <c r="P533" s="77"/>
      <c r="Q533" s="77"/>
      <c r="R533" s="77"/>
      <c r="S533" s="77"/>
      <c r="X533" s="77"/>
      <c r="Y533" s="77"/>
      <c r="Z533" s="77"/>
      <c r="AA533" s="78"/>
    </row>
    <row r="534" spans="15:27" x14ac:dyDescent="0.25">
      <c r="O534" s="76"/>
      <c r="P534" s="77"/>
      <c r="Q534" s="77"/>
      <c r="R534" s="77"/>
      <c r="S534" s="77"/>
      <c r="X534" s="77"/>
      <c r="Y534" s="77"/>
      <c r="Z534" s="77"/>
      <c r="AA534" s="78"/>
    </row>
    <row r="535" spans="15:27" x14ac:dyDescent="0.25">
      <c r="O535" s="76"/>
      <c r="P535" s="77"/>
      <c r="Q535" s="77"/>
      <c r="R535" s="77"/>
      <c r="S535" s="77"/>
      <c r="X535" s="77"/>
      <c r="Y535" s="77"/>
      <c r="Z535" s="77"/>
      <c r="AA535" s="78"/>
    </row>
    <row r="536" spans="15:27" x14ac:dyDescent="0.25">
      <c r="O536" s="76"/>
      <c r="P536" s="77"/>
      <c r="Q536" s="77"/>
      <c r="R536" s="77"/>
      <c r="S536" s="77"/>
      <c r="X536" s="77"/>
      <c r="Y536" s="77"/>
      <c r="Z536" s="77"/>
      <c r="AA536" s="78"/>
    </row>
    <row r="537" spans="15:27" x14ac:dyDescent="0.25">
      <c r="O537" s="76"/>
      <c r="P537" s="77"/>
      <c r="Q537" s="77"/>
      <c r="R537" s="77"/>
      <c r="S537" s="77"/>
      <c r="X537" s="77"/>
      <c r="Y537" s="77"/>
      <c r="Z537" s="77"/>
      <c r="AA537" s="78"/>
    </row>
    <row r="538" spans="15:27" x14ac:dyDescent="0.25">
      <c r="O538" s="76"/>
      <c r="P538" s="77"/>
      <c r="Q538" s="77"/>
      <c r="R538" s="77"/>
      <c r="S538" s="77"/>
      <c r="X538" s="77"/>
      <c r="Y538" s="77"/>
      <c r="Z538" s="77"/>
      <c r="AA538" s="78"/>
    </row>
    <row r="539" spans="15:27" x14ac:dyDescent="0.25">
      <c r="O539" s="76"/>
      <c r="P539" s="77"/>
      <c r="Q539" s="77"/>
      <c r="R539" s="77"/>
      <c r="S539" s="77"/>
      <c r="X539" s="77"/>
      <c r="Y539" s="77"/>
      <c r="Z539" s="77"/>
      <c r="AA539" s="78"/>
    </row>
    <row r="540" spans="15:27" x14ac:dyDescent="0.25">
      <c r="O540" s="76"/>
      <c r="P540" s="77"/>
      <c r="Q540" s="77"/>
      <c r="R540" s="77"/>
      <c r="S540" s="77"/>
      <c r="X540" s="77"/>
      <c r="Y540" s="77"/>
      <c r="Z540" s="77"/>
      <c r="AA540" s="78"/>
    </row>
    <row r="541" spans="15:27" x14ac:dyDescent="0.25">
      <c r="O541" s="76"/>
      <c r="P541" s="77"/>
      <c r="Q541" s="77"/>
      <c r="R541" s="77"/>
      <c r="S541" s="77"/>
      <c r="X541" s="77"/>
      <c r="Y541" s="77"/>
      <c r="Z541" s="77"/>
      <c r="AA541" s="78"/>
    </row>
    <row r="542" spans="15:27" x14ac:dyDescent="0.25">
      <c r="O542" s="76"/>
      <c r="P542" s="77"/>
      <c r="Q542" s="77"/>
      <c r="R542" s="77"/>
      <c r="S542" s="77"/>
      <c r="X542" s="77"/>
      <c r="Y542" s="77"/>
      <c r="Z542" s="77"/>
      <c r="AA542" s="78"/>
    </row>
    <row r="543" spans="15:27" x14ac:dyDescent="0.25">
      <c r="O543" s="76"/>
      <c r="P543" s="77"/>
      <c r="Q543" s="77"/>
      <c r="R543" s="77"/>
      <c r="S543" s="77"/>
      <c r="X543" s="77"/>
      <c r="Y543" s="77"/>
      <c r="Z543" s="77"/>
      <c r="AA543" s="78"/>
    </row>
    <row r="544" spans="15:27" x14ac:dyDescent="0.25">
      <c r="O544" s="76"/>
      <c r="P544" s="77"/>
      <c r="Q544" s="77"/>
      <c r="R544" s="77"/>
      <c r="S544" s="77"/>
      <c r="X544" s="77"/>
      <c r="Y544" s="77"/>
      <c r="Z544" s="77"/>
      <c r="AA544" s="78"/>
    </row>
    <row r="545" spans="15:27" x14ac:dyDescent="0.25">
      <c r="O545" s="76"/>
      <c r="P545" s="77"/>
      <c r="Q545" s="77"/>
      <c r="R545" s="77"/>
      <c r="S545" s="77"/>
      <c r="X545" s="77"/>
      <c r="Y545" s="77"/>
      <c r="Z545" s="77"/>
      <c r="AA545" s="78"/>
    </row>
    <row r="546" spans="15:27" x14ac:dyDescent="0.25">
      <c r="O546" s="76"/>
      <c r="P546" s="77"/>
      <c r="Q546" s="77"/>
      <c r="R546" s="77"/>
      <c r="S546" s="77"/>
      <c r="X546" s="77"/>
      <c r="Y546" s="77"/>
      <c r="Z546" s="77"/>
      <c r="AA546" s="78"/>
    </row>
    <row r="547" spans="15:27" x14ac:dyDescent="0.25">
      <c r="O547" s="76"/>
      <c r="P547" s="77"/>
      <c r="Q547" s="77"/>
      <c r="R547" s="77"/>
      <c r="S547" s="77"/>
      <c r="X547" s="77"/>
      <c r="Y547" s="77"/>
      <c r="Z547" s="77"/>
      <c r="AA547" s="78"/>
    </row>
    <row r="548" spans="15:27" x14ac:dyDescent="0.25">
      <c r="O548" s="76"/>
      <c r="P548" s="77"/>
      <c r="Q548" s="77"/>
      <c r="R548" s="77"/>
      <c r="S548" s="77"/>
      <c r="X548" s="77"/>
      <c r="Y548" s="77"/>
      <c r="Z548" s="77"/>
      <c r="AA548" s="78"/>
    </row>
    <row r="549" spans="15:27" x14ac:dyDescent="0.25">
      <c r="O549" s="76"/>
      <c r="P549" s="77"/>
      <c r="Q549" s="77"/>
      <c r="R549" s="77"/>
      <c r="S549" s="77"/>
      <c r="X549" s="77"/>
      <c r="Y549" s="77"/>
      <c r="Z549" s="77"/>
      <c r="AA549" s="78"/>
    </row>
    <row r="550" spans="15:27" x14ac:dyDescent="0.25">
      <c r="O550" s="76"/>
      <c r="P550" s="77"/>
      <c r="Q550" s="77"/>
      <c r="R550" s="77"/>
      <c r="S550" s="77"/>
      <c r="X550" s="77"/>
      <c r="Y550" s="77"/>
      <c r="Z550" s="77"/>
      <c r="AA550" s="78"/>
    </row>
    <row r="551" spans="15:27" x14ac:dyDescent="0.25">
      <c r="O551" s="76"/>
      <c r="P551" s="77"/>
      <c r="Q551" s="77"/>
      <c r="R551" s="77"/>
      <c r="S551" s="77"/>
      <c r="X551" s="77"/>
      <c r="Y551" s="77"/>
      <c r="Z551" s="77"/>
      <c r="AA551" s="78"/>
    </row>
    <row r="552" spans="15:27" x14ac:dyDescent="0.25">
      <c r="O552" s="76"/>
      <c r="P552" s="77"/>
      <c r="Q552" s="77"/>
      <c r="R552" s="77"/>
      <c r="S552" s="77"/>
      <c r="X552" s="77"/>
      <c r="Y552" s="77"/>
      <c r="Z552" s="77"/>
      <c r="AA552" s="78"/>
    </row>
    <row r="553" spans="15:27" x14ac:dyDescent="0.25">
      <c r="O553" s="76"/>
      <c r="P553" s="77"/>
      <c r="Q553" s="77"/>
      <c r="R553" s="77"/>
      <c r="S553" s="77"/>
      <c r="X553" s="77"/>
      <c r="Y553" s="77"/>
      <c r="Z553" s="77"/>
      <c r="AA553" s="78"/>
    </row>
    <row r="554" spans="15:27" x14ac:dyDescent="0.25">
      <c r="O554" s="76"/>
      <c r="P554" s="77"/>
      <c r="Q554" s="77"/>
      <c r="R554" s="77"/>
      <c r="S554" s="77"/>
      <c r="X554" s="77"/>
      <c r="Y554" s="77"/>
      <c r="Z554" s="77"/>
      <c r="AA554" s="78"/>
    </row>
    <row r="555" spans="15:27" x14ac:dyDescent="0.25">
      <c r="O555" s="76"/>
      <c r="P555" s="77"/>
      <c r="Q555" s="77"/>
      <c r="R555" s="77"/>
      <c r="S555" s="77"/>
      <c r="X555" s="77"/>
      <c r="Y555" s="77"/>
      <c r="Z555" s="77"/>
      <c r="AA555" s="78"/>
    </row>
    <row r="556" spans="15:27" x14ac:dyDescent="0.25">
      <c r="O556" s="76"/>
      <c r="P556" s="77"/>
      <c r="Q556" s="77"/>
      <c r="R556" s="77"/>
      <c r="S556" s="77"/>
      <c r="X556" s="77"/>
      <c r="Y556" s="77"/>
      <c r="Z556" s="77"/>
      <c r="AA556" s="78"/>
    </row>
    <row r="557" spans="15:27" x14ac:dyDescent="0.25">
      <c r="O557" s="76"/>
      <c r="P557" s="77"/>
      <c r="Q557" s="77"/>
      <c r="R557" s="77"/>
      <c r="S557" s="77"/>
      <c r="X557" s="77"/>
      <c r="Y557" s="77"/>
      <c r="Z557" s="77"/>
      <c r="AA557" s="78"/>
    </row>
    <row r="558" spans="15:27" x14ac:dyDescent="0.25">
      <c r="O558" s="76"/>
      <c r="P558" s="77"/>
      <c r="Q558" s="77"/>
      <c r="R558" s="77"/>
      <c r="S558" s="77"/>
      <c r="X558" s="77"/>
      <c r="Y558" s="77"/>
      <c r="Z558" s="77"/>
      <c r="AA558" s="78"/>
    </row>
    <row r="559" spans="15:27" x14ac:dyDescent="0.25">
      <c r="O559" s="76"/>
      <c r="P559" s="77"/>
      <c r="Q559" s="77"/>
      <c r="R559" s="77"/>
      <c r="S559" s="77"/>
      <c r="X559" s="77"/>
      <c r="Y559" s="77"/>
      <c r="Z559" s="77"/>
      <c r="AA559" s="78"/>
    </row>
    <row r="560" spans="15:27" x14ac:dyDescent="0.25">
      <c r="O560" s="76"/>
      <c r="P560" s="77"/>
      <c r="Q560" s="77"/>
      <c r="R560" s="77"/>
      <c r="S560" s="77"/>
      <c r="X560" s="77"/>
      <c r="Y560" s="77"/>
      <c r="Z560" s="77"/>
      <c r="AA560" s="78"/>
    </row>
    <row r="561" spans="15:27" x14ac:dyDescent="0.25">
      <c r="O561" s="76"/>
      <c r="P561" s="77"/>
      <c r="Q561" s="77"/>
      <c r="R561" s="77"/>
      <c r="S561" s="77"/>
      <c r="X561" s="77"/>
      <c r="Y561" s="77"/>
      <c r="Z561" s="77"/>
      <c r="AA561" s="78"/>
    </row>
    <row r="562" spans="15:27" x14ac:dyDescent="0.25">
      <c r="O562" s="76"/>
      <c r="P562" s="77"/>
      <c r="Q562" s="77"/>
      <c r="R562" s="77"/>
      <c r="S562" s="77"/>
      <c r="X562" s="77"/>
      <c r="Y562" s="77"/>
      <c r="Z562" s="77"/>
      <c r="AA562" s="78"/>
    </row>
    <row r="563" spans="15:27" x14ac:dyDescent="0.25">
      <c r="O563" s="76"/>
      <c r="P563" s="77"/>
      <c r="Q563" s="77"/>
      <c r="R563" s="77"/>
      <c r="S563" s="77"/>
      <c r="X563" s="77"/>
      <c r="Y563" s="77"/>
      <c r="Z563" s="77"/>
      <c r="AA563" s="78"/>
    </row>
    <row r="564" spans="15:27" x14ac:dyDescent="0.25">
      <c r="O564" s="76"/>
      <c r="P564" s="77"/>
      <c r="Q564" s="77"/>
      <c r="R564" s="77"/>
      <c r="S564" s="77"/>
      <c r="X564" s="77"/>
      <c r="Y564" s="77"/>
      <c r="Z564" s="77"/>
      <c r="AA564" s="78"/>
    </row>
    <row r="565" spans="15:27" x14ac:dyDescent="0.25">
      <c r="O565" s="76"/>
      <c r="P565" s="77"/>
      <c r="Q565" s="77"/>
      <c r="R565" s="77"/>
      <c r="S565" s="77"/>
      <c r="X565" s="77"/>
      <c r="Y565" s="77"/>
      <c r="Z565" s="77"/>
      <c r="AA565" s="78"/>
    </row>
    <row r="566" spans="15:27" x14ac:dyDescent="0.25">
      <c r="O566" s="76"/>
      <c r="P566" s="77"/>
      <c r="Q566" s="77"/>
      <c r="R566" s="77"/>
      <c r="S566" s="77"/>
      <c r="X566" s="77"/>
      <c r="Y566" s="77"/>
      <c r="Z566" s="77"/>
      <c r="AA566" s="78"/>
    </row>
    <row r="567" spans="15:27" x14ac:dyDescent="0.25">
      <c r="O567" s="76"/>
      <c r="P567" s="77"/>
      <c r="Q567" s="77"/>
      <c r="R567" s="77"/>
      <c r="S567" s="77"/>
      <c r="X567" s="77"/>
      <c r="Y567" s="77"/>
      <c r="Z567" s="77"/>
      <c r="AA567" s="78"/>
    </row>
    <row r="568" spans="15:27" x14ac:dyDescent="0.25">
      <c r="O568" s="76"/>
      <c r="P568" s="77"/>
      <c r="Q568" s="77"/>
      <c r="R568" s="77"/>
      <c r="S568" s="77"/>
      <c r="X568" s="77"/>
      <c r="Y568" s="77"/>
      <c r="Z568" s="77"/>
      <c r="AA568" s="78"/>
    </row>
    <row r="569" spans="15:27" x14ac:dyDescent="0.25">
      <c r="O569" s="76"/>
      <c r="P569" s="77"/>
      <c r="Q569" s="77"/>
      <c r="R569" s="77"/>
      <c r="S569" s="77"/>
      <c r="X569" s="77"/>
      <c r="Y569" s="77"/>
      <c r="Z569" s="77"/>
      <c r="AA569" s="78"/>
    </row>
    <row r="570" spans="15:27" x14ac:dyDescent="0.25">
      <c r="O570" s="76"/>
      <c r="P570" s="77"/>
      <c r="Q570" s="77"/>
      <c r="R570" s="77"/>
      <c r="S570" s="77"/>
      <c r="X570" s="77"/>
      <c r="Y570" s="77"/>
      <c r="Z570" s="77"/>
      <c r="AA570" s="78"/>
    </row>
    <row r="571" spans="15:27" x14ac:dyDescent="0.25">
      <c r="O571" s="76"/>
      <c r="P571" s="77"/>
      <c r="Q571" s="77"/>
      <c r="R571" s="77"/>
      <c r="S571" s="77"/>
      <c r="X571" s="77"/>
      <c r="Y571" s="77"/>
      <c r="Z571" s="77"/>
      <c r="AA571" s="78"/>
    </row>
    <row r="572" spans="15:27" x14ac:dyDescent="0.25">
      <c r="O572" s="76"/>
      <c r="P572" s="77"/>
      <c r="Q572" s="77"/>
      <c r="R572" s="77"/>
      <c r="S572" s="77"/>
      <c r="X572" s="77"/>
      <c r="Y572" s="77"/>
      <c r="Z572" s="77"/>
      <c r="AA572" s="78"/>
    </row>
    <row r="573" spans="15:27" x14ac:dyDescent="0.25">
      <c r="O573" s="76"/>
      <c r="P573" s="77"/>
      <c r="Q573" s="77"/>
      <c r="R573" s="77"/>
      <c r="S573" s="77"/>
      <c r="X573" s="77"/>
      <c r="Y573" s="77"/>
      <c r="Z573" s="77"/>
      <c r="AA573" s="78"/>
    </row>
    <row r="574" spans="15:27" x14ac:dyDescent="0.25">
      <c r="O574" s="76"/>
      <c r="P574" s="77"/>
      <c r="Q574" s="77"/>
      <c r="R574" s="77"/>
      <c r="S574" s="77"/>
      <c r="X574" s="77"/>
      <c r="Y574" s="77"/>
      <c r="Z574" s="77"/>
      <c r="AA574" s="78"/>
    </row>
    <row r="575" spans="15:27" x14ac:dyDescent="0.25">
      <c r="O575" s="76"/>
      <c r="P575" s="77"/>
      <c r="Q575" s="77"/>
      <c r="R575" s="77"/>
      <c r="S575" s="77"/>
      <c r="X575" s="77"/>
      <c r="Y575" s="77"/>
      <c r="Z575" s="77"/>
      <c r="AA575" s="78"/>
    </row>
    <row r="576" spans="15:27" x14ac:dyDescent="0.25">
      <c r="O576" s="76"/>
      <c r="P576" s="77"/>
      <c r="Q576" s="77"/>
      <c r="R576" s="77"/>
      <c r="S576" s="77"/>
      <c r="X576" s="77"/>
      <c r="Y576" s="77"/>
      <c r="Z576" s="77"/>
      <c r="AA576" s="78"/>
    </row>
    <row r="577" spans="15:27" x14ac:dyDescent="0.25">
      <c r="O577" s="76"/>
      <c r="P577" s="77"/>
      <c r="Q577" s="77"/>
      <c r="R577" s="77"/>
      <c r="S577" s="77"/>
      <c r="X577" s="77"/>
      <c r="Y577" s="77"/>
      <c r="Z577" s="77"/>
      <c r="AA577" s="78"/>
    </row>
    <row r="578" spans="15:27" x14ac:dyDescent="0.25">
      <c r="O578" s="76"/>
      <c r="P578" s="77"/>
      <c r="Q578" s="77"/>
      <c r="R578" s="77"/>
      <c r="S578" s="77"/>
      <c r="X578" s="77"/>
      <c r="Y578" s="77"/>
      <c r="Z578" s="77"/>
      <c r="AA578" s="78"/>
    </row>
    <row r="579" spans="15:27" x14ac:dyDescent="0.25">
      <c r="O579" s="76"/>
      <c r="P579" s="77"/>
      <c r="Q579" s="77"/>
      <c r="R579" s="77"/>
      <c r="S579" s="77"/>
      <c r="X579" s="77"/>
      <c r="Y579" s="77"/>
      <c r="Z579" s="77"/>
      <c r="AA579" s="78"/>
    </row>
    <row r="580" spans="15:27" x14ac:dyDescent="0.25">
      <c r="O580" s="76"/>
      <c r="P580" s="77"/>
      <c r="Q580" s="77"/>
      <c r="R580" s="77"/>
      <c r="S580" s="77"/>
      <c r="X580" s="77"/>
      <c r="Y580" s="77"/>
      <c r="Z580" s="77"/>
      <c r="AA580" s="78"/>
    </row>
    <row r="581" spans="15:27" x14ac:dyDescent="0.25">
      <c r="O581" s="76"/>
      <c r="P581" s="77"/>
      <c r="Q581" s="77"/>
      <c r="R581" s="77"/>
      <c r="S581" s="77"/>
      <c r="X581" s="77"/>
      <c r="Y581" s="77"/>
      <c r="Z581" s="77"/>
      <c r="AA581" s="78"/>
    </row>
    <row r="582" spans="15:27" x14ac:dyDescent="0.25">
      <c r="O582" s="76"/>
      <c r="P582" s="77"/>
      <c r="Q582" s="77"/>
      <c r="R582" s="77"/>
      <c r="S582" s="77"/>
      <c r="X582" s="77"/>
      <c r="Y582" s="77"/>
      <c r="Z582" s="77"/>
      <c r="AA582" s="78"/>
    </row>
    <row r="583" spans="15:27" x14ac:dyDescent="0.25">
      <c r="O583" s="76"/>
      <c r="P583" s="77"/>
      <c r="Q583" s="77"/>
      <c r="R583" s="77"/>
      <c r="S583" s="77"/>
      <c r="X583" s="77"/>
      <c r="Y583" s="77"/>
      <c r="Z583" s="77"/>
      <c r="AA583" s="78"/>
    </row>
    <row r="584" spans="15:27" x14ac:dyDescent="0.25">
      <c r="O584" s="76"/>
      <c r="P584" s="77"/>
      <c r="Q584" s="77"/>
      <c r="R584" s="77"/>
      <c r="S584" s="77"/>
      <c r="X584" s="77"/>
      <c r="Y584" s="77"/>
      <c r="Z584" s="77"/>
      <c r="AA584" s="78"/>
    </row>
    <row r="585" spans="15:27" x14ac:dyDescent="0.25">
      <c r="O585" s="76"/>
      <c r="P585" s="77"/>
      <c r="Q585" s="77"/>
      <c r="R585" s="77"/>
      <c r="S585" s="77"/>
      <c r="X585" s="77"/>
      <c r="Y585" s="77"/>
      <c r="Z585" s="77"/>
      <c r="AA585" s="78"/>
    </row>
    <row r="586" spans="15:27" x14ac:dyDescent="0.25">
      <c r="O586" s="76"/>
      <c r="P586" s="77"/>
      <c r="Q586" s="77"/>
      <c r="R586" s="77"/>
      <c r="S586" s="77"/>
      <c r="X586" s="77"/>
      <c r="Y586" s="77"/>
      <c r="Z586" s="77"/>
      <c r="AA586" s="78"/>
    </row>
    <row r="587" spans="15:27" x14ac:dyDescent="0.25">
      <c r="O587" s="76"/>
      <c r="P587" s="77"/>
      <c r="Q587" s="77"/>
      <c r="R587" s="77"/>
      <c r="S587" s="77"/>
      <c r="X587" s="77"/>
      <c r="Y587" s="77"/>
      <c r="Z587" s="77"/>
      <c r="AA587" s="78"/>
    </row>
    <row r="588" spans="15:27" x14ac:dyDescent="0.25">
      <c r="O588" s="76"/>
      <c r="P588" s="77"/>
      <c r="Q588" s="77"/>
      <c r="R588" s="77"/>
      <c r="S588" s="77"/>
      <c r="X588" s="77"/>
      <c r="Y588" s="77"/>
      <c r="Z588" s="77"/>
      <c r="AA588" s="78"/>
    </row>
    <row r="589" spans="15:27" x14ac:dyDescent="0.25">
      <c r="O589" s="76"/>
      <c r="P589" s="77"/>
      <c r="Q589" s="77"/>
      <c r="R589" s="77"/>
      <c r="S589" s="77"/>
      <c r="X589" s="77"/>
      <c r="Y589" s="77"/>
      <c r="Z589" s="77"/>
      <c r="AA589" s="78"/>
    </row>
    <row r="590" spans="15:27" x14ac:dyDescent="0.25">
      <c r="O590" s="76"/>
      <c r="P590" s="77"/>
      <c r="Q590" s="77"/>
      <c r="R590" s="77"/>
      <c r="S590" s="77"/>
      <c r="X590" s="77"/>
      <c r="Y590" s="77"/>
      <c r="Z590" s="77"/>
      <c r="AA590" s="78"/>
    </row>
    <row r="591" spans="15:27" x14ac:dyDescent="0.25">
      <c r="O591" s="76"/>
      <c r="P591" s="77"/>
      <c r="Q591" s="77"/>
      <c r="R591" s="77"/>
      <c r="S591" s="77"/>
      <c r="X591" s="77"/>
      <c r="Y591" s="77"/>
      <c r="Z591" s="77"/>
      <c r="AA591" s="78"/>
    </row>
    <row r="592" spans="15:27" x14ac:dyDescent="0.25">
      <c r="O592" s="76"/>
      <c r="P592" s="77"/>
      <c r="Q592" s="77"/>
      <c r="R592" s="77"/>
      <c r="S592" s="77"/>
      <c r="X592" s="77"/>
      <c r="Y592" s="77"/>
      <c r="Z592" s="77"/>
      <c r="AA592" s="78"/>
    </row>
    <row r="593" spans="15:27" x14ac:dyDescent="0.25">
      <c r="O593" s="76"/>
      <c r="P593" s="77"/>
      <c r="Q593" s="77"/>
      <c r="R593" s="77"/>
      <c r="S593" s="77"/>
      <c r="X593" s="77"/>
      <c r="Y593" s="77"/>
      <c r="Z593" s="77"/>
      <c r="AA593" s="78"/>
    </row>
    <row r="594" spans="15:27" x14ac:dyDescent="0.25">
      <c r="O594" s="76"/>
      <c r="P594" s="77"/>
      <c r="Q594" s="77"/>
      <c r="R594" s="77"/>
      <c r="S594" s="77"/>
      <c r="X594" s="77"/>
      <c r="Y594" s="77"/>
      <c r="Z594" s="77"/>
      <c r="AA594" s="78"/>
    </row>
    <row r="595" spans="15:27" x14ac:dyDescent="0.25">
      <c r="O595" s="76"/>
      <c r="P595" s="77"/>
      <c r="Q595" s="77"/>
      <c r="R595" s="77"/>
      <c r="S595" s="77"/>
      <c r="X595" s="77"/>
      <c r="Y595" s="77"/>
      <c r="Z595" s="77"/>
      <c r="AA595" s="78"/>
    </row>
    <row r="596" spans="15:27" x14ac:dyDescent="0.25">
      <c r="O596" s="76"/>
      <c r="P596" s="77"/>
      <c r="Q596" s="77"/>
      <c r="R596" s="77"/>
      <c r="S596" s="77"/>
      <c r="X596" s="77"/>
      <c r="Y596" s="77"/>
      <c r="Z596" s="77"/>
      <c r="AA596" s="78"/>
    </row>
    <row r="597" spans="15:27" x14ac:dyDescent="0.25">
      <c r="O597" s="76"/>
      <c r="P597" s="77"/>
      <c r="Q597" s="77"/>
      <c r="R597" s="77"/>
      <c r="S597" s="77"/>
      <c r="X597" s="77"/>
      <c r="Y597" s="77"/>
      <c r="Z597" s="77"/>
      <c r="AA597" s="78"/>
    </row>
    <row r="598" spans="15:27" x14ac:dyDescent="0.25">
      <c r="O598" s="76"/>
      <c r="P598" s="77"/>
      <c r="Q598" s="77"/>
      <c r="R598" s="77"/>
      <c r="S598" s="77"/>
      <c r="X598" s="77"/>
      <c r="Y598" s="77"/>
      <c r="Z598" s="77"/>
      <c r="AA598" s="78"/>
    </row>
    <row r="599" spans="15:27" x14ac:dyDescent="0.25">
      <c r="O599" s="76"/>
      <c r="P599" s="77"/>
      <c r="Q599" s="77"/>
      <c r="R599" s="77"/>
      <c r="S599" s="77"/>
      <c r="X599" s="77"/>
      <c r="Y599" s="77"/>
      <c r="Z599" s="77"/>
      <c r="AA599" s="78"/>
    </row>
    <row r="600" spans="15:27" x14ac:dyDescent="0.25">
      <c r="O600" s="76"/>
      <c r="P600" s="77"/>
      <c r="Q600" s="77"/>
      <c r="R600" s="77"/>
      <c r="S600" s="77"/>
      <c r="X600" s="77"/>
      <c r="Y600" s="77"/>
      <c r="Z600" s="77"/>
      <c r="AA600" s="78"/>
    </row>
    <row r="601" spans="15:27" x14ac:dyDescent="0.25">
      <c r="O601" s="76"/>
      <c r="P601" s="77"/>
      <c r="Q601" s="77"/>
      <c r="R601" s="77"/>
      <c r="S601" s="77"/>
      <c r="X601" s="77"/>
      <c r="Y601" s="77"/>
      <c r="Z601" s="77"/>
      <c r="AA601" s="78"/>
    </row>
    <row r="602" spans="15:27" x14ac:dyDescent="0.25">
      <c r="O602" s="76"/>
      <c r="P602" s="77"/>
      <c r="Q602" s="77"/>
      <c r="R602" s="77"/>
      <c r="S602" s="77"/>
      <c r="X602" s="77"/>
      <c r="Y602" s="77"/>
      <c r="Z602" s="77"/>
      <c r="AA602" s="78"/>
    </row>
    <row r="603" spans="15:27" x14ac:dyDescent="0.25">
      <c r="O603" s="76"/>
      <c r="P603" s="77"/>
      <c r="Q603" s="77"/>
      <c r="R603" s="77"/>
      <c r="S603" s="77"/>
      <c r="X603" s="77"/>
      <c r="Y603" s="77"/>
      <c r="Z603" s="77"/>
      <c r="AA603" s="78"/>
    </row>
    <row r="604" spans="15:27" x14ac:dyDescent="0.25">
      <c r="O604" s="76"/>
      <c r="P604" s="77"/>
      <c r="Q604" s="77"/>
      <c r="R604" s="77"/>
      <c r="S604" s="77"/>
      <c r="X604" s="77"/>
      <c r="Y604" s="77"/>
      <c r="Z604" s="77"/>
      <c r="AA604" s="78"/>
    </row>
    <row r="605" spans="15:27" x14ac:dyDescent="0.25">
      <c r="O605" s="76"/>
      <c r="P605" s="77"/>
      <c r="Q605" s="77"/>
      <c r="R605" s="77"/>
      <c r="S605" s="77"/>
      <c r="X605" s="77"/>
      <c r="Y605" s="77"/>
      <c r="Z605" s="77"/>
      <c r="AA605" s="78"/>
    </row>
    <row r="606" spans="15:27" x14ac:dyDescent="0.25">
      <c r="O606" s="76"/>
      <c r="P606" s="77"/>
      <c r="Q606" s="77"/>
      <c r="R606" s="77"/>
      <c r="S606" s="77"/>
      <c r="X606" s="77"/>
      <c r="Y606" s="77"/>
      <c r="Z606" s="77"/>
      <c r="AA606" s="78"/>
    </row>
    <row r="607" spans="15:27" x14ac:dyDescent="0.25">
      <c r="O607" s="76"/>
      <c r="P607" s="77"/>
      <c r="Q607" s="77"/>
      <c r="R607" s="77"/>
      <c r="S607" s="77"/>
      <c r="X607" s="77"/>
      <c r="Y607" s="77"/>
      <c r="Z607" s="77"/>
      <c r="AA607" s="78"/>
    </row>
    <row r="608" spans="15:27" x14ac:dyDescent="0.25">
      <c r="O608" s="76"/>
      <c r="P608" s="77"/>
      <c r="Q608" s="77"/>
      <c r="R608" s="77"/>
      <c r="S608" s="77"/>
      <c r="X608" s="77"/>
      <c r="Y608" s="77"/>
      <c r="Z608" s="77"/>
      <c r="AA608" s="78"/>
    </row>
    <row r="609" spans="15:27" x14ac:dyDescent="0.25">
      <c r="O609" s="76"/>
      <c r="P609" s="77"/>
      <c r="Q609" s="77"/>
      <c r="R609" s="77"/>
      <c r="S609" s="77"/>
      <c r="X609" s="77"/>
      <c r="Y609" s="77"/>
      <c r="Z609" s="77"/>
      <c r="AA609" s="78"/>
    </row>
    <row r="610" spans="15:27" x14ac:dyDescent="0.25">
      <c r="O610" s="76"/>
      <c r="P610" s="77"/>
      <c r="Q610" s="77"/>
      <c r="R610" s="77"/>
      <c r="S610" s="77"/>
      <c r="X610" s="77"/>
      <c r="Y610" s="77"/>
      <c r="Z610" s="77"/>
      <c r="AA610" s="78"/>
    </row>
    <row r="611" spans="15:27" x14ac:dyDescent="0.25">
      <c r="O611" s="76"/>
      <c r="P611" s="77"/>
      <c r="Q611" s="77"/>
      <c r="R611" s="77"/>
      <c r="S611" s="77"/>
      <c r="X611" s="77"/>
      <c r="Y611" s="77"/>
      <c r="Z611" s="77"/>
      <c r="AA611" s="78"/>
    </row>
    <row r="612" spans="15:27" x14ac:dyDescent="0.25">
      <c r="O612" s="76"/>
      <c r="P612" s="77"/>
      <c r="Q612" s="77"/>
      <c r="R612" s="77"/>
      <c r="S612" s="77"/>
      <c r="X612" s="77"/>
      <c r="Y612" s="77"/>
      <c r="Z612" s="77"/>
      <c r="AA612" s="78"/>
    </row>
    <row r="613" spans="15:27" x14ac:dyDescent="0.25">
      <c r="O613" s="76"/>
      <c r="P613" s="77"/>
      <c r="Q613" s="77"/>
      <c r="R613" s="77"/>
      <c r="S613" s="77"/>
      <c r="X613" s="77"/>
      <c r="Y613" s="77"/>
      <c r="Z613" s="77"/>
      <c r="AA613" s="78"/>
    </row>
    <row r="614" spans="15:27" x14ac:dyDescent="0.25">
      <c r="O614" s="76"/>
      <c r="P614" s="77"/>
      <c r="Q614" s="77"/>
      <c r="R614" s="77"/>
      <c r="S614" s="77"/>
      <c r="X614" s="77"/>
      <c r="Y614" s="77"/>
      <c r="Z614" s="77"/>
      <c r="AA614" s="78"/>
    </row>
    <row r="615" spans="15:27" x14ac:dyDescent="0.25">
      <c r="O615" s="76"/>
      <c r="P615" s="77"/>
      <c r="Q615" s="77"/>
      <c r="R615" s="77"/>
      <c r="S615" s="77"/>
      <c r="X615" s="77"/>
      <c r="Y615" s="77"/>
      <c r="Z615" s="77"/>
      <c r="AA615" s="78"/>
    </row>
    <row r="616" spans="15:27" x14ac:dyDescent="0.25">
      <c r="O616" s="76"/>
      <c r="P616" s="77"/>
      <c r="Q616" s="77"/>
      <c r="R616" s="77"/>
      <c r="S616" s="77"/>
      <c r="X616" s="77"/>
      <c r="Y616" s="77"/>
      <c r="Z616" s="77"/>
      <c r="AA616" s="78"/>
    </row>
    <row r="617" spans="15:27" x14ac:dyDescent="0.25">
      <c r="O617" s="76"/>
      <c r="P617" s="77"/>
      <c r="Q617" s="77"/>
      <c r="R617" s="77"/>
      <c r="S617" s="77"/>
      <c r="X617" s="77"/>
      <c r="Y617" s="77"/>
      <c r="Z617" s="77"/>
      <c r="AA617" s="78"/>
    </row>
    <row r="618" spans="15:27" x14ac:dyDescent="0.25">
      <c r="O618" s="76"/>
      <c r="P618" s="77"/>
      <c r="Q618" s="77"/>
      <c r="R618" s="77"/>
      <c r="S618" s="77"/>
      <c r="X618" s="77"/>
      <c r="Y618" s="77"/>
      <c r="Z618" s="77"/>
      <c r="AA618" s="78"/>
    </row>
    <row r="619" spans="15:27" x14ac:dyDescent="0.25">
      <c r="O619" s="76"/>
      <c r="P619" s="77"/>
      <c r="Q619" s="77"/>
      <c r="R619" s="77"/>
      <c r="S619" s="77"/>
      <c r="X619" s="77"/>
      <c r="Y619" s="77"/>
      <c r="Z619" s="77"/>
      <c r="AA619" s="78"/>
    </row>
    <row r="620" spans="15:27" x14ac:dyDescent="0.25">
      <c r="O620" s="76"/>
      <c r="P620" s="77"/>
      <c r="Q620" s="77"/>
      <c r="R620" s="77"/>
      <c r="S620" s="77"/>
      <c r="X620" s="77"/>
      <c r="Y620" s="77"/>
      <c r="Z620" s="77"/>
      <c r="AA620" s="78"/>
    </row>
    <row r="621" spans="15:27" x14ac:dyDescent="0.25">
      <c r="O621" s="76"/>
      <c r="P621" s="77"/>
      <c r="Q621" s="77"/>
      <c r="R621" s="77"/>
      <c r="S621" s="77"/>
      <c r="X621" s="77"/>
      <c r="Y621" s="77"/>
      <c r="Z621" s="77"/>
      <c r="AA621" s="78"/>
    </row>
    <row r="622" spans="15:27" x14ac:dyDescent="0.25">
      <c r="O622" s="76"/>
      <c r="P622" s="77"/>
      <c r="Q622" s="77"/>
      <c r="R622" s="77"/>
      <c r="S622" s="77"/>
      <c r="X622" s="77"/>
      <c r="Y622" s="77"/>
      <c r="Z622" s="77"/>
      <c r="AA622" s="78"/>
    </row>
    <row r="623" spans="15:27" x14ac:dyDescent="0.25">
      <c r="O623" s="76"/>
      <c r="P623" s="77"/>
      <c r="Q623" s="77"/>
      <c r="R623" s="77"/>
      <c r="S623" s="77"/>
      <c r="X623" s="77"/>
      <c r="Y623" s="77"/>
      <c r="Z623" s="77"/>
      <c r="AA623" s="78"/>
    </row>
    <row r="624" spans="15:27" x14ac:dyDescent="0.25">
      <c r="O624" s="76"/>
      <c r="P624" s="77"/>
      <c r="Q624" s="77"/>
      <c r="R624" s="77"/>
      <c r="S624" s="77"/>
      <c r="X624" s="77"/>
      <c r="Y624" s="77"/>
      <c r="Z624" s="77"/>
      <c r="AA624" s="78"/>
    </row>
    <row r="625" spans="15:27" x14ac:dyDescent="0.25">
      <c r="O625" s="76"/>
      <c r="P625" s="77"/>
      <c r="Q625" s="77"/>
      <c r="R625" s="77"/>
      <c r="S625" s="77"/>
      <c r="X625" s="77"/>
      <c r="Y625" s="77"/>
      <c r="Z625" s="77"/>
      <c r="AA625" s="78"/>
    </row>
    <row r="626" spans="15:27" x14ac:dyDescent="0.25">
      <c r="O626" s="76"/>
      <c r="P626" s="77"/>
      <c r="Q626" s="77"/>
      <c r="R626" s="77"/>
      <c r="S626" s="77"/>
      <c r="X626" s="77"/>
      <c r="Y626" s="77"/>
      <c r="Z626" s="77"/>
      <c r="AA626" s="78"/>
    </row>
    <row r="627" spans="15:27" x14ac:dyDescent="0.25">
      <c r="O627" s="76"/>
      <c r="P627" s="77"/>
      <c r="Q627" s="77"/>
      <c r="R627" s="77"/>
      <c r="S627" s="77"/>
      <c r="X627" s="77"/>
      <c r="Y627" s="77"/>
      <c r="Z627" s="77"/>
      <c r="AA627" s="78"/>
    </row>
    <row r="628" spans="15:27" x14ac:dyDescent="0.25">
      <c r="O628" s="76"/>
      <c r="P628" s="77"/>
      <c r="Q628" s="77"/>
      <c r="R628" s="77"/>
      <c r="S628" s="77"/>
      <c r="X628" s="77"/>
      <c r="Y628" s="77"/>
      <c r="Z628" s="77"/>
      <c r="AA628" s="78"/>
    </row>
    <row r="629" spans="15:27" x14ac:dyDescent="0.25">
      <c r="O629" s="76"/>
      <c r="P629" s="77"/>
      <c r="Q629" s="77"/>
      <c r="R629" s="77"/>
      <c r="S629" s="77"/>
      <c r="X629" s="77"/>
      <c r="Y629" s="77"/>
      <c r="Z629" s="77"/>
      <c r="AA629" s="78"/>
    </row>
    <row r="630" spans="15:27" x14ac:dyDescent="0.25">
      <c r="O630" s="76"/>
      <c r="P630" s="77"/>
      <c r="Q630" s="77"/>
      <c r="R630" s="77"/>
      <c r="S630" s="77"/>
      <c r="X630" s="77"/>
      <c r="Y630" s="77"/>
      <c r="Z630" s="77"/>
      <c r="AA630" s="78"/>
    </row>
    <row r="631" spans="15:27" x14ac:dyDescent="0.25">
      <c r="O631" s="76"/>
      <c r="P631" s="77"/>
      <c r="Q631" s="77"/>
      <c r="R631" s="77"/>
      <c r="S631" s="77"/>
      <c r="X631" s="77"/>
      <c r="Y631" s="77"/>
      <c r="Z631" s="77"/>
      <c r="AA631" s="78"/>
    </row>
    <row r="632" spans="15:27" x14ac:dyDescent="0.25">
      <c r="O632" s="76"/>
      <c r="P632" s="77"/>
      <c r="Q632" s="77"/>
      <c r="R632" s="77"/>
      <c r="S632" s="77"/>
      <c r="X632" s="77"/>
      <c r="Y632" s="77"/>
      <c r="Z632" s="77"/>
      <c r="AA632" s="78"/>
    </row>
    <row r="633" spans="15:27" x14ac:dyDescent="0.25">
      <c r="O633" s="76"/>
      <c r="P633" s="77"/>
      <c r="Q633" s="77"/>
      <c r="R633" s="77"/>
      <c r="S633" s="77"/>
      <c r="X633" s="77"/>
      <c r="Y633" s="77"/>
      <c r="Z633" s="77"/>
      <c r="AA633" s="78"/>
    </row>
    <row r="634" spans="15:27" x14ac:dyDescent="0.25">
      <c r="O634" s="76"/>
      <c r="P634" s="77"/>
      <c r="Q634" s="77"/>
      <c r="R634" s="77"/>
      <c r="S634" s="77"/>
      <c r="X634" s="77"/>
      <c r="Y634" s="77"/>
      <c r="Z634" s="77"/>
      <c r="AA634" s="78"/>
    </row>
    <row r="635" spans="15:27" x14ac:dyDescent="0.25">
      <c r="O635" s="76"/>
      <c r="P635" s="77"/>
      <c r="Q635" s="77"/>
      <c r="R635" s="77"/>
      <c r="S635" s="77"/>
      <c r="X635" s="77"/>
      <c r="Y635" s="77"/>
      <c r="Z635" s="77"/>
      <c r="AA635" s="78"/>
    </row>
    <row r="636" spans="15:27" x14ac:dyDescent="0.25">
      <c r="O636" s="76"/>
      <c r="P636" s="77"/>
      <c r="Q636" s="77"/>
      <c r="R636" s="77"/>
      <c r="S636" s="77"/>
      <c r="X636" s="77"/>
      <c r="Y636" s="77"/>
      <c r="Z636" s="77"/>
      <c r="AA636" s="78"/>
    </row>
    <row r="637" spans="15:27" x14ac:dyDescent="0.25">
      <c r="O637" s="76"/>
      <c r="P637" s="77"/>
      <c r="Q637" s="77"/>
      <c r="R637" s="77"/>
      <c r="S637" s="77"/>
      <c r="X637" s="77"/>
      <c r="Y637" s="77"/>
      <c r="Z637" s="77"/>
      <c r="AA637" s="78"/>
    </row>
    <row r="638" spans="15:27" x14ac:dyDescent="0.25">
      <c r="O638" s="76"/>
      <c r="P638" s="77"/>
      <c r="Q638" s="77"/>
      <c r="R638" s="77"/>
      <c r="S638" s="77"/>
      <c r="X638" s="77"/>
      <c r="Y638" s="77"/>
      <c r="Z638" s="77"/>
      <c r="AA638" s="78"/>
    </row>
    <row r="639" spans="15:27" x14ac:dyDescent="0.25">
      <c r="O639" s="76"/>
      <c r="P639" s="77"/>
      <c r="Q639" s="77"/>
      <c r="R639" s="77"/>
      <c r="S639" s="77"/>
      <c r="X639" s="77"/>
      <c r="Y639" s="77"/>
      <c r="Z639" s="77"/>
      <c r="AA639" s="78"/>
    </row>
    <row r="640" spans="15:27" x14ac:dyDescent="0.25">
      <c r="O640" s="76"/>
      <c r="P640" s="77"/>
      <c r="Q640" s="77"/>
      <c r="R640" s="77"/>
      <c r="S640" s="77"/>
      <c r="X640" s="77"/>
      <c r="Y640" s="77"/>
      <c r="Z640" s="77"/>
      <c r="AA640" s="78"/>
    </row>
    <row r="641" spans="15:27" x14ac:dyDescent="0.25">
      <c r="O641" s="76"/>
      <c r="P641" s="77"/>
      <c r="Q641" s="77"/>
      <c r="R641" s="77"/>
      <c r="S641" s="77"/>
      <c r="X641" s="77"/>
      <c r="Y641" s="77"/>
      <c r="Z641" s="77"/>
      <c r="AA641" s="78"/>
    </row>
    <row r="642" spans="15:27" x14ac:dyDescent="0.25">
      <c r="O642" s="76"/>
      <c r="P642" s="77"/>
      <c r="Q642" s="77"/>
      <c r="R642" s="77"/>
      <c r="S642" s="77"/>
      <c r="X642" s="77"/>
      <c r="Y642" s="77"/>
      <c r="Z642" s="77"/>
      <c r="AA642" s="78"/>
    </row>
    <row r="643" spans="15:27" x14ac:dyDescent="0.25">
      <c r="O643" s="76"/>
      <c r="P643" s="77"/>
      <c r="Q643" s="77"/>
      <c r="R643" s="77"/>
      <c r="S643" s="77"/>
      <c r="X643" s="77"/>
      <c r="Y643" s="77"/>
      <c r="Z643" s="77"/>
      <c r="AA643" s="78"/>
    </row>
    <row r="644" spans="15:27" x14ac:dyDescent="0.25">
      <c r="O644" s="76"/>
      <c r="P644" s="77"/>
      <c r="Q644" s="77"/>
      <c r="R644" s="77"/>
      <c r="S644" s="77"/>
      <c r="X644" s="77"/>
      <c r="Y644" s="77"/>
      <c r="Z644" s="77"/>
      <c r="AA644" s="78"/>
    </row>
    <row r="645" spans="15:27" x14ac:dyDescent="0.25">
      <c r="O645" s="76"/>
      <c r="P645" s="77"/>
      <c r="Q645" s="77"/>
      <c r="R645" s="77"/>
      <c r="S645" s="77"/>
      <c r="X645" s="77"/>
      <c r="Y645" s="77"/>
      <c r="Z645" s="77"/>
      <c r="AA645" s="78"/>
    </row>
    <row r="646" spans="15:27" x14ac:dyDescent="0.25">
      <c r="O646" s="76"/>
      <c r="P646" s="77"/>
      <c r="Q646" s="77"/>
      <c r="R646" s="77"/>
      <c r="S646" s="77"/>
      <c r="X646" s="77"/>
      <c r="Y646" s="77"/>
      <c r="Z646" s="77"/>
      <c r="AA646" s="78"/>
    </row>
    <row r="647" spans="15:27" x14ac:dyDescent="0.25">
      <c r="O647" s="76"/>
      <c r="P647" s="77"/>
      <c r="Q647" s="77"/>
      <c r="R647" s="77"/>
      <c r="S647" s="77"/>
      <c r="X647" s="77"/>
      <c r="Y647" s="77"/>
      <c r="Z647" s="77"/>
      <c r="AA647" s="78"/>
    </row>
    <row r="648" spans="15:27" x14ac:dyDescent="0.25">
      <c r="O648" s="76"/>
      <c r="P648" s="77"/>
      <c r="Q648" s="77"/>
      <c r="R648" s="77"/>
      <c r="S648" s="77"/>
      <c r="X648" s="77"/>
      <c r="Y648" s="77"/>
      <c r="Z648" s="77"/>
      <c r="AA648" s="78"/>
    </row>
    <row r="649" spans="15:27" x14ac:dyDescent="0.25">
      <c r="O649" s="76"/>
      <c r="P649" s="77"/>
      <c r="Q649" s="77"/>
      <c r="R649" s="77"/>
      <c r="S649" s="77"/>
      <c r="X649" s="77"/>
      <c r="Y649" s="77"/>
      <c r="Z649" s="77"/>
      <c r="AA649" s="78"/>
    </row>
    <row r="650" spans="15:27" x14ac:dyDescent="0.25">
      <c r="O650" s="76"/>
      <c r="P650" s="77"/>
      <c r="Q650" s="77"/>
      <c r="R650" s="77"/>
      <c r="S650" s="77"/>
      <c r="X650" s="77"/>
      <c r="Y650" s="77"/>
      <c r="Z650" s="77"/>
      <c r="AA650" s="78"/>
    </row>
    <row r="651" spans="15:27" x14ac:dyDescent="0.25">
      <c r="O651" s="76"/>
      <c r="P651" s="77"/>
      <c r="Q651" s="77"/>
      <c r="R651" s="77"/>
      <c r="S651" s="77"/>
      <c r="X651" s="77"/>
      <c r="Y651" s="77"/>
      <c r="Z651" s="77"/>
      <c r="AA651" s="78"/>
    </row>
    <row r="652" spans="15:27" x14ac:dyDescent="0.25">
      <c r="O652" s="76"/>
      <c r="P652" s="77"/>
      <c r="Q652" s="77"/>
      <c r="R652" s="77"/>
      <c r="S652" s="77"/>
      <c r="X652" s="77"/>
      <c r="Y652" s="77"/>
      <c r="Z652" s="77"/>
      <c r="AA652" s="78"/>
    </row>
    <row r="653" spans="15:27" x14ac:dyDescent="0.25">
      <c r="O653" s="76"/>
      <c r="P653" s="77"/>
      <c r="Q653" s="77"/>
      <c r="R653" s="77"/>
      <c r="S653" s="77"/>
      <c r="X653" s="77"/>
      <c r="Y653" s="77"/>
      <c r="Z653" s="77"/>
      <c r="AA653" s="78"/>
    </row>
    <row r="654" spans="15:27" x14ac:dyDescent="0.25">
      <c r="O654" s="76"/>
      <c r="P654" s="77"/>
      <c r="Q654" s="77"/>
      <c r="R654" s="77"/>
      <c r="S654" s="77"/>
      <c r="X654" s="77"/>
      <c r="Y654" s="77"/>
      <c r="Z654" s="77"/>
      <c r="AA654" s="78"/>
    </row>
    <row r="655" spans="15:27" x14ac:dyDescent="0.25">
      <c r="O655" s="76"/>
      <c r="P655" s="77"/>
      <c r="Q655" s="77"/>
      <c r="R655" s="77"/>
      <c r="S655" s="77"/>
      <c r="X655" s="77"/>
      <c r="Y655" s="77"/>
      <c r="Z655" s="77"/>
      <c r="AA655" s="78"/>
    </row>
    <row r="656" spans="15:27" x14ac:dyDescent="0.25">
      <c r="O656" s="76"/>
      <c r="P656" s="77"/>
      <c r="Q656" s="77"/>
      <c r="R656" s="77"/>
      <c r="S656" s="77"/>
      <c r="X656" s="77"/>
      <c r="Y656" s="77"/>
      <c r="Z656" s="77"/>
      <c r="AA656" s="78"/>
    </row>
    <row r="657" spans="15:27" x14ac:dyDescent="0.25">
      <c r="O657" s="76"/>
      <c r="P657" s="77"/>
      <c r="Q657" s="77"/>
      <c r="R657" s="77"/>
      <c r="S657" s="77"/>
      <c r="X657" s="77"/>
      <c r="Y657" s="77"/>
      <c r="Z657" s="77"/>
      <c r="AA657" s="78"/>
    </row>
    <row r="658" spans="15:27" x14ac:dyDescent="0.25">
      <c r="O658" s="76"/>
      <c r="P658" s="77"/>
      <c r="Q658" s="77"/>
      <c r="R658" s="77"/>
      <c r="S658" s="77"/>
      <c r="X658" s="77"/>
      <c r="Y658" s="77"/>
      <c r="Z658" s="77"/>
      <c r="AA658" s="78"/>
    </row>
    <row r="659" spans="15:27" x14ac:dyDescent="0.25">
      <c r="O659" s="76"/>
      <c r="P659" s="77"/>
      <c r="Q659" s="77"/>
      <c r="R659" s="77"/>
      <c r="S659" s="77"/>
      <c r="X659" s="77"/>
      <c r="Y659" s="77"/>
      <c r="Z659" s="77"/>
      <c r="AA659" s="78"/>
    </row>
    <row r="660" spans="15:27" x14ac:dyDescent="0.25">
      <c r="O660" s="76"/>
      <c r="P660" s="77"/>
      <c r="Q660" s="77"/>
      <c r="R660" s="77"/>
      <c r="S660" s="77"/>
      <c r="X660" s="77"/>
      <c r="Y660" s="77"/>
      <c r="Z660" s="77"/>
      <c r="AA660" s="78"/>
    </row>
    <row r="661" spans="15:27" x14ac:dyDescent="0.25">
      <c r="O661" s="76"/>
      <c r="P661" s="77"/>
      <c r="Q661" s="77"/>
      <c r="R661" s="77"/>
      <c r="S661" s="77"/>
      <c r="X661" s="77"/>
      <c r="Y661" s="77"/>
      <c r="Z661" s="77"/>
      <c r="AA661" s="78"/>
    </row>
    <row r="662" spans="15:27" x14ac:dyDescent="0.25">
      <c r="O662" s="76"/>
      <c r="P662" s="77"/>
      <c r="Q662" s="77"/>
      <c r="R662" s="77"/>
      <c r="S662" s="77"/>
      <c r="X662" s="77"/>
      <c r="Y662" s="77"/>
      <c r="Z662" s="77"/>
      <c r="AA662" s="78"/>
    </row>
    <row r="663" spans="15:27" x14ac:dyDescent="0.25">
      <c r="O663" s="76"/>
      <c r="P663" s="77"/>
      <c r="Q663" s="77"/>
      <c r="R663" s="77"/>
      <c r="S663" s="77"/>
      <c r="X663" s="77"/>
      <c r="Y663" s="77"/>
      <c r="Z663" s="77"/>
      <c r="AA663" s="78"/>
    </row>
    <row r="664" spans="15:27" x14ac:dyDescent="0.25">
      <c r="O664" s="76"/>
      <c r="P664" s="77"/>
      <c r="Q664" s="77"/>
      <c r="R664" s="77"/>
      <c r="S664" s="77"/>
      <c r="X664" s="77"/>
      <c r="Y664" s="77"/>
      <c r="Z664" s="77"/>
      <c r="AA664" s="78"/>
    </row>
    <row r="665" spans="15:27" x14ac:dyDescent="0.25">
      <c r="O665" s="76"/>
      <c r="P665" s="77"/>
      <c r="Q665" s="77"/>
      <c r="R665" s="77"/>
      <c r="S665" s="77"/>
      <c r="X665" s="77"/>
      <c r="Y665" s="77"/>
      <c r="Z665" s="77"/>
      <c r="AA665" s="78"/>
    </row>
    <row r="666" spans="15:27" x14ac:dyDescent="0.25">
      <c r="O666" s="76"/>
      <c r="P666" s="77"/>
      <c r="Q666" s="77"/>
      <c r="R666" s="77"/>
      <c r="S666" s="77"/>
      <c r="X666" s="77"/>
      <c r="Y666" s="77"/>
      <c r="Z666" s="77"/>
      <c r="AA666" s="78"/>
    </row>
    <row r="667" spans="15:27" x14ac:dyDescent="0.25">
      <c r="O667" s="76"/>
      <c r="P667" s="77"/>
      <c r="Q667" s="77"/>
      <c r="R667" s="77"/>
      <c r="S667" s="77"/>
      <c r="X667" s="77"/>
      <c r="Y667" s="77"/>
      <c r="Z667" s="77"/>
      <c r="AA667" s="78"/>
    </row>
    <row r="668" spans="15:27" x14ac:dyDescent="0.25">
      <c r="O668" s="76"/>
      <c r="P668" s="77"/>
      <c r="Q668" s="77"/>
      <c r="R668" s="77"/>
      <c r="S668" s="77"/>
      <c r="X668" s="77"/>
      <c r="Y668" s="77"/>
      <c r="Z668" s="77"/>
      <c r="AA668" s="78"/>
    </row>
    <row r="669" spans="15:27" x14ac:dyDescent="0.25">
      <c r="O669" s="76"/>
      <c r="P669" s="77"/>
      <c r="Q669" s="77"/>
      <c r="R669" s="77"/>
      <c r="S669" s="77"/>
      <c r="X669" s="77"/>
      <c r="Y669" s="77"/>
      <c r="Z669" s="77"/>
      <c r="AA669" s="78"/>
    </row>
    <row r="670" spans="15:27" x14ac:dyDescent="0.25">
      <c r="O670" s="76"/>
      <c r="P670" s="77"/>
      <c r="Q670" s="77"/>
      <c r="R670" s="77"/>
      <c r="S670" s="77"/>
      <c r="X670" s="77"/>
      <c r="Y670" s="77"/>
      <c r="Z670" s="77"/>
      <c r="AA670" s="78"/>
    </row>
    <row r="671" spans="15:27" x14ac:dyDescent="0.25">
      <c r="O671" s="76"/>
      <c r="P671" s="77"/>
      <c r="Q671" s="77"/>
      <c r="R671" s="77"/>
      <c r="S671" s="77"/>
      <c r="X671" s="77"/>
      <c r="Y671" s="77"/>
      <c r="Z671" s="77"/>
      <c r="AA671" s="78"/>
    </row>
    <row r="672" spans="15:27" x14ac:dyDescent="0.25">
      <c r="O672" s="76"/>
      <c r="P672" s="77"/>
      <c r="Q672" s="77"/>
      <c r="R672" s="77"/>
      <c r="S672" s="77"/>
      <c r="X672" s="77"/>
      <c r="Y672" s="77"/>
      <c r="Z672" s="77"/>
      <c r="AA672" s="78"/>
    </row>
    <row r="673" spans="15:27" x14ac:dyDescent="0.25">
      <c r="O673" s="76"/>
      <c r="P673" s="77"/>
      <c r="Q673" s="77"/>
      <c r="R673" s="77"/>
      <c r="S673" s="77"/>
      <c r="X673" s="77"/>
      <c r="Y673" s="77"/>
      <c r="Z673" s="77"/>
      <c r="AA673" s="78"/>
    </row>
    <row r="674" spans="15:27" x14ac:dyDescent="0.25">
      <c r="O674" s="76"/>
      <c r="P674" s="77"/>
      <c r="Q674" s="77"/>
      <c r="R674" s="77"/>
      <c r="S674" s="77"/>
      <c r="X674" s="77"/>
      <c r="Y674" s="77"/>
      <c r="Z674" s="77"/>
      <c r="AA674" s="78"/>
    </row>
    <row r="675" spans="15:27" x14ac:dyDescent="0.25">
      <c r="O675" s="76"/>
      <c r="P675" s="77"/>
      <c r="Q675" s="77"/>
      <c r="R675" s="77"/>
      <c r="S675" s="77"/>
      <c r="X675" s="77"/>
      <c r="Y675" s="77"/>
      <c r="Z675" s="77"/>
      <c r="AA675" s="78"/>
    </row>
    <row r="676" spans="15:27" x14ac:dyDescent="0.25">
      <c r="O676" s="76"/>
      <c r="P676" s="77"/>
      <c r="Q676" s="77"/>
      <c r="R676" s="77"/>
      <c r="S676" s="77"/>
      <c r="X676" s="77"/>
      <c r="Y676" s="77"/>
      <c r="Z676" s="77"/>
      <c r="AA676" s="78"/>
    </row>
    <row r="677" spans="15:27" x14ac:dyDescent="0.25">
      <c r="O677" s="76"/>
      <c r="P677" s="77"/>
      <c r="Q677" s="77"/>
      <c r="R677" s="77"/>
      <c r="S677" s="77"/>
      <c r="X677" s="77"/>
      <c r="Y677" s="77"/>
      <c r="Z677" s="77"/>
      <c r="AA677" s="78"/>
    </row>
    <row r="678" spans="15:27" x14ac:dyDescent="0.25">
      <c r="O678" s="76"/>
      <c r="P678" s="77"/>
      <c r="Q678" s="77"/>
      <c r="R678" s="77"/>
      <c r="S678" s="77"/>
      <c r="X678" s="77"/>
      <c r="Y678" s="77"/>
      <c r="Z678" s="77"/>
      <c r="AA678" s="78"/>
    </row>
    <row r="679" spans="15:27" x14ac:dyDescent="0.25">
      <c r="O679" s="76"/>
      <c r="P679" s="77"/>
      <c r="Q679" s="77"/>
      <c r="R679" s="77"/>
      <c r="S679" s="77"/>
      <c r="X679" s="77"/>
      <c r="Y679" s="77"/>
      <c r="Z679" s="77"/>
      <c r="AA679" s="78"/>
    </row>
    <row r="680" spans="15:27" x14ac:dyDescent="0.25">
      <c r="O680" s="76"/>
      <c r="P680" s="77"/>
      <c r="Q680" s="77"/>
      <c r="R680" s="77"/>
      <c r="S680" s="77"/>
      <c r="X680" s="77"/>
      <c r="Y680" s="77"/>
      <c r="Z680" s="77"/>
      <c r="AA680" s="78"/>
    </row>
    <row r="681" spans="15:27" x14ac:dyDescent="0.25">
      <c r="O681" s="76"/>
      <c r="P681" s="77"/>
      <c r="Q681" s="77"/>
      <c r="R681" s="77"/>
      <c r="S681" s="77"/>
      <c r="X681" s="77"/>
      <c r="Y681" s="77"/>
      <c r="Z681" s="77"/>
      <c r="AA681" s="78"/>
    </row>
    <row r="682" spans="15:27" x14ac:dyDescent="0.25">
      <c r="O682" s="76"/>
      <c r="P682" s="77"/>
      <c r="Q682" s="77"/>
      <c r="R682" s="77"/>
      <c r="S682" s="77"/>
      <c r="X682" s="77"/>
      <c r="Y682" s="77"/>
      <c r="Z682" s="77"/>
      <c r="AA682" s="78"/>
    </row>
    <row r="683" spans="15:27" x14ac:dyDescent="0.25">
      <c r="O683" s="76"/>
      <c r="P683" s="77"/>
      <c r="Q683" s="77"/>
      <c r="R683" s="77"/>
      <c r="S683" s="77"/>
      <c r="X683" s="77"/>
      <c r="Y683" s="77"/>
      <c r="Z683" s="77"/>
      <c r="AA683" s="78"/>
    </row>
    <row r="684" spans="15:27" x14ac:dyDescent="0.25">
      <c r="O684" s="76"/>
      <c r="P684" s="77"/>
      <c r="Q684" s="77"/>
      <c r="R684" s="77"/>
      <c r="S684" s="77"/>
      <c r="X684" s="77"/>
      <c r="Y684" s="77"/>
      <c r="Z684" s="77"/>
      <c r="AA684" s="78"/>
    </row>
    <row r="685" spans="15:27" x14ac:dyDescent="0.25">
      <c r="O685" s="76"/>
      <c r="P685" s="77"/>
      <c r="Q685" s="77"/>
      <c r="R685" s="77"/>
      <c r="S685" s="77"/>
      <c r="X685" s="77"/>
      <c r="Y685" s="77"/>
      <c r="Z685" s="77"/>
      <c r="AA685" s="78"/>
    </row>
    <row r="686" spans="15:27" x14ac:dyDescent="0.25">
      <c r="O686" s="76"/>
      <c r="P686" s="77"/>
      <c r="Q686" s="77"/>
      <c r="R686" s="77"/>
      <c r="S686" s="77"/>
      <c r="X686" s="77"/>
      <c r="Y686" s="77"/>
      <c r="Z686" s="77"/>
      <c r="AA686" s="78"/>
    </row>
    <row r="687" spans="15:27" x14ac:dyDescent="0.25">
      <c r="O687" s="76"/>
      <c r="P687" s="77"/>
      <c r="Q687" s="77"/>
      <c r="R687" s="77"/>
      <c r="S687" s="77"/>
      <c r="X687" s="77"/>
      <c r="Y687" s="77"/>
      <c r="Z687" s="77"/>
      <c r="AA687" s="78"/>
    </row>
    <row r="688" spans="15:27" x14ac:dyDescent="0.25">
      <c r="O688" s="76"/>
      <c r="P688" s="77"/>
      <c r="Q688" s="77"/>
      <c r="R688" s="77"/>
      <c r="S688" s="77"/>
      <c r="X688" s="77"/>
      <c r="Y688" s="77"/>
      <c r="Z688" s="77"/>
      <c r="AA688" s="78"/>
    </row>
    <row r="689" spans="15:27" x14ac:dyDescent="0.25">
      <c r="O689" s="76"/>
      <c r="P689" s="77"/>
      <c r="Q689" s="77"/>
      <c r="R689" s="77"/>
      <c r="S689" s="77"/>
      <c r="X689" s="77"/>
      <c r="Y689" s="77"/>
      <c r="Z689" s="77"/>
      <c r="AA689" s="78"/>
    </row>
    <row r="690" spans="15:27" x14ac:dyDescent="0.25">
      <c r="O690" s="76"/>
      <c r="P690" s="77"/>
      <c r="Q690" s="77"/>
      <c r="R690" s="77"/>
      <c r="S690" s="77"/>
      <c r="X690" s="77"/>
      <c r="Y690" s="77"/>
      <c r="Z690" s="77"/>
      <c r="AA690" s="78"/>
    </row>
    <row r="691" spans="15:27" x14ac:dyDescent="0.25">
      <c r="O691" s="76"/>
      <c r="P691" s="77"/>
      <c r="Q691" s="77"/>
      <c r="R691" s="77"/>
      <c r="S691" s="77"/>
      <c r="X691" s="77"/>
      <c r="Y691" s="77"/>
      <c r="Z691" s="77"/>
      <c r="AA691" s="78"/>
    </row>
    <row r="692" spans="15:27" x14ac:dyDescent="0.25">
      <c r="O692" s="76"/>
      <c r="P692" s="77"/>
      <c r="Q692" s="77"/>
      <c r="R692" s="77"/>
      <c r="S692" s="77"/>
      <c r="X692" s="77"/>
      <c r="Y692" s="77"/>
      <c r="Z692" s="77"/>
      <c r="AA692" s="78"/>
    </row>
    <row r="693" spans="15:27" x14ac:dyDescent="0.25">
      <c r="O693" s="76"/>
      <c r="P693" s="77"/>
      <c r="Q693" s="77"/>
      <c r="R693" s="77"/>
      <c r="S693" s="77"/>
      <c r="X693" s="77"/>
      <c r="Y693" s="77"/>
      <c r="Z693" s="77"/>
      <c r="AA693" s="78"/>
    </row>
    <row r="694" spans="15:27" x14ac:dyDescent="0.25">
      <c r="O694" s="76"/>
      <c r="P694" s="77"/>
      <c r="Q694" s="77"/>
      <c r="R694" s="77"/>
      <c r="S694" s="77"/>
      <c r="X694" s="77"/>
      <c r="Y694" s="77"/>
      <c r="Z694" s="77"/>
      <c r="AA694" s="78"/>
    </row>
    <row r="695" spans="15:27" x14ac:dyDescent="0.25">
      <c r="O695" s="76"/>
      <c r="P695" s="77"/>
      <c r="Q695" s="77"/>
      <c r="R695" s="77"/>
      <c r="S695" s="77"/>
      <c r="X695" s="77"/>
      <c r="Y695" s="77"/>
      <c r="Z695" s="77"/>
      <c r="AA695" s="78"/>
    </row>
    <row r="696" spans="15:27" x14ac:dyDescent="0.25">
      <c r="O696" s="76"/>
      <c r="P696" s="77"/>
      <c r="Q696" s="77"/>
      <c r="R696" s="77"/>
      <c r="S696" s="77"/>
      <c r="X696" s="77"/>
      <c r="Y696" s="77"/>
      <c r="Z696" s="77"/>
      <c r="AA696" s="78"/>
    </row>
    <row r="697" spans="15:27" x14ac:dyDescent="0.25">
      <c r="O697" s="76"/>
      <c r="P697" s="77"/>
      <c r="Q697" s="77"/>
      <c r="R697" s="77"/>
      <c r="S697" s="77"/>
      <c r="X697" s="77"/>
      <c r="Y697" s="77"/>
      <c r="Z697" s="77"/>
      <c r="AA697" s="78"/>
    </row>
    <row r="698" spans="15:27" x14ac:dyDescent="0.25">
      <c r="O698" s="76"/>
      <c r="P698" s="77"/>
      <c r="Q698" s="77"/>
      <c r="R698" s="77"/>
      <c r="S698" s="77"/>
      <c r="X698" s="77"/>
      <c r="Y698" s="77"/>
      <c r="Z698" s="77"/>
      <c r="AA698" s="78"/>
    </row>
    <row r="699" spans="15:27" x14ac:dyDescent="0.25">
      <c r="O699" s="76"/>
      <c r="P699" s="77"/>
      <c r="Q699" s="77"/>
      <c r="R699" s="77"/>
      <c r="S699" s="77"/>
      <c r="X699" s="77"/>
      <c r="Y699" s="77"/>
      <c r="Z699" s="77"/>
      <c r="AA699" s="78"/>
    </row>
    <row r="700" spans="15:27" x14ac:dyDescent="0.25">
      <c r="O700" s="76"/>
      <c r="P700" s="77"/>
      <c r="Q700" s="77"/>
      <c r="R700" s="77"/>
      <c r="S700" s="77"/>
      <c r="X700" s="77"/>
      <c r="Y700" s="77"/>
      <c r="Z700" s="77"/>
      <c r="AA700" s="78"/>
    </row>
    <row r="701" spans="15:27" x14ac:dyDescent="0.25">
      <c r="O701" s="76"/>
      <c r="P701" s="77"/>
      <c r="Q701" s="77"/>
      <c r="R701" s="77"/>
      <c r="S701" s="77"/>
      <c r="X701" s="77"/>
      <c r="Y701" s="77"/>
      <c r="Z701" s="77"/>
      <c r="AA701" s="78"/>
    </row>
    <row r="702" spans="15:27" x14ac:dyDescent="0.25">
      <c r="O702" s="76"/>
      <c r="P702" s="77"/>
      <c r="Q702" s="77"/>
      <c r="R702" s="77"/>
      <c r="S702" s="77"/>
      <c r="X702" s="77"/>
      <c r="Y702" s="77"/>
      <c r="Z702" s="77"/>
      <c r="AA702" s="78"/>
    </row>
    <row r="703" spans="15:27" x14ac:dyDescent="0.25">
      <c r="O703" s="76"/>
      <c r="P703" s="77"/>
      <c r="Q703" s="77"/>
      <c r="R703" s="77"/>
      <c r="S703" s="77"/>
      <c r="X703" s="77"/>
      <c r="Y703" s="77"/>
      <c r="Z703" s="77"/>
      <c r="AA703" s="78"/>
    </row>
    <row r="704" spans="15:27" x14ac:dyDescent="0.25">
      <c r="O704" s="76"/>
      <c r="P704" s="77"/>
      <c r="Q704" s="77"/>
      <c r="R704" s="77"/>
      <c r="S704" s="77"/>
      <c r="X704" s="77"/>
      <c r="Y704" s="77"/>
      <c r="Z704" s="77"/>
      <c r="AA704" s="78"/>
    </row>
    <row r="705" spans="15:27" x14ac:dyDescent="0.25">
      <c r="O705" s="76"/>
      <c r="P705" s="77"/>
      <c r="Q705" s="77"/>
      <c r="R705" s="77"/>
      <c r="S705" s="77"/>
      <c r="X705" s="77"/>
      <c r="Y705" s="77"/>
      <c r="Z705" s="77"/>
      <c r="AA705" s="78"/>
    </row>
    <row r="706" spans="15:27" x14ac:dyDescent="0.25">
      <c r="O706" s="76"/>
      <c r="P706" s="77"/>
      <c r="Q706" s="77"/>
      <c r="R706" s="77"/>
      <c r="S706" s="77"/>
      <c r="X706" s="77"/>
      <c r="Y706" s="77"/>
      <c r="Z706" s="77"/>
      <c r="AA706" s="78"/>
    </row>
    <row r="707" spans="15:27" x14ac:dyDescent="0.25">
      <c r="O707" s="76"/>
      <c r="P707" s="77"/>
      <c r="Q707" s="77"/>
      <c r="R707" s="77"/>
      <c r="S707" s="77"/>
      <c r="X707" s="77"/>
      <c r="Y707" s="77"/>
      <c r="Z707" s="77"/>
      <c r="AA707" s="78"/>
    </row>
    <row r="708" spans="15:27" x14ac:dyDescent="0.25">
      <c r="O708" s="76"/>
      <c r="P708" s="77"/>
      <c r="Q708" s="77"/>
      <c r="R708" s="77"/>
      <c r="S708" s="77"/>
      <c r="X708" s="77"/>
      <c r="Y708" s="77"/>
      <c r="Z708" s="77"/>
      <c r="AA708" s="78"/>
    </row>
    <row r="709" spans="15:27" x14ac:dyDescent="0.25">
      <c r="O709" s="76"/>
      <c r="P709" s="77"/>
      <c r="Q709" s="77"/>
      <c r="R709" s="77"/>
      <c r="S709" s="77"/>
      <c r="X709" s="77"/>
      <c r="Y709" s="77"/>
      <c r="Z709" s="77"/>
      <c r="AA709" s="78"/>
    </row>
    <row r="710" spans="15:27" x14ac:dyDescent="0.25">
      <c r="O710" s="76"/>
      <c r="P710" s="77"/>
      <c r="Q710" s="77"/>
      <c r="R710" s="77"/>
      <c r="S710" s="77"/>
      <c r="X710" s="77"/>
      <c r="Y710" s="77"/>
      <c r="Z710" s="77"/>
      <c r="AA710" s="78"/>
    </row>
    <row r="711" spans="15:27" x14ac:dyDescent="0.25">
      <c r="O711" s="76"/>
      <c r="P711" s="77"/>
      <c r="Q711" s="77"/>
      <c r="R711" s="77"/>
      <c r="S711" s="77"/>
      <c r="X711" s="77"/>
      <c r="Y711" s="77"/>
      <c r="Z711" s="77"/>
      <c r="AA711" s="78"/>
    </row>
    <row r="712" spans="15:27" x14ac:dyDescent="0.25">
      <c r="O712" s="76"/>
      <c r="P712" s="77"/>
      <c r="Q712" s="77"/>
      <c r="R712" s="77"/>
      <c r="S712" s="77"/>
      <c r="X712" s="77"/>
      <c r="Y712" s="77"/>
      <c r="Z712" s="77"/>
      <c r="AA712" s="78"/>
    </row>
    <row r="713" spans="15:27" x14ac:dyDescent="0.25">
      <c r="O713" s="76"/>
      <c r="P713" s="77"/>
      <c r="Q713" s="77"/>
      <c r="R713" s="77"/>
      <c r="S713" s="77"/>
      <c r="X713" s="77"/>
      <c r="Y713" s="77"/>
      <c r="Z713" s="77"/>
      <c r="AA713" s="78"/>
    </row>
    <row r="714" spans="15:27" x14ac:dyDescent="0.25">
      <c r="O714" s="76"/>
      <c r="P714" s="77"/>
      <c r="Q714" s="77"/>
      <c r="R714" s="77"/>
      <c r="S714" s="77"/>
      <c r="X714" s="77"/>
      <c r="Y714" s="77"/>
      <c r="Z714" s="77"/>
      <c r="AA714" s="78"/>
    </row>
    <row r="715" spans="15:27" x14ac:dyDescent="0.25">
      <c r="O715" s="76"/>
      <c r="P715" s="77"/>
      <c r="Q715" s="77"/>
      <c r="R715" s="77"/>
      <c r="S715" s="77"/>
      <c r="X715" s="77"/>
      <c r="Y715" s="77"/>
      <c r="Z715" s="77"/>
      <c r="AA715" s="78"/>
    </row>
    <row r="716" spans="15:27" x14ac:dyDescent="0.25">
      <c r="O716" s="76"/>
      <c r="P716" s="77"/>
      <c r="Q716" s="77"/>
      <c r="R716" s="77"/>
      <c r="S716" s="77"/>
      <c r="X716" s="77"/>
      <c r="Y716" s="77"/>
      <c r="Z716" s="77"/>
      <c r="AA716" s="78"/>
    </row>
    <row r="717" spans="15:27" x14ac:dyDescent="0.25">
      <c r="O717" s="76"/>
      <c r="P717" s="77"/>
      <c r="Q717" s="77"/>
      <c r="R717" s="77"/>
      <c r="S717" s="77"/>
      <c r="X717" s="77"/>
      <c r="Y717" s="77"/>
      <c r="Z717" s="77"/>
      <c r="AA717" s="78"/>
    </row>
    <row r="718" spans="15:27" x14ac:dyDescent="0.25">
      <c r="O718" s="76"/>
      <c r="P718" s="77"/>
      <c r="Q718" s="77"/>
      <c r="R718" s="77"/>
      <c r="S718" s="77"/>
      <c r="X718" s="77"/>
      <c r="Y718" s="77"/>
      <c r="Z718" s="77"/>
      <c r="AA718" s="78"/>
    </row>
    <row r="719" spans="15:27" x14ac:dyDescent="0.25">
      <c r="O719" s="76"/>
      <c r="P719" s="77"/>
      <c r="Q719" s="77"/>
      <c r="R719" s="77"/>
      <c r="S719" s="77"/>
      <c r="X719" s="77"/>
      <c r="Y719" s="77"/>
      <c r="Z719" s="77"/>
      <c r="AA719" s="78"/>
    </row>
    <row r="720" spans="15:27" x14ac:dyDescent="0.25">
      <c r="O720" s="76"/>
      <c r="P720" s="77"/>
      <c r="Q720" s="77"/>
      <c r="R720" s="77"/>
      <c r="S720" s="77"/>
      <c r="X720" s="77"/>
      <c r="Y720" s="77"/>
      <c r="Z720" s="77"/>
      <c r="AA720" s="78"/>
    </row>
    <row r="721" spans="15:27" x14ac:dyDescent="0.25">
      <c r="O721" s="76"/>
      <c r="P721" s="77"/>
      <c r="Q721" s="77"/>
      <c r="R721" s="77"/>
      <c r="S721" s="77"/>
      <c r="X721" s="77"/>
      <c r="Y721" s="77"/>
      <c r="Z721" s="77"/>
      <c r="AA721" s="78"/>
    </row>
    <row r="722" spans="15:27" x14ac:dyDescent="0.25">
      <c r="O722" s="76"/>
      <c r="P722" s="77"/>
      <c r="Q722" s="77"/>
      <c r="R722" s="77"/>
      <c r="S722" s="77"/>
      <c r="X722" s="77"/>
      <c r="Y722" s="77"/>
      <c r="Z722" s="77"/>
      <c r="AA722" s="78"/>
    </row>
    <row r="723" spans="15:27" x14ac:dyDescent="0.25">
      <c r="O723" s="76"/>
      <c r="P723" s="77"/>
      <c r="Q723" s="77"/>
      <c r="R723" s="77"/>
      <c r="S723" s="77"/>
      <c r="X723" s="77"/>
      <c r="Y723" s="77"/>
      <c r="Z723" s="77"/>
      <c r="AA723" s="78"/>
    </row>
    <row r="724" spans="15:27" x14ac:dyDescent="0.25">
      <c r="O724" s="76"/>
      <c r="P724" s="77"/>
      <c r="Q724" s="77"/>
      <c r="R724" s="77"/>
      <c r="S724" s="77"/>
      <c r="X724" s="77"/>
      <c r="Y724" s="77"/>
      <c r="Z724" s="77"/>
      <c r="AA724" s="78"/>
    </row>
    <row r="725" spans="15:27" x14ac:dyDescent="0.25">
      <c r="O725" s="76"/>
      <c r="P725" s="77"/>
      <c r="Q725" s="77"/>
      <c r="R725" s="77"/>
      <c r="S725" s="77"/>
      <c r="X725" s="77"/>
      <c r="Y725" s="77"/>
      <c r="Z725" s="77"/>
      <c r="AA725" s="78"/>
    </row>
    <row r="726" spans="15:27" x14ac:dyDescent="0.25">
      <c r="O726" s="76"/>
      <c r="P726" s="77"/>
      <c r="Q726" s="77"/>
      <c r="R726" s="77"/>
      <c r="S726" s="77"/>
      <c r="X726" s="77"/>
      <c r="Y726" s="77"/>
      <c r="Z726" s="77"/>
      <c r="AA726" s="78"/>
    </row>
    <row r="727" spans="15:27" x14ac:dyDescent="0.25">
      <c r="O727" s="76"/>
      <c r="P727" s="77"/>
      <c r="Q727" s="77"/>
      <c r="R727" s="77"/>
      <c r="S727" s="77"/>
      <c r="X727" s="77"/>
      <c r="Y727" s="77"/>
      <c r="Z727" s="77"/>
      <c r="AA727" s="78"/>
    </row>
    <row r="728" spans="15:27" x14ac:dyDescent="0.25">
      <c r="O728" s="76"/>
      <c r="P728" s="77"/>
      <c r="Q728" s="77"/>
      <c r="R728" s="77"/>
      <c r="S728" s="77"/>
      <c r="X728" s="77"/>
      <c r="Y728" s="77"/>
      <c r="Z728" s="77"/>
      <c r="AA728" s="78"/>
    </row>
    <row r="729" spans="15:27" x14ac:dyDescent="0.25">
      <c r="O729" s="76"/>
      <c r="P729" s="77"/>
      <c r="Q729" s="77"/>
      <c r="R729" s="77"/>
      <c r="S729" s="77"/>
      <c r="X729" s="77"/>
      <c r="Y729" s="77"/>
      <c r="Z729" s="77"/>
      <c r="AA729" s="78"/>
    </row>
    <row r="730" spans="15:27" x14ac:dyDescent="0.25">
      <c r="O730" s="76"/>
      <c r="P730" s="77"/>
      <c r="Q730" s="77"/>
      <c r="R730" s="77"/>
      <c r="S730" s="77"/>
      <c r="X730" s="77"/>
      <c r="Y730" s="77"/>
      <c r="Z730" s="77"/>
      <c r="AA730" s="78"/>
    </row>
    <row r="731" spans="15:27" x14ac:dyDescent="0.25">
      <c r="O731" s="76"/>
      <c r="P731" s="77"/>
      <c r="Q731" s="77"/>
      <c r="R731" s="77"/>
      <c r="S731" s="77"/>
      <c r="X731" s="77"/>
      <c r="Y731" s="77"/>
      <c r="Z731" s="77"/>
      <c r="AA731" s="78"/>
    </row>
    <row r="732" spans="15:27" x14ac:dyDescent="0.25">
      <c r="O732" s="76"/>
      <c r="P732" s="77"/>
      <c r="Q732" s="77"/>
      <c r="R732" s="77"/>
      <c r="S732" s="77"/>
      <c r="X732" s="77"/>
      <c r="Y732" s="77"/>
      <c r="Z732" s="77"/>
      <c r="AA732" s="78"/>
    </row>
    <row r="733" spans="15:27" x14ac:dyDescent="0.25">
      <c r="O733" s="76"/>
      <c r="P733" s="77"/>
      <c r="Q733" s="77"/>
      <c r="R733" s="77"/>
      <c r="S733" s="77"/>
      <c r="X733" s="77"/>
      <c r="Y733" s="77"/>
      <c r="Z733" s="77"/>
      <c r="AA733" s="78"/>
    </row>
    <row r="734" spans="15:27" x14ac:dyDescent="0.25">
      <c r="O734" s="76"/>
      <c r="P734" s="77"/>
      <c r="Q734" s="77"/>
      <c r="R734" s="77"/>
      <c r="S734" s="77"/>
      <c r="X734" s="77"/>
      <c r="Y734" s="77"/>
      <c r="Z734" s="77"/>
      <c r="AA734" s="78"/>
    </row>
    <row r="735" spans="15:27" x14ac:dyDescent="0.25">
      <c r="O735" s="76"/>
      <c r="P735" s="77"/>
      <c r="Q735" s="77"/>
      <c r="R735" s="77"/>
      <c r="S735" s="77"/>
      <c r="X735" s="77"/>
      <c r="Y735" s="77"/>
      <c r="Z735" s="77"/>
      <c r="AA735" s="78"/>
    </row>
    <row r="736" spans="15:27" x14ac:dyDescent="0.25">
      <c r="O736" s="76"/>
      <c r="P736" s="77"/>
      <c r="Q736" s="77"/>
      <c r="R736" s="77"/>
      <c r="S736" s="77"/>
      <c r="X736" s="77"/>
      <c r="Y736" s="77"/>
      <c r="Z736" s="77"/>
      <c r="AA736" s="78"/>
    </row>
    <row r="737" spans="15:27" x14ac:dyDescent="0.25">
      <c r="O737" s="76"/>
      <c r="P737" s="77"/>
      <c r="Q737" s="77"/>
      <c r="R737" s="77"/>
      <c r="S737" s="77"/>
      <c r="X737" s="77"/>
      <c r="Y737" s="77"/>
      <c r="Z737" s="77"/>
      <c r="AA737" s="78"/>
    </row>
    <row r="738" spans="15:27" x14ac:dyDescent="0.25">
      <c r="O738" s="76"/>
      <c r="P738" s="77"/>
      <c r="Q738" s="77"/>
      <c r="R738" s="77"/>
      <c r="S738" s="77"/>
      <c r="X738" s="77"/>
      <c r="Y738" s="77"/>
      <c r="Z738" s="77"/>
      <c r="AA738" s="78"/>
    </row>
    <row r="739" spans="15:27" x14ac:dyDescent="0.25">
      <c r="O739" s="76"/>
      <c r="P739" s="77"/>
      <c r="Q739" s="77"/>
      <c r="R739" s="77"/>
      <c r="S739" s="77"/>
      <c r="X739" s="77"/>
      <c r="Y739" s="77"/>
      <c r="Z739" s="77"/>
      <c r="AA739" s="78"/>
    </row>
    <row r="740" spans="15:27" x14ac:dyDescent="0.25">
      <c r="O740" s="76"/>
      <c r="P740" s="77"/>
      <c r="Q740" s="77"/>
      <c r="R740" s="77"/>
      <c r="S740" s="77"/>
      <c r="X740" s="77"/>
      <c r="Y740" s="77"/>
      <c r="Z740" s="77"/>
      <c r="AA740" s="78"/>
    </row>
    <row r="741" spans="15:27" x14ac:dyDescent="0.25">
      <c r="O741" s="76"/>
      <c r="P741" s="77"/>
      <c r="Q741" s="77"/>
      <c r="R741" s="77"/>
      <c r="S741" s="77"/>
      <c r="X741" s="77"/>
      <c r="Y741" s="77"/>
      <c r="Z741" s="77"/>
      <c r="AA741" s="78"/>
    </row>
    <row r="742" spans="15:27" x14ac:dyDescent="0.25">
      <c r="O742" s="76"/>
      <c r="P742" s="77"/>
      <c r="Q742" s="77"/>
      <c r="R742" s="77"/>
      <c r="S742" s="77"/>
      <c r="X742" s="77"/>
      <c r="Y742" s="77"/>
      <c r="Z742" s="77"/>
      <c r="AA742" s="78"/>
    </row>
    <row r="743" spans="15:27" x14ac:dyDescent="0.25">
      <c r="O743" s="76"/>
      <c r="P743" s="77"/>
      <c r="Q743" s="77"/>
      <c r="R743" s="77"/>
      <c r="S743" s="77"/>
      <c r="X743" s="77"/>
      <c r="Y743" s="77"/>
      <c r="Z743" s="77"/>
      <c r="AA743" s="78"/>
    </row>
    <row r="744" spans="15:27" x14ac:dyDescent="0.25">
      <c r="O744" s="76"/>
      <c r="P744" s="77"/>
      <c r="Q744" s="77"/>
      <c r="R744" s="77"/>
      <c r="S744" s="77"/>
      <c r="X744" s="77"/>
      <c r="Y744" s="77"/>
      <c r="Z744" s="77"/>
      <c r="AA744" s="78"/>
    </row>
    <row r="745" spans="15:27" x14ac:dyDescent="0.25">
      <c r="O745" s="76"/>
      <c r="P745" s="77"/>
      <c r="Q745" s="77"/>
      <c r="R745" s="77"/>
      <c r="S745" s="77"/>
      <c r="X745" s="77"/>
      <c r="Y745" s="77"/>
      <c r="Z745" s="77"/>
      <c r="AA745" s="78"/>
    </row>
    <row r="746" spans="15:27" x14ac:dyDescent="0.25">
      <c r="O746" s="76"/>
      <c r="P746" s="77"/>
      <c r="Q746" s="77"/>
      <c r="R746" s="77"/>
      <c r="S746" s="77"/>
      <c r="X746" s="77"/>
      <c r="Y746" s="77"/>
      <c r="Z746" s="77"/>
      <c r="AA746" s="78"/>
    </row>
    <row r="747" spans="15:27" x14ac:dyDescent="0.25">
      <c r="O747" s="76"/>
      <c r="P747" s="77"/>
      <c r="Q747" s="77"/>
      <c r="R747" s="77"/>
      <c r="S747" s="77"/>
      <c r="X747" s="77"/>
      <c r="Y747" s="77"/>
      <c r="Z747" s="77"/>
      <c r="AA747" s="78"/>
    </row>
    <row r="748" spans="15:27" x14ac:dyDescent="0.25">
      <c r="O748" s="76"/>
      <c r="P748" s="77"/>
      <c r="Q748" s="77"/>
      <c r="R748" s="77"/>
      <c r="S748" s="77"/>
      <c r="X748" s="77"/>
      <c r="Y748" s="77"/>
      <c r="Z748" s="77"/>
      <c r="AA748" s="78"/>
    </row>
    <row r="749" spans="15:27" x14ac:dyDescent="0.25">
      <c r="O749" s="76"/>
      <c r="P749" s="77"/>
      <c r="Q749" s="77"/>
      <c r="R749" s="77"/>
      <c r="S749" s="77"/>
      <c r="X749" s="77"/>
      <c r="Y749" s="77"/>
      <c r="Z749" s="77"/>
      <c r="AA749" s="78"/>
    </row>
    <row r="750" spans="15:27" x14ac:dyDescent="0.25">
      <c r="O750" s="76"/>
      <c r="P750" s="77"/>
      <c r="Q750" s="77"/>
      <c r="R750" s="77"/>
      <c r="S750" s="77"/>
      <c r="X750" s="77"/>
      <c r="Y750" s="77"/>
      <c r="Z750" s="77"/>
      <c r="AA750" s="78"/>
    </row>
    <row r="751" spans="15:27" x14ac:dyDescent="0.25">
      <c r="O751" s="76"/>
      <c r="P751" s="77"/>
      <c r="Q751" s="77"/>
      <c r="R751" s="77"/>
      <c r="S751" s="77"/>
      <c r="X751" s="77"/>
      <c r="Y751" s="77"/>
      <c r="Z751" s="77"/>
      <c r="AA751" s="78"/>
    </row>
    <row r="752" spans="15:27" x14ac:dyDescent="0.25">
      <c r="O752" s="76"/>
      <c r="P752" s="77"/>
      <c r="Q752" s="77"/>
      <c r="R752" s="77"/>
      <c r="S752" s="77"/>
      <c r="X752" s="77"/>
      <c r="Y752" s="77"/>
      <c r="Z752" s="77"/>
      <c r="AA752" s="78"/>
    </row>
    <row r="753" spans="15:27" x14ac:dyDescent="0.25">
      <c r="O753" s="76"/>
      <c r="P753" s="77"/>
      <c r="Q753" s="77"/>
      <c r="R753" s="77"/>
      <c r="S753" s="77"/>
      <c r="X753" s="77"/>
      <c r="Y753" s="77"/>
      <c r="Z753" s="77"/>
      <c r="AA753" s="78"/>
    </row>
    <row r="754" spans="15:27" x14ac:dyDescent="0.25">
      <c r="O754" s="76"/>
      <c r="P754" s="77"/>
      <c r="Q754" s="77"/>
      <c r="R754" s="77"/>
      <c r="S754" s="77"/>
      <c r="X754" s="77"/>
      <c r="Y754" s="77"/>
      <c r="Z754" s="77"/>
      <c r="AA754" s="78"/>
    </row>
    <row r="755" spans="15:27" x14ac:dyDescent="0.25">
      <c r="O755" s="76"/>
      <c r="P755" s="77"/>
      <c r="Q755" s="77"/>
      <c r="R755" s="77"/>
      <c r="S755" s="77"/>
      <c r="X755" s="77"/>
      <c r="Y755" s="77"/>
      <c r="Z755" s="77"/>
      <c r="AA755" s="78"/>
    </row>
    <row r="756" spans="15:27" x14ac:dyDescent="0.25">
      <c r="O756" s="76"/>
      <c r="P756" s="77"/>
      <c r="Q756" s="77"/>
      <c r="R756" s="77"/>
      <c r="S756" s="77"/>
      <c r="X756" s="77"/>
      <c r="Y756" s="77"/>
      <c r="Z756" s="77"/>
      <c r="AA756" s="78"/>
    </row>
    <row r="757" spans="15:27" x14ac:dyDescent="0.25">
      <c r="O757" s="76"/>
      <c r="P757" s="77"/>
      <c r="Q757" s="77"/>
      <c r="R757" s="77"/>
      <c r="S757" s="77"/>
      <c r="X757" s="77"/>
      <c r="Y757" s="77"/>
      <c r="Z757" s="77"/>
      <c r="AA757" s="78"/>
    </row>
    <row r="758" spans="15:27" x14ac:dyDescent="0.25">
      <c r="O758" s="76"/>
      <c r="P758" s="77"/>
      <c r="Q758" s="77"/>
      <c r="R758" s="77"/>
      <c r="S758" s="77"/>
      <c r="X758" s="77"/>
      <c r="Y758" s="77"/>
      <c r="Z758" s="77"/>
      <c r="AA758" s="78"/>
    </row>
    <row r="759" spans="15:27" x14ac:dyDescent="0.25">
      <c r="O759" s="76"/>
      <c r="P759" s="77"/>
      <c r="Q759" s="77"/>
      <c r="R759" s="77"/>
      <c r="S759" s="77"/>
      <c r="X759" s="77"/>
      <c r="Y759" s="77"/>
      <c r="Z759" s="77"/>
      <c r="AA759" s="78"/>
    </row>
    <row r="760" spans="15:27" x14ac:dyDescent="0.25">
      <c r="O760" s="76"/>
      <c r="P760" s="77"/>
      <c r="Q760" s="77"/>
      <c r="R760" s="77"/>
      <c r="S760" s="77"/>
      <c r="X760" s="77"/>
      <c r="Y760" s="77"/>
      <c r="Z760" s="77"/>
      <c r="AA760" s="78"/>
    </row>
    <row r="761" spans="15:27" x14ac:dyDescent="0.25">
      <c r="O761" s="76"/>
      <c r="P761" s="77"/>
      <c r="Q761" s="77"/>
      <c r="R761" s="77"/>
      <c r="S761" s="77"/>
      <c r="X761" s="77"/>
      <c r="Y761" s="77"/>
      <c r="Z761" s="77"/>
      <c r="AA761" s="78"/>
    </row>
    <row r="762" spans="15:27" x14ac:dyDescent="0.25">
      <c r="O762" s="76"/>
      <c r="P762" s="77"/>
      <c r="Q762" s="77"/>
      <c r="R762" s="77"/>
      <c r="S762" s="77"/>
      <c r="X762" s="77"/>
      <c r="Y762" s="77"/>
      <c r="Z762" s="77"/>
      <c r="AA762" s="78"/>
    </row>
    <row r="763" spans="15:27" x14ac:dyDescent="0.25">
      <c r="O763" s="76"/>
      <c r="P763" s="77"/>
      <c r="Q763" s="77"/>
      <c r="R763" s="77"/>
      <c r="S763" s="77"/>
      <c r="X763" s="77"/>
      <c r="Y763" s="77"/>
      <c r="Z763" s="77"/>
      <c r="AA763" s="78"/>
    </row>
    <row r="764" spans="15:27" x14ac:dyDescent="0.25">
      <c r="O764" s="76"/>
      <c r="P764" s="77"/>
      <c r="Q764" s="77"/>
      <c r="R764" s="77"/>
      <c r="S764" s="77"/>
      <c r="X764" s="77"/>
      <c r="Y764" s="77"/>
      <c r="Z764" s="77"/>
      <c r="AA764" s="78"/>
    </row>
    <row r="765" spans="15:27" x14ac:dyDescent="0.25">
      <c r="O765" s="76"/>
      <c r="P765" s="77"/>
      <c r="Q765" s="77"/>
      <c r="R765" s="77"/>
      <c r="S765" s="77"/>
      <c r="X765" s="77"/>
      <c r="Y765" s="77"/>
      <c r="Z765" s="77"/>
      <c r="AA765" s="78"/>
    </row>
    <row r="766" spans="15:27" x14ac:dyDescent="0.25">
      <c r="O766" s="76"/>
      <c r="P766" s="77"/>
      <c r="Q766" s="77"/>
      <c r="R766" s="77"/>
      <c r="S766" s="77"/>
      <c r="X766" s="77"/>
      <c r="Y766" s="77"/>
      <c r="Z766" s="77"/>
      <c r="AA766" s="78"/>
    </row>
    <row r="767" spans="15:27" x14ac:dyDescent="0.25">
      <c r="O767" s="76"/>
      <c r="P767" s="77"/>
      <c r="Q767" s="77"/>
      <c r="R767" s="77"/>
      <c r="S767" s="77"/>
      <c r="X767" s="77"/>
      <c r="Y767" s="77"/>
      <c r="Z767" s="77"/>
      <c r="AA767" s="78"/>
    </row>
    <row r="768" spans="15:27" x14ac:dyDescent="0.25">
      <c r="O768" s="76"/>
      <c r="P768" s="77"/>
      <c r="Q768" s="77"/>
      <c r="R768" s="77"/>
      <c r="S768" s="77"/>
      <c r="X768" s="77"/>
      <c r="Y768" s="77"/>
      <c r="Z768" s="77"/>
      <c r="AA768" s="78"/>
    </row>
    <row r="769" spans="15:27" x14ac:dyDescent="0.25">
      <c r="O769" s="76"/>
      <c r="P769" s="77"/>
      <c r="Q769" s="77"/>
      <c r="R769" s="77"/>
      <c r="S769" s="77"/>
      <c r="X769" s="77"/>
      <c r="Y769" s="77"/>
      <c r="Z769" s="77"/>
      <c r="AA769" s="78"/>
    </row>
    <row r="770" spans="15:27" x14ac:dyDescent="0.25">
      <c r="O770" s="76"/>
      <c r="P770" s="77"/>
      <c r="Q770" s="77"/>
      <c r="R770" s="77"/>
      <c r="S770" s="77"/>
      <c r="X770" s="77"/>
      <c r="Y770" s="77"/>
      <c r="Z770" s="77"/>
      <c r="AA770" s="78"/>
    </row>
    <row r="771" spans="15:27" x14ac:dyDescent="0.25">
      <c r="O771" s="76"/>
      <c r="P771" s="77"/>
      <c r="Q771" s="77"/>
      <c r="R771" s="77"/>
      <c r="S771" s="77"/>
      <c r="X771" s="77"/>
      <c r="Y771" s="77"/>
      <c r="Z771" s="77"/>
      <c r="AA771" s="78"/>
    </row>
    <row r="772" spans="15:27" x14ac:dyDescent="0.25">
      <c r="O772" s="76"/>
      <c r="P772" s="77"/>
      <c r="Q772" s="77"/>
      <c r="R772" s="77"/>
      <c r="S772" s="77"/>
      <c r="X772" s="77"/>
      <c r="Y772" s="77"/>
      <c r="Z772" s="77"/>
      <c r="AA772" s="78"/>
    </row>
    <row r="773" spans="15:27" x14ac:dyDescent="0.25">
      <c r="O773" s="76"/>
      <c r="P773" s="77"/>
      <c r="Q773" s="77"/>
      <c r="R773" s="77"/>
      <c r="S773" s="77"/>
      <c r="X773" s="77"/>
      <c r="Y773" s="77"/>
      <c r="Z773" s="77"/>
      <c r="AA773" s="78"/>
    </row>
    <row r="774" spans="15:27" x14ac:dyDescent="0.25">
      <c r="O774" s="76"/>
      <c r="P774" s="77"/>
      <c r="Q774" s="77"/>
      <c r="R774" s="77"/>
      <c r="S774" s="77"/>
      <c r="X774" s="77"/>
      <c r="Y774" s="77"/>
      <c r="Z774" s="77"/>
      <c r="AA774" s="78"/>
    </row>
    <row r="775" spans="15:27" x14ac:dyDescent="0.25">
      <c r="O775" s="76"/>
      <c r="P775" s="77"/>
      <c r="Q775" s="77"/>
      <c r="R775" s="77"/>
      <c r="S775" s="77"/>
      <c r="X775" s="77"/>
      <c r="Y775" s="77"/>
      <c r="Z775" s="77"/>
      <c r="AA775" s="78"/>
    </row>
    <row r="776" spans="15:27" x14ac:dyDescent="0.25">
      <c r="O776" s="76"/>
      <c r="P776" s="77"/>
      <c r="Q776" s="77"/>
      <c r="R776" s="77"/>
      <c r="S776" s="77"/>
      <c r="X776" s="77"/>
      <c r="Y776" s="77"/>
      <c r="Z776" s="77"/>
      <c r="AA776" s="78"/>
    </row>
    <row r="777" spans="15:27" x14ac:dyDescent="0.25">
      <c r="O777" s="76"/>
      <c r="P777" s="77"/>
      <c r="Q777" s="77"/>
      <c r="R777" s="77"/>
      <c r="S777" s="77"/>
      <c r="X777" s="77"/>
      <c r="Y777" s="77"/>
      <c r="Z777" s="77"/>
      <c r="AA777" s="78"/>
    </row>
    <row r="778" spans="15:27" x14ac:dyDescent="0.25">
      <c r="O778" s="76"/>
      <c r="P778" s="77"/>
      <c r="Q778" s="77"/>
      <c r="R778" s="77"/>
      <c r="S778" s="77"/>
      <c r="X778" s="77"/>
      <c r="Y778" s="77"/>
      <c r="Z778" s="77"/>
      <c r="AA778" s="78"/>
    </row>
    <row r="779" spans="15:27" x14ac:dyDescent="0.25">
      <c r="O779" s="76"/>
      <c r="P779" s="77"/>
      <c r="Q779" s="77"/>
      <c r="R779" s="77"/>
      <c r="S779" s="77"/>
      <c r="X779" s="77"/>
      <c r="Y779" s="77"/>
      <c r="Z779" s="77"/>
      <c r="AA779" s="78"/>
    </row>
    <row r="780" spans="15:27" x14ac:dyDescent="0.25">
      <c r="O780" s="76"/>
      <c r="P780" s="77"/>
      <c r="Q780" s="77"/>
      <c r="R780" s="77"/>
      <c r="S780" s="77"/>
      <c r="X780" s="77"/>
      <c r="Y780" s="77"/>
      <c r="Z780" s="77"/>
      <c r="AA780" s="78"/>
    </row>
    <row r="781" spans="15:27" x14ac:dyDescent="0.25">
      <c r="O781" s="76"/>
      <c r="P781" s="77"/>
      <c r="Q781" s="77"/>
      <c r="R781" s="77"/>
      <c r="S781" s="77"/>
      <c r="X781" s="77"/>
      <c r="Y781" s="77"/>
      <c r="Z781" s="77"/>
      <c r="AA781" s="78"/>
    </row>
    <row r="782" spans="15:27" x14ac:dyDescent="0.25">
      <c r="O782" s="76"/>
      <c r="P782" s="77"/>
      <c r="Q782" s="77"/>
      <c r="R782" s="77"/>
      <c r="S782" s="77"/>
      <c r="X782" s="77"/>
      <c r="Y782" s="77"/>
      <c r="Z782" s="77"/>
      <c r="AA782" s="78"/>
    </row>
    <row r="783" spans="15:27" x14ac:dyDescent="0.25">
      <c r="O783" s="76"/>
      <c r="P783" s="77"/>
      <c r="Q783" s="77"/>
      <c r="R783" s="77"/>
      <c r="S783" s="77"/>
      <c r="X783" s="77"/>
      <c r="Y783" s="77"/>
      <c r="Z783" s="77"/>
      <c r="AA783" s="78"/>
    </row>
    <row r="784" spans="15:27" x14ac:dyDescent="0.25">
      <c r="O784" s="76"/>
      <c r="P784" s="77"/>
      <c r="Q784" s="77"/>
      <c r="R784" s="77"/>
      <c r="S784" s="77"/>
      <c r="X784" s="77"/>
      <c r="Y784" s="77"/>
      <c r="Z784" s="77"/>
      <c r="AA784" s="78"/>
    </row>
    <row r="785" spans="15:27" x14ac:dyDescent="0.25">
      <c r="O785" s="76"/>
      <c r="P785" s="77"/>
      <c r="Q785" s="77"/>
      <c r="R785" s="77"/>
      <c r="S785" s="77"/>
      <c r="X785" s="77"/>
      <c r="Y785" s="77"/>
      <c r="Z785" s="77"/>
      <c r="AA785" s="78"/>
    </row>
    <row r="786" spans="15:27" x14ac:dyDescent="0.25">
      <c r="O786" s="76"/>
      <c r="P786" s="77"/>
      <c r="Q786" s="77"/>
      <c r="R786" s="77"/>
      <c r="S786" s="77"/>
      <c r="X786" s="77"/>
      <c r="Y786" s="77"/>
      <c r="Z786" s="77"/>
      <c r="AA786" s="78"/>
    </row>
    <row r="787" spans="15:27" x14ac:dyDescent="0.25">
      <c r="O787" s="76"/>
      <c r="P787" s="77"/>
      <c r="Q787" s="77"/>
      <c r="R787" s="77"/>
      <c r="S787" s="77"/>
      <c r="X787" s="77"/>
      <c r="Y787" s="77"/>
      <c r="Z787" s="77"/>
      <c r="AA787" s="78"/>
    </row>
    <row r="788" spans="15:27" x14ac:dyDescent="0.25">
      <c r="O788" s="76"/>
      <c r="P788" s="77"/>
      <c r="Q788" s="77"/>
      <c r="R788" s="77"/>
      <c r="S788" s="77"/>
      <c r="X788" s="77"/>
      <c r="Y788" s="77"/>
      <c r="Z788" s="77"/>
      <c r="AA788" s="78"/>
    </row>
    <row r="789" spans="15:27" x14ac:dyDescent="0.25">
      <c r="O789" s="76"/>
      <c r="P789" s="77"/>
      <c r="Q789" s="77"/>
      <c r="R789" s="77"/>
      <c r="S789" s="77"/>
      <c r="X789" s="77"/>
      <c r="Y789" s="77"/>
      <c r="Z789" s="77"/>
      <c r="AA789" s="78"/>
    </row>
    <row r="790" spans="15:27" x14ac:dyDescent="0.25">
      <c r="O790" s="76"/>
      <c r="P790" s="77"/>
      <c r="Q790" s="77"/>
      <c r="R790" s="77"/>
      <c r="S790" s="77"/>
      <c r="X790" s="77"/>
      <c r="Y790" s="77"/>
      <c r="Z790" s="77"/>
      <c r="AA790" s="78"/>
    </row>
    <row r="791" spans="15:27" x14ac:dyDescent="0.25">
      <c r="O791" s="76"/>
      <c r="P791" s="77"/>
      <c r="Q791" s="77"/>
      <c r="R791" s="77"/>
      <c r="S791" s="77"/>
      <c r="X791" s="77"/>
      <c r="Y791" s="77"/>
      <c r="Z791" s="77"/>
      <c r="AA791" s="78"/>
    </row>
    <row r="792" spans="15:27" x14ac:dyDescent="0.25">
      <c r="O792" s="76"/>
      <c r="P792" s="77"/>
      <c r="Q792" s="77"/>
      <c r="R792" s="77"/>
      <c r="S792" s="77"/>
      <c r="X792" s="77"/>
      <c r="Y792" s="77"/>
      <c r="Z792" s="77"/>
      <c r="AA792" s="78"/>
    </row>
    <row r="793" spans="15:27" x14ac:dyDescent="0.25">
      <c r="O793" s="76"/>
      <c r="P793" s="77"/>
      <c r="Q793" s="77"/>
      <c r="R793" s="77"/>
      <c r="S793" s="77"/>
      <c r="X793" s="77"/>
      <c r="Y793" s="77"/>
      <c r="Z793" s="77"/>
      <c r="AA793" s="78"/>
    </row>
    <row r="794" spans="15:27" x14ac:dyDescent="0.25">
      <c r="O794" s="76"/>
      <c r="P794" s="77"/>
      <c r="Q794" s="77"/>
      <c r="R794" s="77"/>
      <c r="S794" s="77"/>
      <c r="X794" s="77"/>
      <c r="Y794" s="77"/>
      <c r="Z794" s="77"/>
      <c r="AA794" s="78"/>
    </row>
    <row r="795" spans="15:27" x14ac:dyDescent="0.25">
      <c r="O795" s="76"/>
      <c r="P795" s="77"/>
      <c r="Q795" s="77"/>
      <c r="R795" s="77"/>
      <c r="S795" s="77"/>
      <c r="X795" s="77"/>
      <c r="Y795" s="77"/>
      <c r="Z795" s="77"/>
      <c r="AA795" s="78"/>
    </row>
    <row r="796" spans="15:27" x14ac:dyDescent="0.25">
      <c r="O796" s="76"/>
      <c r="P796" s="77"/>
      <c r="Q796" s="77"/>
      <c r="R796" s="77"/>
      <c r="S796" s="77"/>
      <c r="X796" s="77"/>
      <c r="Y796" s="77"/>
      <c r="Z796" s="77"/>
      <c r="AA796" s="78"/>
    </row>
    <row r="797" spans="15:27" x14ac:dyDescent="0.25">
      <c r="O797" s="76"/>
      <c r="P797" s="77"/>
      <c r="Q797" s="77"/>
      <c r="R797" s="77"/>
      <c r="S797" s="77"/>
      <c r="X797" s="77"/>
      <c r="Y797" s="77"/>
      <c r="Z797" s="77"/>
      <c r="AA797" s="78"/>
    </row>
    <row r="798" spans="15:27" x14ac:dyDescent="0.25">
      <c r="O798" s="76"/>
      <c r="P798" s="77"/>
      <c r="Q798" s="77"/>
      <c r="R798" s="77"/>
      <c r="S798" s="77"/>
      <c r="X798" s="77"/>
      <c r="Y798" s="77"/>
      <c r="Z798" s="77"/>
      <c r="AA798" s="78"/>
    </row>
    <row r="799" spans="15:27" x14ac:dyDescent="0.25">
      <c r="O799" s="76"/>
      <c r="P799" s="77"/>
      <c r="Q799" s="77"/>
      <c r="R799" s="77"/>
      <c r="S799" s="77"/>
      <c r="X799" s="77"/>
      <c r="Y799" s="77"/>
      <c r="Z799" s="77"/>
      <c r="AA799" s="78"/>
    </row>
    <row r="800" spans="15:27" x14ac:dyDescent="0.25">
      <c r="O800" s="76"/>
      <c r="P800" s="77"/>
      <c r="Q800" s="77"/>
      <c r="R800" s="77"/>
      <c r="S800" s="77"/>
      <c r="X800" s="77"/>
      <c r="Y800" s="77"/>
      <c r="Z800" s="77"/>
      <c r="AA800" s="78"/>
    </row>
    <row r="801" spans="15:27" x14ac:dyDescent="0.25">
      <c r="O801" s="76"/>
      <c r="P801" s="77"/>
      <c r="Q801" s="77"/>
      <c r="R801" s="77"/>
      <c r="S801" s="77"/>
      <c r="X801" s="77"/>
      <c r="Y801" s="77"/>
      <c r="Z801" s="77"/>
      <c r="AA801" s="78"/>
    </row>
    <row r="802" spans="15:27" x14ac:dyDescent="0.25">
      <c r="O802" s="76"/>
      <c r="P802" s="77"/>
      <c r="Q802" s="77"/>
      <c r="R802" s="77"/>
      <c r="S802" s="77"/>
      <c r="X802" s="77"/>
      <c r="Y802" s="77"/>
      <c r="Z802" s="77"/>
      <c r="AA802" s="78"/>
    </row>
    <row r="803" spans="15:27" x14ac:dyDescent="0.25">
      <c r="O803" s="76"/>
      <c r="P803" s="77"/>
      <c r="Q803" s="77"/>
      <c r="R803" s="77"/>
      <c r="S803" s="77"/>
      <c r="X803" s="77"/>
      <c r="Y803" s="77"/>
      <c r="Z803" s="77"/>
      <c r="AA803" s="78"/>
    </row>
    <row r="804" spans="15:27" x14ac:dyDescent="0.25">
      <c r="O804" s="76"/>
      <c r="P804" s="77"/>
      <c r="Q804" s="77"/>
      <c r="R804" s="77"/>
      <c r="S804" s="77"/>
      <c r="X804" s="77"/>
      <c r="Y804" s="77"/>
      <c r="Z804" s="77"/>
      <c r="AA804" s="78"/>
    </row>
    <row r="805" spans="15:27" x14ac:dyDescent="0.25">
      <c r="O805" s="76"/>
      <c r="P805" s="77"/>
      <c r="Q805" s="77"/>
      <c r="R805" s="77"/>
      <c r="S805" s="77"/>
      <c r="X805" s="77"/>
      <c r="Y805" s="77"/>
      <c r="Z805" s="77"/>
      <c r="AA805" s="78"/>
    </row>
    <row r="806" spans="15:27" x14ac:dyDescent="0.25">
      <c r="O806" s="76"/>
      <c r="P806" s="77"/>
      <c r="Q806" s="77"/>
      <c r="R806" s="77"/>
      <c r="S806" s="77"/>
      <c r="X806" s="77"/>
      <c r="Y806" s="77"/>
      <c r="Z806" s="77"/>
      <c r="AA806" s="78"/>
    </row>
    <row r="807" spans="15:27" x14ac:dyDescent="0.25">
      <c r="O807" s="76"/>
      <c r="P807" s="77"/>
      <c r="Q807" s="77"/>
      <c r="R807" s="77"/>
      <c r="S807" s="77"/>
      <c r="X807" s="77"/>
      <c r="Y807" s="77"/>
      <c r="Z807" s="77"/>
      <c r="AA807" s="78"/>
    </row>
    <row r="808" spans="15:27" x14ac:dyDescent="0.25">
      <c r="O808" s="76"/>
      <c r="P808" s="77"/>
      <c r="Q808" s="77"/>
      <c r="R808" s="77"/>
      <c r="S808" s="77"/>
      <c r="X808" s="77"/>
      <c r="Y808" s="77"/>
      <c r="Z808" s="77"/>
      <c r="AA808" s="78"/>
    </row>
    <row r="809" spans="15:27" x14ac:dyDescent="0.25">
      <c r="O809" s="76"/>
      <c r="P809" s="77"/>
      <c r="Q809" s="77"/>
      <c r="R809" s="77"/>
      <c r="S809" s="77"/>
      <c r="X809" s="77"/>
      <c r="Y809" s="77"/>
      <c r="Z809" s="77"/>
      <c r="AA809" s="78"/>
    </row>
    <row r="810" spans="15:27" x14ac:dyDescent="0.25">
      <c r="O810" s="76"/>
      <c r="P810" s="77"/>
      <c r="Q810" s="77"/>
      <c r="R810" s="77"/>
      <c r="S810" s="77"/>
      <c r="X810" s="77"/>
      <c r="Y810" s="77"/>
      <c r="Z810" s="77"/>
      <c r="AA810" s="78"/>
    </row>
    <row r="811" spans="15:27" x14ac:dyDescent="0.25">
      <c r="O811" s="76"/>
      <c r="P811" s="77"/>
      <c r="Q811" s="77"/>
      <c r="R811" s="77"/>
      <c r="S811" s="77"/>
      <c r="X811" s="77"/>
      <c r="Y811" s="77"/>
      <c r="Z811" s="77"/>
      <c r="AA811" s="78"/>
    </row>
    <row r="812" spans="15:27" x14ac:dyDescent="0.25">
      <c r="O812" s="76"/>
      <c r="P812" s="77"/>
      <c r="Q812" s="77"/>
      <c r="R812" s="77"/>
      <c r="S812" s="77"/>
      <c r="X812" s="77"/>
      <c r="Y812" s="77"/>
      <c r="Z812" s="77"/>
      <c r="AA812" s="78"/>
    </row>
    <row r="813" spans="15:27" x14ac:dyDescent="0.25">
      <c r="O813" s="76"/>
      <c r="P813" s="77"/>
      <c r="Q813" s="77"/>
      <c r="R813" s="77"/>
      <c r="S813" s="77"/>
      <c r="X813" s="77"/>
      <c r="Y813" s="77"/>
      <c r="Z813" s="77"/>
      <c r="AA813" s="78"/>
    </row>
    <row r="814" spans="15:27" x14ac:dyDescent="0.25">
      <c r="O814" s="76"/>
      <c r="P814" s="77"/>
      <c r="Q814" s="77"/>
      <c r="R814" s="77"/>
      <c r="S814" s="77"/>
      <c r="X814" s="77"/>
      <c r="Y814" s="77"/>
      <c r="Z814" s="77"/>
      <c r="AA814" s="78"/>
    </row>
    <row r="815" spans="15:27" x14ac:dyDescent="0.25">
      <c r="O815" s="76"/>
      <c r="P815" s="77"/>
      <c r="Q815" s="77"/>
      <c r="R815" s="77"/>
      <c r="S815" s="77"/>
      <c r="X815" s="77"/>
      <c r="Y815" s="77"/>
      <c r="Z815" s="77"/>
      <c r="AA815" s="78"/>
    </row>
    <row r="816" spans="15:27" x14ac:dyDescent="0.25">
      <c r="O816" s="76"/>
      <c r="P816" s="77"/>
      <c r="Q816" s="77"/>
      <c r="R816" s="77"/>
      <c r="S816" s="77"/>
      <c r="X816" s="77"/>
      <c r="Y816" s="77"/>
      <c r="Z816" s="77"/>
      <c r="AA816" s="78"/>
    </row>
    <row r="817" spans="15:27" x14ac:dyDescent="0.25">
      <c r="O817" s="76"/>
      <c r="P817" s="77"/>
      <c r="Q817" s="77"/>
      <c r="R817" s="77"/>
      <c r="S817" s="77"/>
      <c r="X817" s="77"/>
      <c r="Y817" s="77"/>
      <c r="Z817" s="77"/>
      <c r="AA817" s="78"/>
    </row>
    <row r="818" spans="15:27" x14ac:dyDescent="0.25">
      <c r="O818" s="76"/>
      <c r="P818" s="77"/>
      <c r="Q818" s="77"/>
      <c r="R818" s="77"/>
      <c r="S818" s="77"/>
      <c r="X818" s="77"/>
      <c r="Y818" s="77"/>
      <c r="Z818" s="77"/>
      <c r="AA818" s="78"/>
    </row>
    <row r="819" spans="15:27" x14ac:dyDescent="0.25">
      <c r="O819" s="76"/>
      <c r="P819" s="77"/>
      <c r="Q819" s="77"/>
      <c r="R819" s="77"/>
      <c r="S819" s="77"/>
      <c r="X819" s="77"/>
      <c r="Y819" s="77"/>
      <c r="Z819" s="77"/>
      <c r="AA819" s="78"/>
    </row>
    <row r="820" spans="15:27" x14ac:dyDescent="0.25">
      <c r="O820" s="76"/>
      <c r="P820" s="77"/>
      <c r="Q820" s="77"/>
      <c r="R820" s="77"/>
      <c r="S820" s="77"/>
      <c r="X820" s="77"/>
      <c r="Y820" s="77"/>
      <c r="Z820" s="77"/>
      <c r="AA820" s="78"/>
    </row>
    <row r="821" spans="15:27" x14ac:dyDescent="0.25">
      <c r="O821" s="76"/>
      <c r="P821" s="77"/>
      <c r="Q821" s="77"/>
      <c r="R821" s="77"/>
      <c r="S821" s="77"/>
      <c r="X821" s="77"/>
      <c r="Y821" s="77"/>
      <c r="Z821" s="77"/>
      <c r="AA821" s="78"/>
    </row>
    <row r="822" spans="15:27" x14ac:dyDescent="0.25">
      <c r="O822" s="76"/>
      <c r="P822" s="77"/>
      <c r="Q822" s="77"/>
      <c r="R822" s="77"/>
      <c r="S822" s="77"/>
      <c r="X822" s="77"/>
      <c r="Y822" s="77"/>
      <c r="Z822" s="77"/>
      <c r="AA822" s="78"/>
    </row>
    <row r="823" spans="15:27" x14ac:dyDescent="0.25">
      <c r="O823" s="76"/>
      <c r="P823" s="77"/>
      <c r="Q823" s="77"/>
      <c r="R823" s="77"/>
      <c r="S823" s="77"/>
      <c r="X823" s="77"/>
      <c r="Y823" s="77"/>
      <c r="Z823" s="77"/>
      <c r="AA823" s="78"/>
    </row>
    <row r="824" spans="15:27" x14ac:dyDescent="0.25">
      <c r="O824" s="76"/>
      <c r="P824" s="77"/>
      <c r="Q824" s="77"/>
      <c r="R824" s="77"/>
      <c r="S824" s="77"/>
      <c r="X824" s="77"/>
      <c r="Y824" s="77"/>
      <c r="Z824" s="77"/>
      <c r="AA824" s="78"/>
    </row>
    <row r="825" spans="15:27" x14ac:dyDescent="0.25">
      <c r="O825" s="76"/>
      <c r="P825" s="77"/>
      <c r="Q825" s="77"/>
      <c r="R825" s="77"/>
      <c r="S825" s="77"/>
      <c r="X825" s="77"/>
      <c r="Y825" s="77"/>
      <c r="Z825" s="77"/>
      <c r="AA825" s="78"/>
    </row>
    <row r="826" spans="15:27" x14ac:dyDescent="0.25">
      <c r="O826" s="76"/>
      <c r="P826" s="77"/>
      <c r="Q826" s="77"/>
      <c r="R826" s="77"/>
      <c r="S826" s="77"/>
      <c r="X826" s="77"/>
      <c r="Y826" s="77"/>
      <c r="Z826" s="77"/>
      <c r="AA826" s="78"/>
    </row>
    <row r="827" spans="15:27" x14ac:dyDescent="0.25">
      <c r="O827" s="76"/>
      <c r="P827" s="77"/>
      <c r="Q827" s="77"/>
      <c r="R827" s="77"/>
      <c r="S827" s="77"/>
      <c r="X827" s="77"/>
      <c r="Y827" s="77"/>
      <c r="Z827" s="77"/>
      <c r="AA827" s="78"/>
    </row>
    <row r="828" spans="15:27" x14ac:dyDescent="0.25">
      <c r="O828" s="76"/>
      <c r="P828" s="77"/>
      <c r="Q828" s="77"/>
      <c r="R828" s="77"/>
      <c r="S828" s="77"/>
      <c r="X828" s="77"/>
      <c r="Y828" s="77"/>
      <c r="Z828" s="77"/>
      <c r="AA828" s="78"/>
    </row>
    <row r="829" spans="15:27" x14ac:dyDescent="0.25">
      <c r="O829" s="76"/>
      <c r="P829" s="77"/>
      <c r="Q829" s="77"/>
      <c r="R829" s="77"/>
      <c r="S829" s="77"/>
      <c r="X829" s="77"/>
      <c r="Y829" s="77"/>
      <c r="Z829" s="77"/>
      <c r="AA829" s="78"/>
    </row>
    <row r="830" spans="15:27" x14ac:dyDescent="0.25">
      <c r="O830" s="76"/>
      <c r="P830" s="77"/>
      <c r="Q830" s="77"/>
      <c r="R830" s="77"/>
      <c r="S830" s="77"/>
      <c r="X830" s="77"/>
      <c r="Y830" s="77"/>
      <c r="Z830" s="77"/>
      <c r="AA830" s="78"/>
    </row>
    <row r="831" spans="15:27" x14ac:dyDescent="0.25">
      <c r="O831" s="76"/>
      <c r="P831" s="77"/>
      <c r="Q831" s="77"/>
      <c r="R831" s="77"/>
      <c r="S831" s="77"/>
      <c r="X831" s="77"/>
      <c r="Y831" s="77"/>
      <c r="Z831" s="77"/>
      <c r="AA831" s="78"/>
    </row>
    <row r="832" spans="15:27" x14ac:dyDescent="0.25">
      <c r="O832" s="76"/>
      <c r="P832" s="77"/>
      <c r="Q832" s="77"/>
      <c r="R832" s="77"/>
      <c r="S832" s="77"/>
      <c r="X832" s="77"/>
      <c r="Y832" s="77"/>
      <c r="Z832" s="77"/>
      <c r="AA832" s="78"/>
    </row>
    <row r="833" spans="15:27" x14ac:dyDescent="0.25">
      <c r="O833" s="76"/>
      <c r="P833" s="77"/>
      <c r="Q833" s="77"/>
      <c r="R833" s="77"/>
      <c r="S833" s="77"/>
      <c r="X833" s="77"/>
      <c r="Y833" s="77"/>
      <c r="Z833" s="77"/>
      <c r="AA833" s="78"/>
    </row>
    <row r="834" spans="15:27" x14ac:dyDescent="0.25">
      <c r="O834" s="76"/>
      <c r="P834" s="77"/>
      <c r="Q834" s="77"/>
      <c r="R834" s="77"/>
      <c r="S834" s="77"/>
      <c r="X834" s="77"/>
      <c r="Y834" s="77"/>
      <c r="Z834" s="77"/>
      <c r="AA834" s="78"/>
    </row>
    <row r="835" spans="15:27" x14ac:dyDescent="0.25">
      <c r="O835" s="76"/>
      <c r="P835" s="77"/>
      <c r="Q835" s="77"/>
      <c r="R835" s="77"/>
      <c r="S835" s="77"/>
      <c r="X835" s="77"/>
      <c r="Y835" s="77"/>
      <c r="Z835" s="77"/>
      <c r="AA835" s="78"/>
    </row>
    <row r="836" spans="15:27" x14ac:dyDescent="0.25">
      <c r="O836" s="76"/>
      <c r="P836" s="77"/>
      <c r="Q836" s="77"/>
      <c r="R836" s="77"/>
      <c r="S836" s="77"/>
      <c r="X836" s="77"/>
      <c r="Y836" s="77"/>
      <c r="Z836" s="77"/>
      <c r="AA836" s="78"/>
    </row>
    <row r="837" spans="15:27" x14ac:dyDescent="0.25">
      <c r="O837" s="76"/>
      <c r="P837" s="77"/>
      <c r="Q837" s="77"/>
      <c r="R837" s="77"/>
      <c r="S837" s="77"/>
      <c r="X837" s="77"/>
      <c r="Y837" s="77"/>
      <c r="Z837" s="77"/>
      <c r="AA837" s="78"/>
    </row>
    <row r="838" spans="15:27" x14ac:dyDescent="0.25">
      <c r="O838" s="76"/>
      <c r="P838" s="77"/>
      <c r="Q838" s="77"/>
      <c r="R838" s="77"/>
      <c r="S838" s="77"/>
      <c r="X838" s="77"/>
      <c r="Y838" s="77"/>
      <c r="Z838" s="77"/>
      <c r="AA838" s="78"/>
    </row>
    <row r="839" spans="15:27" x14ac:dyDescent="0.25">
      <c r="O839" s="76"/>
      <c r="P839" s="77"/>
      <c r="Q839" s="77"/>
      <c r="R839" s="77"/>
      <c r="S839" s="77"/>
      <c r="X839" s="77"/>
      <c r="Y839" s="77"/>
      <c r="Z839" s="77"/>
      <c r="AA839" s="78"/>
    </row>
    <row r="840" spans="15:27" x14ac:dyDescent="0.25">
      <c r="O840" s="76"/>
      <c r="P840" s="77"/>
      <c r="Q840" s="77"/>
      <c r="R840" s="77"/>
      <c r="S840" s="77"/>
      <c r="X840" s="77"/>
      <c r="Y840" s="77"/>
      <c r="Z840" s="77"/>
      <c r="AA840" s="78"/>
    </row>
    <row r="841" spans="15:27" x14ac:dyDescent="0.25">
      <c r="O841" s="76"/>
      <c r="P841" s="77"/>
      <c r="Q841" s="77"/>
      <c r="R841" s="77"/>
      <c r="S841" s="77"/>
      <c r="X841" s="77"/>
      <c r="Y841" s="77"/>
      <c r="Z841" s="77"/>
      <c r="AA841" s="78"/>
    </row>
    <row r="842" spans="15:27" x14ac:dyDescent="0.25">
      <c r="O842" s="76"/>
      <c r="P842" s="77"/>
      <c r="Q842" s="77"/>
      <c r="R842" s="77"/>
      <c r="S842" s="77"/>
      <c r="X842" s="77"/>
      <c r="Y842" s="77"/>
      <c r="Z842" s="77"/>
      <c r="AA842" s="78"/>
    </row>
    <row r="843" spans="15:27" x14ac:dyDescent="0.25">
      <c r="O843" s="76"/>
      <c r="P843" s="77"/>
      <c r="Q843" s="77"/>
      <c r="R843" s="77"/>
      <c r="S843" s="77"/>
      <c r="X843" s="77"/>
      <c r="Y843" s="77"/>
      <c r="Z843" s="77"/>
      <c r="AA843" s="78"/>
    </row>
    <row r="844" spans="15:27" x14ac:dyDescent="0.25">
      <c r="O844" s="76"/>
      <c r="P844" s="77"/>
      <c r="Q844" s="77"/>
      <c r="R844" s="77"/>
      <c r="S844" s="77"/>
      <c r="X844" s="77"/>
      <c r="Y844" s="77"/>
      <c r="Z844" s="77"/>
      <c r="AA844" s="78"/>
    </row>
    <row r="845" spans="15:27" x14ac:dyDescent="0.25">
      <c r="O845" s="76"/>
      <c r="P845" s="77"/>
      <c r="Q845" s="77"/>
      <c r="R845" s="77"/>
      <c r="S845" s="77"/>
      <c r="X845" s="77"/>
      <c r="Y845" s="77"/>
      <c r="Z845" s="77"/>
      <c r="AA845" s="78"/>
    </row>
    <row r="846" spans="15:27" x14ac:dyDescent="0.25">
      <c r="O846" s="76"/>
      <c r="P846" s="77"/>
      <c r="Q846" s="77"/>
      <c r="R846" s="77"/>
      <c r="S846" s="77"/>
      <c r="X846" s="77"/>
      <c r="Y846" s="77"/>
      <c r="Z846" s="77"/>
      <c r="AA846" s="78"/>
    </row>
    <row r="847" spans="15:27" x14ac:dyDescent="0.25">
      <c r="O847" s="76"/>
      <c r="P847" s="77"/>
      <c r="Q847" s="77"/>
      <c r="R847" s="77"/>
      <c r="S847" s="77"/>
      <c r="X847" s="77"/>
      <c r="Y847" s="77"/>
      <c r="Z847" s="77"/>
      <c r="AA847" s="78"/>
    </row>
    <row r="848" spans="15:27" x14ac:dyDescent="0.25">
      <c r="O848" s="76"/>
      <c r="P848" s="77"/>
      <c r="Q848" s="77"/>
      <c r="R848" s="77"/>
      <c r="S848" s="77"/>
      <c r="X848" s="77"/>
      <c r="Y848" s="77"/>
      <c r="Z848" s="77"/>
      <c r="AA848" s="78"/>
    </row>
    <row r="849" spans="15:27" x14ac:dyDescent="0.25">
      <c r="O849" s="76"/>
      <c r="P849" s="77"/>
      <c r="Q849" s="77"/>
      <c r="R849" s="77"/>
      <c r="S849" s="77"/>
      <c r="X849" s="77"/>
      <c r="Y849" s="77"/>
      <c r="Z849" s="77"/>
      <c r="AA849" s="78"/>
    </row>
    <row r="850" spans="15:27" x14ac:dyDescent="0.25">
      <c r="O850" s="76"/>
      <c r="P850" s="77"/>
      <c r="Q850" s="77"/>
      <c r="R850" s="77"/>
      <c r="S850" s="77"/>
      <c r="X850" s="77"/>
      <c r="Y850" s="77"/>
      <c r="Z850" s="77"/>
      <c r="AA850" s="78"/>
    </row>
    <row r="851" spans="15:27" x14ac:dyDescent="0.25">
      <c r="O851" s="76"/>
      <c r="P851" s="77"/>
      <c r="Q851" s="77"/>
      <c r="R851" s="77"/>
      <c r="S851" s="77"/>
      <c r="X851" s="77"/>
      <c r="Y851" s="77"/>
      <c r="Z851" s="77"/>
      <c r="AA851" s="78"/>
    </row>
    <row r="852" spans="15:27" x14ac:dyDescent="0.25">
      <c r="O852" s="76"/>
      <c r="P852" s="77"/>
      <c r="Q852" s="77"/>
      <c r="R852" s="77"/>
      <c r="S852" s="77"/>
      <c r="X852" s="77"/>
      <c r="Y852" s="77"/>
      <c r="Z852" s="77"/>
      <c r="AA852" s="78"/>
    </row>
    <row r="853" spans="15:27" x14ac:dyDescent="0.25">
      <c r="O853" s="76"/>
      <c r="P853" s="77"/>
      <c r="Q853" s="77"/>
      <c r="R853" s="77"/>
      <c r="S853" s="77"/>
      <c r="X853" s="77"/>
      <c r="Y853" s="77"/>
      <c r="Z853" s="77"/>
      <c r="AA853" s="78"/>
    </row>
    <row r="854" spans="15:27" x14ac:dyDescent="0.25">
      <c r="O854" s="76"/>
      <c r="P854" s="77"/>
      <c r="Q854" s="77"/>
      <c r="R854" s="77"/>
      <c r="S854" s="77"/>
      <c r="X854" s="77"/>
      <c r="Y854" s="77"/>
      <c r="Z854" s="77"/>
      <c r="AA854" s="78"/>
    </row>
    <row r="855" spans="15:27" x14ac:dyDescent="0.25">
      <c r="O855" s="76"/>
      <c r="P855" s="77"/>
      <c r="Q855" s="77"/>
      <c r="R855" s="77"/>
      <c r="S855" s="77"/>
      <c r="X855" s="77"/>
      <c r="Y855" s="77"/>
      <c r="Z855" s="77"/>
      <c r="AA855" s="78"/>
    </row>
    <row r="856" spans="15:27" x14ac:dyDescent="0.25">
      <c r="O856" s="76"/>
      <c r="P856" s="77"/>
      <c r="Q856" s="77"/>
      <c r="R856" s="77"/>
      <c r="S856" s="77"/>
      <c r="X856" s="77"/>
      <c r="Y856" s="77"/>
      <c r="Z856" s="77"/>
      <c r="AA856" s="78"/>
    </row>
    <row r="857" spans="15:27" x14ac:dyDescent="0.25">
      <c r="O857" s="76"/>
      <c r="P857" s="77"/>
      <c r="Q857" s="77"/>
      <c r="R857" s="77"/>
      <c r="S857" s="77"/>
      <c r="X857" s="77"/>
      <c r="Y857" s="77"/>
      <c r="Z857" s="77"/>
      <c r="AA857" s="78"/>
    </row>
    <row r="858" spans="15:27" x14ac:dyDescent="0.25">
      <c r="O858" s="76"/>
      <c r="P858" s="77"/>
      <c r="Q858" s="77"/>
      <c r="R858" s="77"/>
      <c r="S858" s="77"/>
      <c r="X858" s="77"/>
      <c r="Y858" s="77"/>
      <c r="Z858" s="77"/>
      <c r="AA858" s="78"/>
    </row>
    <row r="859" spans="15:27" x14ac:dyDescent="0.25">
      <c r="O859" s="76"/>
      <c r="P859" s="77"/>
      <c r="Q859" s="77"/>
      <c r="R859" s="77"/>
      <c r="S859" s="77"/>
      <c r="X859" s="77"/>
      <c r="Y859" s="77"/>
      <c r="Z859" s="77"/>
      <c r="AA859" s="78"/>
    </row>
    <row r="860" spans="15:27" x14ac:dyDescent="0.25">
      <c r="O860" s="76"/>
      <c r="P860" s="77"/>
      <c r="Q860" s="77"/>
      <c r="R860" s="77"/>
      <c r="S860" s="77"/>
      <c r="X860" s="77"/>
      <c r="Y860" s="77"/>
      <c r="Z860" s="77"/>
      <c r="AA860" s="78"/>
    </row>
    <row r="861" spans="15:27" x14ac:dyDescent="0.25">
      <c r="O861" s="76"/>
      <c r="P861" s="77"/>
      <c r="Q861" s="77"/>
      <c r="R861" s="77"/>
      <c r="S861" s="77"/>
      <c r="X861" s="77"/>
      <c r="Y861" s="77"/>
      <c r="Z861" s="77"/>
      <c r="AA861" s="78"/>
    </row>
    <row r="862" spans="15:27" x14ac:dyDescent="0.25">
      <c r="O862" s="76"/>
      <c r="P862" s="77"/>
      <c r="Q862" s="77"/>
      <c r="R862" s="77"/>
      <c r="S862" s="77"/>
      <c r="X862" s="77"/>
      <c r="Y862" s="77"/>
      <c r="Z862" s="77"/>
      <c r="AA862" s="78"/>
    </row>
    <row r="863" spans="15:27" x14ac:dyDescent="0.25">
      <c r="O863" s="76"/>
      <c r="P863" s="77"/>
      <c r="Q863" s="77"/>
      <c r="R863" s="77"/>
      <c r="S863" s="77"/>
      <c r="X863" s="77"/>
      <c r="Y863" s="77"/>
      <c r="Z863" s="77"/>
      <c r="AA863" s="78"/>
    </row>
    <row r="864" spans="15:27" x14ac:dyDescent="0.25">
      <c r="O864" s="76"/>
      <c r="P864" s="77"/>
      <c r="Q864" s="77"/>
      <c r="R864" s="77"/>
      <c r="S864" s="77"/>
      <c r="X864" s="77"/>
      <c r="Y864" s="77"/>
      <c r="Z864" s="77"/>
      <c r="AA864" s="78"/>
    </row>
    <row r="865" spans="15:27" x14ac:dyDescent="0.25">
      <c r="O865" s="76"/>
      <c r="P865" s="77"/>
      <c r="Q865" s="77"/>
      <c r="R865" s="77"/>
      <c r="S865" s="77"/>
      <c r="X865" s="77"/>
      <c r="Y865" s="77"/>
      <c r="Z865" s="77"/>
      <c r="AA865" s="78"/>
    </row>
    <row r="866" spans="15:27" x14ac:dyDescent="0.25">
      <c r="O866" s="76"/>
      <c r="P866" s="77"/>
      <c r="Q866" s="77"/>
      <c r="R866" s="77"/>
      <c r="S866" s="77"/>
      <c r="X866" s="77"/>
      <c r="Y866" s="77"/>
      <c r="Z866" s="77"/>
      <c r="AA866" s="78"/>
    </row>
    <row r="867" spans="15:27" x14ac:dyDescent="0.25">
      <c r="O867" s="76"/>
      <c r="P867" s="77"/>
      <c r="Q867" s="77"/>
      <c r="R867" s="77"/>
      <c r="S867" s="77"/>
      <c r="X867" s="77"/>
      <c r="Y867" s="77"/>
      <c r="Z867" s="77"/>
      <c r="AA867" s="78"/>
    </row>
    <row r="868" spans="15:27" x14ac:dyDescent="0.25">
      <c r="O868" s="76"/>
      <c r="P868" s="77"/>
      <c r="Q868" s="77"/>
      <c r="R868" s="77"/>
      <c r="S868" s="77"/>
      <c r="X868" s="77"/>
      <c r="Y868" s="77"/>
      <c r="Z868" s="77"/>
      <c r="AA868" s="78"/>
    </row>
    <row r="869" spans="15:27" x14ac:dyDescent="0.25">
      <c r="O869" s="76"/>
      <c r="P869" s="77"/>
      <c r="Q869" s="77"/>
      <c r="R869" s="77"/>
      <c r="S869" s="77"/>
      <c r="X869" s="77"/>
      <c r="Y869" s="77"/>
      <c r="Z869" s="77"/>
      <c r="AA869" s="78"/>
    </row>
    <row r="870" spans="15:27" x14ac:dyDescent="0.25">
      <c r="O870" s="76"/>
      <c r="P870" s="77"/>
      <c r="Q870" s="77"/>
      <c r="R870" s="77"/>
      <c r="S870" s="77"/>
      <c r="X870" s="77"/>
      <c r="Y870" s="77"/>
      <c r="Z870" s="77"/>
      <c r="AA870" s="78"/>
    </row>
    <row r="871" spans="15:27" x14ac:dyDescent="0.25">
      <c r="O871" s="76"/>
      <c r="P871" s="77"/>
      <c r="Q871" s="77"/>
      <c r="R871" s="77"/>
      <c r="S871" s="77"/>
      <c r="X871" s="77"/>
      <c r="Y871" s="77"/>
      <c r="Z871" s="77"/>
      <c r="AA871" s="78"/>
    </row>
    <row r="872" spans="15:27" x14ac:dyDescent="0.25">
      <c r="O872" s="76"/>
      <c r="P872" s="77"/>
      <c r="Q872" s="77"/>
      <c r="R872" s="77"/>
      <c r="S872" s="77"/>
      <c r="X872" s="77"/>
      <c r="Y872" s="77"/>
      <c r="Z872" s="77"/>
      <c r="AA872" s="78"/>
    </row>
    <row r="873" spans="15:27" x14ac:dyDescent="0.25">
      <c r="O873" s="76"/>
      <c r="P873" s="77"/>
      <c r="Q873" s="77"/>
      <c r="R873" s="77"/>
      <c r="S873" s="77"/>
      <c r="X873" s="77"/>
      <c r="Y873" s="77"/>
      <c r="Z873" s="77"/>
      <c r="AA873" s="78"/>
    </row>
    <row r="874" spans="15:27" x14ac:dyDescent="0.25">
      <c r="O874" s="76"/>
      <c r="P874" s="77"/>
      <c r="Q874" s="77"/>
      <c r="R874" s="77"/>
      <c r="S874" s="77"/>
      <c r="X874" s="77"/>
      <c r="Y874" s="77"/>
      <c r="Z874" s="77"/>
      <c r="AA874" s="78"/>
    </row>
    <row r="875" spans="15:27" x14ac:dyDescent="0.25">
      <c r="O875" s="76"/>
      <c r="P875" s="77"/>
      <c r="Q875" s="77"/>
      <c r="R875" s="77"/>
      <c r="S875" s="77"/>
      <c r="X875" s="77"/>
      <c r="Y875" s="77"/>
      <c r="Z875" s="77"/>
      <c r="AA875" s="78"/>
    </row>
    <row r="876" spans="15:27" x14ac:dyDescent="0.25">
      <c r="O876" s="76"/>
      <c r="P876" s="77"/>
      <c r="Q876" s="77"/>
      <c r="R876" s="77"/>
      <c r="S876" s="77"/>
      <c r="X876" s="77"/>
      <c r="Y876" s="77"/>
      <c r="Z876" s="77"/>
      <c r="AA876" s="78"/>
    </row>
    <row r="877" spans="15:27" x14ac:dyDescent="0.25">
      <c r="O877" s="76"/>
      <c r="P877" s="77"/>
      <c r="Q877" s="77"/>
      <c r="R877" s="77"/>
      <c r="S877" s="77"/>
      <c r="X877" s="77"/>
      <c r="Y877" s="77"/>
      <c r="Z877" s="77"/>
      <c r="AA877" s="78"/>
    </row>
    <row r="878" spans="15:27" x14ac:dyDescent="0.25">
      <c r="O878" s="76"/>
      <c r="P878" s="77"/>
      <c r="Q878" s="77"/>
      <c r="R878" s="77"/>
      <c r="S878" s="77"/>
      <c r="X878" s="77"/>
      <c r="Y878" s="77"/>
      <c r="Z878" s="77"/>
      <c r="AA878" s="78"/>
    </row>
    <row r="879" spans="15:27" x14ac:dyDescent="0.25">
      <c r="O879" s="76"/>
      <c r="P879" s="77"/>
      <c r="Q879" s="77"/>
      <c r="R879" s="77"/>
      <c r="S879" s="77"/>
      <c r="X879" s="77"/>
      <c r="Y879" s="77"/>
      <c r="Z879" s="77"/>
      <c r="AA879" s="78"/>
    </row>
    <row r="880" spans="15:27" x14ac:dyDescent="0.25">
      <c r="O880" s="76"/>
      <c r="P880" s="77"/>
      <c r="Q880" s="77"/>
      <c r="R880" s="77"/>
      <c r="S880" s="77"/>
      <c r="X880" s="77"/>
      <c r="Y880" s="77"/>
      <c r="Z880" s="77"/>
      <c r="AA880" s="78"/>
    </row>
    <row r="881" spans="15:27" x14ac:dyDescent="0.25">
      <c r="O881" s="76"/>
      <c r="P881" s="77"/>
      <c r="Q881" s="77"/>
      <c r="R881" s="77"/>
      <c r="S881" s="77"/>
      <c r="X881" s="77"/>
      <c r="Y881" s="77"/>
      <c r="Z881" s="77"/>
      <c r="AA881" s="78"/>
    </row>
    <row r="882" spans="15:27" x14ac:dyDescent="0.25">
      <c r="O882" s="76"/>
      <c r="P882" s="77"/>
      <c r="Q882" s="77"/>
      <c r="R882" s="77"/>
      <c r="S882" s="77"/>
      <c r="X882" s="77"/>
      <c r="Y882" s="77"/>
      <c r="Z882" s="77"/>
      <c r="AA882" s="78"/>
    </row>
    <row r="883" spans="15:27" x14ac:dyDescent="0.25">
      <c r="O883" s="76"/>
      <c r="P883" s="77"/>
      <c r="Q883" s="77"/>
      <c r="R883" s="77"/>
      <c r="S883" s="77"/>
      <c r="X883" s="77"/>
      <c r="Y883" s="77"/>
      <c r="Z883" s="77"/>
      <c r="AA883" s="78"/>
    </row>
    <row r="884" spans="15:27" x14ac:dyDescent="0.25">
      <c r="O884" s="76"/>
      <c r="P884" s="77"/>
      <c r="Q884" s="77"/>
      <c r="R884" s="77"/>
      <c r="S884" s="77"/>
      <c r="X884" s="77"/>
      <c r="Y884" s="77"/>
      <c r="Z884" s="77"/>
      <c r="AA884" s="78"/>
    </row>
    <row r="885" spans="15:27" x14ac:dyDescent="0.25">
      <c r="O885" s="76"/>
      <c r="P885" s="77"/>
      <c r="Q885" s="77"/>
      <c r="R885" s="77"/>
      <c r="S885" s="77"/>
      <c r="X885" s="77"/>
      <c r="Y885" s="77"/>
      <c r="Z885" s="77"/>
      <c r="AA885" s="78"/>
    </row>
    <row r="886" spans="15:27" x14ac:dyDescent="0.25">
      <c r="O886" s="76"/>
      <c r="P886" s="77"/>
      <c r="Q886" s="77"/>
      <c r="R886" s="77"/>
      <c r="S886" s="77"/>
      <c r="X886" s="77"/>
      <c r="Y886" s="77"/>
      <c r="Z886" s="77"/>
      <c r="AA886" s="78"/>
    </row>
    <row r="887" spans="15:27" x14ac:dyDescent="0.25">
      <c r="O887" s="76"/>
      <c r="P887" s="77"/>
      <c r="Q887" s="77"/>
      <c r="R887" s="77"/>
      <c r="S887" s="77"/>
      <c r="X887" s="77"/>
      <c r="Y887" s="77"/>
      <c r="Z887" s="77"/>
      <c r="AA887" s="78"/>
    </row>
    <row r="888" spans="15:27" x14ac:dyDescent="0.25">
      <c r="O888" s="76"/>
      <c r="P888" s="77"/>
      <c r="Q888" s="77"/>
      <c r="R888" s="77"/>
      <c r="S888" s="77"/>
      <c r="X888" s="77"/>
      <c r="Y888" s="77"/>
      <c r="Z888" s="77"/>
      <c r="AA888" s="78"/>
    </row>
    <row r="889" spans="15:27" x14ac:dyDescent="0.25">
      <c r="O889" s="76"/>
      <c r="P889" s="77"/>
      <c r="Q889" s="77"/>
      <c r="R889" s="77"/>
      <c r="S889" s="77"/>
      <c r="X889" s="77"/>
      <c r="Y889" s="77"/>
      <c r="Z889" s="77"/>
      <c r="AA889" s="78"/>
    </row>
    <row r="890" spans="15:27" x14ac:dyDescent="0.25">
      <c r="O890" s="76"/>
      <c r="P890" s="77"/>
      <c r="Q890" s="77"/>
      <c r="R890" s="77"/>
      <c r="S890" s="77"/>
      <c r="X890" s="77"/>
      <c r="Y890" s="77"/>
      <c r="Z890" s="77"/>
      <c r="AA890" s="78"/>
    </row>
    <row r="891" spans="15:27" x14ac:dyDescent="0.25">
      <c r="O891" s="76"/>
      <c r="P891" s="77"/>
      <c r="Q891" s="77"/>
      <c r="R891" s="77"/>
      <c r="S891" s="77"/>
      <c r="X891" s="77"/>
      <c r="Y891" s="77"/>
      <c r="Z891" s="77"/>
      <c r="AA891" s="78"/>
    </row>
    <row r="892" spans="15:27" x14ac:dyDescent="0.25">
      <c r="O892" s="76"/>
      <c r="P892" s="77"/>
      <c r="Q892" s="77"/>
      <c r="R892" s="77"/>
      <c r="S892" s="77"/>
      <c r="X892" s="77"/>
      <c r="Y892" s="77"/>
      <c r="Z892" s="77"/>
      <c r="AA892" s="78"/>
    </row>
    <row r="893" spans="15:27" x14ac:dyDescent="0.25">
      <c r="O893" s="76"/>
      <c r="P893" s="77"/>
      <c r="Q893" s="77"/>
      <c r="R893" s="77"/>
      <c r="S893" s="77"/>
      <c r="X893" s="77"/>
      <c r="Y893" s="77"/>
      <c r="Z893" s="77"/>
      <c r="AA893" s="78"/>
    </row>
    <row r="894" spans="15:27" x14ac:dyDescent="0.25">
      <c r="O894" s="76"/>
      <c r="P894" s="77"/>
      <c r="Q894" s="77"/>
      <c r="R894" s="77"/>
      <c r="S894" s="77"/>
      <c r="X894" s="77"/>
      <c r="Y894" s="77"/>
      <c r="Z894" s="77"/>
      <c r="AA894" s="78"/>
    </row>
    <row r="895" spans="15:27" x14ac:dyDescent="0.25">
      <c r="O895" s="76"/>
      <c r="P895" s="77"/>
      <c r="Q895" s="77"/>
      <c r="R895" s="77"/>
      <c r="S895" s="77"/>
      <c r="X895" s="77"/>
      <c r="Y895" s="77"/>
      <c r="Z895" s="77"/>
      <c r="AA895" s="78"/>
    </row>
    <row r="896" spans="15:27" x14ac:dyDescent="0.25">
      <c r="O896" s="76"/>
      <c r="P896" s="77"/>
      <c r="Q896" s="77"/>
      <c r="R896" s="77"/>
      <c r="S896" s="77"/>
      <c r="X896" s="77"/>
      <c r="Y896" s="77"/>
      <c r="Z896" s="77"/>
      <c r="AA896" s="78"/>
    </row>
    <row r="897" spans="15:27" x14ac:dyDescent="0.25">
      <c r="O897" s="76"/>
      <c r="P897" s="77"/>
      <c r="Q897" s="77"/>
      <c r="R897" s="77"/>
      <c r="S897" s="77"/>
      <c r="X897" s="77"/>
      <c r="Y897" s="77"/>
      <c r="Z897" s="77"/>
      <c r="AA897" s="78"/>
    </row>
    <row r="898" spans="15:27" x14ac:dyDescent="0.25">
      <c r="O898" s="76"/>
      <c r="P898" s="77"/>
      <c r="Q898" s="77"/>
      <c r="R898" s="77"/>
      <c r="S898" s="77"/>
      <c r="X898" s="77"/>
      <c r="Y898" s="77"/>
      <c r="Z898" s="77"/>
      <c r="AA898" s="78"/>
    </row>
    <row r="899" spans="15:27" x14ac:dyDescent="0.25">
      <c r="O899" s="76"/>
      <c r="P899" s="77"/>
      <c r="Q899" s="77"/>
      <c r="R899" s="77"/>
      <c r="S899" s="77"/>
      <c r="X899" s="77"/>
      <c r="Y899" s="77"/>
      <c r="Z899" s="77"/>
      <c r="AA899" s="78"/>
    </row>
    <row r="900" spans="15:27" x14ac:dyDescent="0.25">
      <c r="O900" s="76"/>
      <c r="P900" s="77"/>
      <c r="Q900" s="77"/>
      <c r="R900" s="77"/>
      <c r="S900" s="77"/>
      <c r="X900" s="77"/>
      <c r="Y900" s="77"/>
      <c r="Z900" s="77"/>
      <c r="AA900" s="78"/>
    </row>
    <row r="901" spans="15:27" x14ac:dyDescent="0.25">
      <c r="O901" s="76"/>
      <c r="P901" s="77"/>
      <c r="Q901" s="77"/>
      <c r="R901" s="77"/>
      <c r="S901" s="77"/>
      <c r="X901" s="77"/>
      <c r="Y901" s="77"/>
      <c r="Z901" s="77"/>
      <c r="AA901" s="78"/>
    </row>
    <row r="902" spans="15:27" x14ac:dyDescent="0.25">
      <c r="O902" s="76"/>
      <c r="P902" s="77"/>
      <c r="Q902" s="77"/>
      <c r="R902" s="77"/>
      <c r="S902" s="77"/>
      <c r="X902" s="77"/>
      <c r="Y902" s="77"/>
      <c r="Z902" s="77"/>
      <c r="AA902" s="78"/>
    </row>
    <row r="903" spans="15:27" x14ac:dyDescent="0.25">
      <c r="O903" s="76"/>
      <c r="P903" s="77"/>
      <c r="Q903" s="77"/>
      <c r="R903" s="77"/>
      <c r="S903" s="77"/>
      <c r="X903" s="77"/>
      <c r="Y903" s="77"/>
      <c r="Z903" s="77"/>
      <c r="AA903" s="78"/>
    </row>
    <row r="904" spans="15:27" x14ac:dyDescent="0.25">
      <c r="O904" s="76"/>
      <c r="P904" s="77"/>
      <c r="Q904" s="77"/>
      <c r="R904" s="77"/>
      <c r="S904" s="77"/>
      <c r="X904" s="77"/>
      <c r="Y904" s="77"/>
      <c r="Z904" s="77"/>
      <c r="AA904" s="78"/>
    </row>
    <row r="905" spans="15:27" x14ac:dyDescent="0.25">
      <c r="O905" s="76"/>
      <c r="P905" s="77"/>
      <c r="Q905" s="77"/>
      <c r="R905" s="77"/>
      <c r="S905" s="77"/>
      <c r="X905" s="77"/>
      <c r="Y905" s="77"/>
      <c r="Z905" s="77"/>
      <c r="AA905" s="78"/>
    </row>
    <row r="906" spans="15:27" x14ac:dyDescent="0.25">
      <c r="O906" s="76"/>
      <c r="P906" s="77"/>
      <c r="Q906" s="77"/>
      <c r="R906" s="77"/>
      <c r="S906" s="77"/>
      <c r="X906" s="77"/>
      <c r="Y906" s="77"/>
      <c r="Z906" s="77"/>
      <c r="AA906" s="78"/>
    </row>
    <row r="907" spans="15:27" x14ac:dyDescent="0.25">
      <c r="O907" s="76"/>
      <c r="P907" s="77"/>
      <c r="Q907" s="77"/>
      <c r="R907" s="77"/>
      <c r="S907" s="77"/>
      <c r="X907" s="77"/>
      <c r="Y907" s="77"/>
      <c r="Z907" s="77"/>
      <c r="AA907" s="78"/>
    </row>
    <row r="908" spans="15:27" x14ac:dyDescent="0.25">
      <c r="O908" s="76"/>
      <c r="P908" s="77"/>
      <c r="Q908" s="77"/>
      <c r="R908" s="77"/>
      <c r="S908" s="77"/>
      <c r="X908" s="77"/>
      <c r="Y908" s="77"/>
      <c r="Z908" s="77"/>
      <c r="AA908" s="78"/>
    </row>
    <row r="909" spans="15:27" x14ac:dyDescent="0.25">
      <c r="O909" s="76"/>
      <c r="P909" s="77"/>
      <c r="Q909" s="77"/>
      <c r="R909" s="77"/>
      <c r="S909" s="77"/>
      <c r="X909" s="77"/>
      <c r="Y909" s="77"/>
      <c r="Z909" s="77"/>
      <c r="AA909" s="78"/>
    </row>
    <row r="910" spans="15:27" x14ac:dyDescent="0.25">
      <c r="O910" s="76"/>
      <c r="P910" s="77"/>
      <c r="Q910" s="77"/>
      <c r="R910" s="77"/>
      <c r="S910" s="77"/>
      <c r="X910" s="77"/>
      <c r="Y910" s="77"/>
      <c r="Z910" s="77"/>
      <c r="AA910" s="78"/>
    </row>
    <row r="911" spans="15:27" x14ac:dyDescent="0.25">
      <c r="O911" s="76"/>
      <c r="P911" s="77"/>
      <c r="Q911" s="77"/>
      <c r="R911" s="77"/>
      <c r="S911" s="77"/>
      <c r="X911" s="77"/>
      <c r="Y911" s="77"/>
      <c r="Z911" s="77"/>
      <c r="AA911" s="78"/>
    </row>
    <row r="912" spans="15:27" x14ac:dyDescent="0.25">
      <c r="O912" s="76"/>
      <c r="P912" s="77"/>
      <c r="Q912" s="77"/>
      <c r="R912" s="77"/>
      <c r="S912" s="77"/>
      <c r="X912" s="77"/>
      <c r="Y912" s="77"/>
      <c r="Z912" s="77"/>
      <c r="AA912" s="78"/>
    </row>
    <row r="913" spans="15:27" x14ac:dyDescent="0.25">
      <c r="O913" s="76"/>
      <c r="P913" s="77"/>
      <c r="Q913" s="77"/>
      <c r="R913" s="77"/>
      <c r="S913" s="77"/>
      <c r="X913" s="77"/>
      <c r="Y913" s="77"/>
      <c r="Z913" s="77"/>
      <c r="AA913" s="78"/>
    </row>
    <row r="914" spans="15:27" x14ac:dyDescent="0.25">
      <c r="O914" s="76"/>
      <c r="P914" s="77"/>
      <c r="Q914" s="77"/>
      <c r="R914" s="77"/>
      <c r="S914" s="77"/>
      <c r="X914" s="77"/>
      <c r="Y914" s="77"/>
      <c r="Z914" s="77"/>
      <c r="AA914" s="78"/>
    </row>
    <row r="915" spans="15:27" x14ac:dyDescent="0.25">
      <c r="O915" s="76"/>
      <c r="P915" s="77"/>
      <c r="Q915" s="77"/>
      <c r="R915" s="77"/>
      <c r="S915" s="77"/>
      <c r="X915" s="77"/>
      <c r="Y915" s="77"/>
      <c r="Z915" s="77"/>
      <c r="AA915" s="78"/>
    </row>
    <row r="916" spans="15:27" x14ac:dyDescent="0.25">
      <c r="O916" s="76"/>
      <c r="P916" s="77"/>
      <c r="Q916" s="77"/>
      <c r="R916" s="77"/>
      <c r="S916" s="77"/>
      <c r="X916" s="77"/>
      <c r="Y916" s="77"/>
      <c r="Z916" s="77"/>
      <c r="AA916" s="78"/>
    </row>
    <row r="917" spans="15:27" x14ac:dyDescent="0.25">
      <c r="O917" s="76"/>
      <c r="P917" s="77"/>
      <c r="Q917" s="77"/>
      <c r="R917" s="77"/>
      <c r="S917" s="77"/>
      <c r="X917" s="77"/>
      <c r="Y917" s="77"/>
      <c r="Z917" s="77"/>
      <c r="AA917" s="78"/>
    </row>
    <row r="918" spans="15:27" x14ac:dyDescent="0.25">
      <c r="O918" s="76"/>
      <c r="P918" s="77"/>
      <c r="Q918" s="77"/>
      <c r="R918" s="77"/>
      <c r="S918" s="77"/>
      <c r="X918" s="77"/>
      <c r="Y918" s="77"/>
      <c r="Z918" s="77"/>
      <c r="AA918" s="78"/>
    </row>
    <row r="919" spans="15:27" x14ac:dyDescent="0.25">
      <c r="O919" s="76"/>
      <c r="P919" s="77"/>
      <c r="Q919" s="77"/>
      <c r="R919" s="77"/>
      <c r="S919" s="77"/>
      <c r="X919" s="77"/>
      <c r="Y919" s="77"/>
      <c r="Z919" s="77"/>
      <c r="AA919" s="78"/>
    </row>
    <row r="920" spans="15:27" x14ac:dyDescent="0.25">
      <c r="O920" s="76"/>
      <c r="P920" s="77"/>
      <c r="Q920" s="77"/>
      <c r="R920" s="77"/>
      <c r="S920" s="77"/>
      <c r="X920" s="77"/>
      <c r="Y920" s="77"/>
      <c r="Z920" s="77"/>
      <c r="AA920" s="78"/>
    </row>
    <row r="921" spans="15:27" x14ac:dyDescent="0.25">
      <c r="O921" s="76"/>
      <c r="P921" s="77"/>
      <c r="Q921" s="77"/>
      <c r="R921" s="77"/>
      <c r="S921" s="77"/>
      <c r="X921" s="77"/>
      <c r="Y921" s="77"/>
      <c r="Z921" s="77"/>
      <c r="AA921" s="78"/>
    </row>
    <row r="922" spans="15:27" x14ac:dyDescent="0.25">
      <c r="O922" s="76"/>
      <c r="P922" s="77"/>
      <c r="Q922" s="77"/>
      <c r="R922" s="77"/>
      <c r="S922" s="77"/>
      <c r="X922" s="77"/>
      <c r="Y922" s="77"/>
      <c r="Z922" s="77"/>
      <c r="AA922" s="78"/>
    </row>
    <row r="923" spans="15:27" x14ac:dyDescent="0.25">
      <c r="O923" s="76"/>
      <c r="P923" s="77"/>
      <c r="Q923" s="77"/>
      <c r="R923" s="77"/>
      <c r="S923" s="77"/>
      <c r="X923" s="77"/>
      <c r="Y923" s="77"/>
      <c r="Z923" s="77"/>
      <c r="AA923" s="78"/>
    </row>
    <row r="924" spans="15:27" x14ac:dyDescent="0.25">
      <c r="O924" s="76"/>
      <c r="P924" s="77"/>
      <c r="Q924" s="77"/>
      <c r="R924" s="77"/>
      <c r="S924" s="77"/>
      <c r="X924" s="77"/>
      <c r="Y924" s="77"/>
      <c r="Z924" s="77"/>
      <c r="AA924" s="78"/>
    </row>
    <row r="925" spans="15:27" x14ac:dyDescent="0.25">
      <c r="O925" s="76"/>
      <c r="P925" s="77"/>
      <c r="Q925" s="77"/>
      <c r="R925" s="77"/>
      <c r="S925" s="77"/>
      <c r="X925" s="77"/>
      <c r="Y925" s="77"/>
      <c r="Z925" s="77"/>
      <c r="AA925" s="78"/>
    </row>
    <row r="926" spans="15:27" x14ac:dyDescent="0.25">
      <c r="O926" s="76"/>
      <c r="P926" s="77"/>
      <c r="Q926" s="77"/>
      <c r="R926" s="77"/>
      <c r="S926" s="77"/>
      <c r="X926" s="77"/>
      <c r="Y926" s="77"/>
      <c r="Z926" s="77"/>
      <c r="AA926" s="78"/>
    </row>
    <row r="927" spans="15:27" x14ac:dyDescent="0.25">
      <c r="O927" s="76"/>
      <c r="P927" s="77"/>
      <c r="Q927" s="77"/>
      <c r="R927" s="77"/>
      <c r="S927" s="77"/>
      <c r="X927" s="77"/>
      <c r="Y927" s="77"/>
      <c r="Z927" s="77"/>
      <c r="AA927" s="78"/>
    </row>
    <row r="928" spans="15:27" x14ac:dyDescent="0.25">
      <c r="O928" s="76"/>
      <c r="P928" s="77"/>
      <c r="Q928" s="77"/>
      <c r="R928" s="77"/>
      <c r="S928" s="77"/>
      <c r="X928" s="77"/>
      <c r="Y928" s="77"/>
      <c r="Z928" s="77"/>
      <c r="AA928" s="78"/>
    </row>
    <row r="929" spans="15:27" x14ac:dyDescent="0.25">
      <c r="O929" s="76"/>
      <c r="P929" s="77"/>
      <c r="Q929" s="77"/>
      <c r="R929" s="77"/>
      <c r="S929" s="77"/>
      <c r="X929" s="77"/>
      <c r="Y929" s="77"/>
      <c r="Z929" s="77"/>
      <c r="AA929" s="78"/>
    </row>
    <row r="930" spans="15:27" x14ac:dyDescent="0.25">
      <c r="O930" s="76"/>
      <c r="P930" s="77"/>
      <c r="Q930" s="77"/>
      <c r="R930" s="77"/>
      <c r="S930" s="77"/>
      <c r="X930" s="77"/>
      <c r="Y930" s="77"/>
      <c r="Z930" s="77"/>
      <c r="AA930" s="78"/>
    </row>
    <row r="931" spans="15:27" x14ac:dyDescent="0.25">
      <c r="O931" s="76"/>
      <c r="P931" s="77"/>
      <c r="Q931" s="77"/>
      <c r="R931" s="77"/>
      <c r="S931" s="77"/>
      <c r="X931" s="77"/>
      <c r="Y931" s="77"/>
      <c r="Z931" s="77"/>
      <c r="AA931" s="78"/>
    </row>
    <row r="932" spans="15:27" x14ac:dyDescent="0.25">
      <c r="O932" s="76"/>
      <c r="P932" s="77"/>
      <c r="Q932" s="77"/>
      <c r="R932" s="77"/>
      <c r="S932" s="77"/>
      <c r="X932" s="77"/>
      <c r="Y932" s="77"/>
      <c r="Z932" s="77"/>
      <c r="AA932" s="78"/>
    </row>
    <row r="933" spans="15:27" x14ac:dyDescent="0.25">
      <c r="O933" s="76"/>
      <c r="P933" s="77"/>
      <c r="Q933" s="77"/>
      <c r="R933" s="77"/>
      <c r="S933" s="77"/>
      <c r="X933" s="77"/>
      <c r="Y933" s="77"/>
      <c r="Z933" s="77"/>
      <c r="AA933" s="78"/>
    </row>
    <row r="934" spans="15:27" x14ac:dyDescent="0.25">
      <c r="O934" s="76"/>
      <c r="P934" s="77"/>
      <c r="Q934" s="77"/>
      <c r="R934" s="77"/>
      <c r="S934" s="77"/>
      <c r="X934" s="77"/>
      <c r="Y934" s="77"/>
      <c r="Z934" s="77"/>
      <c r="AA934" s="78"/>
    </row>
    <row r="935" spans="15:27" x14ac:dyDescent="0.25">
      <c r="O935" s="76"/>
      <c r="P935" s="77"/>
      <c r="Q935" s="77"/>
      <c r="R935" s="77"/>
      <c r="S935" s="77"/>
      <c r="X935" s="77"/>
      <c r="Y935" s="77"/>
      <c r="Z935" s="77"/>
      <c r="AA935" s="78"/>
    </row>
    <row r="936" spans="15:27" x14ac:dyDescent="0.25">
      <c r="O936" s="76"/>
      <c r="P936" s="77"/>
      <c r="Q936" s="77"/>
      <c r="R936" s="77"/>
      <c r="S936" s="77"/>
      <c r="X936" s="77"/>
      <c r="Y936" s="77"/>
      <c r="Z936" s="77"/>
      <c r="AA936" s="78"/>
    </row>
    <row r="937" spans="15:27" x14ac:dyDescent="0.25">
      <c r="O937" s="76"/>
      <c r="P937" s="77"/>
      <c r="Q937" s="77"/>
      <c r="R937" s="77"/>
      <c r="S937" s="77"/>
      <c r="X937" s="77"/>
      <c r="Y937" s="77"/>
      <c r="Z937" s="77"/>
      <c r="AA937" s="78"/>
    </row>
    <row r="938" spans="15:27" x14ac:dyDescent="0.25">
      <c r="O938" s="76"/>
      <c r="P938" s="77"/>
      <c r="Q938" s="77"/>
      <c r="R938" s="77"/>
      <c r="S938" s="77"/>
      <c r="X938" s="77"/>
      <c r="Y938" s="77"/>
      <c r="Z938" s="77"/>
      <c r="AA938" s="78"/>
    </row>
    <row r="939" spans="15:27" x14ac:dyDescent="0.25">
      <c r="O939" s="76"/>
      <c r="P939" s="77"/>
      <c r="Q939" s="77"/>
      <c r="R939" s="77"/>
      <c r="S939" s="77"/>
      <c r="X939" s="77"/>
      <c r="Y939" s="77"/>
      <c r="Z939" s="77"/>
      <c r="AA939" s="78"/>
    </row>
    <row r="940" spans="15:27" x14ac:dyDescent="0.25">
      <c r="O940" s="76"/>
      <c r="P940" s="77"/>
      <c r="Q940" s="77"/>
      <c r="R940" s="77"/>
      <c r="S940" s="77"/>
      <c r="X940" s="77"/>
      <c r="Y940" s="77"/>
      <c r="Z940" s="77"/>
      <c r="AA940" s="78"/>
    </row>
    <row r="941" spans="15:27" x14ac:dyDescent="0.25">
      <c r="O941" s="76"/>
      <c r="P941" s="77"/>
      <c r="Q941" s="77"/>
      <c r="R941" s="77"/>
      <c r="S941" s="77"/>
      <c r="X941" s="77"/>
      <c r="Y941" s="77"/>
      <c r="Z941" s="77"/>
      <c r="AA941" s="78"/>
    </row>
    <row r="942" spans="15:27" x14ac:dyDescent="0.25">
      <c r="O942" s="76"/>
      <c r="P942" s="77"/>
      <c r="Q942" s="77"/>
      <c r="R942" s="77"/>
      <c r="S942" s="77"/>
      <c r="X942" s="77"/>
      <c r="Y942" s="77"/>
      <c r="Z942" s="77"/>
      <c r="AA942" s="78"/>
    </row>
    <row r="943" spans="15:27" x14ac:dyDescent="0.25">
      <c r="O943" s="76"/>
      <c r="P943" s="77"/>
      <c r="Q943" s="77"/>
      <c r="R943" s="77"/>
      <c r="S943" s="77"/>
      <c r="X943" s="77"/>
      <c r="Y943" s="77"/>
      <c r="Z943" s="77"/>
      <c r="AA943" s="78"/>
    </row>
    <row r="944" spans="15:27" x14ac:dyDescent="0.25">
      <c r="O944" s="76"/>
      <c r="P944" s="77"/>
      <c r="Q944" s="77"/>
      <c r="R944" s="77"/>
      <c r="S944" s="77"/>
      <c r="X944" s="77"/>
      <c r="Y944" s="77"/>
      <c r="Z944" s="77"/>
      <c r="AA944" s="78"/>
    </row>
    <row r="945" spans="15:27" x14ac:dyDescent="0.25">
      <c r="O945" s="76"/>
      <c r="P945" s="77"/>
      <c r="Q945" s="77"/>
      <c r="R945" s="77"/>
      <c r="S945" s="77"/>
      <c r="X945" s="77"/>
      <c r="Y945" s="77"/>
      <c r="Z945" s="77"/>
      <c r="AA945" s="78"/>
    </row>
    <row r="946" spans="15:27" x14ac:dyDescent="0.25">
      <c r="O946" s="76"/>
      <c r="P946" s="77"/>
      <c r="Q946" s="77"/>
      <c r="R946" s="77"/>
      <c r="S946" s="77"/>
      <c r="X946" s="77"/>
      <c r="Y946" s="77"/>
      <c r="Z946" s="77"/>
      <c r="AA946" s="78"/>
    </row>
    <row r="947" spans="15:27" x14ac:dyDescent="0.25">
      <c r="O947" s="76"/>
      <c r="P947" s="77"/>
      <c r="Q947" s="77"/>
      <c r="R947" s="77"/>
      <c r="S947" s="77"/>
      <c r="X947" s="77"/>
      <c r="Y947" s="77"/>
      <c r="Z947" s="77"/>
      <c r="AA947" s="78"/>
    </row>
    <row r="948" spans="15:27" x14ac:dyDescent="0.25">
      <c r="O948" s="76"/>
      <c r="P948" s="77"/>
      <c r="Q948" s="77"/>
      <c r="R948" s="77"/>
      <c r="S948" s="77"/>
      <c r="X948" s="77"/>
      <c r="Y948" s="77"/>
      <c r="Z948" s="77"/>
      <c r="AA948" s="78"/>
    </row>
    <row r="949" spans="15:27" x14ac:dyDescent="0.25">
      <c r="O949" s="76"/>
      <c r="P949" s="77"/>
      <c r="Q949" s="77"/>
      <c r="R949" s="77"/>
      <c r="S949" s="77"/>
      <c r="X949" s="77"/>
      <c r="Y949" s="77"/>
      <c r="Z949" s="77"/>
      <c r="AA949" s="78"/>
    </row>
    <row r="950" spans="15:27" x14ac:dyDescent="0.25">
      <c r="O950" s="76"/>
      <c r="P950" s="77"/>
      <c r="Q950" s="77"/>
      <c r="R950" s="77"/>
      <c r="S950" s="77"/>
      <c r="X950" s="77"/>
      <c r="Y950" s="77"/>
      <c r="Z950" s="77"/>
      <c r="AA950" s="78"/>
    </row>
    <row r="951" spans="15:27" x14ac:dyDescent="0.25">
      <c r="O951" s="76"/>
      <c r="P951" s="77"/>
      <c r="Q951" s="77"/>
      <c r="R951" s="77"/>
      <c r="S951" s="77"/>
      <c r="X951" s="77"/>
      <c r="Y951" s="77"/>
      <c r="Z951" s="77"/>
      <c r="AA951" s="78"/>
    </row>
    <row r="952" spans="15:27" x14ac:dyDescent="0.25">
      <c r="O952" s="76"/>
      <c r="P952" s="77"/>
      <c r="Q952" s="77"/>
      <c r="R952" s="77"/>
      <c r="S952" s="77"/>
      <c r="X952" s="77"/>
      <c r="Y952" s="77"/>
      <c r="Z952" s="77"/>
      <c r="AA952" s="78"/>
    </row>
    <row r="953" spans="15:27" x14ac:dyDescent="0.25">
      <c r="O953" s="76"/>
      <c r="P953" s="77"/>
      <c r="Q953" s="77"/>
      <c r="R953" s="77"/>
      <c r="S953" s="77"/>
      <c r="X953" s="77"/>
      <c r="Y953" s="77"/>
      <c r="Z953" s="77"/>
      <c r="AA953" s="78"/>
    </row>
    <row r="954" spans="15:27" x14ac:dyDescent="0.25">
      <c r="O954" s="76"/>
      <c r="P954" s="77"/>
      <c r="Q954" s="77"/>
      <c r="R954" s="77"/>
      <c r="S954" s="77"/>
      <c r="X954" s="77"/>
      <c r="Y954" s="77"/>
      <c r="Z954" s="77"/>
      <c r="AA954" s="78"/>
    </row>
    <row r="955" spans="15:27" x14ac:dyDescent="0.25">
      <c r="O955" s="76"/>
      <c r="P955" s="77"/>
      <c r="Q955" s="77"/>
      <c r="R955" s="77"/>
      <c r="S955" s="77"/>
      <c r="X955" s="77"/>
      <c r="Y955" s="77"/>
      <c r="Z955" s="77"/>
      <c r="AA955" s="78"/>
    </row>
    <row r="956" spans="15:27" x14ac:dyDescent="0.25">
      <c r="O956" s="76"/>
      <c r="P956" s="77"/>
      <c r="Q956" s="77"/>
      <c r="R956" s="77"/>
      <c r="S956" s="77"/>
      <c r="X956" s="77"/>
      <c r="Y956" s="77"/>
      <c r="Z956" s="77"/>
      <c r="AA956" s="78"/>
    </row>
    <row r="957" spans="15:27" x14ac:dyDescent="0.25">
      <c r="O957" s="76"/>
      <c r="P957" s="77"/>
      <c r="Q957" s="77"/>
      <c r="R957" s="77"/>
      <c r="S957" s="77"/>
      <c r="X957" s="77"/>
      <c r="Y957" s="77"/>
      <c r="Z957" s="77"/>
      <c r="AA957" s="78"/>
    </row>
    <row r="958" spans="15:27" x14ac:dyDescent="0.25">
      <c r="O958" s="76"/>
      <c r="P958" s="77"/>
      <c r="Q958" s="77"/>
      <c r="R958" s="77"/>
      <c r="S958" s="77"/>
      <c r="X958" s="77"/>
      <c r="Y958" s="77"/>
      <c r="Z958" s="77"/>
      <c r="AA958" s="78"/>
    </row>
    <row r="959" spans="15:27" x14ac:dyDescent="0.25">
      <c r="O959" s="76"/>
      <c r="P959" s="77"/>
      <c r="Q959" s="77"/>
      <c r="R959" s="77"/>
      <c r="S959" s="77"/>
      <c r="X959" s="77"/>
      <c r="Y959" s="77"/>
      <c r="Z959" s="77"/>
      <c r="AA959" s="78"/>
    </row>
    <row r="960" spans="15:27" x14ac:dyDescent="0.25">
      <c r="O960" s="76"/>
      <c r="P960" s="77"/>
      <c r="Q960" s="77"/>
      <c r="R960" s="77"/>
      <c r="S960" s="77"/>
      <c r="X960" s="77"/>
      <c r="Y960" s="77"/>
      <c r="Z960" s="77"/>
      <c r="AA960" s="78"/>
    </row>
    <row r="961" spans="15:27" x14ac:dyDescent="0.25">
      <c r="O961" s="76"/>
      <c r="P961" s="77"/>
      <c r="Q961" s="77"/>
      <c r="R961" s="77"/>
      <c r="S961" s="77"/>
      <c r="X961" s="77"/>
      <c r="Y961" s="77"/>
      <c r="Z961" s="77"/>
      <c r="AA961" s="78"/>
    </row>
    <row r="962" spans="15:27" x14ac:dyDescent="0.25">
      <c r="O962" s="76"/>
      <c r="P962" s="77"/>
      <c r="Q962" s="77"/>
      <c r="R962" s="77"/>
      <c r="S962" s="77"/>
      <c r="X962" s="77"/>
      <c r="Y962" s="77"/>
      <c r="Z962" s="77"/>
      <c r="AA962" s="78"/>
    </row>
    <row r="963" spans="15:27" x14ac:dyDescent="0.25">
      <c r="O963" s="76"/>
      <c r="P963" s="77"/>
      <c r="Q963" s="77"/>
      <c r="R963" s="77"/>
      <c r="S963" s="77"/>
      <c r="X963" s="77"/>
      <c r="Y963" s="77"/>
      <c r="Z963" s="77"/>
      <c r="AA963" s="78"/>
    </row>
    <row r="964" spans="15:27" x14ac:dyDescent="0.25">
      <c r="O964" s="76"/>
      <c r="P964" s="77"/>
      <c r="Q964" s="77"/>
      <c r="R964" s="77"/>
      <c r="S964" s="77"/>
      <c r="X964" s="77"/>
      <c r="Y964" s="77"/>
      <c r="Z964" s="77"/>
      <c r="AA964" s="78"/>
    </row>
    <row r="965" spans="15:27" x14ac:dyDescent="0.25">
      <c r="O965" s="76"/>
      <c r="P965" s="77"/>
      <c r="Q965" s="77"/>
      <c r="R965" s="77"/>
      <c r="S965" s="77"/>
      <c r="X965" s="77"/>
      <c r="Y965" s="77"/>
      <c r="Z965" s="77"/>
      <c r="AA965" s="78"/>
    </row>
    <row r="966" spans="15:27" x14ac:dyDescent="0.25">
      <c r="O966" s="76"/>
      <c r="P966" s="77"/>
      <c r="Q966" s="77"/>
      <c r="R966" s="77"/>
      <c r="S966" s="77"/>
      <c r="X966" s="77"/>
      <c r="Y966" s="77"/>
      <c r="Z966" s="77"/>
      <c r="AA966" s="78"/>
    </row>
    <row r="967" spans="15:27" x14ac:dyDescent="0.25">
      <c r="O967" s="76"/>
      <c r="P967" s="77"/>
      <c r="Q967" s="77"/>
      <c r="R967" s="77"/>
      <c r="S967" s="77"/>
      <c r="X967" s="77"/>
      <c r="Y967" s="77"/>
      <c r="Z967" s="77"/>
      <c r="AA967" s="78"/>
    </row>
    <row r="968" spans="15:27" x14ac:dyDescent="0.25">
      <c r="O968" s="76"/>
      <c r="P968" s="77"/>
      <c r="Q968" s="77"/>
      <c r="R968" s="77"/>
      <c r="S968" s="77"/>
      <c r="X968" s="77"/>
      <c r="Y968" s="77"/>
      <c r="Z968" s="77"/>
      <c r="AA968" s="78"/>
    </row>
    <row r="969" spans="15:27" x14ac:dyDescent="0.25">
      <c r="O969" s="76"/>
      <c r="P969" s="77"/>
      <c r="Q969" s="77"/>
      <c r="R969" s="77"/>
      <c r="S969" s="77"/>
      <c r="X969" s="77"/>
      <c r="Y969" s="77"/>
      <c r="Z969" s="77"/>
      <c r="AA969" s="78"/>
    </row>
    <row r="970" spans="15:27" x14ac:dyDescent="0.25">
      <c r="O970" s="76"/>
      <c r="P970" s="77"/>
      <c r="Q970" s="77"/>
      <c r="R970" s="77"/>
      <c r="S970" s="77"/>
      <c r="X970" s="77"/>
      <c r="Y970" s="77"/>
      <c r="Z970" s="77"/>
      <c r="AA970" s="78"/>
    </row>
    <row r="971" spans="15:27" x14ac:dyDescent="0.25">
      <c r="O971" s="76"/>
      <c r="P971" s="77"/>
      <c r="Q971" s="77"/>
      <c r="R971" s="77"/>
      <c r="S971" s="77"/>
      <c r="X971" s="77"/>
      <c r="Y971" s="77"/>
      <c r="Z971" s="77"/>
      <c r="AA971" s="78"/>
    </row>
    <row r="972" spans="15:27" x14ac:dyDescent="0.25">
      <c r="O972" s="76"/>
      <c r="P972" s="77"/>
      <c r="Q972" s="77"/>
      <c r="R972" s="77"/>
      <c r="S972" s="77"/>
      <c r="X972" s="77"/>
      <c r="Y972" s="77"/>
      <c r="Z972" s="77"/>
      <c r="AA972" s="78"/>
    </row>
    <row r="973" spans="15:27" x14ac:dyDescent="0.25">
      <c r="O973" s="76"/>
      <c r="P973" s="77"/>
      <c r="Q973" s="77"/>
      <c r="R973" s="77"/>
      <c r="S973" s="77"/>
      <c r="X973" s="77"/>
      <c r="Y973" s="77"/>
      <c r="Z973" s="77"/>
      <c r="AA973" s="78"/>
    </row>
    <row r="974" spans="15:27" x14ac:dyDescent="0.25">
      <c r="O974" s="76"/>
      <c r="P974" s="77"/>
      <c r="Q974" s="77"/>
      <c r="R974" s="77"/>
      <c r="S974" s="77"/>
      <c r="X974" s="77"/>
      <c r="Y974" s="77"/>
      <c r="Z974" s="77"/>
      <c r="AA974" s="78"/>
    </row>
    <row r="975" spans="15:27" x14ac:dyDescent="0.25">
      <c r="O975" s="76"/>
      <c r="P975" s="77"/>
      <c r="Q975" s="77"/>
      <c r="R975" s="77"/>
      <c r="S975" s="77"/>
      <c r="X975" s="77"/>
      <c r="Y975" s="77"/>
      <c r="Z975" s="77"/>
      <c r="AA975" s="78"/>
    </row>
    <row r="976" spans="15:27" x14ac:dyDescent="0.25">
      <c r="O976" s="76"/>
      <c r="P976" s="77"/>
      <c r="Q976" s="77"/>
      <c r="R976" s="77"/>
      <c r="S976" s="77"/>
      <c r="X976" s="77"/>
      <c r="Y976" s="77"/>
      <c r="Z976" s="77"/>
      <c r="AA976" s="78"/>
    </row>
    <row r="977" spans="15:27" x14ac:dyDescent="0.25">
      <c r="O977" s="76"/>
      <c r="P977" s="77"/>
      <c r="Q977" s="77"/>
      <c r="R977" s="77"/>
      <c r="S977" s="77"/>
      <c r="X977" s="77"/>
      <c r="Y977" s="77"/>
      <c r="Z977" s="77"/>
      <c r="AA977" s="78"/>
    </row>
    <row r="978" spans="15:27" x14ac:dyDescent="0.25">
      <c r="O978" s="76"/>
      <c r="P978" s="77"/>
      <c r="Q978" s="77"/>
      <c r="R978" s="77"/>
      <c r="S978" s="77"/>
      <c r="X978" s="77"/>
      <c r="Y978" s="77"/>
      <c r="Z978" s="77"/>
      <c r="AA978" s="78"/>
    </row>
    <row r="979" spans="15:27" x14ac:dyDescent="0.25">
      <c r="O979" s="76"/>
      <c r="P979" s="77"/>
      <c r="Q979" s="77"/>
      <c r="R979" s="77"/>
      <c r="S979" s="77"/>
      <c r="X979" s="77"/>
      <c r="Y979" s="77"/>
      <c r="Z979" s="77"/>
      <c r="AA979" s="78"/>
    </row>
    <row r="980" spans="15:27" x14ac:dyDescent="0.25">
      <c r="O980" s="76"/>
      <c r="P980" s="77"/>
      <c r="Q980" s="77"/>
      <c r="R980" s="77"/>
      <c r="S980" s="77"/>
      <c r="X980" s="77"/>
      <c r="Y980" s="77"/>
      <c r="Z980" s="77"/>
      <c r="AA980" s="78"/>
    </row>
    <row r="981" spans="15:27" x14ac:dyDescent="0.25">
      <c r="O981" s="76"/>
      <c r="P981" s="77"/>
      <c r="Q981" s="77"/>
      <c r="R981" s="77"/>
      <c r="S981" s="77"/>
      <c r="X981" s="77"/>
      <c r="Y981" s="77"/>
      <c r="Z981" s="77"/>
      <c r="AA981" s="78"/>
    </row>
    <row r="982" spans="15:27" x14ac:dyDescent="0.25">
      <c r="O982" s="76"/>
      <c r="P982" s="77"/>
      <c r="Q982" s="77"/>
      <c r="R982" s="77"/>
      <c r="S982" s="77"/>
      <c r="X982" s="77"/>
      <c r="Y982" s="77"/>
      <c r="Z982" s="77"/>
      <c r="AA982" s="78"/>
    </row>
    <row r="983" spans="15:27" x14ac:dyDescent="0.25">
      <c r="O983" s="76"/>
      <c r="P983" s="77"/>
      <c r="Q983" s="77"/>
      <c r="R983" s="77"/>
      <c r="S983" s="77"/>
      <c r="X983" s="77"/>
      <c r="Y983" s="77"/>
      <c r="Z983" s="77"/>
      <c r="AA983" s="78"/>
    </row>
    <row r="984" spans="15:27" x14ac:dyDescent="0.25">
      <c r="O984" s="76"/>
      <c r="P984" s="77"/>
      <c r="Q984" s="77"/>
      <c r="R984" s="77"/>
      <c r="S984" s="77"/>
      <c r="X984" s="77"/>
      <c r="Y984" s="77"/>
      <c r="Z984" s="77"/>
      <c r="AA984" s="78"/>
    </row>
    <row r="985" spans="15:27" x14ac:dyDescent="0.25">
      <c r="O985" s="76"/>
      <c r="P985" s="77"/>
      <c r="Q985" s="77"/>
      <c r="R985" s="77"/>
      <c r="S985" s="77"/>
      <c r="X985" s="77"/>
      <c r="Y985" s="77"/>
      <c r="Z985" s="77"/>
      <c r="AA985" s="78"/>
    </row>
    <row r="986" spans="15:27" x14ac:dyDescent="0.25">
      <c r="O986" s="76"/>
      <c r="P986" s="77"/>
      <c r="Q986" s="77"/>
      <c r="R986" s="77"/>
      <c r="S986" s="77"/>
      <c r="X986" s="77"/>
      <c r="Y986" s="77"/>
      <c r="Z986" s="77"/>
      <c r="AA986" s="78"/>
    </row>
    <row r="987" spans="15:27" x14ac:dyDescent="0.25">
      <c r="O987" s="76"/>
      <c r="P987" s="77"/>
      <c r="Q987" s="77"/>
      <c r="R987" s="77"/>
      <c r="S987" s="77"/>
      <c r="X987" s="77"/>
      <c r="Y987" s="77"/>
      <c r="Z987" s="77"/>
      <c r="AA987" s="78"/>
    </row>
    <row r="988" spans="15:27" x14ac:dyDescent="0.25">
      <c r="O988" s="76"/>
      <c r="P988" s="77"/>
      <c r="Q988" s="77"/>
      <c r="R988" s="77"/>
      <c r="S988" s="77"/>
      <c r="X988" s="77"/>
      <c r="Y988" s="77"/>
      <c r="Z988" s="77"/>
      <c r="AA988" s="78"/>
    </row>
    <row r="989" spans="15:27" x14ac:dyDescent="0.25">
      <c r="O989" s="76"/>
      <c r="P989" s="77"/>
      <c r="Q989" s="77"/>
      <c r="R989" s="77"/>
      <c r="S989" s="77"/>
      <c r="X989" s="77"/>
      <c r="Y989" s="77"/>
      <c r="Z989" s="77"/>
      <c r="AA989" s="78"/>
    </row>
    <row r="990" spans="15:27" x14ac:dyDescent="0.25">
      <c r="O990" s="76"/>
      <c r="P990" s="77"/>
      <c r="Q990" s="77"/>
      <c r="R990" s="77"/>
      <c r="S990" s="77"/>
      <c r="X990" s="77"/>
      <c r="Y990" s="77"/>
      <c r="Z990" s="77"/>
      <c r="AA990" s="78"/>
    </row>
    <row r="991" spans="15:27" x14ac:dyDescent="0.25">
      <c r="O991" s="76"/>
      <c r="P991" s="77"/>
      <c r="Q991" s="77"/>
      <c r="R991" s="77"/>
      <c r="S991" s="77"/>
      <c r="X991" s="77"/>
      <c r="Y991" s="77"/>
      <c r="Z991" s="77"/>
      <c r="AA991" s="78"/>
    </row>
    <row r="992" spans="15:27" x14ac:dyDescent="0.25">
      <c r="O992" s="76"/>
      <c r="P992" s="77"/>
      <c r="Q992" s="77"/>
      <c r="R992" s="77"/>
      <c r="S992" s="77"/>
      <c r="X992" s="77"/>
      <c r="Y992" s="77"/>
      <c r="Z992" s="77"/>
      <c r="AA992" s="78"/>
    </row>
    <row r="993" spans="15:27" x14ac:dyDescent="0.25">
      <c r="O993" s="76"/>
      <c r="P993" s="77"/>
      <c r="Q993" s="77"/>
      <c r="R993" s="77"/>
      <c r="S993" s="77"/>
      <c r="X993" s="77"/>
      <c r="Y993" s="77"/>
      <c r="Z993" s="77"/>
      <c r="AA993" s="78"/>
    </row>
    <row r="994" spans="15:27" x14ac:dyDescent="0.25">
      <c r="O994" s="76"/>
      <c r="P994" s="77"/>
      <c r="Q994" s="77"/>
      <c r="R994" s="77"/>
      <c r="S994" s="77"/>
      <c r="X994" s="77"/>
      <c r="Y994" s="77"/>
      <c r="Z994" s="77"/>
      <c r="AA994" s="78"/>
    </row>
    <row r="995" spans="15:27" x14ac:dyDescent="0.25">
      <c r="O995" s="76"/>
      <c r="P995" s="77"/>
      <c r="Q995" s="77"/>
      <c r="R995" s="77"/>
      <c r="S995" s="77"/>
      <c r="X995" s="77"/>
      <c r="Y995" s="77"/>
      <c r="Z995" s="77"/>
      <c r="AA995" s="78"/>
    </row>
    <row r="996" spans="15:27" x14ac:dyDescent="0.25">
      <c r="O996" s="76"/>
      <c r="P996" s="77"/>
      <c r="Q996" s="77"/>
      <c r="R996" s="77"/>
      <c r="S996" s="77"/>
      <c r="X996" s="77"/>
      <c r="Y996" s="77"/>
      <c r="Z996" s="77"/>
      <c r="AA996" s="78"/>
    </row>
    <row r="997" spans="15:27" x14ac:dyDescent="0.25">
      <c r="O997" s="76"/>
      <c r="P997" s="77"/>
      <c r="Q997" s="77"/>
      <c r="R997" s="77"/>
      <c r="S997" s="77"/>
      <c r="X997" s="77"/>
      <c r="Y997" s="77"/>
      <c r="Z997" s="77"/>
      <c r="AA997" s="78"/>
    </row>
    <row r="998" spans="15:27" x14ac:dyDescent="0.25">
      <c r="O998" s="76"/>
      <c r="P998" s="77"/>
      <c r="Q998" s="77"/>
      <c r="R998" s="77"/>
      <c r="S998" s="77"/>
      <c r="X998" s="77"/>
      <c r="Y998" s="77"/>
      <c r="Z998" s="77"/>
      <c r="AA998" s="78"/>
    </row>
    <row r="999" spans="15:27" x14ac:dyDescent="0.25">
      <c r="O999" s="76"/>
      <c r="P999" s="77"/>
      <c r="Q999" s="77"/>
      <c r="R999" s="77"/>
      <c r="S999" s="77"/>
      <c r="X999" s="77"/>
      <c r="Y999" s="77"/>
      <c r="Z999" s="77"/>
      <c r="AA999" s="78"/>
    </row>
    <row r="1000" spans="15:27" x14ac:dyDescent="0.25">
      <c r="O1000" s="76"/>
      <c r="P1000" s="77"/>
      <c r="Q1000" s="77"/>
      <c r="R1000" s="77"/>
      <c r="S1000" s="77"/>
      <c r="X1000" s="77"/>
      <c r="Y1000" s="77"/>
      <c r="Z1000" s="77"/>
      <c r="AA1000" s="78"/>
    </row>
    <row r="1001" spans="15:27" x14ac:dyDescent="0.25">
      <c r="O1001" s="76"/>
      <c r="P1001" s="77"/>
      <c r="Q1001" s="77"/>
      <c r="R1001" s="77"/>
      <c r="S1001" s="77"/>
      <c r="X1001" s="77"/>
      <c r="Y1001" s="77"/>
      <c r="Z1001" s="77"/>
      <c r="AA1001" s="78"/>
    </row>
    <row r="1002" spans="15:27" x14ac:dyDescent="0.25">
      <c r="O1002" s="76"/>
      <c r="P1002" s="77"/>
      <c r="Q1002" s="77"/>
      <c r="R1002" s="77"/>
      <c r="S1002" s="77"/>
      <c r="X1002" s="77"/>
      <c r="Y1002" s="77"/>
      <c r="Z1002" s="77"/>
      <c r="AA1002" s="78"/>
    </row>
    <row r="1003" spans="15:27" x14ac:dyDescent="0.25">
      <c r="O1003" s="76"/>
      <c r="P1003" s="77"/>
      <c r="Q1003" s="77"/>
      <c r="R1003" s="77"/>
      <c r="S1003" s="77"/>
      <c r="X1003" s="77"/>
      <c r="Y1003" s="77"/>
      <c r="Z1003" s="77"/>
      <c r="AA1003" s="78"/>
    </row>
    <row r="1004" spans="15:27" x14ac:dyDescent="0.25">
      <c r="O1004" s="76"/>
      <c r="P1004" s="77"/>
      <c r="Q1004" s="77"/>
      <c r="R1004" s="77"/>
      <c r="S1004" s="77"/>
      <c r="X1004" s="77"/>
      <c r="Y1004" s="77"/>
      <c r="Z1004" s="77"/>
      <c r="AA1004" s="78"/>
    </row>
    <row r="1005" spans="15:27" x14ac:dyDescent="0.25">
      <c r="O1005" s="76"/>
      <c r="P1005" s="77"/>
      <c r="Q1005" s="77"/>
      <c r="R1005" s="77"/>
      <c r="S1005" s="77"/>
      <c r="X1005" s="77"/>
      <c r="Y1005" s="77"/>
      <c r="Z1005" s="77"/>
      <c r="AA1005" s="78"/>
    </row>
    <row r="1006" spans="15:27" x14ac:dyDescent="0.25">
      <c r="O1006" s="76"/>
      <c r="P1006" s="77"/>
      <c r="Q1006" s="77"/>
      <c r="R1006" s="77"/>
      <c r="S1006" s="77"/>
      <c r="X1006" s="77"/>
      <c r="Y1006" s="77"/>
      <c r="Z1006" s="77"/>
      <c r="AA1006" s="78"/>
    </row>
    <row r="1007" spans="15:27" x14ac:dyDescent="0.25">
      <c r="O1007" s="76"/>
      <c r="P1007" s="77"/>
      <c r="Q1007" s="77"/>
      <c r="R1007" s="77"/>
      <c r="S1007" s="77"/>
      <c r="X1007" s="77"/>
      <c r="Y1007" s="77"/>
      <c r="Z1007" s="77"/>
      <c r="AA1007" s="78"/>
    </row>
    <row r="1008" spans="15:27" x14ac:dyDescent="0.25">
      <c r="O1008" s="76"/>
      <c r="P1008" s="77"/>
      <c r="Q1008" s="77"/>
      <c r="R1008" s="77"/>
      <c r="S1008" s="77"/>
      <c r="X1008" s="77"/>
      <c r="Y1008" s="77"/>
      <c r="Z1008" s="77"/>
      <c r="AA1008" s="78"/>
    </row>
    <row r="1009" spans="15:27" x14ac:dyDescent="0.25">
      <c r="O1009" s="76"/>
      <c r="P1009" s="77"/>
      <c r="Q1009" s="77"/>
      <c r="R1009" s="77"/>
      <c r="S1009" s="77"/>
      <c r="X1009" s="77"/>
      <c r="Y1009" s="77"/>
      <c r="Z1009" s="77"/>
      <c r="AA1009" s="78"/>
    </row>
    <row r="1010" spans="15:27" x14ac:dyDescent="0.25">
      <c r="O1010" s="76"/>
      <c r="P1010" s="77"/>
      <c r="Q1010" s="77"/>
      <c r="R1010" s="77"/>
      <c r="S1010" s="77"/>
      <c r="X1010" s="77"/>
      <c r="Y1010" s="77"/>
      <c r="Z1010" s="77"/>
      <c r="AA1010" s="78"/>
    </row>
    <row r="1011" spans="15:27" x14ac:dyDescent="0.25">
      <c r="O1011" s="76"/>
      <c r="P1011" s="77"/>
      <c r="Q1011" s="77"/>
      <c r="R1011" s="77"/>
      <c r="S1011" s="77"/>
      <c r="X1011" s="77"/>
      <c r="Y1011" s="77"/>
      <c r="Z1011" s="77"/>
      <c r="AA1011" s="78"/>
    </row>
    <row r="1012" spans="15:27" x14ac:dyDescent="0.25">
      <c r="O1012" s="76"/>
      <c r="P1012" s="77"/>
      <c r="Q1012" s="77"/>
      <c r="R1012" s="77"/>
      <c r="S1012" s="77"/>
      <c r="X1012" s="77"/>
      <c r="Y1012" s="77"/>
      <c r="Z1012" s="77"/>
      <c r="AA1012" s="78"/>
    </row>
    <row r="1013" spans="15:27" x14ac:dyDescent="0.25">
      <c r="O1013" s="76"/>
      <c r="P1013" s="77"/>
      <c r="Q1013" s="77"/>
      <c r="R1013" s="77"/>
      <c r="S1013" s="77"/>
      <c r="X1013" s="77"/>
      <c r="Y1013" s="77"/>
      <c r="Z1013" s="77"/>
      <c r="AA1013" s="78"/>
    </row>
    <row r="1014" spans="15:27" x14ac:dyDescent="0.25">
      <c r="O1014" s="76"/>
      <c r="P1014" s="77"/>
      <c r="Q1014" s="77"/>
      <c r="R1014" s="77"/>
      <c r="S1014" s="77"/>
      <c r="X1014" s="77"/>
      <c r="Y1014" s="77"/>
      <c r="Z1014" s="77"/>
      <c r="AA1014" s="78"/>
    </row>
    <row r="1015" spans="15:27" x14ac:dyDescent="0.25">
      <c r="O1015" s="76"/>
      <c r="P1015" s="77"/>
      <c r="Q1015" s="77"/>
      <c r="R1015" s="77"/>
      <c r="S1015" s="77"/>
      <c r="X1015" s="77"/>
      <c r="Y1015" s="77"/>
      <c r="Z1015" s="77"/>
      <c r="AA1015" s="78"/>
    </row>
    <row r="1016" spans="15:27" x14ac:dyDescent="0.25">
      <c r="O1016" s="76"/>
      <c r="P1016" s="77"/>
      <c r="Q1016" s="77"/>
      <c r="R1016" s="77"/>
      <c r="S1016" s="77"/>
      <c r="X1016" s="77"/>
      <c r="Y1016" s="77"/>
      <c r="Z1016" s="77"/>
      <c r="AA1016" s="78"/>
    </row>
    <row r="1017" spans="15:27" x14ac:dyDescent="0.25">
      <c r="O1017" s="76"/>
      <c r="P1017" s="77"/>
      <c r="Q1017" s="77"/>
      <c r="R1017" s="77"/>
      <c r="S1017" s="77"/>
      <c r="X1017" s="77"/>
      <c r="Y1017" s="77"/>
      <c r="Z1017" s="77"/>
      <c r="AA1017" s="78"/>
    </row>
    <row r="1018" spans="15:27" x14ac:dyDescent="0.25">
      <c r="O1018" s="76"/>
      <c r="P1018" s="77"/>
      <c r="Q1018" s="77"/>
      <c r="R1018" s="77"/>
      <c r="S1018" s="77"/>
      <c r="X1018" s="77"/>
      <c r="Y1018" s="77"/>
      <c r="Z1018" s="77"/>
      <c r="AA1018" s="78"/>
    </row>
    <row r="1019" spans="15:27" x14ac:dyDescent="0.25">
      <c r="O1019" s="76"/>
      <c r="P1019" s="77"/>
      <c r="Q1019" s="77"/>
      <c r="R1019" s="77"/>
      <c r="S1019" s="77"/>
      <c r="X1019" s="77"/>
      <c r="Y1019" s="77"/>
      <c r="Z1019" s="77"/>
      <c r="AA1019" s="78"/>
    </row>
    <row r="1020" spans="15:27" x14ac:dyDescent="0.25">
      <c r="O1020" s="76"/>
      <c r="P1020" s="77"/>
      <c r="Q1020" s="77"/>
      <c r="R1020" s="77"/>
      <c r="S1020" s="77"/>
      <c r="X1020" s="77"/>
      <c r="Y1020" s="77"/>
      <c r="Z1020" s="77"/>
      <c r="AA1020" s="78"/>
    </row>
    <row r="1021" spans="15:27" x14ac:dyDescent="0.25">
      <c r="O1021" s="76"/>
      <c r="P1021" s="77"/>
      <c r="Q1021" s="77"/>
      <c r="R1021" s="77"/>
      <c r="S1021" s="77"/>
      <c r="X1021" s="77"/>
      <c r="Y1021" s="77"/>
      <c r="Z1021" s="77"/>
      <c r="AA1021" s="78"/>
    </row>
    <row r="1022" spans="15:27" x14ac:dyDescent="0.25">
      <c r="O1022" s="76"/>
      <c r="P1022" s="77"/>
      <c r="Q1022" s="77"/>
      <c r="R1022" s="77"/>
      <c r="S1022" s="77"/>
      <c r="X1022" s="77"/>
      <c r="Y1022" s="77"/>
      <c r="Z1022" s="77"/>
      <c r="AA1022" s="78"/>
    </row>
    <row r="1023" spans="15:27" x14ac:dyDescent="0.25">
      <c r="O1023" s="76"/>
      <c r="P1023" s="77"/>
      <c r="Q1023" s="77"/>
      <c r="R1023" s="77"/>
      <c r="S1023" s="77"/>
      <c r="X1023" s="77"/>
      <c r="Y1023" s="77"/>
      <c r="Z1023" s="77"/>
      <c r="AA1023" s="78"/>
    </row>
    <row r="1024" spans="15:27" x14ac:dyDescent="0.25">
      <c r="O1024" s="76"/>
      <c r="P1024" s="77"/>
      <c r="Q1024" s="77"/>
      <c r="R1024" s="77"/>
      <c r="S1024" s="77"/>
      <c r="X1024" s="77"/>
      <c r="Y1024" s="77"/>
      <c r="Z1024" s="77"/>
      <c r="AA1024" s="78"/>
    </row>
    <row r="1025" spans="15:27" x14ac:dyDescent="0.25">
      <c r="O1025" s="76"/>
      <c r="P1025" s="77"/>
      <c r="Q1025" s="77"/>
      <c r="R1025" s="77"/>
      <c r="S1025" s="77"/>
      <c r="X1025" s="77"/>
      <c r="Y1025" s="77"/>
      <c r="Z1025" s="77"/>
      <c r="AA1025" s="78"/>
    </row>
    <row r="1026" spans="15:27" x14ac:dyDescent="0.25">
      <c r="O1026" s="76"/>
      <c r="P1026" s="77"/>
      <c r="Q1026" s="77"/>
      <c r="R1026" s="77"/>
      <c r="S1026" s="77"/>
      <c r="X1026" s="77"/>
      <c r="Y1026" s="77"/>
      <c r="Z1026" s="77"/>
      <c r="AA1026" s="78"/>
    </row>
    <row r="1027" spans="15:27" x14ac:dyDescent="0.25">
      <c r="O1027" s="76"/>
      <c r="P1027" s="77"/>
      <c r="Q1027" s="77"/>
      <c r="R1027" s="77"/>
      <c r="S1027" s="77"/>
      <c r="X1027" s="77"/>
      <c r="Y1027" s="77"/>
      <c r="Z1027" s="77"/>
      <c r="AA1027" s="78"/>
    </row>
    <row r="1028" spans="15:27" x14ac:dyDescent="0.25">
      <c r="O1028" s="76"/>
      <c r="P1028" s="77"/>
      <c r="Q1028" s="77"/>
      <c r="R1028" s="77"/>
      <c r="S1028" s="77"/>
      <c r="X1028" s="77"/>
      <c r="Y1028" s="77"/>
      <c r="Z1028" s="77"/>
      <c r="AA1028" s="78"/>
    </row>
    <row r="1029" spans="15:27" x14ac:dyDescent="0.25">
      <c r="O1029" s="76"/>
      <c r="P1029" s="77"/>
      <c r="Q1029" s="77"/>
      <c r="R1029" s="77"/>
      <c r="S1029" s="77"/>
      <c r="X1029" s="77"/>
      <c r="Y1029" s="77"/>
      <c r="Z1029" s="77"/>
      <c r="AA1029" s="78"/>
    </row>
    <row r="1030" spans="15:27" x14ac:dyDescent="0.25">
      <c r="O1030" s="76"/>
      <c r="P1030" s="77"/>
      <c r="Q1030" s="77"/>
      <c r="R1030" s="77"/>
      <c r="S1030" s="77"/>
      <c r="X1030" s="77"/>
      <c r="Y1030" s="77"/>
      <c r="Z1030" s="77"/>
      <c r="AA1030" s="78"/>
    </row>
    <row r="1031" spans="15:27" x14ac:dyDescent="0.25">
      <c r="O1031" s="76"/>
      <c r="P1031" s="77"/>
      <c r="Q1031" s="77"/>
      <c r="R1031" s="77"/>
      <c r="S1031" s="77"/>
      <c r="X1031" s="77"/>
      <c r="Y1031" s="77"/>
      <c r="Z1031" s="77"/>
      <c r="AA1031" s="78"/>
    </row>
    <row r="1032" spans="15:27" x14ac:dyDescent="0.25">
      <c r="O1032" s="76"/>
      <c r="P1032" s="77"/>
      <c r="Q1032" s="77"/>
      <c r="R1032" s="77"/>
      <c r="S1032" s="77"/>
      <c r="X1032" s="77"/>
      <c r="Y1032" s="77"/>
      <c r="Z1032" s="77"/>
      <c r="AA1032" s="78"/>
    </row>
    <row r="1033" spans="15:27" x14ac:dyDescent="0.25">
      <c r="O1033" s="76"/>
      <c r="P1033" s="77"/>
      <c r="Q1033" s="77"/>
      <c r="R1033" s="77"/>
      <c r="S1033" s="77"/>
      <c r="X1033" s="77"/>
      <c r="Y1033" s="77"/>
      <c r="Z1033" s="77"/>
      <c r="AA1033" s="78"/>
    </row>
    <row r="1034" spans="15:27" x14ac:dyDescent="0.25">
      <c r="O1034" s="76"/>
      <c r="P1034" s="77"/>
      <c r="Q1034" s="77"/>
      <c r="R1034" s="77"/>
      <c r="S1034" s="77"/>
      <c r="X1034" s="77"/>
      <c r="Y1034" s="77"/>
      <c r="Z1034" s="77"/>
      <c r="AA1034" s="78"/>
    </row>
    <row r="1035" spans="15:27" x14ac:dyDescent="0.25">
      <c r="O1035" s="76"/>
      <c r="P1035" s="77"/>
      <c r="Q1035" s="77"/>
      <c r="R1035" s="77"/>
      <c r="S1035" s="77"/>
      <c r="X1035" s="77"/>
      <c r="Y1035" s="77"/>
      <c r="Z1035" s="77"/>
      <c r="AA1035" s="78"/>
    </row>
    <row r="1036" spans="15:27" x14ac:dyDescent="0.25">
      <c r="O1036" s="76"/>
      <c r="P1036" s="77"/>
      <c r="Q1036" s="77"/>
      <c r="R1036" s="77"/>
      <c r="S1036" s="77"/>
      <c r="X1036" s="77"/>
      <c r="Y1036" s="77"/>
      <c r="Z1036" s="77"/>
      <c r="AA1036" s="78"/>
    </row>
    <row r="1037" spans="15:27" x14ac:dyDescent="0.25">
      <c r="O1037" s="76"/>
      <c r="P1037" s="77"/>
      <c r="Q1037" s="77"/>
      <c r="R1037" s="77"/>
      <c r="S1037" s="77"/>
      <c r="X1037" s="77"/>
      <c r="Y1037" s="77"/>
      <c r="Z1037" s="77"/>
      <c r="AA1037" s="78"/>
    </row>
    <row r="1038" spans="15:27" x14ac:dyDescent="0.25">
      <c r="O1038" s="76"/>
      <c r="P1038" s="77"/>
      <c r="Q1038" s="77"/>
      <c r="R1038" s="77"/>
      <c r="S1038" s="77"/>
      <c r="X1038" s="77"/>
      <c r="Y1038" s="77"/>
      <c r="Z1038" s="77"/>
      <c r="AA1038" s="78"/>
    </row>
    <row r="1039" spans="15:27" x14ac:dyDescent="0.25">
      <c r="O1039" s="76"/>
      <c r="P1039" s="77"/>
      <c r="Q1039" s="77"/>
      <c r="R1039" s="77"/>
      <c r="S1039" s="77"/>
      <c r="X1039" s="77"/>
      <c r="Y1039" s="77"/>
      <c r="Z1039" s="77"/>
      <c r="AA1039" s="78"/>
    </row>
    <row r="1040" spans="15:27" x14ac:dyDescent="0.25">
      <c r="O1040" s="76"/>
      <c r="P1040" s="77"/>
      <c r="Q1040" s="77"/>
      <c r="R1040" s="77"/>
      <c r="S1040" s="77"/>
      <c r="X1040" s="77"/>
      <c r="Y1040" s="77"/>
      <c r="Z1040" s="77"/>
      <c r="AA1040" s="78"/>
    </row>
    <row r="1041" spans="15:27" x14ac:dyDescent="0.25">
      <c r="O1041" s="76"/>
      <c r="P1041" s="77"/>
      <c r="Q1041" s="77"/>
      <c r="R1041" s="77"/>
      <c r="S1041" s="77"/>
      <c r="X1041" s="77"/>
      <c r="Y1041" s="77"/>
      <c r="Z1041" s="77"/>
      <c r="AA1041" s="78"/>
    </row>
    <row r="1042" spans="15:27" x14ac:dyDescent="0.25">
      <c r="O1042" s="76"/>
      <c r="P1042" s="77"/>
      <c r="Q1042" s="77"/>
      <c r="R1042" s="77"/>
      <c r="S1042" s="77"/>
      <c r="X1042" s="77"/>
      <c r="Y1042" s="77"/>
      <c r="Z1042" s="77"/>
      <c r="AA1042" s="78"/>
    </row>
    <row r="1043" spans="15:27" x14ac:dyDescent="0.25">
      <c r="O1043" s="76"/>
      <c r="P1043" s="77"/>
      <c r="Q1043" s="77"/>
      <c r="R1043" s="77"/>
      <c r="S1043" s="77"/>
      <c r="X1043" s="77"/>
      <c r="Y1043" s="77"/>
      <c r="Z1043" s="77"/>
      <c r="AA1043" s="78"/>
    </row>
    <row r="1044" spans="15:27" x14ac:dyDescent="0.25">
      <c r="O1044" s="76"/>
      <c r="P1044" s="77"/>
      <c r="Q1044" s="77"/>
      <c r="R1044" s="77"/>
      <c r="S1044" s="77"/>
      <c r="X1044" s="77"/>
      <c r="Y1044" s="77"/>
      <c r="Z1044" s="77"/>
      <c r="AA1044" s="78"/>
    </row>
    <row r="1045" spans="15:27" x14ac:dyDescent="0.25">
      <c r="O1045" s="76"/>
      <c r="P1045" s="77"/>
      <c r="Q1045" s="77"/>
      <c r="R1045" s="77"/>
      <c r="S1045" s="77"/>
      <c r="X1045" s="77"/>
      <c r="Y1045" s="77"/>
      <c r="Z1045" s="77"/>
      <c r="AA1045" s="78"/>
    </row>
    <row r="1046" spans="15:27" x14ac:dyDescent="0.25">
      <c r="O1046" s="76"/>
      <c r="P1046" s="77"/>
      <c r="Q1046" s="77"/>
      <c r="R1046" s="77"/>
      <c r="S1046" s="77"/>
      <c r="X1046" s="77"/>
      <c r="Y1046" s="77"/>
      <c r="Z1046" s="77"/>
      <c r="AA1046" s="78"/>
    </row>
    <row r="1047" spans="15:27" x14ac:dyDescent="0.25">
      <c r="O1047" s="76"/>
      <c r="P1047" s="77"/>
      <c r="Q1047" s="77"/>
      <c r="R1047" s="77"/>
      <c r="S1047" s="77"/>
      <c r="X1047" s="77"/>
      <c r="Y1047" s="77"/>
      <c r="Z1047" s="77"/>
      <c r="AA1047" s="78"/>
    </row>
    <row r="1048" spans="15:27" x14ac:dyDescent="0.25">
      <c r="O1048" s="76"/>
      <c r="P1048" s="77"/>
      <c r="Q1048" s="77"/>
      <c r="R1048" s="77"/>
      <c r="S1048" s="77"/>
      <c r="X1048" s="77"/>
      <c r="Y1048" s="77"/>
      <c r="Z1048" s="77"/>
      <c r="AA1048" s="78"/>
    </row>
    <row r="1049" spans="15:27" x14ac:dyDescent="0.25">
      <c r="O1049" s="76"/>
      <c r="P1049" s="77"/>
      <c r="Q1049" s="77"/>
      <c r="R1049" s="77"/>
      <c r="S1049" s="77"/>
      <c r="X1049" s="77"/>
      <c r="Y1049" s="77"/>
      <c r="Z1049" s="77"/>
      <c r="AA1049" s="78"/>
    </row>
    <row r="1050" spans="15:27" x14ac:dyDescent="0.25">
      <c r="O1050" s="76"/>
      <c r="P1050" s="77"/>
      <c r="Q1050" s="77"/>
      <c r="R1050" s="77"/>
      <c r="S1050" s="77"/>
      <c r="X1050" s="77"/>
      <c r="Y1050" s="77"/>
      <c r="Z1050" s="77"/>
      <c r="AA1050" s="78"/>
    </row>
    <row r="1051" spans="15:27" x14ac:dyDescent="0.25">
      <c r="O1051" s="76"/>
      <c r="P1051" s="77"/>
      <c r="Q1051" s="77"/>
      <c r="R1051" s="77"/>
      <c r="S1051" s="77"/>
      <c r="X1051" s="77"/>
      <c r="Y1051" s="77"/>
      <c r="Z1051" s="77"/>
      <c r="AA1051" s="78"/>
    </row>
    <row r="1052" spans="15:27" x14ac:dyDescent="0.25">
      <c r="O1052" s="76"/>
      <c r="P1052" s="77"/>
      <c r="Q1052" s="77"/>
      <c r="R1052" s="77"/>
      <c r="S1052" s="77"/>
      <c r="X1052" s="77"/>
      <c r="Y1052" s="77"/>
      <c r="Z1052" s="77"/>
      <c r="AA1052" s="78"/>
    </row>
    <row r="1053" spans="15:27" x14ac:dyDescent="0.25">
      <c r="O1053" s="76"/>
      <c r="P1053" s="77"/>
      <c r="Q1053" s="77"/>
      <c r="R1053" s="77"/>
      <c r="S1053" s="77"/>
      <c r="X1053" s="77"/>
      <c r="Y1053" s="77"/>
      <c r="Z1053" s="77"/>
      <c r="AA1053" s="78"/>
    </row>
    <row r="1054" spans="15:27" x14ac:dyDescent="0.25">
      <c r="O1054" s="76"/>
      <c r="P1054" s="77"/>
      <c r="Q1054" s="77"/>
      <c r="R1054" s="77"/>
      <c r="S1054" s="77"/>
      <c r="X1054" s="77"/>
      <c r="Y1054" s="77"/>
      <c r="Z1054" s="77"/>
      <c r="AA1054" s="78"/>
    </row>
    <row r="1055" spans="15:27" x14ac:dyDescent="0.25">
      <c r="O1055" s="76"/>
      <c r="P1055" s="77"/>
      <c r="Q1055" s="77"/>
      <c r="R1055" s="77"/>
      <c r="S1055" s="77"/>
      <c r="X1055" s="77"/>
      <c r="Y1055" s="77"/>
      <c r="Z1055" s="77"/>
      <c r="AA1055" s="78"/>
    </row>
    <row r="1056" spans="15:27" x14ac:dyDescent="0.25">
      <c r="O1056" s="76"/>
      <c r="P1056" s="77"/>
      <c r="Q1056" s="77"/>
      <c r="R1056" s="77"/>
      <c r="S1056" s="77"/>
      <c r="X1056" s="77"/>
      <c r="Y1056" s="77"/>
      <c r="Z1056" s="77"/>
      <c r="AA1056" s="78"/>
    </row>
    <row r="1057" spans="15:27" x14ac:dyDescent="0.25">
      <c r="O1057" s="76"/>
      <c r="P1057" s="77"/>
      <c r="Q1057" s="77"/>
      <c r="R1057" s="77"/>
      <c r="S1057" s="77"/>
      <c r="X1057" s="77"/>
      <c r="Y1057" s="77"/>
      <c r="Z1057" s="77"/>
      <c r="AA1057" s="78"/>
    </row>
    <row r="1058" spans="15:27" x14ac:dyDescent="0.25">
      <c r="O1058" s="76"/>
      <c r="P1058" s="77"/>
      <c r="Q1058" s="77"/>
      <c r="R1058" s="77"/>
      <c r="S1058" s="77"/>
      <c r="X1058" s="77"/>
      <c r="Y1058" s="77"/>
      <c r="Z1058" s="77"/>
      <c r="AA1058" s="78"/>
    </row>
    <row r="1059" spans="15:27" x14ac:dyDescent="0.25">
      <c r="O1059" s="76"/>
      <c r="P1059" s="77"/>
      <c r="Q1059" s="77"/>
      <c r="R1059" s="77"/>
      <c r="S1059" s="77"/>
      <c r="X1059" s="77"/>
      <c r="Y1059" s="77"/>
      <c r="Z1059" s="77"/>
      <c r="AA1059" s="78"/>
    </row>
    <row r="1060" spans="15:27" x14ac:dyDescent="0.25">
      <c r="O1060" s="76"/>
      <c r="P1060" s="77"/>
      <c r="Q1060" s="77"/>
      <c r="R1060" s="77"/>
      <c r="S1060" s="77"/>
      <c r="X1060" s="77"/>
      <c r="Y1060" s="77"/>
      <c r="Z1060" s="77"/>
      <c r="AA1060" s="78"/>
    </row>
    <row r="1061" spans="15:27" x14ac:dyDescent="0.25">
      <c r="O1061" s="76"/>
      <c r="P1061" s="77"/>
      <c r="Q1061" s="77"/>
      <c r="R1061" s="77"/>
      <c r="S1061" s="77"/>
      <c r="X1061" s="77"/>
      <c r="Y1061" s="77"/>
      <c r="Z1061" s="77"/>
      <c r="AA1061" s="78"/>
    </row>
    <row r="1062" spans="15:27" x14ac:dyDescent="0.25">
      <c r="O1062" s="76"/>
      <c r="P1062" s="77"/>
      <c r="Q1062" s="77"/>
      <c r="R1062" s="77"/>
      <c r="S1062" s="77"/>
      <c r="X1062" s="77"/>
      <c r="Y1062" s="77"/>
      <c r="Z1062" s="77"/>
      <c r="AA1062" s="78"/>
    </row>
    <row r="1063" spans="15:27" x14ac:dyDescent="0.25">
      <c r="O1063" s="76"/>
      <c r="P1063" s="77"/>
      <c r="Q1063" s="77"/>
      <c r="R1063" s="77"/>
      <c r="S1063" s="77"/>
      <c r="X1063" s="77"/>
      <c r="Y1063" s="77"/>
      <c r="Z1063" s="77"/>
      <c r="AA1063" s="78"/>
    </row>
    <row r="1064" spans="15:27" x14ac:dyDescent="0.25">
      <c r="O1064" s="76"/>
      <c r="P1064" s="77"/>
      <c r="Q1064" s="77"/>
      <c r="R1064" s="77"/>
      <c r="S1064" s="77"/>
      <c r="X1064" s="77"/>
      <c r="Y1064" s="77"/>
      <c r="Z1064" s="77"/>
      <c r="AA1064" s="78"/>
    </row>
    <row r="1065" spans="15:27" x14ac:dyDescent="0.25">
      <c r="O1065" s="76"/>
      <c r="P1065" s="77"/>
      <c r="Q1065" s="77"/>
      <c r="R1065" s="77"/>
      <c r="S1065" s="77"/>
      <c r="X1065" s="77"/>
      <c r="Y1065" s="77"/>
      <c r="Z1065" s="77"/>
      <c r="AA1065" s="78"/>
    </row>
    <row r="1066" spans="15:27" x14ac:dyDescent="0.25">
      <c r="O1066" s="76"/>
      <c r="P1066" s="77"/>
      <c r="Q1066" s="77"/>
      <c r="R1066" s="77"/>
      <c r="S1066" s="77"/>
      <c r="X1066" s="77"/>
      <c r="Y1066" s="77"/>
      <c r="Z1066" s="77"/>
      <c r="AA1066" s="78"/>
    </row>
    <row r="1067" spans="15:27" x14ac:dyDescent="0.25">
      <c r="O1067" s="76"/>
      <c r="P1067" s="77"/>
      <c r="Q1067" s="77"/>
      <c r="R1067" s="77"/>
      <c r="S1067" s="77"/>
      <c r="X1067" s="77"/>
      <c r="Y1067" s="77"/>
      <c r="Z1067" s="77"/>
      <c r="AA1067" s="78"/>
    </row>
    <row r="1068" spans="15:27" x14ac:dyDescent="0.25">
      <c r="O1068" s="76"/>
      <c r="P1068" s="77"/>
      <c r="Q1068" s="77"/>
      <c r="R1068" s="77"/>
      <c r="S1068" s="77"/>
      <c r="X1068" s="77"/>
      <c r="Y1068" s="77"/>
      <c r="Z1068" s="77"/>
      <c r="AA1068" s="78"/>
    </row>
    <row r="1069" spans="15:27" x14ac:dyDescent="0.25">
      <c r="O1069" s="76"/>
      <c r="P1069" s="77"/>
      <c r="Q1069" s="77"/>
      <c r="R1069" s="77"/>
      <c r="S1069" s="77"/>
      <c r="X1069" s="77"/>
      <c r="Y1069" s="77"/>
      <c r="Z1069" s="77"/>
      <c r="AA1069" s="78"/>
    </row>
    <row r="1070" spans="15:27" x14ac:dyDescent="0.25">
      <c r="O1070" s="76"/>
      <c r="P1070" s="77"/>
      <c r="Q1070" s="77"/>
      <c r="R1070" s="77"/>
      <c r="S1070" s="77"/>
      <c r="X1070" s="77"/>
      <c r="Y1070" s="77"/>
      <c r="Z1070" s="77"/>
      <c r="AA1070" s="78"/>
    </row>
    <row r="1071" spans="15:27" x14ac:dyDescent="0.25">
      <c r="O1071" s="76"/>
      <c r="P1071" s="77"/>
      <c r="Q1071" s="77"/>
      <c r="R1071" s="77"/>
      <c r="S1071" s="77"/>
      <c r="X1071" s="77"/>
      <c r="Y1071" s="77"/>
      <c r="Z1071" s="77"/>
      <c r="AA1071" s="78"/>
    </row>
    <row r="1072" spans="15:27" x14ac:dyDescent="0.25">
      <c r="O1072" s="76"/>
      <c r="P1072" s="77"/>
      <c r="Q1072" s="77"/>
      <c r="R1072" s="77"/>
      <c r="S1072" s="77"/>
      <c r="X1072" s="77"/>
      <c r="Y1072" s="77"/>
      <c r="Z1072" s="77"/>
      <c r="AA1072" s="78"/>
    </row>
    <row r="1073" spans="15:27" x14ac:dyDescent="0.25">
      <c r="O1073" s="76"/>
      <c r="P1073" s="77"/>
      <c r="Q1073" s="77"/>
      <c r="R1073" s="77"/>
      <c r="S1073" s="77"/>
      <c r="X1073" s="77"/>
      <c r="Y1073" s="77"/>
      <c r="Z1073" s="77"/>
      <c r="AA1073" s="78"/>
    </row>
    <row r="1074" spans="15:27" x14ac:dyDescent="0.25">
      <c r="O1074" s="76"/>
      <c r="P1074" s="77"/>
      <c r="Q1074" s="77"/>
      <c r="R1074" s="77"/>
      <c r="S1074" s="77"/>
      <c r="X1074" s="77"/>
      <c r="Y1074" s="77"/>
      <c r="Z1074" s="77"/>
      <c r="AA1074" s="78"/>
    </row>
    <row r="1075" spans="15:27" x14ac:dyDescent="0.25">
      <c r="O1075" s="76"/>
      <c r="P1075" s="77"/>
      <c r="Q1075" s="77"/>
      <c r="R1075" s="77"/>
      <c r="S1075" s="77"/>
      <c r="X1075" s="77"/>
      <c r="Y1075" s="77"/>
      <c r="Z1075" s="77"/>
      <c r="AA1075" s="78"/>
    </row>
    <row r="1076" spans="15:27" x14ac:dyDescent="0.25">
      <c r="O1076" s="76"/>
      <c r="P1076" s="77"/>
      <c r="Q1076" s="77"/>
      <c r="R1076" s="77"/>
      <c r="S1076" s="77"/>
      <c r="X1076" s="77"/>
      <c r="Y1076" s="77"/>
      <c r="Z1076" s="77"/>
      <c r="AA1076" s="78"/>
    </row>
    <row r="1077" spans="15:27" x14ac:dyDescent="0.25">
      <c r="O1077" s="76"/>
      <c r="P1077" s="77"/>
      <c r="Q1077" s="77"/>
      <c r="R1077" s="77"/>
      <c r="S1077" s="77"/>
      <c r="X1077" s="77"/>
      <c r="Y1077" s="77"/>
      <c r="Z1077" s="77"/>
      <c r="AA1077" s="78"/>
    </row>
    <row r="1078" spans="15:27" x14ac:dyDescent="0.25">
      <c r="O1078" s="76"/>
      <c r="P1078" s="77"/>
      <c r="Q1078" s="77"/>
      <c r="R1078" s="77"/>
      <c r="S1078" s="77"/>
      <c r="X1078" s="77"/>
      <c r="Y1078" s="77"/>
      <c r="Z1078" s="77"/>
      <c r="AA1078" s="78"/>
    </row>
    <row r="1079" spans="15:27" x14ac:dyDescent="0.25">
      <c r="O1079" s="76"/>
      <c r="P1079" s="77"/>
      <c r="Q1079" s="77"/>
      <c r="R1079" s="77"/>
      <c r="S1079" s="77"/>
      <c r="X1079" s="77"/>
      <c r="Y1079" s="77"/>
      <c r="Z1079" s="77"/>
      <c r="AA1079" s="78"/>
    </row>
    <row r="1080" spans="15:27" x14ac:dyDescent="0.25">
      <c r="O1080" s="76"/>
      <c r="P1080" s="77"/>
      <c r="Q1080" s="77"/>
      <c r="R1080" s="77"/>
      <c r="S1080" s="77"/>
      <c r="X1080" s="77"/>
      <c r="Y1080" s="77"/>
      <c r="Z1080" s="77"/>
      <c r="AA1080" s="78"/>
    </row>
    <row r="1081" spans="15:27" x14ac:dyDescent="0.25">
      <c r="O1081" s="76"/>
      <c r="P1081" s="77"/>
      <c r="Q1081" s="77"/>
      <c r="R1081" s="77"/>
      <c r="S1081" s="77"/>
      <c r="X1081" s="77"/>
      <c r="Y1081" s="77"/>
      <c r="Z1081" s="77"/>
      <c r="AA1081" s="78"/>
    </row>
    <row r="1082" spans="15:27" x14ac:dyDescent="0.25">
      <c r="O1082" s="76"/>
      <c r="P1082" s="77"/>
      <c r="Q1082" s="77"/>
      <c r="R1082" s="77"/>
      <c r="S1082" s="77"/>
      <c r="X1082" s="77"/>
      <c r="Y1082" s="77"/>
      <c r="Z1082" s="77"/>
      <c r="AA1082" s="78"/>
    </row>
    <row r="1083" spans="15:27" x14ac:dyDescent="0.25">
      <c r="O1083" s="76"/>
      <c r="P1083" s="77"/>
      <c r="Q1083" s="77"/>
      <c r="R1083" s="77"/>
      <c r="S1083" s="77"/>
      <c r="X1083" s="77"/>
      <c r="Y1083" s="77"/>
      <c r="Z1083" s="77"/>
      <c r="AA1083" s="78"/>
    </row>
    <row r="1084" spans="15:27" x14ac:dyDescent="0.25">
      <c r="O1084" s="76"/>
      <c r="P1084" s="77"/>
      <c r="Q1084" s="77"/>
      <c r="R1084" s="77"/>
      <c r="S1084" s="77"/>
      <c r="X1084" s="77"/>
      <c r="Y1084" s="77"/>
      <c r="Z1084" s="77"/>
      <c r="AA1084" s="78"/>
    </row>
    <row r="1085" spans="15:27" x14ac:dyDescent="0.25">
      <c r="O1085" s="76"/>
      <c r="P1085" s="77"/>
      <c r="Q1085" s="77"/>
      <c r="R1085" s="77"/>
      <c r="S1085" s="77"/>
      <c r="X1085" s="77"/>
      <c r="Y1085" s="77"/>
      <c r="Z1085" s="77"/>
      <c r="AA1085" s="78"/>
    </row>
    <row r="1086" spans="15:27" x14ac:dyDescent="0.25">
      <c r="O1086" s="76"/>
      <c r="P1086" s="77"/>
      <c r="Q1086" s="77"/>
      <c r="R1086" s="77"/>
      <c r="S1086" s="77"/>
      <c r="X1086" s="77"/>
      <c r="Y1086" s="77"/>
      <c r="Z1086" s="77"/>
      <c r="AA1086" s="78"/>
    </row>
    <row r="1087" spans="15:27" x14ac:dyDescent="0.25">
      <c r="O1087" s="76"/>
      <c r="P1087" s="77"/>
      <c r="Q1087" s="77"/>
      <c r="R1087" s="77"/>
      <c r="S1087" s="77"/>
      <c r="X1087" s="77"/>
      <c r="Y1087" s="77"/>
      <c r="Z1087" s="77"/>
      <c r="AA1087" s="78"/>
    </row>
    <row r="1088" spans="15:27" x14ac:dyDescent="0.25">
      <c r="O1088" s="76"/>
      <c r="P1088" s="77"/>
      <c r="Q1088" s="77"/>
      <c r="R1088" s="77"/>
      <c r="S1088" s="77"/>
      <c r="X1088" s="77"/>
      <c r="Y1088" s="77"/>
      <c r="Z1088" s="77"/>
      <c r="AA1088" s="78"/>
    </row>
    <row r="1089" spans="15:27" x14ac:dyDescent="0.25">
      <c r="O1089" s="76"/>
      <c r="P1089" s="77"/>
      <c r="Q1089" s="77"/>
      <c r="R1089" s="77"/>
      <c r="S1089" s="77"/>
      <c r="X1089" s="77"/>
      <c r="Y1089" s="77"/>
      <c r="Z1089" s="77"/>
      <c r="AA1089" s="78"/>
    </row>
    <row r="1090" spans="15:27" x14ac:dyDescent="0.25">
      <c r="O1090" s="76"/>
      <c r="P1090" s="77"/>
      <c r="Q1090" s="77"/>
      <c r="R1090" s="77"/>
      <c r="S1090" s="77"/>
      <c r="X1090" s="77"/>
      <c r="Y1090" s="77"/>
      <c r="Z1090" s="77"/>
      <c r="AA1090" s="78"/>
    </row>
    <row r="1091" spans="15:27" x14ac:dyDescent="0.25">
      <c r="O1091" s="76"/>
      <c r="P1091" s="77"/>
      <c r="Q1091" s="77"/>
      <c r="R1091" s="77"/>
      <c r="S1091" s="77"/>
      <c r="X1091" s="77"/>
      <c r="Y1091" s="77"/>
      <c r="Z1091" s="77"/>
      <c r="AA1091" s="78"/>
    </row>
    <row r="1092" spans="15:27" x14ac:dyDescent="0.25">
      <c r="O1092" s="76"/>
      <c r="P1092" s="77"/>
      <c r="Q1092" s="77"/>
      <c r="R1092" s="77"/>
      <c r="S1092" s="77"/>
      <c r="X1092" s="77"/>
      <c r="Y1092" s="77"/>
      <c r="Z1092" s="77"/>
      <c r="AA1092" s="78"/>
    </row>
    <row r="1093" spans="15:27" x14ac:dyDescent="0.25">
      <c r="O1093" s="76"/>
      <c r="P1093" s="77"/>
      <c r="Q1093" s="77"/>
      <c r="R1093" s="77"/>
      <c r="S1093" s="77"/>
      <c r="X1093" s="77"/>
      <c r="Y1093" s="77"/>
      <c r="Z1093" s="77"/>
      <c r="AA1093" s="78"/>
    </row>
    <row r="1094" spans="15:27" x14ac:dyDescent="0.25">
      <c r="O1094" s="76"/>
      <c r="P1094" s="77"/>
      <c r="Q1094" s="77"/>
      <c r="R1094" s="77"/>
      <c r="S1094" s="77"/>
      <c r="X1094" s="77"/>
      <c r="Y1094" s="77"/>
      <c r="Z1094" s="77"/>
      <c r="AA1094" s="78"/>
    </row>
    <row r="1095" spans="15:27" x14ac:dyDescent="0.25">
      <c r="O1095" s="76"/>
      <c r="P1095" s="77"/>
      <c r="Q1095" s="77"/>
      <c r="R1095" s="77"/>
      <c r="S1095" s="77"/>
      <c r="X1095" s="77"/>
      <c r="Y1095" s="77"/>
      <c r="Z1095" s="77"/>
      <c r="AA1095" s="78"/>
    </row>
    <row r="1096" spans="15:27" x14ac:dyDescent="0.25">
      <c r="O1096" s="76"/>
      <c r="P1096" s="77"/>
      <c r="Q1096" s="77"/>
      <c r="R1096" s="77"/>
      <c r="S1096" s="77"/>
      <c r="X1096" s="77"/>
      <c r="Y1096" s="77"/>
      <c r="Z1096" s="77"/>
      <c r="AA1096" s="78"/>
    </row>
    <row r="1097" spans="15:27" x14ac:dyDescent="0.25">
      <c r="O1097" s="76"/>
      <c r="P1097" s="77"/>
      <c r="Q1097" s="77"/>
      <c r="R1097" s="77"/>
      <c r="S1097" s="77"/>
      <c r="X1097" s="77"/>
      <c r="Y1097" s="77"/>
      <c r="Z1097" s="77"/>
      <c r="AA1097" s="78"/>
    </row>
    <row r="1098" spans="15:27" x14ac:dyDescent="0.25">
      <c r="O1098" s="76"/>
      <c r="P1098" s="77"/>
      <c r="Q1098" s="77"/>
      <c r="R1098" s="77"/>
      <c r="S1098" s="77"/>
      <c r="X1098" s="77"/>
      <c r="Y1098" s="77"/>
      <c r="Z1098" s="77"/>
      <c r="AA1098" s="78"/>
    </row>
    <row r="1099" spans="15:27" x14ac:dyDescent="0.25">
      <c r="O1099" s="76"/>
      <c r="P1099" s="77"/>
      <c r="Q1099" s="77"/>
      <c r="R1099" s="77"/>
      <c r="S1099" s="77"/>
      <c r="X1099" s="77"/>
      <c r="Y1099" s="77"/>
      <c r="Z1099" s="77"/>
      <c r="AA1099" s="78"/>
    </row>
    <row r="1100" spans="15:27" x14ac:dyDescent="0.25">
      <c r="O1100" s="76"/>
      <c r="P1100" s="77"/>
      <c r="Q1100" s="77"/>
      <c r="R1100" s="77"/>
      <c r="S1100" s="77"/>
      <c r="X1100" s="77"/>
      <c r="Y1100" s="77"/>
      <c r="Z1100" s="77"/>
      <c r="AA1100" s="78"/>
    </row>
    <row r="1101" spans="15:27" x14ac:dyDescent="0.25">
      <c r="O1101" s="76"/>
      <c r="P1101" s="77"/>
      <c r="Q1101" s="77"/>
      <c r="R1101" s="77"/>
      <c r="S1101" s="77"/>
      <c r="X1101" s="77"/>
      <c r="Y1101" s="77"/>
      <c r="Z1101" s="77"/>
      <c r="AA1101" s="78"/>
    </row>
    <row r="1102" spans="15:27" x14ac:dyDescent="0.25">
      <c r="O1102" s="76"/>
      <c r="P1102" s="77"/>
      <c r="Q1102" s="77"/>
      <c r="R1102" s="77"/>
      <c r="S1102" s="77"/>
      <c r="X1102" s="77"/>
      <c r="Y1102" s="77"/>
      <c r="Z1102" s="77"/>
      <c r="AA1102" s="78"/>
    </row>
    <row r="1103" spans="15:27" x14ac:dyDescent="0.25">
      <c r="O1103" s="76"/>
      <c r="P1103" s="77"/>
      <c r="Q1103" s="77"/>
      <c r="R1103" s="77"/>
      <c r="S1103" s="77"/>
      <c r="X1103" s="77"/>
      <c r="Y1103" s="77"/>
      <c r="Z1103" s="77"/>
      <c r="AA1103" s="78"/>
    </row>
    <row r="1104" spans="15:27" x14ac:dyDescent="0.25">
      <c r="O1104" s="76"/>
      <c r="P1104" s="77"/>
      <c r="Q1104" s="77"/>
      <c r="R1104" s="77"/>
      <c r="S1104" s="77"/>
      <c r="X1104" s="77"/>
      <c r="Y1104" s="77"/>
      <c r="Z1104" s="77"/>
      <c r="AA1104" s="78"/>
    </row>
    <row r="1105" spans="15:27" x14ac:dyDescent="0.25">
      <c r="O1105" s="76"/>
      <c r="P1105" s="77"/>
      <c r="Q1105" s="77"/>
      <c r="R1105" s="77"/>
      <c r="S1105" s="77"/>
      <c r="X1105" s="77"/>
      <c r="Y1105" s="77"/>
      <c r="Z1105" s="77"/>
      <c r="AA1105" s="78"/>
    </row>
    <row r="1106" spans="15:27" x14ac:dyDescent="0.25">
      <c r="O1106" s="76"/>
      <c r="P1106" s="77"/>
      <c r="Q1106" s="77"/>
      <c r="R1106" s="77"/>
      <c r="S1106" s="77"/>
      <c r="X1106" s="77"/>
      <c r="Y1106" s="77"/>
      <c r="Z1106" s="77"/>
      <c r="AA1106" s="78"/>
    </row>
    <row r="1107" spans="15:27" x14ac:dyDescent="0.25">
      <c r="O1107" s="76"/>
      <c r="P1107" s="77"/>
      <c r="Q1107" s="77"/>
      <c r="R1107" s="77"/>
      <c r="S1107" s="77"/>
      <c r="X1107" s="77"/>
      <c r="Y1107" s="77"/>
      <c r="Z1107" s="77"/>
      <c r="AA1107" s="78"/>
    </row>
    <row r="1108" spans="15:27" x14ac:dyDescent="0.25">
      <c r="O1108" s="76"/>
      <c r="P1108" s="77"/>
      <c r="Q1108" s="77"/>
      <c r="R1108" s="77"/>
      <c r="S1108" s="77"/>
      <c r="X1108" s="77"/>
      <c r="Y1108" s="77"/>
      <c r="Z1108" s="77"/>
      <c r="AA1108" s="78"/>
    </row>
    <row r="1109" spans="15:27" x14ac:dyDescent="0.25">
      <c r="O1109" s="76"/>
      <c r="P1109" s="77"/>
      <c r="Q1109" s="77"/>
      <c r="R1109" s="77"/>
      <c r="S1109" s="77"/>
      <c r="X1109" s="77"/>
      <c r="Y1109" s="77"/>
      <c r="Z1109" s="77"/>
      <c r="AA1109" s="78"/>
    </row>
    <row r="1110" spans="15:27" x14ac:dyDescent="0.25">
      <c r="O1110" s="76"/>
      <c r="P1110" s="77"/>
      <c r="Q1110" s="77"/>
      <c r="R1110" s="77"/>
      <c r="S1110" s="77"/>
      <c r="X1110" s="77"/>
      <c r="Y1110" s="77"/>
      <c r="Z1110" s="77"/>
      <c r="AA1110" s="78"/>
    </row>
    <row r="1111" spans="15:27" x14ac:dyDescent="0.25">
      <c r="O1111" s="76"/>
      <c r="P1111" s="77"/>
      <c r="Q1111" s="77"/>
      <c r="R1111" s="77"/>
      <c r="S1111" s="77"/>
      <c r="X1111" s="77"/>
      <c r="Y1111" s="77"/>
      <c r="Z1111" s="77"/>
      <c r="AA1111" s="78"/>
    </row>
    <row r="1112" spans="15:27" x14ac:dyDescent="0.25">
      <c r="O1112" s="76"/>
      <c r="P1112" s="77"/>
      <c r="Q1112" s="77"/>
      <c r="R1112" s="77"/>
      <c r="S1112" s="77"/>
      <c r="X1112" s="77"/>
      <c r="Y1112" s="77"/>
      <c r="Z1112" s="77"/>
      <c r="AA1112" s="78"/>
    </row>
    <row r="1113" spans="15:27" x14ac:dyDescent="0.25">
      <c r="O1113" s="76"/>
      <c r="P1113" s="77"/>
      <c r="Q1113" s="77"/>
      <c r="R1113" s="77"/>
      <c r="S1113" s="77"/>
      <c r="X1113" s="77"/>
      <c r="Y1113" s="77"/>
      <c r="Z1113" s="77"/>
      <c r="AA1113" s="78"/>
    </row>
    <row r="1114" spans="15:27" x14ac:dyDescent="0.25">
      <c r="O1114" s="76"/>
      <c r="P1114" s="77"/>
      <c r="Q1114" s="77"/>
      <c r="R1114" s="77"/>
      <c r="S1114" s="77"/>
      <c r="X1114" s="77"/>
      <c r="Y1114" s="77"/>
      <c r="Z1114" s="77"/>
      <c r="AA1114" s="78"/>
    </row>
    <row r="1115" spans="15:27" x14ac:dyDescent="0.25">
      <c r="O1115" s="76"/>
      <c r="P1115" s="77"/>
      <c r="Q1115" s="77"/>
      <c r="R1115" s="77"/>
      <c r="S1115" s="77"/>
      <c r="X1115" s="77"/>
      <c r="Y1115" s="77"/>
      <c r="Z1115" s="77"/>
      <c r="AA1115" s="78"/>
    </row>
    <row r="1116" spans="15:27" x14ac:dyDescent="0.25">
      <c r="O1116" s="76"/>
      <c r="P1116" s="77"/>
      <c r="Q1116" s="77"/>
      <c r="R1116" s="77"/>
      <c r="S1116" s="77"/>
      <c r="X1116" s="77"/>
      <c r="Y1116" s="77"/>
      <c r="Z1116" s="77"/>
      <c r="AA1116" s="78"/>
    </row>
    <row r="1117" spans="15:27" x14ac:dyDescent="0.25">
      <c r="O1117" s="76"/>
      <c r="P1117" s="77"/>
      <c r="Q1117" s="77"/>
      <c r="R1117" s="77"/>
      <c r="S1117" s="77"/>
      <c r="X1117" s="77"/>
      <c r="Y1117" s="77"/>
      <c r="Z1117" s="77"/>
      <c r="AA1117" s="78"/>
    </row>
    <row r="1118" spans="15:27" x14ac:dyDescent="0.25">
      <c r="O1118" s="76"/>
      <c r="P1118" s="77"/>
      <c r="Q1118" s="77"/>
      <c r="R1118" s="77"/>
      <c r="S1118" s="77"/>
      <c r="X1118" s="77"/>
      <c r="Y1118" s="77"/>
      <c r="Z1118" s="77"/>
      <c r="AA1118" s="78"/>
    </row>
    <row r="1119" spans="15:27" x14ac:dyDescent="0.25">
      <c r="O1119" s="76"/>
      <c r="P1119" s="77"/>
      <c r="Q1119" s="77"/>
      <c r="R1119" s="77"/>
      <c r="S1119" s="77"/>
      <c r="X1119" s="77"/>
      <c r="Y1119" s="77"/>
      <c r="Z1119" s="77"/>
      <c r="AA1119" s="78"/>
    </row>
    <row r="1120" spans="15:27" x14ac:dyDescent="0.25">
      <c r="O1120" s="76"/>
      <c r="P1120" s="77"/>
      <c r="Q1120" s="77"/>
      <c r="R1120" s="77"/>
      <c r="S1120" s="77"/>
      <c r="X1120" s="77"/>
      <c r="Y1120" s="77"/>
      <c r="Z1120" s="77"/>
      <c r="AA1120" s="78"/>
    </row>
    <row r="1121" spans="15:27" x14ac:dyDescent="0.25">
      <c r="O1121" s="76"/>
      <c r="P1121" s="77"/>
      <c r="Q1121" s="77"/>
      <c r="R1121" s="77"/>
      <c r="S1121" s="77"/>
      <c r="X1121" s="77"/>
      <c r="Y1121" s="77"/>
      <c r="Z1121" s="77"/>
      <c r="AA1121" s="78"/>
    </row>
    <row r="1122" spans="15:27" x14ac:dyDescent="0.25">
      <c r="O1122" s="76"/>
      <c r="P1122" s="77"/>
      <c r="Q1122" s="77"/>
      <c r="R1122" s="77"/>
      <c r="S1122" s="77"/>
      <c r="X1122" s="77"/>
      <c r="Y1122" s="77"/>
      <c r="Z1122" s="77"/>
      <c r="AA1122" s="78"/>
    </row>
    <row r="1123" spans="15:27" x14ac:dyDescent="0.25">
      <c r="O1123" s="76"/>
      <c r="P1123" s="77"/>
      <c r="Q1123" s="77"/>
      <c r="R1123" s="77"/>
      <c r="S1123" s="77"/>
      <c r="X1123" s="77"/>
      <c r="Y1123" s="77"/>
      <c r="Z1123" s="77"/>
      <c r="AA1123" s="78"/>
    </row>
    <row r="1124" spans="15:27" x14ac:dyDescent="0.25">
      <c r="O1124" s="76"/>
      <c r="P1124" s="77"/>
      <c r="Q1124" s="77"/>
      <c r="R1124" s="77"/>
      <c r="S1124" s="77"/>
      <c r="X1124" s="77"/>
      <c r="Y1124" s="77"/>
      <c r="Z1124" s="77"/>
      <c r="AA1124" s="78"/>
    </row>
    <row r="1125" spans="15:27" x14ac:dyDescent="0.25">
      <c r="O1125" s="76"/>
      <c r="P1125" s="77"/>
      <c r="Q1125" s="77"/>
      <c r="R1125" s="77"/>
      <c r="S1125" s="77"/>
      <c r="X1125" s="77"/>
      <c r="Y1125" s="77"/>
      <c r="Z1125" s="77"/>
      <c r="AA1125" s="78"/>
    </row>
    <row r="1126" spans="15:27" x14ac:dyDescent="0.25">
      <c r="O1126" s="76"/>
      <c r="P1126" s="77"/>
      <c r="Q1126" s="77"/>
      <c r="R1126" s="77"/>
      <c r="S1126" s="77"/>
      <c r="X1126" s="77"/>
      <c r="Y1126" s="77"/>
      <c r="Z1126" s="77"/>
      <c r="AA1126" s="78"/>
    </row>
    <row r="1127" spans="15:27" x14ac:dyDescent="0.25">
      <c r="O1127" s="76"/>
      <c r="P1127" s="77"/>
      <c r="Q1127" s="77"/>
      <c r="R1127" s="77"/>
      <c r="S1127" s="77"/>
      <c r="X1127" s="77"/>
      <c r="Y1127" s="77"/>
      <c r="Z1127" s="77"/>
      <c r="AA1127" s="78"/>
    </row>
    <row r="1128" spans="15:27" x14ac:dyDescent="0.25">
      <c r="O1128" s="76"/>
      <c r="P1128" s="77"/>
      <c r="Q1128" s="77"/>
      <c r="R1128" s="77"/>
      <c r="S1128" s="77"/>
      <c r="X1128" s="77"/>
      <c r="Y1128" s="77"/>
      <c r="Z1128" s="77"/>
      <c r="AA1128" s="78"/>
    </row>
    <row r="1129" spans="15:27" x14ac:dyDescent="0.25">
      <c r="O1129" s="76"/>
      <c r="P1129" s="77"/>
      <c r="Q1129" s="77"/>
      <c r="R1129" s="77"/>
      <c r="S1129" s="77"/>
      <c r="X1129" s="77"/>
      <c r="Y1129" s="77"/>
      <c r="Z1129" s="77"/>
      <c r="AA1129" s="78"/>
    </row>
    <row r="1130" spans="15:27" x14ac:dyDescent="0.25">
      <c r="O1130" s="76"/>
      <c r="P1130" s="77"/>
      <c r="Q1130" s="77"/>
      <c r="R1130" s="77"/>
      <c r="S1130" s="77"/>
      <c r="X1130" s="77"/>
      <c r="Y1130" s="77"/>
      <c r="Z1130" s="77"/>
      <c r="AA1130" s="78"/>
    </row>
    <row r="1131" spans="15:27" x14ac:dyDescent="0.25">
      <c r="O1131" s="76"/>
      <c r="P1131" s="77"/>
      <c r="Q1131" s="77"/>
      <c r="R1131" s="77"/>
      <c r="S1131" s="77"/>
      <c r="X1131" s="77"/>
      <c r="Y1131" s="77"/>
      <c r="Z1131" s="77"/>
      <c r="AA1131" s="78"/>
    </row>
    <row r="1132" spans="15:27" x14ac:dyDescent="0.25">
      <c r="O1132" s="76"/>
      <c r="P1132" s="77"/>
      <c r="Q1132" s="77"/>
      <c r="R1132" s="77"/>
      <c r="S1132" s="77"/>
      <c r="X1132" s="77"/>
      <c r="Y1132" s="77"/>
      <c r="Z1132" s="77"/>
      <c r="AA1132" s="78"/>
    </row>
    <row r="1133" spans="15:27" x14ac:dyDescent="0.25">
      <c r="O1133" s="76"/>
      <c r="P1133" s="77"/>
      <c r="Q1133" s="77"/>
      <c r="R1133" s="77"/>
      <c r="S1133" s="77"/>
      <c r="X1133" s="77"/>
      <c r="Y1133" s="77"/>
      <c r="Z1133" s="77"/>
      <c r="AA1133" s="78"/>
    </row>
    <row r="1134" spans="15:27" x14ac:dyDescent="0.25">
      <c r="O1134" s="76"/>
      <c r="P1134" s="77"/>
      <c r="Q1134" s="77"/>
      <c r="R1134" s="77"/>
      <c r="S1134" s="77"/>
      <c r="X1134" s="77"/>
      <c r="Y1134" s="77"/>
      <c r="Z1134" s="77"/>
      <c r="AA1134" s="78"/>
    </row>
    <row r="1135" spans="15:27" x14ac:dyDescent="0.25">
      <c r="O1135" s="76"/>
      <c r="P1135" s="77"/>
      <c r="Q1135" s="77"/>
      <c r="R1135" s="77"/>
      <c r="S1135" s="77"/>
      <c r="X1135" s="77"/>
      <c r="Y1135" s="77"/>
      <c r="Z1135" s="77"/>
      <c r="AA1135" s="78"/>
    </row>
    <row r="1136" spans="15:27" x14ac:dyDescent="0.25">
      <c r="O1136" s="76"/>
      <c r="P1136" s="77"/>
      <c r="Q1136" s="77"/>
      <c r="R1136" s="77"/>
      <c r="S1136" s="77"/>
      <c r="X1136" s="77"/>
      <c r="Y1136" s="77"/>
      <c r="Z1136" s="77"/>
      <c r="AA1136" s="78"/>
    </row>
    <row r="1137" spans="15:27" x14ac:dyDescent="0.25">
      <c r="O1137" s="76"/>
      <c r="P1137" s="77"/>
      <c r="Q1137" s="77"/>
      <c r="R1137" s="77"/>
      <c r="S1137" s="77"/>
      <c r="X1137" s="77"/>
      <c r="Y1137" s="77"/>
      <c r="Z1137" s="77"/>
      <c r="AA1137" s="78"/>
    </row>
    <row r="1138" spans="15:27" x14ac:dyDescent="0.25">
      <c r="O1138" s="76"/>
      <c r="P1138" s="77"/>
      <c r="Q1138" s="77"/>
      <c r="R1138" s="77"/>
      <c r="S1138" s="77"/>
      <c r="X1138" s="77"/>
      <c r="Y1138" s="77"/>
      <c r="Z1138" s="77"/>
      <c r="AA1138" s="78"/>
    </row>
    <row r="1139" spans="15:27" x14ac:dyDescent="0.25">
      <c r="O1139" s="76"/>
      <c r="P1139" s="77"/>
      <c r="Q1139" s="77"/>
      <c r="R1139" s="77"/>
      <c r="S1139" s="77"/>
      <c r="X1139" s="77"/>
      <c r="Y1139" s="77"/>
      <c r="Z1139" s="77"/>
      <c r="AA1139" s="78"/>
    </row>
    <row r="1140" spans="15:27" x14ac:dyDescent="0.25">
      <c r="O1140" s="76"/>
      <c r="P1140" s="77"/>
      <c r="Q1140" s="77"/>
      <c r="R1140" s="77"/>
      <c r="S1140" s="77"/>
      <c r="X1140" s="77"/>
      <c r="Y1140" s="77"/>
      <c r="Z1140" s="77"/>
      <c r="AA1140" s="78"/>
    </row>
    <row r="1141" spans="15:27" x14ac:dyDescent="0.25">
      <c r="O1141" s="76"/>
      <c r="P1141" s="77"/>
      <c r="Q1141" s="77"/>
      <c r="R1141" s="77"/>
      <c r="S1141" s="77"/>
      <c r="X1141" s="77"/>
      <c r="Y1141" s="77"/>
      <c r="Z1141" s="77"/>
      <c r="AA1141" s="78"/>
    </row>
    <row r="1142" spans="15:27" x14ac:dyDescent="0.25">
      <c r="O1142" s="76"/>
      <c r="P1142" s="77"/>
      <c r="Q1142" s="77"/>
      <c r="R1142" s="77"/>
      <c r="S1142" s="77"/>
      <c r="X1142" s="77"/>
      <c r="Y1142" s="77"/>
      <c r="Z1142" s="77"/>
      <c r="AA1142" s="78"/>
    </row>
    <row r="1143" spans="15:27" x14ac:dyDescent="0.25">
      <c r="O1143" s="76"/>
      <c r="P1143" s="77"/>
      <c r="Q1143" s="77"/>
      <c r="R1143" s="77"/>
      <c r="S1143" s="77"/>
      <c r="X1143" s="77"/>
      <c r="Y1143" s="77"/>
      <c r="Z1143" s="77"/>
      <c r="AA1143" s="78"/>
    </row>
    <row r="1144" spans="15:27" x14ac:dyDescent="0.25">
      <c r="O1144" s="76"/>
      <c r="P1144" s="77"/>
      <c r="Q1144" s="77"/>
      <c r="R1144" s="77"/>
      <c r="S1144" s="77"/>
      <c r="X1144" s="77"/>
      <c r="Y1144" s="77"/>
      <c r="Z1144" s="77"/>
      <c r="AA1144" s="78"/>
    </row>
    <row r="1145" spans="15:27" x14ac:dyDescent="0.25">
      <c r="O1145" s="76"/>
      <c r="P1145" s="77"/>
      <c r="Q1145" s="77"/>
      <c r="R1145" s="77"/>
      <c r="S1145" s="77"/>
      <c r="X1145" s="77"/>
      <c r="Y1145" s="77"/>
      <c r="Z1145" s="77"/>
      <c r="AA1145" s="78"/>
    </row>
    <row r="1146" spans="15:27" x14ac:dyDescent="0.25">
      <c r="O1146" s="76"/>
      <c r="P1146" s="77"/>
      <c r="Q1146" s="77"/>
      <c r="R1146" s="77"/>
      <c r="S1146" s="77"/>
      <c r="X1146" s="77"/>
      <c r="Y1146" s="77"/>
      <c r="Z1146" s="77"/>
      <c r="AA1146" s="78"/>
    </row>
    <row r="1147" spans="15:27" x14ac:dyDescent="0.25">
      <c r="O1147" s="76"/>
      <c r="P1147" s="77"/>
      <c r="Q1147" s="77"/>
      <c r="R1147" s="77"/>
      <c r="S1147" s="77"/>
      <c r="X1147" s="77"/>
      <c r="Y1147" s="77"/>
      <c r="Z1147" s="77"/>
      <c r="AA1147" s="78"/>
    </row>
    <row r="1148" spans="15:27" x14ac:dyDescent="0.25">
      <c r="O1148" s="76"/>
      <c r="P1148" s="77"/>
      <c r="Q1148" s="77"/>
      <c r="R1148" s="77"/>
      <c r="S1148" s="77"/>
      <c r="X1148" s="77"/>
      <c r="Y1148" s="77"/>
      <c r="Z1148" s="77"/>
      <c r="AA1148" s="78"/>
    </row>
    <row r="1149" spans="15:27" x14ac:dyDescent="0.25">
      <c r="O1149" s="76"/>
      <c r="P1149" s="77"/>
      <c r="Q1149" s="77"/>
      <c r="R1149" s="77"/>
      <c r="S1149" s="77"/>
      <c r="X1149" s="77"/>
      <c r="Y1149" s="77"/>
      <c r="Z1149" s="77"/>
      <c r="AA1149" s="78"/>
    </row>
    <row r="1150" spans="15:27" x14ac:dyDescent="0.25">
      <c r="O1150" s="76"/>
      <c r="P1150" s="77"/>
      <c r="Q1150" s="77"/>
      <c r="R1150" s="77"/>
      <c r="S1150" s="77"/>
      <c r="X1150" s="77"/>
      <c r="Y1150" s="77"/>
      <c r="Z1150" s="77"/>
      <c r="AA1150" s="78"/>
    </row>
    <row r="1151" spans="15:27" x14ac:dyDescent="0.25">
      <c r="O1151" s="76"/>
      <c r="P1151" s="77"/>
      <c r="Q1151" s="77"/>
      <c r="R1151" s="77"/>
      <c r="S1151" s="77"/>
      <c r="X1151" s="77"/>
      <c r="Y1151" s="77"/>
      <c r="Z1151" s="77"/>
      <c r="AA1151" s="78"/>
    </row>
    <row r="1152" spans="15:27" x14ac:dyDescent="0.25">
      <c r="O1152" s="76"/>
      <c r="P1152" s="77"/>
      <c r="Q1152" s="77"/>
      <c r="R1152" s="77"/>
      <c r="S1152" s="77"/>
      <c r="X1152" s="77"/>
      <c r="Y1152" s="77"/>
      <c r="Z1152" s="77"/>
      <c r="AA1152" s="78"/>
    </row>
    <row r="1153" spans="15:27" x14ac:dyDescent="0.25">
      <c r="O1153" s="76"/>
      <c r="P1153" s="77"/>
      <c r="Q1153" s="77"/>
      <c r="R1153" s="77"/>
      <c r="S1153" s="77"/>
      <c r="X1153" s="77"/>
      <c r="Y1153" s="77"/>
      <c r="Z1153" s="77"/>
      <c r="AA1153" s="78"/>
    </row>
  </sheetData>
  <sheetProtection algorithmName="SHA-512" hashValue="NF0OOUav4qHWA5952Qscs9OLOLI0siClpOLx/wjX6DNTm8BYV23Ppa9xLRecoCy9UQ+Cmk2G6qKCzBlc6MwIlA==" saltValue="1AnsEI11eF1E85/XGHo55A==" spinCount="100000" sheet="1" selectLockedCells="1"/>
  <sortState xmlns:xlrd2="http://schemas.microsoft.com/office/spreadsheetml/2017/richdata2" ref="AC45:AC399">
    <sortCondition ref="AC45:AC399"/>
  </sortState>
  <dataConsolidate/>
  <mergeCells count="3">
    <mergeCell ref="E2:F2"/>
    <mergeCell ref="A1:B1"/>
    <mergeCell ref="A20:B20"/>
  </mergeCells>
  <dataValidations xWindow="799" yWindow="758" count="4">
    <dataValidation type="list" allowBlank="1" showInputMessage="1" showErrorMessage="1" promptTitle="Scenario" prompt="Met het scrolmenu kunt u kiezen uit twee scenario's. Slechtweer is het vast ingestelde slechtweer-scenario. Op de stand handmatig kan zelf een scenario onder de kolom handmatig worden gedefinieerd." sqref="C20" xr:uid="{00000000-0002-0000-0000-000000000000}">
      <formula1>"Slechtweer,Handmatig"</formula1>
    </dataValidation>
    <dataValidation allowBlank="1" showInputMessage="1" showErrorMessage="1" promptTitle="Onbenutte belastingcapaciteit" prompt="Schatting op basis van ingevoerde tarieven en woz waarden CBS  " sqref="G15 C33" xr:uid="{00000000-0002-0000-0000-000001000000}"/>
    <dataValidation allowBlank="1" showInputMessage="1" showErrorMessage="1" promptTitle="Investeringsvolume" prompt="Hier kan de gemiddelde investeringsruimte vanaf 2020 voor de scenario's Handmatig en Slechtweer worden aangepast. Bij een positief percentage wordt de investeringsruimte kleiner. Bij een negatief percentage groter. " sqref="I19 E37" xr:uid="{00000000-0002-0000-0000-000003000000}"/>
    <dataValidation type="list" allowBlank="1" showInputMessage="1" showErrorMessage="1" sqref="C3" xr:uid="{BBC0FF7B-171B-4DB0-A7D3-003E5B18E038}">
      <formula1>$E$17:$E$18</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399"/>
  <sheetViews>
    <sheetView workbookViewId="0">
      <pane xSplit="2" ySplit="1" topLeftCell="C65" activePane="bottomRight" state="frozen"/>
      <selection pane="topRight" activeCell="C1" sqref="C1"/>
      <selection pane="bottomLeft" activeCell="A2" sqref="A2"/>
      <selection pane="bottomRight" activeCell="AC347" sqref="AC347"/>
    </sheetView>
  </sheetViews>
  <sheetFormatPr defaultColWidth="9.08984375" defaultRowHeight="10.5" x14ac:dyDescent="0.25"/>
  <cols>
    <col min="1" max="1" width="10" style="95" bestFit="1" customWidth="1"/>
    <col min="2" max="2" width="28.90625" style="95" bestFit="1" customWidth="1"/>
    <col min="3" max="3" width="18.81640625" style="95" bestFit="1" customWidth="1"/>
    <col min="4" max="4" width="19.453125" style="95" bestFit="1" customWidth="1"/>
    <col min="5" max="5" width="15.7265625" style="95" bestFit="1" customWidth="1"/>
    <col min="6" max="6" width="11.81640625" style="184" bestFit="1" customWidth="1"/>
    <col min="7" max="7" width="20.453125" style="95" bestFit="1" customWidth="1"/>
    <col min="8" max="8" width="21.1796875" style="95" bestFit="1" customWidth="1"/>
    <col min="9" max="9" width="19.54296875" style="95" bestFit="1" customWidth="1"/>
    <col min="10" max="10" width="20.08984375" style="95" bestFit="1" customWidth="1"/>
    <col min="11" max="11" width="19.54296875" style="95" bestFit="1" customWidth="1"/>
    <col min="12" max="12" width="20.08984375" style="95" bestFit="1" customWidth="1"/>
    <col min="13" max="13" width="19.54296875" style="95" bestFit="1" customWidth="1"/>
    <col min="14" max="14" width="20.08984375" style="95" bestFit="1" customWidth="1"/>
    <col min="15" max="15" width="19.54296875" style="95" bestFit="1" customWidth="1"/>
    <col min="16" max="16" width="20.08984375" style="95" bestFit="1" customWidth="1"/>
    <col min="17" max="17" width="19.54296875" style="95" bestFit="1" customWidth="1"/>
    <col min="18" max="18" width="20.08984375" style="95" bestFit="1" customWidth="1"/>
    <col min="19" max="19" width="19.54296875" style="95" bestFit="1" customWidth="1"/>
    <col min="20" max="20" width="20.08984375" style="95" bestFit="1" customWidth="1"/>
    <col min="21" max="21" width="19.54296875" style="95" bestFit="1" customWidth="1"/>
    <col min="22" max="22" width="20.08984375" style="95" bestFit="1" customWidth="1"/>
    <col min="23" max="23" width="19.54296875" style="95" bestFit="1" customWidth="1"/>
    <col min="24" max="24" width="20.08984375" style="95" bestFit="1" customWidth="1"/>
    <col min="25" max="25" width="19.453125" style="95" bestFit="1" customWidth="1"/>
    <col min="26" max="26" width="20.08984375" style="95" bestFit="1" customWidth="1"/>
    <col min="27" max="27" width="17" style="95" bestFit="1" customWidth="1"/>
    <col min="28" max="28" width="25.453125" style="95" bestFit="1" customWidth="1"/>
    <col min="29" max="29" width="24.453125" style="95" bestFit="1" customWidth="1"/>
    <col min="30" max="30" width="25.453125" style="95" bestFit="1" customWidth="1"/>
    <col min="31" max="31" width="25.90625" style="95" bestFit="1" customWidth="1"/>
    <col min="32" max="32" width="29.36328125" style="95" bestFit="1" customWidth="1"/>
    <col min="33" max="33" width="14.90625" style="95" bestFit="1" customWidth="1"/>
    <col min="34" max="34" width="15.90625" style="95" bestFit="1" customWidth="1"/>
    <col min="35" max="36" width="20.54296875" style="95" bestFit="1" customWidth="1"/>
    <col min="37" max="37" width="20.36328125" style="95" bestFit="1" customWidth="1"/>
    <col min="38" max="38" width="20.36328125" style="95" customWidth="1"/>
    <col min="39" max="41" width="22.453125" style="95" bestFit="1" customWidth="1"/>
    <col min="42" max="42" width="22.90625" style="95" bestFit="1" customWidth="1"/>
    <col min="43" max="43" width="23" style="95" customWidth="1"/>
    <col min="44" max="44" width="22.08984375" style="95" bestFit="1" customWidth="1"/>
    <col min="45" max="45" width="14.1796875" style="95" bestFit="1" customWidth="1"/>
    <col min="46" max="46" width="24.90625" style="95" bestFit="1" customWidth="1"/>
    <col min="47" max="47" width="5.7265625" style="95" bestFit="1" customWidth="1"/>
    <col min="48" max="16384" width="9.08984375" style="95"/>
  </cols>
  <sheetData>
    <row r="1" spans="1:44" x14ac:dyDescent="0.25">
      <c r="A1" s="95" t="s">
        <v>554</v>
      </c>
      <c r="B1" s="95" t="s">
        <v>530</v>
      </c>
      <c r="C1" s="95" t="s">
        <v>571</v>
      </c>
      <c r="D1" s="95" t="s">
        <v>572</v>
      </c>
      <c r="E1" s="184" t="s">
        <v>590</v>
      </c>
      <c r="F1" s="184" t="s">
        <v>577</v>
      </c>
      <c r="G1" s="95" t="s">
        <v>948</v>
      </c>
      <c r="H1" s="95" t="s">
        <v>949</v>
      </c>
      <c r="I1" s="95" t="s">
        <v>967</v>
      </c>
      <c r="J1" s="95" t="s">
        <v>968</v>
      </c>
      <c r="K1" s="95" t="s">
        <v>969</v>
      </c>
      <c r="L1" s="95" t="s">
        <v>970</v>
      </c>
      <c r="M1" s="95" t="s">
        <v>971</v>
      </c>
      <c r="N1" s="95" t="s">
        <v>972</v>
      </c>
      <c r="O1" s="95" t="s">
        <v>973</v>
      </c>
      <c r="P1" s="95" t="s">
        <v>974</v>
      </c>
      <c r="Q1" s="95" t="s">
        <v>975</v>
      </c>
      <c r="R1" s="95" t="s">
        <v>976</v>
      </c>
      <c r="S1" s="95" t="s">
        <v>977</v>
      </c>
      <c r="T1" s="95" t="s">
        <v>978</v>
      </c>
      <c r="U1" s="95" t="s">
        <v>979</v>
      </c>
      <c r="V1" s="95" t="s">
        <v>980</v>
      </c>
      <c r="W1" s="95" t="s">
        <v>981</v>
      </c>
      <c r="X1" s="95" t="s">
        <v>982</v>
      </c>
      <c r="Y1" s="95" t="s">
        <v>983</v>
      </c>
      <c r="Z1" s="95" t="s">
        <v>984</v>
      </c>
      <c r="AA1" s="95" t="s">
        <v>985</v>
      </c>
      <c r="AB1" s="95" t="s">
        <v>986</v>
      </c>
      <c r="AC1" s="95" t="s">
        <v>987</v>
      </c>
      <c r="AF1" s="95">
        <v>66518264000</v>
      </c>
      <c r="AG1" s="95">
        <v>59099144000</v>
      </c>
      <c r="AH1" s="95" t="s">
        <v>687</v>
      </c>
      <c r="AI1" s="95" t="s">
        <v>688</v>
      </c>
      <c r="AJ1" s="95" t="s">
        <v>828</v>
      </c>
      <c r="AK1" s="95" t="s">
        <v>851</v>
      </c>
      <c r="AL1" s="95" t="s">
        <v>935</v>
      </c>
      <c r="AM1" s="95" t="s">
        <v>849</v>
      </c>
      <c r="AN1" s="95" t="s">
        <v>850</v>
      </c>
      <c r="AO1" s="95" t="s">
        <v>848</v>
      </c>
      <c r="AP1" s="95" t="s">
        <v>829</v>
      </c>
      <c r="AQ1" s="95" t="s">
        <v>830</v>
      </c>
      <c r="AR1" s="95" t="s">
        <v>831</v>
      </c>
    </row>
    <row r="2" spans="1:44" x14ac:dyDescent="0.25">
      <c r="A2" s="95" t="s">
        <v>516</v>
      </c>
      <c r="B2" s="95" t="s">
        <v>106</v>
      </c>
      <c r="C2" s="95">
        <f t="shared" ref="C2:C65" si="0">SUM(G2,I2,K2,M2,O2,Q2,S2,U2,W2,Y2)/10</f>
        <v>1408.4</v>
      </c>
      <c r="D2" s="95">
        <f t="shared" ref="D2:D65" si="1">SUM(H2,J2,L2,N2,P2,R2,T2,V2,X2,Z2)/10</f>
        <v>1527</v>
      </c>
      <c r="E2" s="184">
        <v>2439000</v>
      </c>
      <c r="F2" s="184">
        <f>AA2*$AG$7</f>
        <v>9354476.3034662679</v>
      </c>
      <c r="G2" s="95">
        <v>2339</v>
      </c>
      <c r="H2" s="95">
        <v>2333</v>
      </c>
      <c r="I2" s="95">
        <v>1826</v>
      </c>
      <c r="J2" s="95">
        <v>1563</v>
      </c>
      <c r="K2" s="95">
        <v>836</v>
      </c>
      <c r="L2" s="95">
        <v>3010</v>
      </c>
      <c r="M2" s="95">
        <v>1050</v>
      </c>
      <c r="N2" s="95">
        <v>2751</v>
      </c>
      <c r="O2" s="95">
        <v>1079</v>
      </c>
      <c r="P2" s="95">
        <v>1146</v>
      </c>
      <c r="Q2" s="95">
        <v>2653</v>
      </c>
      <c r="R2" s="95">
        <v>969</v>
      </c>
      <c r="S2" s="95">
        <v>827</v>
      </c>
      <c r="T2" s="95">
        <v>737</v>
      </c>
      <c r="U2" s="95">
        <v>1442</v>
      </c>
      <c r="V2" s="95">
        <v>1002</v>
      </c>
      <c r="W2" s="95">
        <v>1058</v>
      </c>
      <c r="X2" s="95">
        <v>856</v>
      </c>
      <c r="Y2" s="95">
        <v>974</v>
      </c>
      <c r="Z2" s="95">
        <v>903</v>
      </c>
      <c r="AA2" s="95">
        <v>25574</v>
      </c>
      <c r="AB2" s="95">
        <v>34103</v>
      </c>
      <c r="AC2" s="95">
        <v>34015</v>
      </c>
      <c r="AF2" s="95">
        <v>64608794000</v>
      </c>
      <c r="AG2" s="95">
        <f>E347</f>
        <v>2843680000</v>
      </c>
      <c r="AH2" s="95">
        <v>25279</v>
      </c>
      <c r="AI2" s="95">
        <v>25399</v>
      </c>
      <c r="AJ2" s="95">
        <v>25386</v>
      </c>
      <c r="AK2" s="95">
        <v>25442</v>
      </c>
      <c r="AL2" s="95">
        <v>25399</v>
      </c>
      <c r="AM2" s="95">
        <v>38101</v>
      </c>
      <c r="AN2" s="95">
        <v>33404</v>
      </c>
      <c r="AO2" s="95">
        <v>34218000</v>
      </c>
      <c r="AP2" s="95">
        <v>34103</v>
      </c>
      <c r="AQ2" s="95">
        <v>34015</v>
      </c>
      <c r="AR2" s="95">
        <v>35302</v>
      </c>
    </row>
    <row r="3" spans="1:44" x14ac:dyDescent="0.25">
      <c r="A3" s="95" t="s">
        <v>518</v>
      </c>
      <c r="B3" s="95" t="s">
        <v>238</v>
      </c>
      <c r="C3" s="95">
        <f t="shared" si="0"/>
        <v>6706</v>
      </c>
      <c r="D3" s="95">
        <f t="shared" si="1"/>
        <v>6868.2</v>
      </c>
      <c r="E3" s="184">
        <v>3988000</v>
      </c>
      <c r="F3" s="184">
        <f t="shared" ref="F3:F66" si="2">AA3*$AG$7</f>
        <v>11867755.676310437</v>
      </c>
      <c r="G3" s="95">
        <v>5923</v>
      </c>
      <c r="H3" s="95">
        <v>3903</v>
      </c>
      <c r="I3" s="95">
        <v>8687</v>
      </c>
      <c r="J3" s="95">
        <v>12064</v>
      </c>
      <c r="K3" s="95">
        <v>15410</v>
      </c>
      <c r="L3" s="95">
        <v>18059</v>
      </c>
      <c r="M3" s="95">
        <v>12188</v>
      </c>
      <c r="N3" s="95">
        <v>8962</v>
      </c>
      <c r="O3" s="95">
        <v>9234</v>
      </c>
      <c r="P3" s="95">
        <v>10129</v>
      </c>
      <c r="Q3" s="95">
        <v>10725</v>
      </c>
      <c r="R3" s="95">
        <v>10828</v>
      </c>
      <c r="S3" s="95">
        <v>4592</v>
      </c>
      <c r="T3" s="95">
        <v>2185</v>
      </c>
      <c r="U3" s="95">
        <v>2704</v>
      </c>
      <c r="V3" s="95">
        <v>4598</v>
      </c>
      <c r="W3" s="95">
        <v>3394</v>
      </c>
      <c r="X3" s="95">
        <v>2799</v>
      </c>
      <c r="Y3" s="95">
        <v>-5797</v>
      </c>
      <c r="Z3" s="95">
        <v>-4845</v>
      </c>
      <c r="AA3" s="95">
        <v>32445</v>
      </c>
      <c r="AB3" s="95">
        <v>57568</v>
      </c>
      <c r="AC3" s="95">
        <v>63863</v>
      </c>
      <c r="AF3" s="95">
        <f>SUM(AF1,-AF2)</f>
        <v>1909470000</v>
      </c>
      <c r="AG3" s="172">
        <f>AG2/AG1</f>
        <v>4.8117109784195859E-2</v>
      </c>
      <c r="AH3" s="95">
        <v>31382</v>
      </c>
      <c r="AI3" s="95">
        <v>31502</v>
      </c>
      <c r="AJ3" s="95">
        <v>31724</v>
      </c>
      <c r="AK3" s="95">
        <v>31829</v>
      </c>
      <c r="AL3" s="95">
        <v>31991</v>
      </c>
      <c r="AM3" s="95">
        <v>46730</v>
      </c>
      <c r="AN3" s="95">
        <v>49476</v>
      </c>
      <c r="AO3" s="95">
        <v>52766000</v>
      </c>
      <c r="AP3" s="95">
        <v>57568</v>
      </c>
      <c r="AQ3" s="95">
        <v>63863</v>
      </c>
      <c r="AR3" s="95">
        <v>71904</v>
      </c>
    </row>
    <row r="4" spans="1:44" ht="12.5" x14ac:dyDescent="0.25">
      <c r="A4" s="95" t="s">
        <v>519</v>
      </c>
      <c r="B4" s="95" t="s">
        <v>165</v>
      </c>
      <c r="C4" s="95">
        <f t="shared" si="0"/>
        <v>2065.5</v>
      </c>
      <c r="D4" s="95">
        <f t="shared" si="1"/>
        <v>2520.6999999999998</v>
      </c>
      <c r="E4" s="184">
        <v>2029000</v>
      </c>
      <c r="F4" s="184">
        <f t="shared" si="2"/>
        <v>9912657.6923412792</v>
      </c>
      <c r="G4" s="95">
        <v>331</v>
      </c>
      <c r="H4" s="95">
        <v>308</v>
      </c>
      <c r="I4" s="95">
        <v>4575</v>
      </c>
      <c r="J4" s="95">
        <v>5650</v>
      </c>
      <c r="K4" s="95">
        <v>4863</v>
      </c>
      <c r="L4" s="95">
        <v>6053</v>
      </c>
      <c r="M4" s="95">
        <v>1112</v>
      </c>
      <c r="N4" s="95">
        <v>1680</v>
      </c>
      <c r="O4" s="95">
        <v>2543</v>
      </c>
      <c r="P4" s="95">
        <v>3803</v>
      </c>
      <c r="Q4" s="95">
        <v>2295</v>
      </c>
      <c r="R4" s="95">
        <v>3054</v>
      </c>
      <c r="S4" s="95">
        <v>866</v>
      </c>
      <c r="T4" s="95">
        <v>979</v>
      </c>
      <c r="U4" s="95">
        <v>1891</v>
      </c>
      <c r="V4" s="95">
        <v>1639</v>
      </c>
      <c r="W4" s="95">
        <v>1194</v>
      </c>
      <c r="X4" s="95">
        <v>1046</v>
      </c>
      <c r="Y4" s="95">
        <v>985</v>
      </c>
      <c r="Z4" s="95">
        <v>995</v>
      </c>
      <c r="AA4" s="95">
        <v>27100</v>
      </c>
      <c r="AB4" s="95">
        <v>37413</v>
      </c>
      <c r="AC4" s="95">
        <v>37617</v>
      </c>
      <c r="AF4" s="95">
        <v>2547036000</v>
      </c>
      <c r="AG4"/>
      <c r="AH4" s="95">
        <v>27050</v>
      </c>
      <c r="AI4" s="95">
        <v>26963</v>
      </c>
      <c r="AJ4" s="95">
        <v>27007</v>
      </c>
      <c r="AK4" s="95">
        <v>27116</v>
      </c>
      <c r="AL4" s="95">
        <v>27120</v>
      </c>
      <c r="AM4" s="95">
        <v>43742</v>
      </c>
      <c r="AN4" s="95">
        <v>34989</v>
      </c>
      <c r="AO4" s="95">
        <v>37480000</v>
      </c>
      <c r="AP4" s="95">
        <v>37413</v>
      </c>
      <c r="AQ4" s="95">
        <v>37617</v>
      </c>
      <c r="AR4" s="95">
        <v>40898</v>
      </c>
    </row>
    <row r="5" spans="1:44" x14ac:dyDescent="0.25">
      <c r="A5" s="95" t="s">
        <v>520</v>
      </c>
      <c r="B5" s="95" t="s">
        <v>127</v>
      </c>
      <c r="C5" s="95">
        <f t="shared" si="0"/>
        <v>3028.2</v>
      </c>
      <c r="D5" s="95">
        <f t="shared" si="1"/>
        <v>2422.3000000000002</v>
      </c>
      <c r="E5" s="184">
        <v>3738000</v>
      </c>
      <c r="F5" s="184">
        <f t="shared" si="2"/>
        <v>10227229.117264288</v>
      </c>
      <c r="G5" s="95">
        <v>0</v>
      </c>
      <c r="H5" s="95">
        <v>239</v>
      </c>
      <c r="I5" s="95">
        <v>7337</v>
      </c>
      <c r="J5" s="95">
        <v>6059</v>
      </c>
      <c r="K5" s="95">
        <v>2801</v>
      </c>
      <c r="L5" s="95">
        <v>2857</v>
      </c>
      <c r="M5" s="95">
        <v>3129</v>
      </c>
      <c r="N5" s="95">
        <v>3216</v>
      </c>
      <c r="O5" s="95">
        <v>2867</v>
      </c>
      <c r="P5" s="95">
        <v>1876</v>
      </c>
      <c r="Q5" s="95">
        <v>2027</v>
      </c>
      <c r="R5" s="95">
        <v>1965</v>
      </c>
      <c r="S5" s="95">
        <v>5949</v>
      </c>
      <c r="T5" s="95">
        <v>2121</v>
      </c>
      <c r="U5" s="95">
        <v>3820</v>
      </c>
      <c r="V5" s="95">
        <v>4460</v>
      </c>
      <c r="W5" s="95">
        <v>1072</v>
      </c>
      <c r="X5" s="95">
        <v>942</v>
      </c>
      <c r="Y5" s="95">
        <v>1280</v>
      </c>
      <c r="Z5" s="95">
        <v>488</v>
      </c>
      <c r="AA5" s="95">
        <v>27960</v>
      </c>
      <c r="AB5" s="95">
        <v>65566</v>
      </c>
      <c r="AC5" s="95">
        <v>64446</v>
      </c>
      <c r="AF5" s="95">
        <f>SUM(AF3:AF4)</f>
        <v>4456506000</v>
      </c>
      <c r="AG5" s="95">
        <f>1.42*AF5/0.99</f>
        <v>6392160121.212121</v>
      </c>
      <c r="AH5" s="95">
        <v>27894</v>
      </c>
      <c r="AI5" s="95">
        <v>27924</v>
      </c>
      <c r="AJ5" s="95">
        <v>27871</v>
      </c>
      <c r="AK5" s="95">
        <v>27824</v>
      </c>
      <c r="AL5" s="95">
        <v>27900</v>
      </c>
      <c r="AM5" s="95">
        <v>64419</v>
      </c>
      <c r="AN5" s="95">
        <v>64156</v>
      </c>
      <c r="AO5" s="95">
        <v>64932000</v>
      </c>
      <c r="AP5" s="95">
        <v>65566</v>
      </c>
      <c r="AQ5" s="95">
        <v>64446</v>
      </c>
      <c r="AR5" s="95">
        <v>62728</v>
      </c>
    </row>
    <row r="6" spans="1:44" x14ac:dyDescent="0.25">
      <c r="A6" s="95" t="s">
        <v>521</v>
      </c>
      <c r="B6" s="95" t="s">
        <v>283</v>
      </c>
      <c r="C6" s="95">
        <f t="shared" si="0"/>
        <v>2982.2</v>
      </c>
      <c r="D6" s="95">
        <f t="shared" si="1"/>
        <v>2940.5</v>
      </c>
      <c r="E6" s="184">
        <v>2789000</v>
      </c>
      <c r="F6" s="184">
        <f t="shared" si="2"/>
        <v>7349632.1406720784</v>
      </c>
      <c r="G6" s="95">
        <v>354</v>
      </c>
      <c r="H6" s="95">
        <v>349</v>
      </c>
      <c r="I6" s="95">
        <v>7415</v>
      </c>
      <c r="J6" s="95">
        <v>8180</v>
      </c>
      <c r="K6" s="95">
        <v>2273</v>
      </c>
      <c r="L6" s="95">
        <v>3066</v>
      </c>
      <c r="M6" s="95">
        <v>2542</v>
      </c>
      <c r="N6" s="95">
        <v>2280</v>
      </c>
      <c r="O6" s="95">
        <v>1684</v>
      </c>
      <c r="P6" s="95">
        <v>1994</v>
      </c>
      <c r="Q6" s="95">
        <v>1744</v>
      </c>
      <c r="R6" s="95">
        <v>1752</v>
      </c>
      <c r="S6" s="95">
        <v>3063</v>
      </c>
      <c r="T6" s="95">
        <v>2296</v>
      </c>
      <c r="U6" s="95">
        <v>1028</v>
      </c>
      <c r="V6" s="95">
        <v>1746</v>
      </c>
      <c r="W6" s="95">
        <v>3043</v>
      </c>
      <c r="X6" s="95">
        <v>2900</v>
      </c>
      <c r="Y6" s="95">
        <v>6676</v>
      </c>
      <c r="Z6" s="95">
        <v>4842</v>
      </c>
      <c r="AA6" s="95">
        <v>20093</v>
      </c>
      <c r="AB6" s="95">
        <v>49773</v>
      </c>
      <c r="AC6" s="95">
        <v>52387</v>
      </c>
      <c r="AF6" s="95">
        <v>17475388</v>
      </c>
      <c r="AG6" s="95">
        <v>17475388</v>
      </c>
      <c r="AH6" s="95">
        <v>20015</v>
      </c>
      <c r="AI6" s="95">
        <v>20013</v>
      </c>
      <c r="AJ6" s="95">
        <v>20060</v>
      </c>
      <c r="AK6" s="95">
        <v>20168</v>
      </c>
      <c r="AL6" s="95">
        <v>20136</v>
      </c>
      <c r="AM6" s="95">
        <v>44784</v>
      </c>
      <c r="AN6" s="95">
        <v>46855</v>
      </c>
      <c r="AO6" s="95">
        <v>46856000</v>
      </c>
      <c r="AP6" s="95">
        <v>49773</v>
      </c>
      <c r="AQ6" s="95">
        <v>52387</v>
      </c>
      <c r="AR6" s="95">
        <v>58611</v>
      </c>
    </row>
    <row r="7" spans="1:44" x14ac:dyDescent="0.25">
      <c r="A7" s="95" t="s">
        <v>521</v>
      </c>
      <c r="B7" s="95" t="s">
        <v>284</v>
      </c>
      <c r="C7" s="95">
        <f t="shared" si="0"/>
        <v>6283.6</v>
      </c>
      <c r="D7" s="95">
        <f t="shared" si="1"/>
        <v>6722</v>
      </c>
      <c r="E7" s="184">
        <v>3336000</v>
      </c>
      <c r="F7" s="184">
        <f t="shared" si="2"/>
        <v>9484328.4614286721</v>
      </c>
      <c r="G7" s="95">
        <v>1663</v>
      </c>
      <c r="H7" s="95">
        <v>1692</v>
      </c>
      <c r="I7" s="95">
        <v>5125</v>
      </c>
      <c r="J7" s="95">
        <v>4974</v>
      </c>
      <c r="K7" s="95">
        <v>7786</v>
      </c>
      <c r="L7" s="95">
        <v>9705</v>
      </c>
      <c r="M7" s="95">
        <v>7876</v>
      </c>
      <c r="N7" s="95">
        <v>7956</v>
      </c>
      <c r="O7" s="95">
        <v>15407</v>
      </c>
      <c r="P7" s="95">
        <v>15303</v>
      </c>
      <c r="Q7" s="95">
        <v>9156</v>
      </c>
      <c r="R7" s="95">
        <v>10330</v>
      </c>
      <c r="S7" s="95">
        <v>2260</v>
      </c>
      <c r="T7" s="95">
        <v>2504</v>
      </c>
      <c r="U7" s="95">
        <v>4369</v>
      </c>
      <c r="V7" s="95">
        <v>4302</v>
      </c>
      <c r="W7" s="95">
        <v>3032</v>
      </c>
      <c r="X7" s="95">
        <v>3990</v>
      </c>
      <c r="Y7" s="95">
        <v>6162</v>
      </c>
      <c r="Z7" s="95">
        <v>6464</v>
      </c>
      <c r="AA7" s="95">
        <v>25929</v>
      </c>
      <c r="AB7" s="95">
        <v>52216</v>
      </c>
      <c r="AC7" s="95">
        <v>56375</v>
      </c>
      <c r="AF7" s="183">
        <f>AF5/AF6</f>
        <v>255.0161404141642</v>
      </c>
      <c r="AG7" s="173">
        <f>AG5/AF6</f>
        <v>365.78072665465976</v>
      </c>
      <c r="AH7" s="95">
        <v>25106</v>
      </c>
      <c r="AI7" s="95">
        <v>25226</v>
      </c>
      <c r="AJ7" s="95">
        <v>25292</v>
      </c>
      <c r="AK7" s="95">
        <v>25560</v>
      </c>
      <c r="AL7" s="95">
        <v>25814</v>
      </c>
      <c r="AM7" s="95">
        <v>55073</v>
      </c>
      <c r="AN7" s="95">
        <v>49696</v>
      </c>
      <c r="AO7" s="95">
        <v>51899000</v>
      </c>
      <c r="AP7" s="95">
        <v>52216</v>
      </c>
      <c r="AQ7" s="95">
        <v>56375</v>
      </c>
      <c r="AR7" s="95">
        <v>57775</v>
      </c>
    </row>
    <row r="8" spans="1:44" ht="12.5" x14ac:dyDescent="0.25">
      <c r="A8" s="95" t="s">
        <v>518</v>
      </c>
      <c r="B8" s="95" t="s">
        <v>239</v>
      </c>
      <c r="C8" s="95">
        <f t="shared" si="0"/>
        <v>29086.9</v>
      </c>
      <c r="D8" s="95">
        <f t="shared" si="1"/>
        <v>29158.799999999999</v>
      </c>
      <c r="E8" s="184">
        <v>17678000</v>
      </c>
      <c r="F8" s="184">
        <f t="shared" si="2"/>
        <v>40517531.091536663</v>
      </c>
      <c r="G8" s="95">
        <v>17225</v>
      </c>
      <c r="H8" s="95">
        <v>17606</v>
      </c>
      <c r="I8" s="95">
        <v>51641</v>
      </c>
      <c r="J8" s="95">
        <v>52240</v>
      </c>
      <c r="K8" s="95">
        <v>43740</v>
      </c>
      <c r="L8" s="95">
        <v>44282</v>
      </c>
      <c r="M8" s="95">
        <v>28058</v>
      </c>
      <c r="N8" s="95">
        <v>36505</v>
      </c>
      <c r="O8" s="95">
        <v>36174</v>
      </c>
      <c r="P8" s="95">
        <v>35078</v>
      </c>
      <c r="Q8" s="95">
        <v>44556</v>
      </c>
      <c r="R8" s="95">
        <v>43282</v>
      </c>
      <c r="S8" s="95">
        <v>21378</v>
      </c>
      <c r="T8" s="95">
        <v>18205</v>
      </c>
      <c r="U8" s="95">
        <v>14566</v>
      </c>
      <c r="V8" s="95">
        <v>12760</v>
      </c>
      <c r="W8" s="95">
        <v>20005</v>
      </c>
      <c r="X8" s="95">
        <v>18463</v>
      </c>
      <c r="Y8" s="95">
        <v>13526</v>
      </c>
      <c r="Z8" s="95">
        <v>13167</v>
      </c>
      <c r="AA8" s="95">
        <v>110770</v>
      </c>
      <c r="AB8" s="95">
        <v>479030</v>
      </c>
      <c r="AC8" s="95">
        <v>485722</v>
      </c>
      <c r="AF8" s="183"/>
      <c r="AG8"/>
      <c r="AH8" s="95">
        <v>108437</v>
      </c>
      <c r="AI8" s="95">
        <v>108500</v>
      </c>
      <c r="AJ8" s="95">
        <v>108578</v>
      </c>
      <c r="AK8" s="95">
        <v>109398</v>
      </c>
      <c r="AL8" s="95">
        <v>109896</v>
      </c>
      <c r="AM8" s="95">
        <v>424192</v>
      </c>
      <c r="AN8" s="95">
        <v>462767</v>
      </c>
      <c r="AO8" s="95">
        <v>467300000</v>
      </c>
      <c r="AP8" s="95">
        <v>479030</v>
      </c>
      <c r="AQ8" s="95">
        <v>485722</v>
      </c>
      <c r="AR8" s="95">
        <v>478003</v>
      </c>
    </row>
    <row r="9" spans="1:44" ht="12.5" x14ac:dyDescent="0.25">
      <c r="A9" s="95" t="s">
        <v>522</v>
      </c>
      <c r="B9" s="95" t="s">
        <v>141</v>
      </c>
      <c r="C9" s="95">
        <f t="shared" si="0"/>
        <v>24955.9</v>
      </c>
      <c r="D9" s="95">
        <f t="shared" si="1"/>
        <v>28673.9</v>
      </c>
      <c r="E9" s="184">
        <v>11372000</v>
      </c>
      <c r="F9" s="184">
        <f t="shared" si="2"/>
        <v>26757591.716241669</v>
      </c>
      <c r="G9" s="95">
        <v>5967</v>
      </c>
      <c r="H9" s="95">
        <v>6082</v>
      </c>
      <c r="I9" s="95">
        <v>55271</v>
      </c>
      <c r="J9" s="95">
        <v>54625</v>
      </c>
      <c r="K9" s="95">
        <v>55150</v>
      </c>
      <c r="L9" s="95">
        <v>60563</v>
      </c>
      <c r="M9" s="95">
        <v>81597</v>
      </c>
      <c r="N9" s="95">
        <v>140066</v>
      </c>
      <c r="O9" s="95">
        <v>22927</v>
      </c>
      <c r="P9" s="95">
        <v>26747</v>
      </c>
      <c r="Q9" s="95">
        <v>24251</v>
      </c>
      <c r="R9" s="95">
        <v>32080</v>
      </c>
      <c r="S9" s="95">
        <v>2090</v>
      </c>
      <c r="T9" s="95">
        <v>2469</v>
      </c>
      <c r="U9" s="95">
        <v>562</v>
      </c>
      <c r="V9" s="95">
        <v>851</v>
      </c>
      <c r="W9" s="95">
        <v>-4005</v>
      </c>
      <c r="X9" s="95">
        <v>-29221</v>
      </c>
      <c r="Y9" s="95">
        <v>5749</v>
      </c>
      <c r="Z9" s="95">
        <v>-7523</v>
      </c>
      <c r="AA9" s="95">
        <v>73152</v>
      </c>
      <c r="AB9" s="95">
        <v>187048</v>
      </c>
      <c r="AC9" s="95">
        <v>185826</v>
      </c>
      <c r="AF9" s="183"/>
      <c r="AG9" s="129"/>
      <c r="AH9" s="95">
        <v>72487</v>
      </c>
      <c r="AI9" s="95">
        <v>72611</v>
      </c>
      <c r="AJ9" s="95">
        <v>72883</v>
      </c>
      <c r="AK9" s="95">
        <v>73105</v>
      </c>
      <c r="AL9" s="95">
        <v>73132</v>
      </c>
      <c r="AM9" s="95">
        <v>274361</v>
      </c>
      <c r="AN9" s="95">
        <v>265798</v>
      </c>
      <c r="AO9" s="95">
        <v>187867000</v>
      </c>
      <c r="AP9" s="95">
        <v>187048</v>
      </c>
      <c r="AQ9" s="95">
        <v>185826</v>
      </c>
      <c r="AR9" s="95">
        <v>198850</v>
      </c>
    </row>
    <row r="10" spans="1:44" ht="12.5" x14ac:dyDescent="0.25">
      <c r="A10" s="95" t="s">
        <v>523</v>
      </c>
      <c r="B10" s="95" t="s">
        <v>429</v>
      </c>
      <c r="C10" s="95">
        <f t="shared" si="0"/>
        <v>115533.3</v>
      </c>
      <c r="D10" s="95">
        <f t="shared" si="1"/>
        <v>103091.7</v>
      </c>
      <c r="E10" s="184">
        <v>25338000</v>
      </c>
      <c r="F10" s="184">
        <f t="shared" si="2"/>
        <v>79682770.836631045</v>
      </c>
      <c r="G10" s="95">
        <v>144689</v>
      </c>
      <c r="H10" s="95">
        <v>82630</v>
      </c>
      <c r="I10" s="95">
        <v>134032</v>
      </c>
      <c r="J10" s="95">
        <v>159886</v>
      </c>
      <c r="K10" s="95">
        <v>103524</v>
      </c>
      <c r="L10" s="95">
        <v>110536</v>
      </c>
      <c r="M10" s="95">
        <v>84793</v>
      </c>
      <c r="N10" s="95">
        <v>154627</v>
      </c>
      <c r="O10" s="95">
        <v>133158</v>
      </c>
      <c r="P10" s="95">
        <v>162639</v>
      </c>
      <c r="Q10" s="95">
        <v>98324</v>
      </c>
      <c r="R10" s="95">
        <v>101023</v>
      </c>
      <c r="S10" s="95">
        <v>128991</v>
      </c>
      <c r="T10" s="95">
        <v>70609</v>
      </c>
      <c r="U10" s="95">
        <v>128125</v>
      </c>
      <c r="V10" s="95">
        <v>46190</v>
      </c>
      <c r="W10" s="95">
        <v>102527</v>
      </c>
      <c r="X10" s="95">
        <v>73412</v>
      </c>
      <c r="Y10" s="95">
        <v>97170</v>
      </c>
      <c r="Z10" s="95">
        <v>69365</v>
      </c>
      <c r="AA10" s="95">
        <v>217843</v>
      </c>
      <c r="AB10" s="95">
        <v>770343</v>
      </c>
      <c r="AC10" s="95">
        <v>782298</v>
      </c>
      <c r="AF10" s="183"/>
      <c r="AG10" s="128"/>
      <c r="AH10" s="95">
        <v>200954</v>
      </c>
      <c r="AI10" s="95">
        <v>203997</v>
      </c>
      <c r="AJ10" s="95">
        <v>207819</v>
      </c>
      <c r="AK10" s="95">
        <v>211639</v>
      </c>
      <c r="AL10" s="95">
        <v>214715</v>
      </c>
      <c r="AM10" s="95">
        <v>697149</v>
      </c>
      <c r="AN10" s="95">
        <v>719744</v>
      </c>
      <c r="AO10" s="95">
        <v>459657000</v>
      </c>
      <c r="AP10" s="95">
        <v>770343</v>
      </c>
      <c r="AQ10" s="95">
        <v>782298</v>
      </c>
      <c r="AR10" s="95">
        <v>790352</v>
      </c>
    </row>
    <row r="11" spans="1:44" ht="12.5" x14ac:dyDescent="0.25">
      <c r="A11" s="95" t="s">
        <v>521</v>
      </c>
      <c r="B11" s="95" t="s">
        <v>285</v>
      </c>
      <c r="C11" s="95">
        <f t="shared" si="0"/>
        <v>23059.200000000001</v>
      </c>
      <c r="D11" s="95">
        <f t="shared" si="1"/>
        <v>28175.599999999999</v>
      </c>
      <c r="E11" s="184">
        <v>16260000</v>
      </c>
      <c r="F11" s="184">
        <f t="shared" si="2"/>
        <v>41298472.942944363</v>
      </c>
      <c r="G11" s="95">
        <v>7719</v>
      </c>
      <c r="H11" s="95">
        <v>11005</v>
      </c>
      <c r="I11" s="95">
        <v>48615</v>
      </c>
      <c r="J11" s="95">
        <v>62658</v>
      </c>
      <c r="K11" s="95">
        <v>36477</v>
      </c>
      <c r="L11" s="95">
        <v>67936</v>
      </c>
      <c r="M11" s="95">
        <v>27961</v>
      </c>
      <c r="N11" s="95">
        <v>37830</v>
      </c>
      <c r="O11" s="95">
        <v>35172</v>
      </c>
      <c r="P11" s="95">
        <v>34370</v>
      </c>
      <c r="Q11" s="95">
        <v>28827</v>
      </c>
      <c r="R11" s="95">
        <v>17905</v>
      </c>
      <c r="S11" s="95">
        <v>17951</v>
      </c>
      <c r="T11" s="95">
        <v>12772</v>
      </c>
      <c r="U11" s="95">
        <v>10989</v>
      </c>
      <c r="V11" s="95">
        <v>15186</v>
      </c>
      <c r="W11" s="95">
        <v>6914</v>
      </c>
      <c r="X11" s="95">
        <v>8485</v>
      </c>
      <c r="Y11" s="95">
        <v>9967</v>
      </c>
      <c r="Z11" s="95">
        <v>13609</v>
      </c>
      <c r="AA11" s="95">
        <v>112905</v>
      </c>
      <c r="AB11" s="95">
        <v>279372</v>
      </c>
      <c r="AC11" s="95">
        <v>284253</v>
      </c>
      <c r="AF11" s="183">
        <v>210.91</v>
      </c>
      <c r="AG11"/>
      <c r="AH11" s="95">
        <v>108918</v>
      </c>
      <c r="AI11" s="95">
        <v>109667</v>
      </c>
      <c r="AJ11" s="95">
        <v>111036</v>
      </c>
      <c r="AK11" s="95">
        <v>111792</v>
      </c>
      <c r="AL11" s="95">
        <v>112587</v>
      </c>
      <c r="AM11" s="95">
        <v>301826</v>
      </c>
      <c r="AN11" s="95">
        <v>282626</v>
      </c>
      <c r="AO11" s="95">
        <v>270069000</v>
      </c>
      <c r="AP11" s="95">
        <v>279372</v>
      </c>
      <c r="AQ11" s="95">
        <v>284253</v>
      </c>
      <c r="AR11" s="95">
        <v>297997</v>
      </c>
    </row>
    <row r="12" spans="1:44" ht="12.5" x14ac:dyDescent="0.25">
      <c r="A12" s="95" t="s">
        <v>517</v>
      </c>
      <c r="B12" s="95" t="s">
        <v>343</v>
      </c>
      <c r="C12" s="95">
        <f t="shared" si="0"/>
        <v>2260.8000000000002</v>
      </c>
      <c r="D12" s="95">
        <f t="shared" si="1"/>
        <v>1807.5</v>
      </c>
      <c r="E12" s="184">
        <v>768000</v>
      </c>
      <c r="F12" s="184">
        <f t="shared" si="2"/>
        <v>3814361.417554792</v>
      </c>
      <c r="G12" s="95">
        <v>2642</v>
      </c>
      <c r="H12" s="95">
        <v>1848</v>
      </c>
      <c r="I12" s="95">
        <v>2880</v>
      </c>
      <c r="J12" s="95">
        <v>2674</v>
      </c>
      <c r="K12" s="95">
        <v>1641</v>
      </c>
      <c r="L12" s="95">
        <v>1409</v>
      </c>
      <c r="M12" s="95">
        <v>1495</v>
      </c>
      <c r="N12" s="95">
        <v>1364</v>
      </c>
      <c r="O12" s="95">
        <v>2821</v>
      </c>
      <c r="P12" s="95">
        <v>2607</v>
      </c>
      <c r="Q12" s="95">
        <v>3029</v>
      </c>
      <c r="R12" s="95">
        <v>2314</v>
      </c>
      <c r="S12" s="95">
        <v>4126</v>
      </c>
      <c r="T12" s="95">
        <v>3418</v>
      </c>
      <c r="U12" s="95">
        <v>2423</v>
      </c>
      <c r="V12" s="95">
        <v>1688</v>
      </c>
      <c r="W12" s="95">
        <v>557</v>
      </c>
      <c r="X12" s="95">
        <v>368</v>
      </c>
      <c r="Y12" s="95">
        <v>994</v>
      </c>
      <c r="Z12" s="95">
        <v>385</v>
      </c>
      <c r="AA12" s="95">
        <v>10428</v>
      </c>
      <c r="AB12" s="95">
        <v>18755</v>
      </c>
      <c r="AC12" s="95">
        <v>19084</v>
      </c>
      <c r="AF12" s="183">
        <f>SUM(AF7,AF11)</f>
        <v>465.92614041416419</v>
      </c>
      <c r="AG12"/>
      <c r="AH12" s="95">
        <v>10052</v>
      </c>
      <c r="AI12" s="95">
        <v>10083</v>
      </c>
      <c r="AJ12" s="95">
        <v>10139</v>
      </c>
      <c r="AK12" s="95">
        <v>10212</v>
      </c>
      <c r="AL12" s="95">
        <v>10373</v>
      </c>
      <c r="AM12" s="95">
        <v>18129</v>
      </c>
      <c r="AN12" s="95">
        <v>17245</v>
      </c>
      <c r="AO12" s="95">
        <v>18392000</v>
      </c>
      <c r="AP12" s="95">
        <v>18755</v>
      </c>
      <c r="AQ12" s="95">
        <v>19084</v>
      </c>
      <c r="AR12" s="95">
        <v>21476</v>
      </c>
    </row>
    <row r="13" spans="1:44" ht="12.5" x14ac:dyDescent="0.25">
      <c r="A13" s="95" t="s">
        <v>517</v>
      </c>
      <c r="B13" s="95" t="s">
        <v>598</v>
      </c>
      <c r="C13" s="95">
        <f t="shared" si="0"/>
        <v>16028</v>
      </c>
      <c r="D13" s="95">
        <f t="shared" si="1"/>
        <v>16151.5</v>
      </c>
      <c r="E13" s="184">
        <v>8037000</v>
      </c>
      <c r="F13" s="184">
        <f t="shared" si="2"/>
        <v>20852427.665128842</v>
      </c>
      <c r="G13" s="95">
        <v>7253</v>
      </c>
      <c r="H13" s="95">
        <v>7342</v>
      </c>
      <c r="I13" s="95">
        <v>20760</v>
      </c>
      <c r="J13" s="95">
        <v>22744</v>
      </c>
      <c r="K13" s="95">
        <v>10567</v>
      </c>
      <c r="L13" s="95">
        <v>11229</v>
      </c>
      <c r="M13" s="95">
        <v>36917</v>
      </c>
      <c r="N13" s="95">
        <v>42936</v>
      </c>
      <c r="O13" s="95">
        <v>15764</v>
      </c>
      <c r="P13" s="95">
        <v>12849</v>
      </c>
      <c r="Q13" s="95">
        <v>15924</v>
      </c>
      <c r="R13" s="95">
        <v>14051</v>
      </c>
      <c r="S13" s="95">
        <v>16806</v>
      </c>
      <c r="T13" s="95">
        <v>16278</v>
      </c>
      <c r="U13" s="95">
        <v>15333</v>
      </c>
      <c r="V13" s="95">
        <v>12862</v>
      </c>
      <c r="W13" s="95">
        <v>8579</v>
      </c>
      <c r="X13" s="95">
        <v>8131</v>
      </c>
      <c r="Y13" s="95">
        <v>12377</v>
      </c>
      <c r="Z13" s="95">
        <v>13093</v>
      </c>
      <c r="AA13" s="95">
        <v>57008</v>
      </c>
      <c r="AB13" s="95">
        <v>128110</v>
      </c>
      <c r="AC13" s="95">
        <v>143922</v>
      </c>
      <c r="AF13" s="183">
        <v>682.5</v>
      </c>
      <c r="AG13" s="129"/>
      <c r="AH13" s="95">
        <v>54451</v>
      </c>
      <c r="AI13" s="95">
        <v>54757</v>
      </c>
      <c r="AJ13" s="95">
        <v>55391</v>
      </c>
      <c r="AK13" s="95">
        <v>55978</v>
      </c>
      <c r="AL13" s="95">
        <v>56352</v>
      </c>
      <c r="AM13" s="95">
        <v>106403</v>
      </c>
      <c r="AN13" s="95">
        <v>106026</v>
      </c>
      <c r="AO13" s="95">
        <v>114265000</v>
      </c>
      <c r="AP13" s="95">
        <v>128110</v>
      </c>
      <c r="AQ13" s="95">
        <v>143922</v>
      </c>
      <c r="AR13" s="95">
        <v>145480</v>
      </c>
    </row>
    <row r="14" spans="1:44" ht="12.5" x14ac:dyDescent="0.25">
      <c r="A14" s="95" t="s">
        <v>520</v>
      </c>
      <c r="B14" s="95" t="s">
        <v>128</v>
      </c>
      <c r="C14" s="95">
        <f t="shared" si="0"/>
        <v>207</v>
      </c>
      <c r="D14" s="95">
        <f t="shared" si="1"/>
        <v>254</v>
      </c>
      <c r="E14" s="184">
        <v>2086000</v>
      </c>
      <c r="F14" s="184">
        <f t="shared" si="2"/>
        <v>1373506.6285882473</v>
      </c>
      <c r="G14" s="95">
        <v>0</v>
      </c>
      <c r="H14" s="95">
        <v>10</v>
      </c>
      <c r="I14" s="95">
        <v>281</v>
      </c>
      <c r="J14" s="95">
        <v>281</v>
      </c>
      <c r="K14" s="95">
        <v>22</v>
      </c>
      <c r="L14" s="95">
        <v>22</v>
      </c>
      <c r="M14" s="95">
        <v>9</v>
      </c>
      <c r="N14" s="95">
        <v>10</v>
      </c>
      <c r="O14" s="95">
        <v>21</v>
      </c>
      <c r="P14" s="95">
        <v>21</v>
      </c>
      <c r="Q14" s="95">
        <v>248</v>
      </c>
      <c r="R14" s="95">
        <v>317</v>
      </c>
      <c r="S14" s="95">
        <v>0</v>
      </c>
      <c r="T14" s="95">
        <v>19</v>
      </c>
      <c r="U14" s="95">
        <v>265</v>
      </c>
      <c r="V14" s="95">
        <v>19</v>
      </c>
      <c r="W14" s="95">
        <v>0</v>
      </c>
      <c r="X14" s="95">
        <v>46</v>
      </c>
      <c r="Y14" s="95">
        <v>1224</v>
      </c>
      <c r="Z14" s="95">
        <v>1795</v>
      </c>
      <c r="AA14" s="95">
        <v>3755</v>
      </c>
      <c r="AB14" s="95">
        <v>27187</v>
      </c>
      <c r="AC14" s="95">
        <v>27813</v>
      </c>
      <c r="AF14"/>
      <c r="AG14"/>
      <c r="AH14" s="95">
        <v>3633</v>
      </c>
      <c r="AI14" s="95">
        <v>3654</v>
      </c>
      <c r="AJ14" s="95">
        <v>3674</v>
      </c>
      <c r="AK14" s="95">
        <v>3723</v>
      </c>
      <c r="AL14" s="95">
        <v>3746</v>
      </c>
      <c r="AM14" s="95">
        <v>29560</v>
      </c>
      <c r="AN14" s="95">
        <v>27275</v>
      </c>
      <c r="AO14" s="95">
        <v>28616000</v>
      </c>
      <c r="AP14" s="95">
        <v>27187</v>
      </c>
      <c r="AQ14" s="95">
        <v>27813</v>
      </c>
      <c r="AR14" s="95">
        <v>31529</v>
      </c>
    </row>
    <row r="15" spans="1:44" ht="12.5" x14ac:dyDescent="0.25">
      <c r="A15" s="95" t="s">
        <v>524</v>
      </c>
      <c r="B15" s="95" t="s">
        <v>214</v>
      </c>
      <c r="C15" s="95">
        <f t="shared" si="0"/>
        <v>45840.6</v>
      </c>
      <c r="D15" s="95">
        <f t="shared" si="1"/>
        <v>50543.1</v>
      </c>
      <c r="E15" s="184">
        <v>21301000</v>
      </c>
      <c r="F15" s="184">
        <f t="shared" si="2"/>
        <v>58007702.31725587</v>
      </c>
      <c r="G15" s="95">
        <v>29963</v>
      </c>
      <c r="H15" s="95">
        <v>30471</v>
      </c>
      <c r="I15" s="95">
        <v>41199</v>
      </c>
      <c r="J15" s="95">
        <v>52917</v>
      </c>
      <c r="K15" s="95">
        <v>61019</v>
      </c>
      <c r="L15" s="95">
        <v>80693</v>
      </c>
      <c r="M15" s="95">
        <v>39513</v>
      </c>
      <c r="N15" s="95">
        <v>45157</v>
      </c>
      <c r="O15" s="95">
        <v>68614</v>
      </c>
      <c r="P15" s="95">
        <v>68627</v>
      </c>
      <c r="Q15" s="95">
        <v>57237</v>
      </c>
      <c r="R15" s="95">
        <v>50582</v>
      </c>
      <c r="S15" s="95">
        <v>26939</v>
      </c>
      <c r="T15" s="95">
        <v>46242</v>
      </c>
      <c r="U15" s="95">
        <v>55970</v>
      </c>
      <c r="V15" s="95">
        <v>53127</v>
      </c>
      <c r="W15" s="95">
        <v>19648</v>
      </c>
      <c r="X15" s="95">
        <v>28333</v>
      </c>
      <c r="Y15" s="95">
        <v>58304</v>
      </c>
      <c r="Z15" s="95">
        <v>49282</v>
      </c>
      <c r="AA15" s="95">
        <v>158586</v>
      </c>
      <c r="AB15" s="95">
        <v>496723</v>
      </c>
      <c r="AC15" s="95">
        <v>510171</v>
      </c>
      <c r="AF15"/>
      <c r="AG15"/>
      <c r="AH15" s="95">
        <v>154338</v>
      </c>
      <c r="AI15" s="95">
        <v>155215</v>
      </c>
      <c r="AJ15" s="95">
        <v>156294</v>
      </c>
      <c r="AK15" s="95">
        <v>157310</v>
      </c>
      <c r="AL15" s="95">
        <v>157462</v>
      </c>
      <c r="AM15" s="95">
        <v>351919</v>
      </c>
      <c r="AN15" s="95">
        <v>480635</v>
      </c>
      <c r="AO15" s="95">
        <v>391717000</v>
      </c>
      <c r="AP15" s="95">
        <v>496723</v>
      </c>
      <c r="AQ15" s="95">
        <v>510171</v>
      </c>
      <c r="AR15" s="95">
        <v>512993</v>
      </c>
    </row>
    <row r="16" spans="1:44" ht="12.5" x14ac:dyDescent="0.25">
      <c r="A16" s="95" t="s">
        <v>518</v>
      </c>
      <c r="B16" s="95" t="s">
        <v>240</v>
      </c>
      <c r="C16" s="95">
        <f t="shared" si="0"/>
        <v>17225.900000000001</v>
      </c>
      <c r="D16" s="95">
        <f t="shared" si="1"/>
        <v>13802.9</v>
      </c>
      <c r="E16" s="184">
        <v>12163000</v>
      </c>
      <c r="F16" s="184">
        <f t="shared" si="2"/>
        <v>33784605.256004341</v>
      </c>
      <c r="G16" s="95">
        <v>8648</v>
      </c>
      <c r="H16" s="95">
        <v>4226</v>
      </c>
      <c r="I16" s="95">
        <v>37403</v>
      </c>
      <c r="J16" s="95">
        <v>38365</v>
      </c>
      <c r="K16" s="95">
        <v>21318</v>
      </c>
      <c r="L16" s="95">
        <v>18727</v>
      </c>
      <c r="M16" s="95">
        <v>17065</v>
      </c>
      <c r="N16" s="95">
        <v>15570</v>
      </c>
      <c r="O16" s="95">
        <v>43358</v>
      </c>
      <c r="P16" s="95">
        <v>31764</v>
      </c>
      <c r="Q16" s="95">
        <v>18755</v>
      </c>
      <c r="R16" s="95">
        <v>14503</v>
      </c>
      <c r="S16" s="95">
        <v>5818</v>
      </c>
      <c r="T16" s="95">
        <v>4046</v>
      </c>
      <c r="U16" s="95">
        <v>7933</v>
      </c>
      <c r="V16" s="95">
        <v>5034</v>
      </c>
      <c r="W16" s="95">
        <v>8030</v>
      </c>
      <c r="X16" s="95">
        <v>3379</v>
      </c>
      <c r="Y16" s="95">
        <v>3931</v>
      </c>
      <c r="Z16" s="95">
        <v>2415</v>
      </c>
      <c r="AA16" s="95">
        <v>92363</v>
      </c>
      <c r="AB16" s="95">
        <v>200179</v>
      </c>
      <c r="AC16" s="95">
        <v>208019</v>
      </c>
      <c r="AF16"/>
      <c r="AG16"/>
      <c r="AH16" s="95">
        <v>89298</v>
      </c>
      <c r="AI16" s="95">
        <v>89895</v>
      </c>
      <c r="AJ16" s="95">
        <v>90827</v>
      </c>
      <c r="AK16" s="95">
        <v>91907</v>
      </c>
      <c r="AL16" s="95">
        <v>90829</v>
      </c>
      <c r="AM16" s="95">
        <v>201154</v>
      </c>
      <c r="AN16" s="95">
        <v>204291</v>
      </c>
      <c r="AO16" s="95">
        <v>201041000</v>
      </c>
      <c r="AP16" s="95">
        <v>200179</v>
      </c>
      <c r="AQ16" s="95">
        <v>208019</v>
      </c>
      <c r="AR16" s="95">
        <v>225901</v>
      </c>
    </row>
    <row r="17" spans="1:44" ht="12.5" x14ac:dyDescent="0.25">
      <c r="A17" s="95" t="s">
        <v>518</v>
      </c>
      <c r="B17" s="95" t="s">
        <v>241</v>
      </c>
      <c r="C17" s="95">
        <f t="shared" si="0"/>
        <v>854584.6</v>
      </c>
      <c r="D17" s="95">
        <f t="shared" si="1"/>
        <v>607427.6</v>
      </c>
      <c r="E17" s="184">
        <v>235399000</v>
      </c>
      <c r="F17" s="184">
        <f t="shared" si="2"/>
        <v>323327849.73839331</v>
      </c>
      <c r="G17" s="95">
        <v>649425</v>
      </c>
      <c r="H17" s="95">
        <v>424962</v>
      </c>
      <c r="I17" s="95">
        <v>971884</v>
      </c>
      <c r="J17" s="95">
        <v>1068193</v>
      </c>
      <c r="K17" s="95">
        <v>1019834</v>
      </c>
      <c r="L17" s="95">
        <v>595748</v>
      </c>
      <c r="M17" s="95">
        <v>1133742</v>
      </c>
      <c r="N17" s="95">
        <v>957530</v>
      </c>
      <c r="O17" s="95">
        <v>1072643</v>
      </c>
      <c r="P17" s="95">
        <v>708096</v>
      </c>
      <c r="Q17" s="95">
        <v>1038622</v>
      </c>
      <c r="R17" s="95">
        <v>790309</v>
      </c>
      <c r="S17" s="95">
        <v>671167</v>
      </c>
      <c r="T17" s="95">
        <v>421517</v>
      </c>
      <c r="U17" s="95">
        <v>824955</v>
      </c>
      <c r="V17" s="95">
        <v>375922</v>
      </c>
      <c r="W17" s="95">
        <v>637306</v>
      </c>
      <c r="X17" s="95">
        <v>388019</v>
      </c>
      <c r="Y17" s="95">
        <v>526268</v>
      </c>
      <c r="Z17" s="95">
        <v>343980</v>
      </c>
      <c r="AA17" s="95">
        <v>883939</v>
      </c>
      <c r="AB17" s="95">
        <v>12044601</v>
      </c>
      <c r="AC17" s="95">
        <v>12486714</v>
      </c>
      <c r="AF17"/>
      <c r="AG17"/>
      <c r="AH17" s="95">
        <v>848861</v>
      </c>
      <c r="AI17" s="95">
        <v>855896</v>
      </c>
      <c r="AJ17" s="95">
        <v>863202</v>
      </c>
      <c r="AK17" s="95">
        <v>873471</v>
      </c>
      <c r="AL17" s="95">
        <v>873338</v>
      </c>
      <c r="AM17" s="95">
        <v>10566090</v>
      </c>
      <c r="AN17" s="95">
        <v>10984907</v>
      </c>
      <c r="AO17" s="95">
        <v>11423684000</v>
      </c>
      <c r="AP17" s="95">
        <v>12044601</v>
      </c>
      <c r="AQ17" s="95">
        <v>12486714</v>
      </c>
      <c r="AR17" s="95">
        <v>12777395</v>
      </c>
    </row>
    <row r="18" spans="1:44" ht="12.5" x14ac:dyDescent="0.25">
      <c r="A18" s="95" t="s">
        <v>519</v>
      </c>
      <c r="B18" s="95" t="s">
        <v>166</v>
      </c>
      <c r="C18" s="95">
        <f t="shared" si="0"/>
        <v>33830.9</v>
      </c>
      <c r="D18" s="95">
        <f t="shared" si="1"/>
        <v>27502.6</v>
      </c>
      <c r="E18" s="184">
        <v>23800000</v>
      </c>
      <c r="F18" s="184">
        <f t="shared" si="2"/>
        <v>60568167.403838493</v>
      </c>
      <c r="G18" s="95">
        <v>11614</v>
      </c>
      <c r="H18" s="95">
        <v>6639</v>
      </c>
      <c r="I18" s="95">
        <v>76986</v>
      </c>
      <c r="J18" s="95">
        <v>45522</v>
      </c>
      <c r="K18" s="95">
        <v>33987</v>
      </c>
      <c r="L18" s="95">
        <v>49696</v>
      </c>
      <c r="M18" s="95">
        <v>22478</v>
      </c>
      <c r="N18" s="95">
        <v>31632</v>
      </c>
      <c r="O18" s="95">
        <v>49320</v>
      </c>
      <c r="P18" s="95">
        <v>47146</v>
      </c>
      <c r="Q18" s="95">
        <v>46741</v>
      </c>
      <c r="R18" s="95">
        <v>26665</v>
      </c>
      <c r="S18" s="95">
        <v>36612</v>
      </c>
      <c r="T18" s="95">
        <v>22982</v>
      </c>
      <c r="U18" s="95">
        <v>23396</v>
      </c>
      <c r="V18" s="95">
        <v>15934</v>
      </c>
      <c r="W18" s="95">
        <v>21017</v>
      </c>
      <c r="X18" s="95">
        <v>15979</v>
      </c>
      <c r="Y18" s="95">
        <v>16158</v>
      </c>
      <c r="Z18" s="95">
        <v>12831</v>
      </c>
      <c r="AA18" s="95">
        <v>165586</v>
      </c>
      <c r="AB18" s="95">
        <v>544938</v>
      </c>
      <c r="AC18" s="95">
        <v>558962</v>
      </c>
      <c r="AF18"/>
      <c r="AG18"/>
      <c r="AH18" s="95">
        <v>160059</v>
      </c>
      <c r="AI18" s="95">
        <v>161181</v>
      </c>
      <c r="AJ18" s="95">
        <v>162456</v>
      </c>
      <c r="AK18" s="95">
        <v>163776</v>
      </c>
      <c r="AL18" s="95">
        <v>164781</v>
      </c>
      <c r="AM18" s="95">
        <v>549689</v>
      </c>
      <c r="AN18" s="95">
        <v>529372</v>
      </c>
      <c r="AO18" s="95">
        <v>556057000</v>
      </c>
      <c r="AP18" s="95">
        <v>544938</v>
      </c>
      <c r="AQ18" s="95">
        <v>558962</v>
      </c>
      <c r="AR18" s="95">
        <v>595519</v>
      </c>
    </row>
    <row r="19" spans="1:44" ht="12.5" x14ac:dyDescent="0.25">
      <c r="A19" s="95" t="s">
        <v>519</v>
      </c>
      <c r="B19" s="95" t="s">
        <v>167</v>
      </c>
      <c r="C19" s="95">
        <f t="shared" si="0"/>
        <v>48912.1</v>
      </c>
      <c r="D19" s="95">
        <f t="shared" si="1"/>
        <v>45983</v>
      </c>
      <c r="E19" s="184">
        <v>33818000</v>
      </c>
      <c r="F19" s="184">
        <f t="shared" si="2"/>
        <v>59974871.065204635</v>
      </c>
      <c r="G19" s="95">
        <v>29727</v>
      </c>
      <c r="H19" s="95">
        <v>28800</v>
      </c>
      <c r="I19" s="95">
        <v>86518</v>
      </c>
      <c r="J19" s="95">
        <v>99646</v>
      </c>
      <c r="K19" s="95">
        <v>67024</v>
      </c>
      <c r="L19" s="95">
        <v>77480</v>
      </c>
      <c r="M19" s="95">
        <v>47872</v>
      </c>
      <c r="N19" s="95">
        <v>48761</v>
      </c>
      <c r="O19" s="95">
        <v>52451</v>
      </c>
      <c r="P19" s="95">
        <v>62936</v>
      </c>
      <c r="Q19" s="95">
        <v>33888</v>
      </c>
      <c r="R19" s="95">
        <v>34126</v>
      </c>
      <c r="S19" s="95">
        <v>57898</v>
      </c>
      <c r="T19" s="95">
        <v>34126</v>
      </c>
      <c r="U19" s="95">
        <v>34958</v>
      </c>
      <c r="V19" s="95">
        <v>35107</v>
      </c>
      <c r="W19" s="95">
        <v>35795</v>
      </c>
      <c r="X19" s="237">
        <v>1230</v>
      </c>
      <c r="Y19" s="95">
        <v>42990</v>
      </c>
      <c r="Z19" s="95">
        <v>37618</v>
      </c>
      <c r="AA19" s="95">
        <v>163964</v>
      </c>
      <c r="AB19" s="95">
        <v>678148</v>
      </c>
      <c r="AC19" s="95">
        <v>683199</v>
      </c>
      <c r="AF19"/>
      <c r="AG19"/>
      <c r="AH19" s="95">
        <v>155721</v>
      </c>
      <c r="AI19" s="95">
        <v>157277</v>
      </c>
      <c r="AJ19" s="95">
        <v>159277</v>
      </c>
      <c r="AK19" s="95">
        <v>161326</v>
      </c>
      <c r="AL19" s="95">
        <v>162424</v>
      </c>
      <c r="AM19" s="95">
        <v>684051</v>
      </c>
      <c r="AN19" s="95">
        <v>681425</v>
      </c>
      <c r="AO19" s="95">
        <v>695308000</v>
      </c>
      <c r="AP19" s="95">
        <v>678148</v>
      </c>
      <c r="AQ19" s="95">
        <v>683199</v>
      </c>
      <c r="AR19" s="95">
        <v>695720</v>
      </c>
    </row>
    <row r="20" spans="1:44" ht="12.5" x14ac:dyDescent="0.25">
      <c r="A20" s="95" t="s">
        <v>516</v>
      </c>
      <c r="B20" s="95" t="s">
        <v>107</v>
      </c>
      <c r="C20" s="95">
        <f t="shared" si="0"/>
        <v>18020.099999999999</v>
      </c>
      <c r="D20" s="95">
        <f t="shared" si="1"/>
        <v>19823.2</v>
      </c>
      <c r="E20" s="184">
        <v>11877000</v>
      </c>
      <c r="F20" s="184">
        <f t="shared" si="2"/>
        <v>25222044.22574541</v>
      </c>
      <c r="G20" s="95">
        <v>11346</v>
      </c>
      <c r="H20" s="95">
        <v>11881</v>
      </c>
      <c r="I20" s="95">
        <v>6927</v>
      </c>
      <c r="J20" s="95">
        <v>15560</v>
      </c>
      <c r="K20" s="95">
        <v>5658</v>
      </c>
      <c r="L20" s="95">
        <v>16814</v>
      </c>
      <c r="M20" s="95">
        <v>16271</v>
      </c>
      <c r="N20" s="95">
        <v>25100</v>
      </c>
      <c r="O20" s="95">
        <v>119098</v>
      </c>
      <c r="P20" s="95">
        <v>106596</v>
      </c>
      <c r="Q20" s="95">
        <v>7671</v>
      </c>
      <c r="R20" s="95">
        <v>7837</v>
      </c>
      <c r="S20" s="95">
        <v>2968</v>
      </c>
      <c r="T20" s="95">
        <v>5190</v>
      </c>
      <c r="U20" s="95">
        <v>3726</v>
      </c>
      <c r="V20" s="95">
        <v>2603</v>
      </c>
      <c r="W20" s="95">
        <v>2319</v>
      </c>
      <c r="X20" s="95">
        <v>2901</v>
      </c>
      <c r="Y20" s="95">
        <v>4217</v>
      </c>
      <c r="Z20" s="95">
        <v>3750</v>
      </c>
      <c r="AA20" s="95">
        <v>68954</v>
      </c>
      <c r="AB20" s="95">
        <v>397539</v>
      </c>
      <c r="AC20" s="95">
        <v>416445</v>
      </c>
      <c r="AF20"/>
      <c r="AG20"/>
      <c r="AH20" s="95">
        <v>67555</v>
      </c>
      <c r="AI20" s="95">
        <v>67688</v>
      </c>
      <c r="AJ20" s="95">
        <v>67970</v>
      </c>
      <c r="AK20" s="95">
        <v>68571</v>
      </c>
      <c r="AL20" s="95">
        <v>68836</v>
      </c>
      <c r="AM20" s="95">
        <v>347627</v>
      </c>
      <c r="AN20" s="95">
        <v>361077</v>
      </c>
      <c r="AO20" s="95">
        <v>397281000</v>
      </c>
      <c r="AP20" s="95">
        <v>397539</v>
      </c>
      <c r="AQ20" s="95">
        <v>416445</v>
      </c>
      <c r="AR20" s="95">
        <v>416193</v>
      </c>
    </row>
    <row r="21" spans="1:44" ht="12.5" x14ac:dyDescent="0.25">
      <c r="A21" s="95" t="s">
        <v>517</v>
      </c>
      <c r="B21" s="95" t="s">
        <v>344</v>
      </c>
      <c r="C21" s="95">
        <f t="shared" si="0"/>
        <v>3415.2</v>
      </c>
      <c r="D21" s="95">
        <f t="shared" si="1"/>
        <v>3723.3</v>
      </c>
      <c r="E21" s="184">
        <v>2067000</v>
      </c>
      <c r="F21" s="184">
        <f t="shared" si="2"/>
        <v>6243145.4425417325</v>
      </c>
      <c r="G21" s="95">
        <v>691</v>
      </c>
      <c r="H21" s="95">
        <v>296</v>
      </c>
      <c r="I21" s="95">
        <v>6152</v>
      </c>
      <c r="J21" s="95">
        <v>5970</v>
      </c>
      <c r="K21" s="95">
        <v>798</v>
      </c>
      <c r="L21" s="95">
        <v>1002</v>
      </c>
      <c r="M21" s="95">
        <v>3539</v>
      </c>
      <c r="N21" s="95">
        <v>3426</v>
      </c>
      <c r="O21" s="95">
        <v>1697</v>
      </c>
      <c r="P21" s="95">
        <v>1697</v>
      </c>
      <c r="Q21" s="95">
        <v>5300</v>
      </c>
      <c r="R21" s="95">
        <v>4366</v>
      </c>
      <c r="S21" s="95">
        <v>5761</v>
      </c>
      <c r="T21" s="95">
        <v>5206</v>
      </c>
      <c r="U21" s="95">
        <v>5118</v>
      </c>
      <c r="V21" s="95">
        <v>11032</v>
      </c>
      <c r="W21" s="95">
        <v>2512</v>
      </c>
      <c r="X21" s="95">
        <v>2472</v>
      </c>
      <c r="Y21" s="95">
        <v>2584</v>
      </c>
      <c r="Z21" s="95">
        <v>1766</v>
      </c>
      <c r="AA21" s="95">
        <v>17068</v>
      </c>
      <c r="AB21" s="95">
        <v>27484</v>
      </c>
      <c r="AC21" s="95">
        <v>27776</v>
      </c>
      <c r="AF21"/>
      <c r="AG21"/>
      <c r="AH21" s="95">
        <v>16709</v>
      </c>
      <c r="AI21" s="95">
        <v>16708</v>
      </c>
      <c r="AJ21" s="95">
        <v>16714</v>
      </c>
      <c r="AK21" s="95">
        <v>16728</v>
      </c>
      <c r="AL21" s="95">
        <v>16817</v>
      </c>
      <c r="AM21" s="95">
        <v>24473</v>
      </c>
      <c r="AN21" s="95">
        <v>22245</v>
      </c>
      <c r="AO21" s="95">
        <v>28815000</v>
      </c>
      <c r="AP21" s="95">
        <v>27484</v>
      </c>
      <c r="AQ21" s="95">
        <v>27776</v>
      </c>
      <c r="AR21" s="95">
        <v>27402</v>
      </c>
    </row>
    <row r="22" spans="1:44" ht="12.5" x14ac:dyDescent="0.25">
      <c r="A22" s="95" t="s">
        <v>517</v>
      </c>
      <c r="B22" s="95" t="s">
        <v>345</v>
      </c>
      <c r="C22" s="95">
        <f t="shared" si="0"/>
        <v>784.4</v>
      </c>
      <c r="D22" s="95">
        <f t="shared" si="1"/>
        <v>595.6</v>
      </c>
      <c r="E22" s="184">
        <v>778000</v>
      </c>
      <c r="F22" s="184">
        <f t="shared" si="2"/>
        <v>2535226.2164434469</v>
      </c>
      <c r="G22" s="95">
        <v>485</v>
      </c>
      <c r="H22" s="95">
        <v>455</v>
      </c>
      <c r="I22" s="95">
        <v>597</v>
      </c>
      <c r="J22" s="95">
        <v>596</v>
      </c>
      <c r="K22" s="95">
        <v>835</v>
      </c>
      <c r="L22" s="95">
        <v>153</v>
      </c>
      <c r="M22" s="95">
        <v>598</v>
      </c>
      <c r="N22" s="95">
        <v>459</v>
      </c>
      <c r="O22" s="95">
        <v>1863</v>
      </c>
      <c r="P22" s="95">
        <v>1377</v>
      </c>
      <c r="Q22" s="95">
        <v>467</v>
      </c>
      <c r="R22" s="95">
        <v>238</v>
      </c>
      <c r="S22" s="95">
        <v>635</v>
      </c>
      <c r="T22" s="95">
        <v>696</v>
      </c>
      <c r="U22" s="95">
        <v>458</v>
      </c>
      <c r="V22" s="95">
        <v>229</v>
      </c>
      <c r="W22" s="95">
        <v>320</v>
      </c>
      <c r="X22" s="95">
        <v>243</v>
      </c>
      <c r="Y22" s="95">
        <v>1586</v>
      </c>
      <c r="Z22" s="95">
        <v>1510</v>
      </c>
      <c r="AA22" s="95">
        <v>6931</v>
      </c>
      <c r="AB22" s="95">
        <v>15137</v>
      </c>
      <c r="AC22" s="95">
        <v>14895</v>
      </c>
      <c r="AF22"/>
      <c r="AG22"/>
      <c r="AH22" s="95">
        <v>6658</v>
      </c>
      <c r="AI22" s="95">
        <v>6801</v>
      </c>
      <c r="AJ22" s="95">
        <v>6848</v>
      </c>
      <c r="AK22" s="95">
        <v>6856</v>
      </c>
      <c r="AL22" s="95">
        <v>6899</v>
      </c>
      <c r="AM22" s="95">
        <v>16667</v>
      </c>
      <c r="AN22" s="95">
        <v>15790</v>
      </c>
      <c r="AO22" s="95">
        <v>15247000</v>
      </c>
      <c r="AP22" s="95">
        <v>15137</v>
      </c>
      <c r="AQ22" s="95">
        <v>14895</v>
      </c>
      <c r="AR22" s="95">
        <v>15315</v>
      </c>
    </row>
    <row r="23" spans="1:44" ht="12.5" x14ac:dyDescent="0.25">
      <c r="A23" s="95" t="s">
        <v>524</v>
      </c>
      <c r="B23" s="95" t="s">
        <v>215</v>
      </c>
      <c r="C23" s="95">
        <f t="shared" si="0"/>
        <v>78.400000000000006</v>
      </c>
      <c r="D23" s="95">
        <f t="shared" si="1"/>
        <v>107.2</v>
      </c>
      <c r="E23" s="184">
        <v>2245000</v>
      </c>
      <c r="F23" s="184">
        <f t="shared" si="2"/>
        <v>9100258.6984412801</v>
      </c>
      <c r="G23" s="95">
        <v>0</v>
      </c>
      <c r="H23" s="95">
        <v>0</v>
      </c>
      <c r="I23" s="95">
        <v>17</v>
      </c>
      <c r="J23" s="95">
        <v>446</v>
      </c>
      <c r="K23" s="95">
        <v>0</v>
      </c>
      <c r="L23" s="95">
        <v>41</v>
      </c>
      <c r="M23" s="95">
        <v>0</v>
      </c>
      <c r="N23" s="95">
        <v>82</v>
      </c>
      <c r="O23" s="95">
        <v>0</v>
      </c>
      <c r="P23" s="95">
        <v>35</v>
      </c>
      <c r="Q23" s="95">
        <v>767</v>
      </c>
      <c r="R23" s="95">
        <v>168</v>
      </c>
      <c r="S23" s="95">
        <v>0</v>
      </c>
      <c r="T23" s="95">
        <v>5</v>
      </c>
      <c r="U23" s="95">
        <v>0</v>
      </c>
      <c r="V23" s="95">
        <v>36</v>
      </c>
      <c r="W23" s="95">
        <v>0</v>
      </c>
      <c r="X23" s="95">
        <v>254</v>
      </c>
      <c r="Y23" s="95">
        <v>0</v>
      </c>
      <c r="Z23" s="95">
        <v>5</v>
      </c>
      <c r="AA23" s="95">
        <v>24879</v>
      </c>
      <c r="AB23" s="95">
        <v>52027</v>
      </c>
      <c r="AC23" s="95">
        <v>51813</v>
      </c>
      <c r="AF23"/>
      <c r="AG23"/>
      <c r="AH23" s="95">
        <v>24522</v>
      </c>
      <c r="AI23" s="95">
        <v>24638</v>
      </c>
      <c r="AJ23" s="95">
        <v>24764</v>
      </c>
      <c r="AK23" s="95">
        <v>24838</v>
      </c>
      <c r="AL23" s="95">
        <v>24792</v>
      </c>
      <c r="AM23" s="95">
        <v>50671</v>
      </c>
      <c r="AN23" s="95">
        <v>51906</v>
      </c>
      <c r="AO23" s="95">
        <v>54281000</v>
      </c>
      <c r="AP23" s="95">
        <v>52027</v>
      </c>
      <c r="AQ23" s="95">
        <v>51813</v>
      </c>
      <c r="AR23" s="95">
        <v>48856</v>
      </c>
    </row>
    <row r="24" spans="1:44" ht="12.5" x14ac:dyDescent="0.25">
      <c r="A24" s="95" t="s">
        <v>521</v>
      </c>
      <c r="B24" s="95" t="s">
        <v>286</v>
      </c>
      <c r="C24" s="95">
        <f t="shared" si="0"/>
        <v>14714.6</v>
      </c>
      <c r="D24" s="95">
        <f t="shared" si="1"/>
        <v>14101.8</v>
      </c>
      <c r="E24" s="184">
        <v>7768000</v>
      </c>
      <c r="F24" s="184">
        <f t="shared" si="2"/>
        <v>17821934.344794989</v>
      </c>
      <c r="G24" s="95">
        <v>7415</v>
      </c>
      <c r="H24" s="95">
        <v>6946</v>
      </c>
      <c r="I24" s="95">
        <v>10254</v>
      </c>
      <c r="J24" s="95">
        <v>12177</v>
      </c>
      <c r="K24" s="95">
        <v>13381</v>
      </c>
      <c r="L24" s="95">
        <v>10195</v>
      </c>
      <c r="M24" s="95">
        <v>18140</v>
      </c>
      <c r="N24" s="95">
        <v>18601</v>
      </c>
      <c r="O24" s="95">
        <v>21224</v>
      </c>
      <c r="P24" s="95">
        <v>19493</v>
      </c>
      <c r="Q24" s="95">
        <v>32276</v>
      </c>
      <c r="R24" s="95">
        <v>31651</v>
      </c>
      <c r="S24" s="95">
        <v>12046</v>
      </c>
      <c r="T24" s="95">
        <v>11567</v>
      </c>
      <c r="U24" s="95">
        <v>13705</v>
      </c>
      <c r="V24" s="95">
        <v>14440</v>
      </c>
      <c r="W24" s="95">
        <v>7223</v>
      </c>
      <c r="X24" s="95">
        <v>7137</v>
      </c>
      <c r="Y24" s="95">
        <v>11482</v>
      </c>
      <c r="Z24" s="95">
        <v>8811</v>
      </c>
      <c r="AA24" s="95">
        <v>48723</v>
      </c>
      <c r="AB24" s="95">
        <v>161036</v>
      </c>
      <c r="AC24" s="95">
        <v>175946</v>
      </c>
      <c r="AF24"/>
      <c r="AG24"/>
      <c r="AH24" s="95">
        <v>48344</v>
      </c>
      <c r="AI24" s="95">
        <v>48485</v>
      </c>
      <c r="AJ24" s="95">
        <v>48688</v>
      </c>
      <c r="AK24" s="95">
        <v>48741</v>
      </c>
      <c r="AL24" s="95">
        <v>48643</v>
      </c>
      <c r="AM24" s="95">
        <v>141483</v>
      </c>
      <c r="AN24" s="95">
        <v>126217</v>
      </c>
      <c r="AO24" s="95">
        <v>156404000</v>
      </c>
      <c r="AP24" s="95">
        <v>161036</v>
      </c>
      <c r="AQ24" s="95">
        <v>175946</v>
      </c>
      <c r="AR24" s="95">
        <v>179600</v>
      </c>
    </row>
    <row r="25" spans="1:44" ht="12.5" x14ac:dyDescent="0.25">
      <c r="A25" s="95" t="s">
        <v>519</v>
      </c>
      <c r="B25" s="95" t="s">
        <v>168</v>
      </c>
      <c r="C25" s="95">
        <f t="shared" si="0"/>
        <v>24578.5</v>
      </c>
      <c r="D25" s="95">
        <f t="shared" si="1"/>
        <v>27174.6</v>
      </c>
      <c r="E25" s="184">
        <v>10965000</v>
      </c>
      <c r="F25" s="184">
        <f t="shared" si="2"/>
        <v>22161191.105099216</v>
      </c>
      <c r="G25" s="95">
        <v>0</v>
      </c>
      <c r="H25" s="95">
        <v>0</v>
      </c>
      <c r="I25" s="95">
        <v>33092</v>
      </c>
      <c r="J25" s="95">
        <v>65289</v>
      </c>
      <c r="K25" s="95">
        <v>40872</v>
      </c>
      <c r="L25" s="95">
        <v>40870</v>
      </c>
      <c r="M25" s="95">
        <v>29456</v>
      </c>
      <c r="N25" s="95">
        <v>33080</v>
      </c>
      <c r="O25" s="95">
        <v>15802</v>
      </c>
      <c r="P25" s="95">
        <v>15940</v>
      </c>
      <c r="Q25" s="95">
        <v>40200</v>
      </c>
      <c r="R25" s="95">
        <v>27919</v>
      </c>
      <c r="S25" s="95">
        <v>20218</v>
      </c>
      <c r="T25" s="95">
        <v>29250</v>
      </c>
      <c r="U25" s="95">
        <v>30632</v>
      </c>
      <c r="V25" s="95">
        <v>24604</v>
      </c>
      <c r="W25" s="95">
        <v>17522</v>
      </c>
      <c r="X25" s="95">
        <v>20128</v>
      </c>
      <c r="Y25" s="95">
        <v>17991</v>
      </c>
      <c r="Z25" s="95">
        <v>14666</v>
      </c>
      <c r="AA25" s="95">
        <v>60586</v>
      </c>
      <c r="AB25" s="95">
        <v>196625</v>
      </c>
      <c r="AC25" s="95">
        <v>224915</v>
      </c>
      <c r="AF25"/>
      <c r="AG25"/>
      <c r="AH25" s="95">
        <v>56371</v>
      </c>
      <c r="AI25" s="95">
        <v>57358</v>
      </c>
      <c r="AJ25" s="95">
        <v>57960</v>
      </c>
      <c r="AK25" s="95">
        <v>58938</v>
      </c>
      <c r="AL25" s="95">
        <v>59992</v>
      </c>
      <c r="AM25" s="95">
        <v>233741</v>
      </c>
      <c r="AN25" s="95">
        <v>236191</v>
      </c>
      <c r="AO25" s="95">
        <v>195824000</v>
      </c>
      <c r="AP25" s="95">
        <v>196625</v>
      </c>
      <c r="AQ25" s="95">
        <v>224915</v>
      </c>
      <c r="AR25" s="95">
        <v>250404</v>
      </c>
    </row>
    <row r="26" spans="1:44" ht="12.5" x14ac:dyDescent="0.25">
      <c r="A26" s="95" t="s">
        <v>526</v>
      </c>
      <c r="B26" s="95" t="s">
        <v>400</v>
      </c>
      <c r="C26" s="95">
        <f t="shared" si="0"/>
        <v>872</v>
      </c>
      <c r="D26" s="95">
        <f t="shared" si="1"/>
        <v>931.5</v>
      </c>
      <c r="E26" s="184">
        <v>1423000</v>
      </c>
      <c r="F26" s="184">
        <f t="shared" si="2"/>
        <v>5784456.4113167897</v>
      </c>
      <c r="G26" s="95">
        <v>16</v>
      </c>
      <c r="H26" s="95">
        <v>195</v>
      </c>
      <c r="I26" s="95">
        <v>1111</v>
      </c>
      <c r="J26" s="95">
        <v>1394</v>
      </c>
      <c r="K26" s="95">
        <v>688</v>
      </c>
      <c r="L26" s="95">
        <v>1190</v>
      </c>
      <c r="M26" s="95">
        <v>1832</v>
      </c>
      <c r="N26" s="95">
        <v>1680</v>
      </c>
      <c r="O26" s="95">
        <v>1546</v>
      </c>
      <c r="P26" s="95">
        <v>1287</v>
      </c>
      <c r="Q26" s="95">
        <v>1803</v>
      </c>
      <c r="R26" s="95">
        <v>1580</v>
      </c>
      <c r="S26" s="95">
        <v>737</v>
      </c>
      <c r="T26" s="95">
        <v>537</v>
      </c>
      <c r="U26" s="95">
        <v>372</v>
      </c>
      <c r="V26" s="95">
        <v>500</v>
      </c>
      <c r="W26" s="95">
        <v>150</v>
      </c>
      <c r="X26" s="95">
        <v>353</v>
      </c>
      <c r="Y26" s="95">
        <v>465</v>
      </c>
      <c r="Z26" s="95">
        <v>599</v>
      </c>
      <c r="AA26" s="95">
        <v>15814</v>
      </c>
      <c r="AB26" s="95">
        <v>25999</v>
      </c>
      <c r="AC26" s="95">
        <v>27736</v>
      </c>
      <c r="AF26"/>
      <c r="AG26"/>
      <c r="AH26" s="95">
        <v>15945</v>
      </c>
      <c r="AI26" s="95">
        <v>15902</v>
      </c>
      <c r="AJ26" s="95">
        <v>15927</v>
      </c>
      <c r="AK26" s="95">
        <v>15895</v>
      </c>
      <c r="AL26" s="95">
        <v>15875</v>
      </c>
      <c r="AM26" s="95">
        <v>21970</v>
      </c>
      <c r="AN26" s="95">
        <v>25600</v>
      </c>
      <c r="AO26" s="95">
        <v>26040000</v>
      </c>
      <c r="AP26" s="95">
        <v>25999</v>
      </c>
      <c r="AQ26" s="95">
        <v>27736</v>
      </c>
      <c r="AR26" s="95">
        <v>29764</v>
      </c>
    </row>
    <row r="27" spans="1:44" ht="12.5" x14ac:dyDescent="0.25">
      <c r="A27" s="95" t="s">
        <v>526</v>
      </c>
      <c r="B27" s="95" t="s">
        <v>599</v>
      </c>
      <c r="C27" s="95">
        <f t="shared" si="0"/>
        <v>506.5</v>
      </c>
      <c r="D27" s="95">
        <f t="shared" si="1"/>
        <v>751.3</v>
      </c>
      <c r="E27" s="184">
        <v>8526000</v>
      </c>
      <c r="F27" s="184">
        <f t="shared" si="2"/>
        <v>13139941.043615343</v>
      </c>
      <c r="G27" s="95">
        <v>0</v>
      </c>
      <c r="H27" s="95">
        <v>0</v>
      </c>
      <c r="I27" s="95">
        <v>2469</v>
      </c>
      <c r="J27" s="95">
        <v>4678</v>
      </c>
      <c r="K27" s="95">
        <v>790</v>
      </c>
      <c r="L27" s="95">
        <v>989</v>
      </c>
      <c r="M27" s="95">
        <v>1395</v>
      </c>
      <c r="N27" s="95">
        <v>1643</v>
      </c>
      <c r="O27" s="95">
        <v>155</v>
      </c>
      <c r="P27" s="95">
        <v>20</v>
      </c>
      <c r="Q27" s="95">
        <v>169</v>
      </c>
      <c r="R27" s="95">
        <v>55</v>
      </c>
      <c r="S27" s="95">
        <v>87</v>
      </c>
      <c r="T27" s="95">
        <v>107</v>
      </c>
      <c r="U27" s="95">
        <v>0</v>
      </c>
      <c r="V27" s="95">
        <v>21</v>
      </c>
      <c r="W27" s="95">
        <v>0</v>
      </c>
      <c r="X27" s="95">
        <v>0</v>
      </c>
      <c r="Y27" s="95">
        <v>0</v>
      </c>
      <c r="Z27" s="95">
        <v>0</v>
      </c>
      <c r="AA27" s="95">
        <v>35923</v>
      </c>
      <c r="AB27" s="95">
        <v>81382</v>
      </c>
      <c r="AC27" s="95">
        <v>91100</v>
      </c>
      <c r="AF27"/>
      <c r="AG27"/>
      <c r="AH27" s="95">
        <v>36125</v>
      </c>
      <c r="AI27" s="95">
        <v>35965</v>
      </c>
      <c r="AJ27" s="95">
        <v>35722</v>
      </c>
      <c r="AK27" s="95">
        <v>35965</v>
      </c>
      <c r="AL27" s="95">
        <v>36065</v>
      </c>
      <c r="AM27" s="95">
        <v>67401</v>
      </c>
      <c r="AN27" s="95">
        <v>73824</v>
      </c>
      <c r="AO27" s="95">
        <v>74244000</v>
      </c>
      <c r="AP27" s="95">
        <v>81382</v>
      </c>
      <c r="AQ27" s="95">
        <v>91100</v>
      </c>
      <c r="AR27" s="95">
        <v>96637</v>
      </c>
    </row>
    <row r="28" spans="1:44" ht="12.5" x14ac:dyDescent="0.25">
      <c r="A28" s="95" t="s">
        <v>526</v>
      </c>
      <c r="B28" s="95" t="s">
        <v>401</v>
      </c>
      <c r="C28" s="95">
        <f t="shared" si="0"/>
        <v>1580.8</v>
      </c>
      <c r="D28" s="95">
        <f t="shared" si="1"/>
        <v>1589.7</v>
      </c>
      <c r="E28" s="184">
        <v>1318000</v>
      </c>
      <c r="F28" s="184">
        <f t="shared" si="2"/>
        <v>4905851.1058922969</v>
      </c>
      <c r="G28" s="95">
        <v>0</v>
      </c>
      <c r="H28" s="95">
        <v>-8</v>
      </c>
      <c r="I28" s="95">
        <v>659</v>
      </c>
      <c r="J28" s="95">
        <v>623</v>
      </c>
      <c r="K28" s="95">
        <v>3310</v>
      </c>
      <c r="L28" s="95">
        <v>3297</v>
      </c>
      <c r="M28" s="95">
        <v>1296</v>
      </c>
      <c r="N28" s="95">
        <v>1072</v>
      </c>
      <c r="O28" s="95">
        <v>2666</v>
      </c>
      <c r="P28" s="95">
        <v>2726</v>
      </c>
      <c r="Q28" s="95">
        <v>1612</v>
      </c>
      <c r="R28" s="95">
        <v>1364</v>
      </c>
      <c r="S28" s="95">
        <v>1232</v>
      </c>
      <c r="T28" s="95">
        <v>1545</v>
      </c>
      <c r="U28" s="95">
        <v>415</v>
      </c>
      <c r="V28" s="95">
        <v>474</v>
      </c>
      <c r="W28" s="95">
        <v>2997</v>
      </c>
      <c r="X28" s="95">
        <v>3153</v>
      </c>
      <c r="Y28" s="95">
        <v>1621</v>
      </c>
      <c r="Z28" s="95">
        <v>1651</v>
      </c>
      <c r="AA28" s="95">
        <v>13412</v>
      </c>
      <c r="AB28" s="95">
        <v>16853</v>
      </c>
      <c r="AC28" s="95">
        <v>20753</v>
      </c>
      <c r="AF28"/>
      <c r="AG28"/>
      <c r="AH28" s="95">
        <v>13407</v>
      </c>
      <c r="AI28" s="95">
        <v>13446</v>
      </c>
      <c r="AJ28" s="95">
        <v>13526</v>
      </c>
      <c r="AK28" s="95">
        <v>13485</v>
      </c>
      <c r="AL28" s="95">
        <v>13450</v>
      </c>
      <c r="AM28" s="95">
        <v>18607</v>
      </c>
      <c r="AN28" s="95">
        <v>17355</v>
      </c>
      <c r="AO28" s="95">
        <v>17503000</v>
      </c>
      <c r="AP28" s="95">
        <v>16853</v>
      </c>
      <c r="AQ28" s="95">
        <v>20753</v>
      </c>
      <c r="AR28" s="95">
        <v>23180</v>
      </c>
    </row>
    <row r="29" spans="1:44" ht="12.5" x14ac:dyDescent="0.25">
      <c r="A29" s="95" t="s">
        <v>519</v>
      </c>
      <c r="B29" s="95" t="s">
        <v>527</v>
      </c>
      <c r="C29" s="95">
        <f t="shared" si="0"/>
        <v>2552.8000000000002</v>
      </c>
      <c r="D29" s="95">
        <f t="shared" si="1"/>
        <v>2705.4</v>
      </c>
      <c r="E29" s="184">
        <v>4500000</v>
      </c>
      <c r="F29" s="184">
        <f t="shared" si="2"/>
        <v>12782573.273673739</v>
      </c>
      <c r="G29" s="95">
        <v>0</v>
      </c>
      <c r="H29" s="95">
        <v>50</v>
      </c>
      <c r="I29" s="95">
        <v>4180</v>
      </c>
      <c r="J29" s="95">
        <v>4161</v>
      </c>
      <c r="K29" s="95">
        <v>5403</v>
      </c>
      <c r="L29" s="95">
        <v>5824</v>
      </c>
      <c r="M29" s="95">
        <v>2465</v>
      </c>
      <c r="N29" s="95">
        <v>4041</v>
      </c>
      <c r="O29" s="95">
        <v>3374</v>
      </c>
      <c r="P29" s="95">
        <v>3946</v>
      </c>
      <c r="Q29" s="95">
        <v>4463</v>
      </c>
      <c r="R29" s="95">
        <v>4430</v>
      </c>
      <c r="S29" s="95">
        <v>4365</v>
      </c>
      <c r="T29" s="95">
        <v>3604</v>
      </c>
      <c r="U29" s="95">
        <v>1032</v>
      </c>
      <c r="V29" s="95">
        <v>519</v>
      </c>
      <c r="W29" s="95">
        <v>185</v>
      </c>
      <c r="X29" s="95">
        <v>241</v>
      </c>
      <c r="Y29" s="95">
        <v>61</v>
      </c>
      <c r="Z29" s="95">
        <v>238</v>
      </c>
      <c r="AA29" s="95">
        <v>34946</v>
      </c>
      <c r="AB29" s="95">
        <v>74621</v>
      </c>
      <c r="AC29" s="95">
        <v>76993</v>
      </c>
      <c r="AF29"/>
      <c r="AG29"/>
      <c r="AH29" s="95">
        <v>34803</v>
      </c>
      <c r="AI29" s="95">
        <v>34748</v>
      </c>
      <c r="AJ29" s="95">
        <v>34766</v>
      </c>
      <c r="AK29" s="95">
        <v>34936</v>
      </c>
      <c r="AL29" s="95">
        <v>35010</v>
      </c>
      <c r="AM29" s="95">
        <v>70105</v>
      </c>
      <c r="AN29" s="95">
        <v>70964</v>
      </c>
      <c r="AO29" s="95">
        <v>74225000</v>
      </c>
      <c r="AP29" s="95">
        <v>74621</v>
      </c>
      <c r="AQ29" s="95">
        <v>76993</v>
      </c>
      <c r="AR29" s="95">
        <v>78696</v>
      </c>
    </row>
    <row r="30" spans="1:44" ht="12.5" x14ac:dyDescent="0.25">
      <c r="A30" s="95" t="s">
        <v>517</v>
      </c>
      <c r="B30" s="95" t="s">
        <v>346</v>
      </c>
      <c r="C30" s="95">
        <f t="shared" si="0"/>
        <v>6435</v>
      </c>
      <c r="D30" s="95">
        <f t="shared" si="1"/>
        <v>5992</v>
      </c>
      <c r="E30" s="184">
        <v>2247000</v>
      </c>
      <c r="F30" s="184">
        <f t="shared" si="2"/>
        <v>6904111.2156067025</v>
      </c>
      <c r="G30" s="95">
        <v>4641</v>
      </c>
      <c r="H30" s="95">
        <v>4591</v>
      </c>
      <c r="I30" s="95">
        <v>19222</v>
      </c>
      <c r="J30" s="95">
        <v>19190</v>
      </c>
      <c r="K30" s="95">
        <v>6783</v>
      </c>
      <c r="L30" s="95">
        <v>7312</v>
      </c>
      <c r="M30" s="95">
        <v>4899</v>
      </c>
      <c r="N30" s="95">
        <v>6704</v>
      </c>
      <c r="O30" s="95">
        <v>5497</v>
      </c>
      <c r="P30" s="95">
        <v>3141</v>
      </c>
      <c r="Q30" s="95">
        <v>5611</v>
      </c>
      <c r="R30" s="95">
        <v>5060</v>
      </c>
      <c r="S30" s="95">
        <v>3914</v>
      </c>
      <c r="T30" s="95">
        <v>2993</v>
      </c>
      <c r="U30" s="95">
        <v>2691</v>
      </c>
      <c r="V30" s="95">
        <v>1757</v>
      </c>
      <c r="W30" s="95">
        <v>5731</v>
      </c>
      <c r="X30" s="95">
        <v>4521</v>
      </c>
      <c r="Y30" s="95">
        <v>5361</v>
      </c>
      <c r="Z30" s="95">
        <v>4651</v>
      </c>
      <c r="AA30" s="95">
        <v>18875</v>
      </c>
      <c r="AB30" s="95">
        <v>36357</v>
      </c>
      <c r="AC30" s="95">
        <v>37781</v>
      </c>
      <c r="AF30"/>
      <c r="AG30"/>
      <c r="AH30" s="95">
        <v>18352</v>
      </c>
      <c r="AI30" s="95">
        <v>18394</v>
      </c>
      <c r="AJ30" s="95">
        <v>18497</v>
      </c>
      <c r="AK30" s="95">
        <v>18663</v>
      </c>
      <c r="AL30" s="95">
        <v>18754</v>
      </c>
      <c r="AM30" s="95">
        <v>35122</v>
      </c>
      <c r="AN30" s="95">
        <v>36847</v>
      </c>
      <c r="AO30" s="95">
        <v>35394000</v>
      </c>
      <c r="AP30" s="95">
        <v>36357</v>
      </c>
      <c r="AQ30" s="95">
        <v>37781</v>
      </c>
      <c r="AR30" s="95">
        <v>38480</v>
      </c>
    </row>
    <row r="31" spans="1:44" ht="12.5" x14ac:dyDescent="0.25">
      <c r="A31" s="95" t="s">
        <v>526</v>
      </c>
      <c r="B31" s="95" t="s">
        <v>436</v>
      </c>
      <c r="C31" s="95">
        <f t="shared" si="0"/>
        <v>453.2</v>
      </c>
      <c r="D31" s="95">
        <f t="shared" si="1"/>
        <v>334</v>
      </c>
      <c r="E31" s="184">
        <v>2225000</v>
      </c>
      <c r="F31" s="184">
        <f t="shared" si="2"/>
        <v>4793922.2035359712</v>
      </c>
      <c r="G31" s="95">
        <v>55</v>
      </c>
      <c r="H31" s="95">
        <v>118</v>
      </c>
      <c r="I31" s="95">
        <v>934</v>
      </c>
      <c r="J31" s="95">
        <v>1251</v>
      </c>
      <c r="K31" s="95">
        <v>917</v>
      </c>
      <c r="L31" s="95">
        <v>1060</v>
      </c>
      <c r="M31" s="95">
        <v>42</v>
      </c>
      <c r="N31" s="95">
        <v>188</v>
      </c>
      <c r="O31" s="95">
        <v>30</v>
      </c>
      <c r="P31" s="95">
        <v>106</v>
      </c>
      <c r="Q31" s="95">
        <v>1152</v>
      </c>
      <c r="R31" s="95">
        <v>203</v>
      </c>
      <c r="S31" s="95">
        <v>647</v>
      </c>
      <c r="T31" s="95">
        <v>16</v>
      </c>
      <c r="U31" s="95">
        <v>334</v>
      </c>
      <c r="V31" s="95">
        <v>120</v>
      </c>
      <c r="W31" s="95">
        <v>286</v>
      </c>
      <c r="X31" s="95">
        <v>146</v>
      </c>
      <c r="Y31" s="95">
        <v>135</v>
      </c>
      <c r="Z31" s="95">
        <v>132</v>
      </c>
      <c r="AA31" s="95">
        <v>13106</v>
      </c>
      <c r="AB31" s="95">
        <v>18093</v>
      </c>
      <c r="AC31" s="95">
        <v>19705</v>
      </c>
      <c r="AF31"/>
      <c r="AG31"/>
      <c r="AH31" s="95">
        <v>13095</v>
      </c>
      <c r="AI31" s="95">
        <v>13110</v>
      </c>
      <c r="AJ31" s="95">
        <v>13134</v>
      </c>
      <c r="AK31" s="95">
        <v>13098</v>
      </c>
      <c r="AL31" s="95">
        <v>13108</v>
      </c>
      <c r="AM31" s="95">
        <v>15356</v>
      </c>
      <c r="AN31" s="95">
        <v>15994</v>
      </c>
      <c r="AO31" s="95">
        <v>16879000</v>
      </c>
      <c r="AP31" s="95">
        <v>18093</v>
      </c>
      <c r="AQ31" s="95">
        <v>19705</v>
      </c>
      <c r="AR31" s="95">
        <v>22090</v>
      </c>
    </row>
    <row r="32" spans="1:44" ht="12.5" x14ac:dyDescent="0.25">
      <c r="A32" s="95" t="s">
        <v>518</v>
      </c>
      <c r="B32" s="95" t="s">
        <v>437</v>
      </c>
      <c r="C32" s="95">
        <f t="shared" si="0"/>
        <v>1789.9</v>
      </c>
      <c r="D32" s="95">
        <f t="shared" si="1"/>
        <v>1673.9</v>
      </c>
      <c r="E32" s="184">
        <v>4301000</v>
      </c>
      <c r="F32" s="184">
        <f t="shared" si="2"/>
        <v>10877221.468529617</v>
      </c>
      <c r="G32" s="95">
        <v>157</v>
      </c>
      <c r="H32" s="95">
        <v>256</v>
      </c>
      <c r="I32" s="95">
        <v>1375</v>
      </c>
      <c r="J32" s="95">
        <v>510</v>
      </c>
      <c r="K32" s="95">
        <v>4564</v>
      </c>
      <c r="L32" s="95">
        <v>1737</v>
      </c>
      <c r="M32" s="95">
        <v>1913</v>
      </c>
      <c r="N32" s="95">
        <v>3670</v>
      </c>
      <c r="O32" s="95">
        <v>1944</v>
      </c>
      <c r="P32" s="95">
        <v>836</v>
      </c>
      <c r="Q32" s="95">
        <v>1206</v>
      </c>
      <c r="R32" s="95">
        <v>904</v>
      </c>
      <c r="S32" s="95">
        <v>571</v>
      </c>
      <c r="T32" s="95">
        <v>733</v>
      </c>
      <c r="U32" s="95">
        <v>317</v>
      </c>
      <c r="V32" s="95">
        <v>946</v>
      </c>
      <c r="W32" s="95">
        <v>443</v>
      </c>
      <c r="X32" s="95">
        <v>462</v>
      </c>
      <c r="Y32" s="95">
        <v>5409</v>
      </c>
      <c r="Z32" s="95">
        <v>6685</v>
      </c>
      <c r="AA32" s="95">
        <v>29737</v>
      </c>
      <c r="AB32" s="95">
        <v>97618</v>
      </c>
      <c r="AC32" s="95">
        <v>95840</v>
      </c>
      <c r="AF32"/>
      <c r="AG32"/>
      <c r="AH32" s="95">
        <v>29839</v>
      </c>
      <c r="AI32" s="95">
        <v>29941</v>
      </c>
      <c r="AJ32" s="95">
        <v>29965</v>
      </c>
      <c r="AK32" s="95">
        <v>29860</v>
      </c>
      <c r="AL32" s="95">
        <v>29715</v>
      </c>
      <c r="AM32" s="95">
        <v>90206</v>
      </c>
      <c r="AN32" s="95">
        <v>92575</v>
      </c>
      <c r="AO32" s="95">
        <v>96099000</v>
      </c>
      <c r="AP32" s="95">
        <v>97618</v>
      </c>
      <c r="AQ32" s="95">
        <v>95840</v>
      </c>
      <c r="AR32" s="95">
        <v>94876</v>
      </c>
    </row>
    <row r="33" spans="1:44" ht="12.5" x14ac:dyDescent="0.25">
      <c r="A33" s="95" t="s">
        <v>517</v>
      </c>
      <c r="B33" s="95" t="s">
        <v>347</v>
      </c>
      <c r="C33" s="95">
        <f t="shared" si="0"/>
        <v>23141</v>
      </c>
      <c r="D33" s="95">
        <f t="shared" si="1"/>
        <v>23563.7</v>
      </c>
      <c r="E33" s="184">
        <v>11489000</v>
      </c>
      <c r="F33" s="184">
        <f t="shared" si="2"/>
        <v>24829195.725318305</v>
      </c>
      <c r="G33" s="95">
        <v>15276</v>
      </c>
      <c r="H33" s="95">
        <v>13923</v>
      </c>
      <c r="I33" s="95">
        <v>31487</v>
      </c>
      <c r="J33" s="95">
        <v>11063</v>
      </c>
      <c r="K33" s="95">
        <v>30041</v>
      </c>
      <c r="L33" s="95">
        <v>28675</v>
      </c>
      <c r="M33" s="95">
        <v>22401</v>
      </c>
      <c r="N33" s="95">
        <v>65284</v>
      </c>
      <c r="O33" s="95">
        <v>6572</v>
      </c>
      <c r="P33" s="95">
        <v>3225</v>
      </c>
      <c r="Q33" s="95">
        <v>58552</v>
      </c>
      <c r="R33" s="95">
        <v>61276</v>
      </c>
      <c r="S33" s="95">
        <v>26816</v>
      </c>
      <c r="T33" s="95">
        <v>21885</v>
      </c>
      <c r="U33" s="95">
        <v>16127</v>
      </c>
      <c r="V33" s="95">
        <v>13328</v>
      </c>
      <c r="W33" s="95">
        <v>16813</v>
      </c>
      <c r="X33" s="95">
        <v>11565</v>
      </c>
      <c r="Y33" s="95">
        <v>7325</v>
      </c>
      <c r="Z33" s="95">
        <v>5413</v>
      </c>
      <c r="AA33" s="95">
        <v>67880</v>
      </c>
      <c r="AB33" s="95">
        <v>281072</v>
      </c>
      <c r="AC33" s="95">
        <v>293154</v>
      </c>
      <c r="AF33"/>
      <c r="AG33"/>
      <c r="AH33" s="95">
        <v>66211</v>
      </c>
      <c r="AI33" s="95">
        <v>66331</v>
      </c>
      <c r="AJ33" s="95">
        <v>66805</v>
      </c>
      <c r="AK33" s="95">
        <v>67485</v>
      </c>
      <c r="AL33" s="95">
        <v>67514</v>
      </c>
      <c r="AM33" s="95">
        <v>226558</v>
      </c>
      <c r="AN33" s="95">
        <v>264990</v>
      </c>
      <c r="AO33" s="95">
        <v>275343000</v>
      </c>
      <c r="AP33" s="95">
        <v>281072</v>
      </c>
      <c r="AQ33" s="95">
        <v>293154</v>
      </c>
      <c r="AR33" s="95">
        <v>298829</v>
      </c>
    </row>
    <row r="34" spans="1:44" ht="12.5" x14ac:dyDescent="0.25">
      <c r="A34" s="95" t="s">
        <v>519</v>
      </c>
      <c r="B34" s="95" t="s">
        <v>169</v>
      </c>
      <c r="C34" s="95">
        <f t="shared" si="0"/>
        <v>2301.6999999999998</v>
      </c>
      <c r="D34" s="95">
        <f t="shared" si="1"/>
        <v>2376.1999999999998</v>
      </c>
      <c r="E34" s="184">
        <v>7093000</v>
      </c>
      <c r="F34" s="184">
        <f t="shared" si="2"/>
        <v>16039484.863806831</v>
      </c>
      <c r="G34" s="95">
        <v>1048</v>
      </c>
      <c r="H34" s="95">
        <v>1172</v>
      </c>
      <c r="I34" s="95">
        <v>3410</v>
      </c>
      <c r="J34" s="95">
        <v>3960</v>
      </c>
      <c r="K34" s="95">
        <v>4987</v>
      </c>
      <c r="L34" s="95">
        <v>6404</v>
      </c>
      <c r="M34" s="95">
        <v>1652</v>
      </c>
      <c r="N34" s="95">
        <v>2184</v>
      </c>
      <c r="O34" s="95">
        <v>1468</v>
      </c>
      <c r="P34" s="95">
        <v>1556</v>
      </c>
      <c r="Q34" s="95">
        <v>954</v>
      </c>
      <c r="R34" s="95">
        <v>885</v>
      </c>
      <c r="S34" s="95">
        <v>1364</v>
      </c>
      <c r="T34" s="95">
        <v>1253</v>
      </c>
      <c r="U34" s="95">
        <v>1254</v>
      </c>
      <c r="V34" s="95">
        <v>1326</v>
      </c>
      <c r="W34" s="95">
        <v>2105</v>
      </c>
      <c r="X34" s="95">
        <v>1294</v>
      </c>
      <c r="Y34" s="95">
        <v>4775</v>
      </c>
      <c r="Z34" s="95">
        <v>3728</v>
      </c>
      <c r="AA34" s="95">
        <v>43850</v>
      </c>
      <c r="AB34" s="95">
        <v>93948</v>
      </c>
      <c r="AC34" s="95">
        <v>98083</v>
      </c>
      <c r="AF34"/>
      <c r="AG34"/>
      <c r="AH34" s="95">
        <v>44231</v>
      </c>
      <c r="AI34" s="95">
        <v>44039</v>
      </c>
      <c r="AJ34" s="95">
        <v>43899</v>
      </c>
      <c r="AK34" s="95">
        <v>43783</v>
      </c>
      <c r="AL34" s="95">
        <v>43846</v>
      </c>
      <c r="AM34" s="95">
        <v>88637</v>
      </c>
      <c r="AN34" s="95">
        <v>91792</v>
      </c>
      <c r="AO34" s="95">
        <v>95730000</v>
      </c>
      <c r="AP34" s="95">
        <v>93948</v>
      </c>
      <c r="AQ34" s="95">
        <v>98083</v>
      </c>
      <c r="AR34" s="95">
        <v>100227</v>
      </c>
    </row>
    <row r="35" spans="1:44" ht="12.5" x14ac:dyDescent="0.25">
      <c r="A35" s="95" t="s">
        <v>517</v>
      </c>
      <c r="B35" s="95" t="s">
        <v>348</v>
      </c>
      <c r="C35" s="95">
        <f t="shared" si="0"/>
        <v>11264.6</v>
      </c>
      <c r="D35" s="95">
        <f t="shared" si="1"/>
        <v>10628.2</v>
      </c>
      <c r="E35" s="184">
        <v>2370000</v>
      </c>
      <c r="F35" s="184">
        <f t="shared" si="2"/>
        <v>11594517.473499404</v>
      </c>
      <c r="G35" s="95">
        <v>17509</v>
      </c>
      <c r="H35" s="95">
        <v>14968</v>
      </c>
      <c r="I35" s="95">
        <v>13688</v>
      </c>
      <c r="J35" s="95">
        <v>18470</v>
      </c>
      <c r="K35" s="95">
        <v>7744</v>
      </c>
      <c r="L35" s="95">
        <v>6479</v>
      </c>
      <c r="M35" s="95">
        <v>11024</v>
      </c>
      <c r="N35" s="95">
        <v>10775</v>
      </c>
      <c r="O35" s="95">
        <v>9142</v>
      </c>
      <c r="P35" s="95">
        <v>8396</v>
      </c>
      <c r="Q35" s="95">
        <v>8030</v>
      </c>
      <c r="R35" s="95">
        <v>10235</v>
      </c>
      <c r="S35" s="95">
        <v>7841</v>
      </c>
      <c r="T35" s="95">
        <v>4508</v>
      </c>
      <c r="U35" s="95">
        <v>17891</v>
      </c>
      <c r="V35" s="95">
        <v>15911</v>
      </c>
      <c r="W35" s="95">
        <v>7792</v>
      </c>
      <c r="X35" s="95">
        <v>6807</v>
      </c>
      <c r="Y35" s="95">
        <v>11985</v>
      </c>
      <c r="Z35" s="95">
        <v>9733</v>
      </c>
      <c r="AA35" s="95">
        <v>31698</v>
      </c>
      <c r="AB35" s="95">
        <v>74346</v>
      </c>
      <c r="AC35" s="95">
        <v>74653</v>
      </c>
      <c r="AF35"/>
      <c r="AG35"/>
      <c r="AH35" s="95">
        <v>30256</v>
      </c>
      <c r="AI35" s="95">
        <v>30552</v>
      </c>
      <c r="AJ35" s="95">
        <v>30802</v>
      </c>
      <c r="AK35" s="95">
        <v>31200</v>
      </c>
      <c r="AL35" s="95">
        <v>31455</v>
      </c>
      <c r="AM35" s="95">
        <v>45959</v>
      </c>
      <c r="AN35" s="95">
        <v>43363</v>
      </c>
      <c r="AO35" s="95">
        <v>73520000</v>
      </c>
      <c r="AP35" s="95">
        <v>74346</v>
      </c>
      <c r="AQ35" s="95">
        <v>74653</v>
      </c>
      <c r="AR35" s="95">
        <v>78923</v>
      </c>
    </row>
    <row r="36" spans="1:44" ht="12.5" x14ac:dyDescent="0.25">
      <c r="A36" s="95" t="s">
        <v>517</v>
      </c>
      <c r="B36" s="95" t="s">
        <v>349</v>
      </c>
      <c r="C36" s="95">
        <f t="shared" si="0"/>
        <v>11137</v>
      </c>
      <c r="D36" s="95">
        <f t="shared" si="1"/>
        <v>12206.3</v>
      </c>
      <c r="E36" s="184">
        <v>3024000</v>
      </c>
      <c r="F36" s="184">
        <f t="shared" si="2"/>
        <v>11195084.919992516</v>
      </c>
      <c r="G36" s="95">
        <v>13465</v>
      </c>
      <c r="H36" s="95">
        <v>13870</v>
      </c>
      <c r="I36" s="95">
        <v>15720</v>
      </c>
      <c r="J36" s="95">
        <v>31540</v>
      </c>
      <c r="K36" s="95">
        <v>9067</v>
      </c>
      <c r="L36" s="95">
        <v>11899</v>
      </c>
      <c r="M36" s="95">
        <v>11600</v>
      </c>
      <c r="N36" s="95">
        <v>8186</v>
      </c>
      <c r="O36" s="95">
        <v>8661</v>
      </c>
      <c r="P36" s="95">
        <v>7421</v>
      </c>
      <c r="Q36" s="95">
        <v>17161</v>
      </c>
      <c r="R36" s="95">
        <v>9117</v>
      </c>
      <c r="S36" s="95">
        <v>12587</v>
      </c>
      <c r="T36" s="95">
        <v>13618</v>
      </c>
      <c r="U36" s="95">
        <v>4459</v>
      </c>
      <c r="V36" s="95">
        <v>4729</v>
      </c>
      <c r="W36" s="95">
        <v>7320</v>
      </c>
      <c r="X36" s="95">
        <v>9893</v>
      </c>
      <c r="Y36" s="95">
        <v>11330</v>
      </c>
      <c r="Z36" s="95">
        <v>11790</v>
      </c>
      <c r="AA36" s="95">
        <v>30606</v>
      </c>
      <c r="AB36" s="95">
        <v>75000</v>
      </c>
      <c r="AC36" s="95">
        <v>78197</v>
      </c>
      <c r="AF36"/>
      <c r="AG36"/>
      <c r="AH36" s="95">
        <v>29175</v>
      </c>
      <c r="AI36" s="95">
        <v>29494</v>
      </c>
      <c r="AJ36" s="95">
        <v>29823</v>
      </c>
      <c r="AK36" s="95">
        <v>29968</v>
      </c>
      <c r="AL36" s="95">
        <v>30216</v>
      </c>
      <c r="AM36" s="95">
        <v>75280</v>
      </c>
      <c r="AN36" s="95">
        <v>74074</v>
      </c>
      <c r="AO36" s="95">
        <v>72442000</v>
      </c>
      <c r="AP36" s="95">
        <v>75000</v>
      </c>
      <c r="AQ36" s="95">
        <v>78197</v>
      </c>
      <c r="AR36" s="95">
        <v>50091</v>
      </c>
    </row>
    <row r="37" spans="1:44" ht="12.5" x14ac:dyDescent="0.25">
      <c r="A37" s="95" t="s">
        <v>519</v>
      </c>
      <c r="B37" s="95" t="s">
        <v>170</v>
      </c>
      <c r="C37" s="95">
        <f t="shared" si="0"/>
        <v>11478.8</v>
      </c>
      <c r="D37" s="95">
        <f t="shared" si="1"/>
        <v>10336.200000000001</v>
      </c>
      <c r="E37" s="184">
        <v>2199000</v>
      </c>
      <c r="F37" s="184">
        <f t="shared" si="2"/>
        <v>9595160.0216050353</v>
      </c>
      <c r="G37" s="95">
        <v>3365</v>
      </c>
      <c r="H37" s="95">
        <v>3425</v>
      </c>
      <c r="I37" s="95">
        <v>8274</v>
      </c>
      <c r="J37" s="95">
        <v>8087</v>
      </c>
      <c r="K37" s="95">
        <v>11338</v>
      </c>
      <c r="L37" s="95">
        <v>12554</v>
      </c>
      <c r="M37" s="95">
        <v>23512</v>
      </c>
      <c r="N37" s="95">
        <v>16514</v>
      </c>
      <c r="O37" s="95">
        <v>31449</v>
      </c>
      <c r="P37" s="95">
        <v>31314</v>
      </c>
      <c r="Q37" s="95">
        <v>18103</v>
      </c>
      <c r="R37" s="95">
        <v>13294</v>
      </c>
      <c r="S37" s="95">
        <v>10777</v>
      </c>
      <c r="T37" s="95">
        <v>11059</v>
      </c>
      <c r="U37" s="95">
        <v>2424</v>
      </c>
      <c r="V37" s="95">
        <v>2728</v>
      </c>
      <c r="W37" s="95">
        <v>3838</v>
      </c>
      <c r="X37" s="95">
        <v>2748</v>
      </c>
      <c r="Y37" s="95">
        <v>1708</v>
      </c>
      <c r="Z37" s="95">
        <v>1639</v>
      </c>
      <c r="AA37" s="95">
        <v>26232</v>
      </c>
      <c r="AB37" s="95">
        <v>52831</v>
      </c>
      <c r="AC37" s="95">
        <v>51059</v>
      </c>
      <c r="AF37"/>
      <c r="AG37"/>
      <c r="AH37" s="95">
        <v>25426</v>
      </c>
      <c r="AI37" s="95">
        <v>25801</v>
      </c>
      <c r="AJ37" s="95">
        <v>25896</v>
      </c>
      <c r="AK37" s="95">
        <v>25866</v>
      </c>
      <c r="AL37" s="95">
        <v>26157</v>
      </c>
      <c r="AM37" s="95">
        <v>57872</v>
      </c>
      <c r="AN37" s="95">
        <v>49832</v>
      </c>
      <c r="AO37" s="95">
        <v>53343000</v>
      </c>
      <c r="AP37" s="95">
        <v>52831</v>
      </c>
      <c r="AQ37" s="95">
        <v>51059</v>
      </c>
      <c r="AR37" s="95">
        <v>46278</v>
      </c>
    </row>
    <row r="38" spans="1:44" ht="12.5" x14ac:dyDescent="0.25">
      <c r="A38" s="95" t="s">
        <v>518</v>
      </c>
      <c r="B38" s="95" t="s">
        <v>243</v>
      </c>
      <c r="C38" s="95">
        <f t="shared" si="0"/>
        <v>4211.1000000000004</v>
      </c>
      <c r="D38" s="95">
        <f t="shared" si="1"/>
        <v>4165.6000000000004</v>
      </c>
      <c r="E38" s="184">
        <v>4626000</v>
      </c>
      <c r="F38" s="184">
        <f t="shared" si="2"/>
        <v>15396442.346347939</v>
      </c>
      <c r="G38" s="95">
        <v>5060</v>
      </c>
      <c r="H38" s="95">
        <v>4696</v>
      </c>
      <c r="I38" s="95">
        <v>2157</v>
      </c>
      <c r="J38" s="95">
        <v>3350</v>
      </c>
      <c r="K38" s="95">
        <v>2604</v>
      </c>
      <c r="L38" s="95">
        <v>2758</v>
      </c>
      <c r="M38" s="95">
        <v>3650</v>
      </c>
      <c r="N38" s="95">
        <v>2346</v>
      </c>
      <c r="O38" s="95">
        <v>5587</v>
      </c>
      <c r="P38" s="95">
        <v>3038</v>
      </c>
      <c r="Q38" s="95">
        <v>3366</v>
      </c>
      <c r="R38" s="95">
        <v>6527</v>
      </c>
      <c r="S38" s="95">
        <v>6494</v>
      </c>
      <c r="T38" s="95">
        <v>7014</v>
      </c>
      <c r="U38" s="95">
        <v>3139</v>
      </c>
      <c r="V38" s="95">
        <v>2806</v>
      </c>
      <c r="W38" s="95">
        <v>3787</v>
      </c>
      <c r="X38" s="95">
        <v>3330</v>
      </c>
      <c r="Y38" s="95">
        <v>6267</v>
      </c>
      <c r="Z38" s="95">
        <v>5791</v>
      </c>
      <c r="AA38" s="95">
        <v>42092</v>
      </c>
      <c r="AB38" s="95">
        <v>93306</v>
      </c>
      <c r="AC38" s="95">
        <v>91361</v>
      </c>
      <c r="AF38"/>
      <c r="AG38"/>
      <c r="AH38" s="95">
        <v>40696</v>
      </c>
      <c r="AI38" s="95">
        <v>41086</v>
      </c>
      <c r="AJ38" s="95">
        <v>41168</v>
      </c>
      <c r="AK38" s="95">
        <v>41569</v>
      </c>
      <c r="AL38" s="95">
        <v>41863</v>
      </c>
      <c r="AM38" s="95">
        <v>102819</v>
      </c>
      <c r="AN38" s="95">
        <v>101884</v>
      </c>
      <c r="AO38" s="95">
        <v>97644000</v>
      </c>
      <c r="AP38" s="95">
        <v>93306</v>
      </c>
      <c r="AQ38" s="95">
        <v>91361</v>
      </c>
      <c r="AR38" s="95">
        <v>92214</v>
      </c>
    </row>
    <row r="39" spans="1:44" ht="12.5" x14ac:dyDescent="0.25">
      <c r="A39" s="95" t="s">
        <v>517</v>
      </c>
      <c r="B39" s="95" t="s">
        <v>350</v>
      </c>
      <c r="C39" s="95">
        <f t="shared" si="0"/>
        <v>2418.3000000000002</v>
      </c>
      <c r="D39" s="95">
        <f t="shared" si="1"/>
        <v>2241.6</v>
      </c>
      <c r="E39" s="184">
        <v>2619000</v>
      </c>
      <c r="F39" s="184">
        <f t="shared" si="2"/>
        <v>7577879.3141045859</v>
      </c>
      <c r="G39" s="95">
        <v>3649</v>
      </c>
      <c r="H39" s="95">
        <v>3565</v>
      </c>
      <c r="I39" s="95">
        <v>2085</v>
      </c>
      <c r="J39" s="95">
        <v>2501</v>
      </c>
      <c r="K39" s="95">
        <v>2871</v>
      </c>
      <c r="L39" s="95">
        <v>3924</v>
      </c>
      <c r="M39" s="95">
        <v>2140</v>
      </c>
      <c r="N39" s="95">
        <v>1656</v>
      </c>
      <c r="O39" s="95">
        <v>2594</v>
      </c>
      <c r="P39" s="95">
        <v>1735</v>
      </c>
      <c r="Q39" s="95">
        <v>3031</v>
      </c>
      <c r="R39" s="95">
        <v>1219</v>
      </c>
      <c r="S39" s="95">
        <v>2169</v>
      </c>
      <c r="T39" s="95">
        <v>1874</v>
      </c>
      <c r="U39" s="95">
        <v>1216</v>
      </c>
      <c r="V39" s="95">
        <v>1921</v>
      </c>
      <c r="W39" s="95">
        <v>1112</v>
      </c>
      <c r="X39" s="95">
        <v>789</v>
      </c>
      <c r="Y39" s="95">
        <v>3316</v>
      </c>
      <c r="Z39" s="95">
        <v>3232</v>
      </c>
      <c r="AA39" s="95">
        <v>20717</v>
      </c>
      <c r="AB39" s="95">
        <v>53882</v>
      </c>
      <c r="AC39" s="95">
        <v>57088</v>
      </c>
      <c r="AF39"/>
      <c r="AG39"/>
      <c r="AH39" s="95">
        <v>20061</v>
      </c>
      <c r="AI39" s="95">
        <v>20145</v>
      </c>
      <c r="AJ39" s="95">
        <v>20175</v>
      </c>
      <c r="AK39" s="95">
        <v>20401</v>
      </c>
      <c r="AL39" s="95">
        <v>20529</v>
      </c>
      <c r="AM39" s="95">
        <v>45035</v>
      </c>
      <c r="AN39" s="95">
        <v>38322</v>
      </c>
      <c r="AO39" s="95">
        <v>48387000</v>
      </c>
      <c r="AP39" s="95">
        <v>53882</v>
      </c>
      <c r="AQ39" s="95">
        <v>57088</v>
      </c>
      <c r="AR39" s="95">
        <v>61552</v>
      </c>
    </row>
    <row r="40" spans="1:44" ht="12.5" x14ac:dyDescent="0.25">
      <c r="A40" s="95" t="s">
        <v>518</v>
      </c>
      <c r="B40" s="95" t="s">
        <v>244</v>
      </c>
      <c r="C40" s="95">
        <f t="shared" si="0"/>
        <v>14627.2</v>
      </c>
      <c r="D40" s="95">
        <f t="shared" si="1"/>
        <v>12070.6</v>
      </c>
      <c r="E40" s="184">
        <v>1077000</v>
      </c>
      <c r="F40" s="184">
        <f t="shared" si="2"/>
        <v>4520318.2199982852</v>
      </c>
      <c r="G40" s="95">
        <v>9396</v>
      </c>
      <c r="H40" s="95">
        <v>9395</v>
      </c>
      <c r="I40" s="95">
        <v>6632</v>
      </c>
      <c r="J40" s="95">
        <v>6756</v>
      </c>
      <c r="K40" s="95">
        <v>6145</v>
      </c>
      <c r="L40" s="95">
        <v>6325</v>
      </c>
      <c r="M40" s="95">
        <v>6445</v>
      </c>
      <c r="N40" s="95">
        <v>6590</v>
      </c>
      <c r="O40" s="95">
        <v>15071</v>
      </c>
      <c r="P40" s="95">
        <v>15180</v>
      </c>
      <c r="Q40" s="95">
        <v>21949</v>
      </c>
      <c r="R40" s="95">
        <v>22086</v>
      </c>
      <c r="S40" s="95">
        <v>19515</v>
      </c>
      <c r="T40" s="95">
        <v>11831</v>
      </c>
      <c r="U40" s="95">
        <v>24581</v>
      </c>
      <c r="V40" s="95">
        <v>18963</v>
      </c>
      <c r="W40" s="95">
        <v>20706</v>
      </c>
      <c r="X40" s="95">
        <v>13212</v>
      </c>
      <c r="Y40" s="95">
        <v>15832</v>
      </c>
      <c r="Z40" s="95">
        <v>10368</v>
      </c>
      <c r="AA40" s="95">
        <v>12358</v>
      </c>
      <c r="AB40" s="95">
        <v>21384</v>
      </c>
      <c r="AC40" s="95">
        <v>21533</v>
      </c>
      <c r="AF40"/>
      <c r="AG40"/>
      <c r="AH40" s="95">
        <v>10194</v>
      </c>
      <c r="AI40" s="95">
        <v>10798</v>
      </c>
      <c r="AJ40" s="95">
        <v>11198</v>
      </c>
      <c r="AK40" s="95">
        <v>11509</v>
      </c>
      <c r="AL40" s="95">
        <v>11954</v>
      </c>
      <c r="AM40" s="95">
        <v>21258</v>
      </c>
      <c r="AN40" s="95">
        <v>21199</v>
      </c>
      <c r="AO40" s="95">
        <v>21044000</v>
      </c>
      <c r="AP40" s="95">
        <v>21384</v>
      </c>
      <c r="AQ40" s="95">
        <v>21533</v>
      </c>
      <c r="AR40" s="95">
        <v>22477</v>
      </c>
    </row>
    <row r="41" spans="1:44" ht="12.5" x14ac:dyDescent="0.25">
      <c r="A41" s="95" t="s">
        <v>518</v>
      </c>
      <c r="B41" s="95" t="s">
        <v>245</v>
      </c>
      <c r="C41" s="95">
        <f t="shared" si="0"/>
        <v>3410.9</v>
      </c>
      <c r="D41" s="95">
        <f t="shared" si="1"/>
        <v>3336.9</v>
      </c>
      <c r="E41" s="184">
        <v>2466000</v>
      </c>
      <c r="F41" s="184">
        <f t="shared" si="2"/>
        <v>8680708.2049683854</v>
      </c>
      <c r="G41" s="95">
        <v>0</v>
      </c>
      <c r="H41" s="95">
        <v>0</v>
      </c>
      <c r="I41" s="95">
        <v>671</v>
      </c>
      <c r="J41" s="95">
        <v>1160</v>
      </c>
      <c r="K41" s="95">
        <v>948</v>
      </c>
      <c r="L41" s="95">
        <v>1317</v>
      </c>
      <c r="M41" s="95">
        <v>11312</v>
      </c>
      <c r="N41" s="95">
        <v>10185</v>
      </c>
      <c r="O41" s="95">
        <v>13959</v>
      </c>
      <c r="P41" s="95">
        <v>13840</v>
      </c>
      <c r="Q41" s="95">
        <v>6928</v>
      </c>
      <c r="R41" s="95">
        <v>6761</v>
      </c>
      <c r="S41" s="95">
        <v>220</v>
      </c>
      <c r="T41" s="95">
        <v>0</v>
      </c>
      <c r="U41" s="95">
        <v>0</v>
      </c>
      <c r="V41" s="95">
        <v>35</v>
      </c>
      <c r="W41" s="95">
        <v>0</v>
      </c>
      <c r="X41" s="95">
        <v>0</v>
      </c>
      <c r="Y41" s="95">
        <v>71</v>
      </c>
      <c r="Z41" s="95">
        <v>71</v>
      </c>
      <c r="AA41" s="95">
        <v>23732</v>
      </c>
      <c r="AB41" s="95">
        <v>60873</v>
      </c>
      <c r="AC41" s="95">
        <v>60740</v>
      </c>
      <c r="AF41"/>
      <c r="AG41"/>
      <c r="AH41" s="95">
        <v>22826</v>
      </c>
      <c r="AI41" s="95">
        <v>23203</v>
      </c>
      <c r="AJ41" s="95">
        <v>23409</v>
      </c>
      <c r="AK41" s="95">
        <v>23554</v>
      </c>
      <c r="AL41" s="95">
        <v>23478</v>
      </c>
      <c r="AM41" s="95">
        <v>53128</v>
      </c>
      <c r="AN41" s="95">
        <v>58350</v>
      </c>
      <c r="AO41" s="95">
        <v>61427000</v>
      </c>
      <c r="AP41" s="95">
        <v>60873</v>
      </c>
      <c r="AQ41" s="95">
        <v>60740</v>
      </c>
      <c r="AR41" s="95">
        <v>56131</v>
      </c>
    </row>
    <row r="42" spans="1:44" ht="12.5" x14ac:dyDescent="0.25">
      <c r="A42" s="95" t="s">
        <v>521</v>
      </c>
      <c r="B42" s="95" t="s">
        <v>287</v>
      </c>
      <c r="C42" s="95">
        <f t="shared" si="0"/>
        <v>19530.5</v>
      </c>
      <c r="D42" s="95">
        <f t="shared" si="1"/>
        <v>18963.099999999999</v>
      </c>
      <c r="E42" s="184">
        <v>6289000</v>
      </c>
      <c r="F42" s="184">
        <f t="shared" si="2"/>
        <v>13069345.363370994</v>
      </c>
      <c r="G42" s="95">
        <v>8126</v>
      </c>
      <c r="H42" s="95">
        <v>8037</v>
      </c>
      <c r="I42" s="95">
        <v>45691</v>
      </c>
      <c r="J42" s="95">
        <v>50855</v>
      </c>
      <c r="K42" s="95">
        <v>26574</v>
      </c>
      <c r="L42" s="95">
        <v>38042</v>
      </c>
      <c r="M42" s="95">
        <v>18154</v>
      </c>
      <c r="N42" s="95">
        <v>16299</v>
      </c>
      <c r="O42" s="95">
        <v>8828</v>
      </c>
      <c r="P42" s="95">
        <v>8478</v>
      </c>
      <c r="Q42" s="95">
        <v>22903</v>
      </c>
      <c r="R42" s="95">
        <v>16921</v>
      </c>
      <c r="S42" s="95">
        <v>25719</v>
      </c>
      <c r="T42" s="95">
        <v>18144</v>
      </c>
      <c r="U42" s="95">
        <v>18092</v>
      </c>
      <c r="V42" s="95">
        <v>16418</v>
      </c>
      <c r="W42" s="95">
        <v>13489</v>
      </c>
      <c r="X42" s="95">
        <v>9810</v>
      </c>
      <c r="Y42" s="95">
        <v>7729</v>
      </c>
      <c r="Z42" s="95">
        <v>6627</v>
      </c>
      <c r="AA42" s="95">
        <v>35730</v>
      </c>
      <c r="AB42" s="95">
        <v>128734</v>
      </c>
      <c r="AC42" s="95">
        <v>129984</v>
      </c>
      <c r="AF42"/>
      <c r="AG42"/>
      <c r="AH42" s="95">
        <v>33731</v>
      </c>
      <c r="AI42" s="95">
        <v>33958</v>
      </c>
      <c r="AJ42" s="95">
        <v>34470</v>
      </c>
      <c r="AK42" s="95">
        <v>34852</v>
      </c>
      <c r="AL42" s="95">
        <v>35278</v>
      </c>
      <c r="AM42" s="95">
        <v>121689</v>
      </c>
      <c r="AN42" s="95">
        <v>116459</v>
      </c>
      <c r="AO42" s="95">
        <v>127821000</v>
      </c>
      <c r="AP42" s="95">
        <v>128734</v>
      </c>
      <c r="AQ42" s="95">
        <v>129984</v>
      </c>
      <c r="AR42" s="95">
        <v>146652</v>
      </c>
    </row>
    <row r="43" spans="1:44" ht="12.5" x14ac:dyDescent="0.25">
      <c r="A43" s="95" t="s">
        <v>517</v>
      </c>
      <c r="B43" s="95" t="s">
        <v>351</v>
      </c>
      <c r="C43" s="95">
        <f t="shared" si="0"/>
        <v>6433.2</v>
      </c>
      <c r="D43" s="95">
        <f t="shared" si="1"/>
        <v>7019.3</v>
      </c>
      <c r="E43" s="184">
        <v>1126000</v>
      </c>
      <c r="F43" s="184">
        <f t="shared" si="2"/>
        <v>4031269.3884610054</v>
      </c>
      <c r="G43" s="95">
        <v>10588</v>
      </c>
      <c r="H43" s="95">
        <v>10533</v>
      </c>
      <c r="I43" s="95">
        <v>6004</v>
      </c>
      <c r="J43" s="95">
        <v>8521</v>
      </c>
      <c r="K43" s="95">
        <v>1871</v>
      </c>
      <c r="L43" s="95">
        <v>2961</v>
      </c>
      <c r="M43" s="95">
        <v>4355</v>
      </c>
      <c r="N43" s="95">
        <v>4750</v>
      </c>
      <c r="O43" s="95">
        <v>8438</v>
      </c>
      <c r="P43" s="95">
        <v>8370</v>
      </c>
      <c r="Q43" s="95">
        <v>3667</v>
      </c>
      <c r="R43" s="95">
        <v>4213</v>
      </c>
      <c r="S43" s="95">
        <v>7767</v>
      </c>
      <c r="T43" s="95">
        <v>5121</v>
      </c>
      <c r="U43" s="95">
        <v>7805</v>
      </c>
      <c r="V43" s="95">
        <v>11741</v>
      </c>
      <c r="W43" s="95">
        <v>6803</v>
      </c>
      <c r="X43" s="95">
        <v>7097</v>
      </c>
      <c r="Y43" s="95">
        <v>7034</v>
      </c>
      <c r="Z43" s="95">
        <v>6886</v>
      </c>
      <c r="AA43" s="95">
        <v>11021</v>
      </c>
      <c r="AB43" s="95">
        <v>19014</v>
      </c>
      <c r="AC43" s="95">
        <v>21145</v>
      </c>
      <c r="AF43"/>
      <c r="AG43"/>
      <c r="AH43" s="95">
        <v>10413</v>
      </c>
      <c r="AI43" s="95">
        <v>10503</v>
      </c>
      <c r="AJ43" s="95">
        <v>10587</v>
      </c>
      <c r="AK43" s="95">
        <v>10778</v>
      </c>
      <c r="AL43" s="95">
        <v>10959</v>
      </c>
      <c r="AM43" s="95">
        <v>40507</v>
      </c>
      <c r="AN43" s="95">
        <v>35875</v>
      </c>
      <c r="AO43" s="95">
        <v>20260000</v>
      </c>
      <c r="AP43" s="95">
        <v>19014</v>
      </c>
      <c r="AQ43" s="95">
        <v>21145</v>
      </c>
      <c r="AR43" s="95">
        <v>23310</v>
      </c>
    </row>
    <row r="44" spans="1:44" ht="12.5" x14ac:dyDescent="0.25">
      <c r="A44" s="95" t="s">
        <v>516</v>
      </c>
      <c r="B44" s="95" t="s">
        <v>108</v>
      </c>
      <c r="C44" s="95">
        <f t="shared" si="0"/>
        <v>1575.8</v>
      </c>
      <c r="D44" s="95">
        <f t="shared" si="1"/>
        <v>1605.3</v>
      </c>
      <c r="E44" s="184">
        <v>3454000</v>
      </c>
      <c r="F44" s="184">
        <f t="shared" si="2"/>
        <v>9392517.4990383536</v>
      </c>
      <c r="G44" s="95">
        <v>112</v>
      </c>
      <c r="H44" s="95">
        <v>85</v>
      </c>
      <c r="I44" s="95">
        <v>1725</v>
      </c>
      <c r="J44" s="95">
        <v>2898</v>
      </c>
      <c r="K44" s="95">
        <v>1870</v>
      </c>
      <c r="L44" s="95">
        <v>2007</v>
      </c>
      <c r="M44" s="95">
        <v>1419</v>
      </c>
      <c r="N44" s="95">
        <v>1621</v>
      </c>
      <c r="O44" s="95">
        <v>2718</v>
      </c>
      <c r="P44" s="95">
        <v>2248</v>
      </c>
      <c r="Q44" s="95">
        <v>2024</v>
      </c>
      <c r="R44" s="95">
        <v>2341</v>
      </c>
      <c r="S44" s="95">
        <v>1003</v>
      </c>
      <c r="T44" s="95">
        <v>856</v>
      </c>
      <c r="U44" s="95">
        <v>1845</v>
      </c>
      <c r="V44" s="95">
        <v>1464</v>
      </c>
      <c r="W44" s="95">
        <v>833</v>
      </c>
      <c r="X44" s="95">
        <v>593</v>
      </c>
      <c r="Y44" s="95">
        <v>2209</v>
      </c>
      <c r="Z44" s="95">
        <v>1940</v>
      </c>
      <c r="AA44" s="95">
        <v>25678</v>
      </c>
      <c r="AB44" s="95">
        <v>54521</v>
      </c>
      <c r="AC44" s="95">
        <v>54842</v>
      </c>
      <c r="AF44"/>
      <c r="AG44"/>
      <c r="AH44" s="95">
        <v>25355</v>
      </c>
      <c r="AI44" s="95">
        <v>25355</v>
      </c>
      <c r="AJ44" s="95">
        <v>25359</v>
      </c>
      <c r="AK44" s="95">
        <v>25516</v>
      </c>
      <c r="AL44" s="95">
        <v>25598</v>
      </c>
      <c r="AM44" s="95">
        <v>52927</v>
      </c>
      <c r="AN44" s="95">
        <v>51411</v>
      </c>
      <c r="AO44" s="95">
        <v>52097000</v>
      </c>
      <c r="AP44" s="95">
        <v>54521</v>
      </c>
      <c r="AQ44" s="95">
        <v>54842</v>
      </c>
      <c r="AR44" s="95">
        <v>57173</v>
      </c>
    </row>
    <row r="45" spans="1:44" ht="12.5" x14ac:dyDescent="0.25">
      <c r="A45" s="95" t="s">
        <v>522</v>
      </c>
      <c r="B45" s="95" t="s">
        <v>142</v>
      </c>
      <c r="C45" s="95">
        <f t="shared" si="0"/>
        <v>7830</v>
      </c>
      <c r="D45" s="95">
        <f t="shared" si="1"/>
        <v>8534.2000000000007</v>
      </c>
      <c r="E45" s="184">
        <v>2930000</v>
      </c>
      <c r="F45" s="184">
        <f t="shared" si="2"/>
        <v>8779469.0011651441</v>
      </c>
      <c r="G45" s="95">
        <v>9905</v>
      </c>
      <c r="H45" s="95">
        <v>9905</v>
      </c>
      <c r="I45" s="95">
        <v>23990</v>
      </c>
      <c r="J45" s="95">
        <v>25257</v>
      </c>
      <c r="K45" s="95">
        <v>8671</v>
      </c>
      <c r="L45" s="95">
        <v>10787</v>
      </c>
      <c r="M45" s="95">
        <v>14163</v>
      </c>
      <c r="N45" s="95">
        <v>16265</v>
      </c>
      <c r="O45" s="95">
        <v>8578</v>
      </c>
      <c r="P45" s="95">
        <v>9659</v>
      </c>
      <c r="Q45" s="95">
        <v>4172</v>
      </c>
      <c r="R45" s="95">
        <v>4717</v>
      </c>
      <c r="S45" s="95">
        <v>4669</v>
      </c>
      <c r="T45" s="95">
        <v>3592</v>
      </c>
      <c r="U45" s="95">
        <v>3518</v>
      </c>
      <c r="V45" s="95">
        <v>3075</v>
      </c>
      <c r="W45" s="95">
        <v>458</v>
      </c>
      <c r="X45" s="95">
        <v>839</v>
      </c>
      <c r="Y45" s="95">
        <v>176</v>
      </c>
      <c r="Z45" s="95">
        <v>1246</v>
      </c>
      <c r="AA45" s="95">
        <v>24002</v>
      </c>
      <c r="AB45" s="95">
        <v>48505</v>
      </c>
      <c r="AC45" s="95">
        <v>49156</v>
      </c>
      <c r="AF45"/>
      <c r="AG45"/>
      <c r="AH45" s="95">
        <v>22796</v>
      </c>
      <c r="AI45" s="95">
        <v>23133</v>
      </c>
      <c r="AJ45" s="95">
        <v>23213</v>
      </c>
      <c r="AK45" s="95">
        <v>23330</v>
      </c>
      <c r="AL45" s="95">
        <v>23668</v>
      </c>
      <c r="AM45" s="95">
        <v>44110</v>
      </c>
      <c r="AN45" s="95">
        <v>50119</v>
      </c>
      <c r="AO45" s="95">
        <v>54826000</v>
      </c>
      <c r="AP45" s="95">
        <v>48505</v>
      </c>
      <c r="AQ45" s="95">
        <v>49156</v>
      </c>
      <c r="AR45" s="95">
        <v>50087</v>
      </c>
    </row>
    <row r="46" spans="1:44" ht="12.5" x14ac:dyDescent="0.25">
      <c r="A46" s="95" t="s">
        <v>528</v>
      </c>
      <c r="B46" s="95" t="s">
        <v>330</v>
      </c>
      <c r="C46" s="95">
        <f t="shared" si="0"/>
        <v>2759.3</v>
      </c>
      <c r="D46" s="95">
        <f t="shared" si="1"/>
        <v>1784.1</v>
      </c>
      <c r="E46" s="184">
        <v>1791000</v>
      </c>
      <c r="F46" s="184">
        <f t="shared" si="2"/>
        <v>8355529.1389723932</v>
      </c>
      <c r="G46" s="95">
        <v>1800</v>
      </c>
      <c r="H46" s="95">
        <v>1799</v>
      </c>
      <c r="I46" s="95">
        <v>4184</v>
      </c>
      <c r="J46" s="95">
        <v>2224</v>
      </c>
      <c r="K46" s="95">
        <v>578</v>
      </c>
      <c r="L46" s="95">
        <v>532</v>
      </c>
      <c r="M46" s="95">
        <v>2187</v>
      </c>
      <c r="N46" s="95">
        <v>1406</v>
      </c>
      <c r="O46" s="95">
        <v>2583</v>
      </c>
      <c r="P46" s="95">
        <v>1414</v>
      </c>
      <c r="Q46" s="95">
        <v>2185</v>
      </c>
      <c r="R46" s="95">
        <v>1211</v>
      </c>
      <c r="S46" s="95">
        <v>6583</v>
      </c>
      <c r="T46" s="95">
        <v>2497</v>
      </c>
      <c r="U46" s="95">
        <v>3289</v>
      </c>
      <c r="V46" s="95">
        <v>3990</v>
      </c>
      <c r="W46" s="95">
        <v>1892</v>
      </c>
      <c r="X46" s="95">
        <v>946</v>
      </c>
      <c r="Y46" s="95">
        <v>2312</v>
      </c>
      <c r="Z46" s="95">
        <v>1822</v>
      </c>
      <c r="AA46" s="95">
        <v>22843</v>
      </c>
      <c r="AB46" s="95">
        <v>33536</v>
      </c>
      <c r="AC46" s="95">
        <v>34242</v>
      </c>
      <c r="AF46"/>
      <c r="AG46"/>
      <c r="AH46" s="95">
        <v>22684</v>
      </c>
      <c r="AI46" s="95">
        <v>22721</v>
      </c>
      <c r="AJ46" s="95">
        <v>22801</v>
      </c>
      <c r="AK46" s="95">
        <v>22741</v>
      </c>
      <c r="AL46" s="95">
        <v>22818</v>
      </c>
      <c r="AM46" s="95">
        <v>34044</v>
      </c>
      <c r="AN46" s="95">
        <v>30765</v>
      </c>
      <c r="AO46" s="95">
        <v>31895000</v>
      </c>
      <c r="AP46" s="95">
        <v>33536</v>
      </c>
      <c r="AQ46" s="95">
        <v>34242</v>
      </c>
      <c r="AR46" s="95">
        <v>33670</v>
      </c>
    </row>
    <row r="47" spans="1:44" x14ac:dyDescent="0.25">
      <c r="A47" s="95" t="s">
        <v>517</v>
      </c>
      <c r="B47" s="95" t="s">
        <v>353</v>
      </c>
      <c r="C47" s="95">
        <f t="shared" si="0"/>
        <v>3155.7167623582127</v>
      </c>
      <c r="D47" s="95">
        <f t="shared" si="1"/>
        <v>3560.7178826494883</v>
      </c>
      <c r="E47" s="184">
        <v>7632000</v>
      </c>
      <c r="F47" s="184">
        <f t="shared" si="2"/>
        <v>12122704.842788734</v>
      </c>
      <c r="G47" s="95">
        <v>1117</v>
      </c>
      <c r="H47" s="95">
        <v>1572</v>
      </c>
      <c r="I47" s="95">
        <v>4524.0620361293932</v>
      </c>
      <c r="J47" s="95">
        <v>4609.374037249685</v>
      </c>
      <c r="K47" s="95">
        <v>3999.2722307800027</v>
      </c>
      <c r="L47" s="95">
        <v>5921.8101106287631</v>
      </c>
      <c r="M47" s="95">
        <v>7025.1240722587872</v>
      </c>
      <c r="N47" s="95">
        <v>8163.4443355272369</v>
      </c>
      <c r="O47" s="95">
        <v>5013.6387060635761</v>
      </c>
      <c r="P47" s="95">
        <v>4992.4985296177001</v>
      </c>
      <c r="Q47" s="95">
        <v>2231.3992438033888</v>
      </c>
      <c r="R47" s="95">
        <v>2176.5357793026187</v>
      </c>
      <c r="S47" s="95">
        <v>2276.6440274471361</v>
      </c>
      <c r="T47" s="95">
        <v>1963.0719787144658</v>
      </c>
      <c r="U47" s="95">
        <v>2723.2328805489428</v>
      </c>
      <c r="V47" s="95">
        <v>2905.9627503150818</v>
      </c>
      <c r="W47" s="95">
        <v>1178.0379498669654</v>
      </c>
      <c r="X47" s="95">
        <v>1386.9402044531578</v>
      </c>
      <c r="Y47" s="95">
        <v>1468.7564766839378</v>
      </c>
      <c r="Z47" s="95">
        <v>1915.5411006861784</v>
      </c>
      <c r="AA47" s="95">
        <v>33142</v>
      </c>
      <c r="AB47" s="95">
        <v>71039.422489847362</v>
      </c>
      <c r="AC47" s="95">
        <v>71093.441814871869</v>
      </c>
      <c r="AH47" s="95">
        <v>32761.547822433833</v>
      </c>
      <c r="AI47" s="95">
        <v>32803.956728749472</v>
      </c>
      <c r="AJ47" s="95">
        <v>32883.903094804649</v>
      </c>
      <c r="AK47" s="95">
        <v>32964.247444335524</v>
      </c>
      <c r="AL47" s="95">
        <v>32979.41940904635</v>
      </c>
      <c r="AM47" s="95">
        <v>74344.914857863041</v>
      </c>
      <c r="AN47" s="95">
        <v>73717.291555804506</v>
      </c>
      <c r="AO47" s="95">
        <v>71040121.411567003</v>
      </c>
      <c r="AP47" s="95">
        <v>69645.582411426964</v>
      </c>
      <c r="AQ47" s="95">
        <v>71093.441814871869</v>
      </c>
      <c r="AR47" s="95">
        <v>68593.130934042856</v>
      </c>
    </row>
    <row r="48" spans="1:44" ht="12.5" x14ac:dyDescent="0.25">
      <c r="A48" s="95" t="s">
        <v>517</v>
      </c>
      <c r="B48" s="95" t="s">
        <v>354</v>
      </c>
      <c r="C48" s="95">
        <f t="shared" si="0"/>
        <v>33821.599999999999</v>
      </c>
      <c r="D48" s="95">
        <f t="shared" si="1"/>
        <v>32675</v>
      </c>
      <c r="E48" s="184">
        <v>33449000</v>
      </c>
      <c r="F48" s="184">
        <f t="shared" si="2"/>
        <v>67561894.897475585</v>
      </c>
      <c r="G48" s="95">
        <v>14239</v>
      </c>
      <c r="H48" s="95">
        <v>14364</v>
      </c>
      <c r="I48" s="95">
        <v>17185</v>
      </c>
      <c r="J48" s="95">
        <v>27084</v>
      </c>
      <c r="K48" s="95">
        <v>71203</v>
      </c>
      <c r="L48" s="95">
        <v>76489</v>
      </c>
      <c r="M48" s="95">
        <v>47016</v>
      </c>
      <c r="N48" s="95">
        <v>54225</v>
      </c>
      <c r="O48" s="95">
        <v>27293</v>
      </c>
      <c r="P48" s="95">
        <v>30566</v>
      </c>
      <c r="Q48" s="95">
        <v>48353</v>
      </c>
      <c r="R48" s="95">
        <v>25371</v>
      </c>
      <c r="S48" s="95">
        <v>42664</v>
      </c>
      <c r="T48" s="95">
        <v>34435</v>
      </c>
      <c r="U48" s="95">
        <v>27508</v>
      </c>
      <c r="V48" s="95">
        <v>22164</v>
      </c>
      <c r="W48" s="95">
        <v>15787</v>
      </c>
      <c r="X48" s="95">
        <v>11482</v>
      </c>
      <c r="Y48" s="95">
        <v>26968</v>
      </c>
      <c r="Z48" s="95">
        <v>30570</v>
      </c>
      <c r="AA48" s="95">
        <v>184706</v>
      </c>
      <c r="AB48" s="95">
        <v>437711</v>
      </c>
      <c r="AC48" s="95">
        <v>434929</v>
      </c>
      <c r="AF48"/>
      <c r="AG48"/>
      <c r="AH48" s="95">
        <v>182777</v>
      </c>
      <c r="AI48" s="95">
        <v>183749</v>
      </c>
      <c r="AJ48" s="95">
        <v>184069</v>
      </c>
      <c r="AK48" s="95">
        <v>184437</v>
      </c>
      <c r="AL48" s="95">
        <v>184126</v>
      </c>
      <c r="AM48" s="95">
        <v>448814</v>
      </c>
      <c r="AN48" s="95">
        <v>442481</v>
      </c>
      <c r="AO48" s="95">
        <v>478706000</v>
      </c>
      <c r="AP48" s="95">
        <v>437711</v>
      </c>
      <c r="AQ48" s="95">
        <v>434929</v>
      </c>
      <c r="AR48" s="95">
        <v>446060</v>
      </c>
    </row>
    <row r="49" spans="1:44" ht="12.5" x14ac:dyDescent="0.25">
      <c r="A49" s="95" t="s">
        <v>521</v>
      </c>
      <c r="B49" s="95" t="s">
        <v>288</v>
      </c>
      <c r="C49" s="95">
        <f t="shared" si="0"/>
        <v>8059.8</v>
      </c>
      <c r="D49" s="95">
        <f t="shared" si="1"/>
        <v>9893</v>
      </c>
      <c r="E49" s="184">
        <v>4731000</v>
      </c>
      <c r="F49" s="184">
        <f t="shared" si="2"/>
        <v>6479439.7919606427</v>
      </c>
      <c r="G49" s="95">
        <v>1822</v>
      </c>
      <c r="H49" s="95">
        <v>1940</v>
      </c>
      <c r="I49" s="95">
        <v>11616</v>
      </c>
      <c r="J49" s="95">
        <v>25868</v>
      </c>
      <c r="K49" s="95">
        <v>12981</v>
      </c>
      <c r="L49" s="95">
        <v>14224</v>
      </c>
      <c r="M49" s="95">
        <v>9369</v>
      </c>
      <c r="N49" s="95">
        <v>18151</v>
      </c>
      <c r="O49" s="95">
        <v>11261</v>
      </c>
      <c r="P49" s="95">
        <v>10481</v>
      </c>
      <c r="Q49" s="95">
        <v>14412</v>
      </c>
      <c r="R49" s="95">
        <v>9864</v>
      </c>
      <c r="S49" s="95">
        <v>6923</v>
      </c>
      <c r="T49" s="95">
        <v>6584</v>
      </c>
      <c r="U49" s="95">
        <v>3566</v>
      </c>
      <c r="V49" s="95">
        <v>1974</v>
      </c>
      <c r="W49" s="95">
        <v>3863</v>
      </c>
      <c r="X49" s="95">
        <v>4393</v>
      </c>
      <c r="Y49" s="95">
        <v>4785</v>
      </c>
      <c r="Z49" s="95">
        <v>5451</v>
      </c>
      <c r="AA49" s="95">
        <v>17714</v>
      </c>
      <c r="AB49" s="95">
        <v>105414</v>
      </c>
      <c r="AC49" s="95">
        <v>106799</v>
      </c>
      <c r="AG49"/>
      <c r="AH49" s="95">
        <v>16837</v>
      </c>
      <c r="AI49" s="95">
        <v>17026</v>
      </c>
      <c r="AJ49" s="95">
        <v>17184</v>
      </c>
      <c r="AK49" s="95">
        <v>17278</v>
      </c>
      <c r="AL49" s="95">
        <v>17439</v>
      </c>
      <c r="AM49" s="95">
        <v>99056</v>
      </c>
      <c r="AN49" s="95">
        <v>100903</v>
      </c>
      <c r="AO49" s="95">
        <v>102356000</v>
      </c>
      <c r="AP49" s="95">
        <v>105414</v>
      </c>
      <c r="AQ49" s="95">
        <v>106799</v>
      </c>
      <c r="AR49" s="95">
        <v>104241</v>
      </c>
    </row>
    <row r="50" spans="1:44" ht="12.5" x14ac:dyDescent="0.25">
      <c r="A50" s="95" t="s">
        <v>519</v>
      </c>
      <c r="B50" s="95" t="s">
        <v>171</v>
      </c>
      <c r="C50" s="95">
        <f t="shared" si="0"/>
        <v>656.2</v>
      </c>
      <c r="D50" s="95">
        <f t="shared" si="1"/>
        <v>1310.8</v>
      </c>
      <c r="E50" s="184">
        <v>3004000</v>
      </c>
      <c r="F50" s="184">
        <f t="shared" si="2"/>
        <v>13195539.71406685</v>
      </c>
      <c r="G50" s="95">
        <v>491</v>
      </c>
      <c r="H50" s="95">
        <v>405</v>
      </c>
      <c r="I50" s="95">
        <v>171</v>
      </c>
      <c r="J50" s="95">
        <v>3011</v>
      </c>
      <c r="K50" s="95">
        <v>5142</v>
      </c>
      <c r="L50" s="95">
        <v>7810</v>
      </c>
      <c r="M50" s="95">
        <v>56</v>
      </c>
      <c r="N50" s="95">
        <v>814</v>
      </c>
      <c r="O50" s="95">
        <v>136</v>
      </c>
      <c r="P50" s="95">
        <v>439</v>
      </c>
      <c r="Q50" s="95">
        <v>203</v>
      </c>
      <c r="R50" s="95">
        <v>2057</v>
      </c>
      <c r="S50" s="95">
        <v>-78</v>
      </c>
      <c r="T50" s="95">
        <v>-1725</v>
      </c>
      <c r="U50" s="95">
        <v>94</v>
      </c>
      <c r="V50" s="95">
        <v>19</v>
      </c>
      <c r="W50" s="95">
        <v>-244</v>
      </c>
      <c r="X50" s="95">
        <v>-389</v>
      </c>
      <c r="Y50" s="95">
        <v>591</v>
      </c>
      <c r="Z50" s="95">
        <v>667</v>
      </c>
      <c r="AA50" s="95">
        <v>36075</v>
      </c>
      <c r="AB50" s="95">
        <v>64681</v>
      </c>
      <c r="AC50" s="95">
        <v>62806</v>
      </c>
      <c r="AF50"/>
      <c r="AG50"/>
      <c r="AH50" s="95">
        <v>36418</v>
      </c>
      <c r="AI50" s="95">
        <v>36352</v>
      </c>
      <c r="AJ50" s="95">
        <v>36219</v>
      </c>
      <c r="AK50" s="95">
        <v>36028</v>
      </c>
      <c r="AL50" s="95">
        <v>36087</v>
      </c>
      <c r="AM50" s="95">
        <v>69866</v>
      </c>
      <c r="AN50" s="95">
        <v>64693</v>
      </c>
      <c r="AO50" s="95">
        <v>62693000</v>
      </c>
      <c r="AP50" s="95">
        <v>64681</v>
      </c>
      <c r="AQ50" s="95">
        <v>62806</v>
      </c>
      <c r="AR50" s="95">
        <v>62090</v>
      </c>
    </row>
    <row r="51" spans="1:44" ht="12.5" x14ac:dyDescent="0.25">
      <c r="A51" s="95" t="s">
        <v>519</v>
      </c>
      <c r="B51" s="95" t="s">
        <v>172</v>
      </c>
      <c r="C51" s="95">
        <f t="shared" si="0"/>
        <v>2305.1999999999998</v>
      </c>
      <c r="D51" s="95">
        <f t="shared" si="1"/>
        <v>1993.2</v>
      </c>
      <c r="E51" s="184">
        <v>2398000</v>
      </c>
      <c r="F51" s="184">
        <f t="shared" si="2"/>
        <v>7640427.8183625331</v>
      </c>
      <c r="G51" s="95">
        <v>202</v>
      </c>
      <c r="H51" s="95">
        <v>248</v>
      </c>
      <c r="I51" s="95">
        <v>10295</v>
      </c>
      <c r="J51" s="95">
        <v>10327</v>
      </c>
      <c r="K51" s="95">
        <v>1531</v>
      </c>
      <c r="L51" s="95">
        <v>1443</v>
      </c>
      <c r="M51" s="95">
        <v>2756</v>
      </c>
      <c r="N51" s="95">
        <v>2625</v>
      </c>
      <c r="O51" s="95">
        <v>2293</v>
      </c>
      <c r="P51" s="95">
        <v>198</v>
      </c>
      <c r="Q51" s="95">
        <v>491</v>
      </c>
      <c r="R51" s="95">
        <v>524</v>
      </c>
      <c r="S51" s="95">
        <v>4033</v>
      </c>
      <c r="T51" s="95">
        <v>3412</v>
      </c>
      <c r="U51" s="95">
        <v>800</v>
      </c>
      <c r="V51" s="95">
        <v>133</v>
      </c>
      <c r="W51" s="95">
        <v>326</v>
      </c>
      <c r="X51" s="95">
        <v>713</v>
      </c>
      <c r="Y51" s="95">
        <v>325</v>
      </c>
      <c r="Z51" s="95">
        <v>309</v>
      </c>
      <c r="AA51" s="95">
        <v>20888</v>
      </c>
      <c r="AB51" s="95">
        <v>55696</v>
      </c>
      <c r="AC51" s="95">
        <v>46383</v>
      </c>
      <c r="AF51"/>
      <c r="AG51"/>
      <c r="AH51" s="95">
        <v>20840</v>
      </c>
      <c r="AI51" s="95">
        <v>20765</v>
      </c>
      <c r="AJ51" s="95">
        <v>20672</v>
      </c>
      <c r="AK51" s="95">
        <v>20770</v>
      </c>
      <c r="AL51" s="95">
        <v>20884</v>
      </c>
      <c r="AM51" s="95">
        <v>48730</v>
      </c>
      <c r="AN51" s="95">
        <v>52455</v>
      </c>
      <c r="AO51" s="95">
        <v>46756000</v>
      </c>
      <c r="AP51" s="95">
        <v>55696</v>
      </c>
      <c r="AQ51" s="95">
        <v>46383</v>
      </c>
      <c r="AR51" s="95">
        <v>54213</v>
      </c>
    </row>
    <row r="52" spans="1:44" ht="12.5" x14ac:dyDescent="0.25">
      <c r="A52" s="95" t="s">
        <v>526</v>
      </c>
      <c r="B52" s="95" t="s">
        <v>402</v>
      </c>
      <c r="C52" s="95">
        <f t="shared" si="0"/>
        <v>5174.8999999999996</v>
      </c>
      <c r="D52" s="95">
        <f t="shared" si="1"/>
        <v>5877.1</v>
      </c>
      <c r="E52" s="184">
        <v>3276000</v>
      </c>
      <c r="F52" s="184">
        <f t="shared" si="2"/>
        <v>10123347.390894363</v>
      </c>
      <c r="G52" s="95">
        <v>12506</v>
      </c>
      <c r="H52" s="95">
        <v>12810</v>
      </c>
      <c r="I52" s="95">
        <v>9093</v>
      </c>
      <c r="J52" s="95">
        <v>10690</v>
      </c>
      <c r="K52" s="95">
        <v>4307</v>
      </c>
      <c r="L52" s="95">
        <v>5011</v>
      </c>
      <c r="M52" s="95">
        <v>7871</v>
      </c>
      <c r="N52" s="95">
        <v>8286</v>
      </c>
      <c r="O52" s="95">
        <v>2962</v>
      </c>
      <c r="P52" s="95">
        <v>3218</v>
      </c>
      <c r="Q52" s="95">
        <v>4649</v>
      </c>
      <c r="R52" s="95">
        <v>4831</v>
      </c>
      <c r="S52" s="95">
        <v>3768</v>
      </c>
      <c r="T52" s="95">
        <v>4133</v>
      </c>
      <c r="U52" s="95">
        <v>2218</v>
      </c>
      <c r="V52" s="95">
        <v>4188</v>
      </c>
      <c r="W52" s="95">
        <v>764</v>
      </c>
      <c r="X52" s="95">
        <v>1154</v>
      </c>
      <c r="Y52" s="95">
        <v>3611</v>
      </c>
      <c r="Z52" s="95">
        <v>4450</v>
      </c>
      <c r="AA52" s="95">
        <v>27676</v>
      </c>
      <c r="AB52" s="95">
        <v>56150</v>
      </c>
      <c r="AC52" s="95">
        <v>53496</v>
      </c>
      <c r="AF52"/>
      <c r="AG52"/>
      <c r="AH52" s="95">
        <v>28373</v>
      </c>
      <c r="AI52" s="95">
        <v>28232</v>
      </c>
      <c r="AJ52" s="95">
        <v>28121</v>
      </c>
      <c r="AK52" s="95">
        <v>27853</v>
      </c>
      <c r="AL52" s="95">
        <v>27670</v>
      </c>
      <c r="AM52" s="95">
        <v>47750</v>
      </c>
      <c r="AN52" s="95">
        <v>54669</v>
      </c>
      <c r="AO52" s="95">
        <v>55855000</v>
      </c>
      <c r="AP52" s="95">
        <v>56150</v>
      </c>
      <c r="AQ52" s="95">
        <v>53496</v>
      </c>
      <c r="AR52" s="95">
        <v>53943</v>
      </c>
    </row>
    <row r="53" spans="1:44" ht="12.5" x14ac:dyDescent="0.25">
      <c r="A53" s="95" t="s">
        <v>524</v>
      </c>
      <c r="B53" s="95" t="s">
        <v>216</v>
      </c>
      <c r="C53" s="95">
        <f t="shared" si="0"/>
        <v>4014.8</v>
      </c>
      <c r="D53" s="95">
        <f t="shared" si="1"/>
        <v>4393.2</v>
      </c>
      <c r="E53" s="184">
        <v>1589000</v>
      </c>
      <c r="F53" s="184">
        <f t="shared" si="2"/>
        <v>5703253.089999455</v>
      </c>
      <c r="G53" s="95">
        <v>266</v>
      </c>
      <c r="H53" s="95">
        <v>266</v>
      </c>
      <c r="I53" s="95">
        <v>6255</v>
      </c>
      <c r="J53" s="95">
        <v>9070</v>
      </c>
      <c r="K53" s="95">
        <v>8307</v>
      </c>
      <c r="L53" s="95">
        <v>10752</v>
      </c>
      <c r="M53" s="95">
        <v>6734</v>
      </c>
      <c r="N53" s="95">
        <v>6536</v>
      </c>
      <c r="O53" s="95">
        <v>4020</v>
      </c>
      <c r="P53" s="95">
        <v>2385</v>
      </c>
      <c r="Q53" s="95">
        <v>500</v>
      </c>
      <c r="R53" s="95">
        <v>1002</v>
      </c>
      <c r="S53" s="95">
        <v>662</v>
      </c>
      <c r="T53" s="95">
        <v>680</v>
      </c>
      <c r="U53" s="95">
        <v>1859</v>
      </c>
      <c r="V53" s="95">
        <v>1804</v>
      </c>
      <c r="W53" s="95">
        <v>10702</v>
      </c>
      <c r="X53" s="95">
        <v>10620</v>
      </c>
      <c r="Y53" s="95">
        <v>843</v>
      </c>
      <c r="Z53" s="95">
        <v>817</v>
      </c>
      <c r="AA53" s="95">
        <v>15592</v>
      </c>
      <c r="AB53" s="95">
        <v>37172</v>
      </c>
      <c r="AC53" s="95">
        <v>37337</v>
      </c>
      <c r="AF53"/>
      <c r="AG53"/>
      <c r="AH53" s="95">
        <v>15156</v>
      </c>
      <c r="AI53" s="95">
        <v>15213</v>
      </c>
      <c r="AJ53" s="95">
        <v>15188</v>
      </c>
      <c r="AK53" s="95">
        <v>15183</v>
      </c>
      <c r="AL53" s="95">
        <v>15341</v>
      </c>
      <c r="AM53" s="95">
        <v>37813</v>
      </c>
      <c r="AN53" s="95">
        <v>42284</v>
      </c>
      <c r="AO53" s="95">
        <v>37961000</v>
      </c>
      <c r="AP53" s="95">
        <v>37172</v>
      </c>
      <c r="AQ53" s="95">
        <v>37337</v>
      </c>
      <c r="AR53" s="95">
        <v>35560</v>
      </c>
    </row>
    <row r="54" spans="1:44" ht="12.5" x14ac:dyDescent="0.25">
      <c r="A54" s="95" t="s">
        <v>524</v>
      </c>
      <c r="B54" s="95" t="s">
        <v>217</v>
      </c>
      <c r="C54" s="95">
        <f t="shared" si="0"/>
        <v>7589.4</v>
      </c>
      <c r="D54" s="95">
        <f t="shared" si="1"/>
        <v>7466</v>
      </c>
      <c r="E54" s="184">
        <v>2208000</v>
      </c>
      <c r="F54" s="184">
        <f t="shared" si="2"/>
        <v>8167517.8454718981</v>
      </c>
      <c r="G54" s="95">
        <v>6398</v>
      </c>
      <c r="H54" s="95">
        <v>6400</v>
      </c>
      <c r="I54" s="95">
        <v>7609</v>
      </c>
      <c r="J54" s="95">
        <v>10405</v>
      </c>
      <c r="K54" s="95">
        <v>7208</v>
      </c>
      <c r="L54" s="95">
        <v>10554</v>
      </c>
      <c r="M54" s="95">
        <v>7646</v>
      </c>
      <c r="N54" s="95">
        <v>8111</v>
      </c>
      <c r="O54" s="95">
        <v>6989</v>
      </c>
      <c r="P54" s="95">
        <v>5303</v>
      </c>
      <c r="Q54" s="95">
        <v>11730</v>
      </c>
      <c r="R54" s="95">
        <v>11651</v>
      </c>
      <c r="S54" s="95">
        <v>4641</v>
      </c>
      <c r="T54" s="95">
        <v>3865</v>
      </c>
      <c r="U54" s="95">
        <v>7828</v>
      </c>
      <c r="V54" s="95">
        <v>6605</v>
      </c>
      <c r="W54" s="95">
        <v>5161</v>
      </c>
      <c r="X54" s="95">
        <v>3269</v>
      </c>
      <c r="Y54" s="95">
        <v>10684</v>
      </c>
      <c r="Z54" s="95">
        <v>8497</v>
      </c>
      <c r="AA54" s="95">
        <v>22329</v>
      </c>
      <c r="AB54" s="95">
        <v>24469</v>
      </c>
      <c r="AC54" s="95">
        <v>30222</v>
      </c>
      <c r="AF54"/>
      <c r="AG54"/>
      <c r="AH54" s="95">
        <v>21022</v>
      </c>
      <c r="AI54" s="95">
        <v>21265</v>
      </c>
      <c r="AJ54" s="95">
        <v>21588</v>
      </c>
      <c r="AK54" s="95">
        <v>21873</v>
      </c>
      <c r="AL54" s="95">
        <v>22019</v>
      </c>
      <c r="AM54" s="95">
        <v>31748</v>
      </c>
      <c r="AN54" s="95">
        <v>22999</v>
      </c>
      <c r="AO54" s="95">
        <v>23704000</v>
      </c>
      <c r="AP54" s="95">
        <v>24469</v>
      </c>
      <c r="AQ54" s="95">
        <v>30222</v>
      </c>
      <c r="AR54" s="95">
        <v>33601</v>
      </c>
    </row>
    <row r="55" spans="1:44" ht="12.5" x14ac:dyDescent="0.25">
      <c r="A55" s="95" t="s">
        <v>519</v>
      </c>
      <c r="B55" s="95" t="s">
        <v>173</v>
      </c>
      <c r="C55" s="95">
        <f t="shared" si="0"/>
        <v>3863.3</v>
      </c>
      <c r="D55" s="95">
        <f t="shared" si="1"/>
        <v>4651.3</v>
      </c>
      <c r="E55" s="184">
        <v>1913000</v>
      </c>
      <c r="F55" s="184">
        <f t="shared" si="2"/>
        <v>9936433.4395738319</v>
      </c>
      <c r="G55" s="95">
        <v>251</v>
      </c>
      <c r="H55" s="95">
        <v>288</v>
      </c>
      <c r="I55" s="95">
        <v>9789</v>
      </c>
      <c r="J55" s="95">
        <v>11869</v>
      </c>
      <c r="K55" s="95">
        <v>6430</v>
      </c>
      <c r="L55" s="95">
        <v>7739</v>
      </c>
      <c r="M55" s="95">
        <v>4453</v>
      </c>
      <c r="N55" s="95">
        <v>8526</v>
      </c>
      <c r="O55" s="95">
        <v>10551</v>
      </c>
      <c r="P55" s="95">
        <v>9867</v>
      </c>
      <c r="Q55" s="95">
        <v>2113</v>
      </c>
      <c r="R55" s="95">
        <v>2965</v>
      </c>
      <c r="S55" s="95">
        <v>1419</v>
      </c>
      <c r="T55" s="95">
        <v>1423</v>
      </c>
      <c r="U55" s="95">
        <v>3537</v>
      </c>
      <c r="V55" s="95">
        <v>3590</v>
      </c>
      <c r="W55" s="95">
        <v>61</v>
      </c>
      <c r="X55" s="95">
        <v>183</v>
      </c>
      <c r="Y55" s="95">
        <v>29</v>
      </c>
      <c r="Z55" s="95">
        <v>63</v>
      </c>
      <c r="AA55" s="95">
        <v>27165</v>
      </c>
      <c r="AB55" s="95">
        <v>27651</v>
      </c>
      <c r="AC55" s="95">
        <v>26661</v>
      </c>
      <c r="AF55"/>
      <c r="AG55"/>
      <c r="AH55" s="95">
        <v>26348</v>
      </c>
      <c r="AI55" s="95">
        <v>26359</v>
      </c>
      <c r="AJ55" s="95">
        <v>26578</v>
      </c>
      <c r="AK55" s="95">
        <v>26715</v>
      </c>
      <c r="AL55" s="95">
        <v>27009</v>
      </c>
      <c r="AM55" s="95">
        <v>30048</v>
      </c>
      <c r="AN55" s="95">
        <v>27389</v>
      </c>
      <c r="AO55" s="95">
        <v>26923000</v>
      </c>
      <c r="AP55" s="95">
        <v>27651</v>
      </c>
      <c r="AQ55" s="95">
        <v>26661</v>
      </c>
      <c r="AR55" s="95">
        <v>26343</v>
      </c>
    </row>
    <row r="56" spans="1:44" ht="12.5" x14ac:dyDescent="0.25">
      <c r="A56" s="95" t="s">
        <v>521</v>
      </c>
      <c r="B56" s="95" t="s">
        <v>289</v>
      </c>
      <c r="C56" s="95">
        <f t="shared" si="0"/>
        <v>6623.3</v>
      </c>
      <c r="D56" s="95">
        <f t="shared" si="1"/>
        <v>6658.4</v>
      </c>
      <c r="E56" s="184">
        <v>9158000</v>
      </c>
      <c r="F56" s="184">
        <f t="shared" si="2"/>
        <v>24575343.901019972</v>
      </c>
      <c r="G56" s="95">
        <v>13564</v>
      </c>
      <c r="H56" s="95">
        <v>13015</v>
      </c>
      <c r="I56" s="95">
        <v>2971</v>
      </c>
      <c r="J56" s="95">
        <v>3132</v>
      </c>
      <c r="K56" s="95">
        <v>2028</v>
      </c>
      <c r="L56" s="95">
        <v>2186</v>
      </c>
      <c r="M56" s="95">
        <v>1210</v>
      </c>
      <c r="N56" s="95">
        <v>553</v>
      </c>
      <c r="O56" s="95">
        <v>-230</v>
      </c>
      <c r="P56" s="95">
        <v>447</v>
      </c>
      <c r="Q56" s="95">
        <v>2252</v>
      </c>
      <c r="R56" s="95">
        <v>4449</v>
      </c>
      <c r="S56" s="95">
        <v>9900</v>
      </c>
      <c r="T56" s="95">
        <v>11920</v>
      </c>
      <c r="U56" s="95">
        <v>14945</v>
      </c>
      <c r="V56" s="95">
        <v>14451</v>
      </c>
      <c r="W56" s="95">
        <v>9572</v>
      </c>
      <c r="X56" s="95">
        <v>9182</v>
      </c>
      <c r="Y56" s="95">
        <v>10021</v>
      </c>
      <c r="Z56" s="95">
        <v>7249</v>
      </c>
      <c r="AA56" s="95">
        <v>67186</v>
      </c>
      <c r="AB56" s="95">
        <v>145471</v>
      </c>
      <c r="AC56" s="95">
        <v>160564</v>
      </c>
      <c r="AF56"/>
      <c r="AG56"/>
      <c r="AH56" s="95">
        <v>66445</v>
      </c>
      <c r="AI56" s="95">
        <v>66864</v>
      </c>
      <c r="AJ56" s="95">
        <v>66822</v>
      </c>
      <c r="AK56" s="95">
        <v>67113</v>
      </c>
      <c r="AL56" s="95">
        <v>67319</v>
      </c>
      <c r="AM56" s="95">
        <v>123932</v>
      </c>
      <c r="AN56" s="95">
        <v>133126</v>
      </c>
      <c r="AO56" s="95">
        <v>139252000</v>
      </c>
      <c r="AP56" s="95">
        <v>145471</v>
      </c>
      <c r="AQ56" s="95">
        <v>160564</v>
      </c>
      <c r="AR56" s="95">
        <v>186025</v>
      </c>
    </row>
    <row r="57" spans="1:44" ht="12.5" x14ac:dyDescent="0.25">
      <c r="A57" s="95" t="s">
        <v>518</v>
      </c>
      <c r="B57" s="95" t="s">
        <v>246</v>
      </c>
      <c r="C57" s="95">
        <f t="shared" si="0"/>
        <v>3320.8</v>
      </c>
      <c r="D57" s="95">
        <f t="shared" si="1"/>
        <v>3425</v>
      </c>
      <c r="E57" s="184">
        <v>3397000</v>
      </c>
      <c r="F57" s="184">
        <f t="shared" si="2"/>
        <v>13259185.560504762</v>
      </c>
      <c r="G57" s="95">
        <v>551</v>
      </c>
      <c r="H57" s="95">
        <v>496</v>
      </c>
      <c r="I57" s="95">
        <v>4779</v>
      </c>
      <c r="J57" s="95">
        <v>4550</v>
      </c>
      <c r="K57" s="95">
        <v>1615</v>
      </c>
      <c r="L57" s="95">
        <v>2045</v>
      </c>
      <c r="M57" s="95">
        <v>1699</v>
      </c>
      <c r="N57" s="95">
        <v>3103</v>
      </c>
      <c r="O57" s="95">
        <v>2316</v>
      </c>
      <c r="P57" s="95">
        <v>2152</v>
      </c>
      <c r="Q57" s="95">
        <v>3537</v>
      </c>
      <c r="R57" s="95">
        <v>3743</v>
      </c>
      <c r="S57" s="95">
        <v>1404</v>
      </c>
      <c r="T57" s="95">
        <v>1397</v>
      </c>
      <c r="U57" s="95">
        <v>11503</v>
      </c>
      <c r="V57" s="95">
        <v>11465</v>
      </c>
      <c r="W57" s="95">
        <v>4962</v>
      </c>
      <c r="X57" s="95">
        <v>4455</v>
      </c>
      <c r="Y57" s="95">
        <v>842</v>
      </c>
      <c r="Z57" s="95">
        <v>844</v>
      </c>
      <c r="AA57" s="95">
        <v>36249</v>
      </c>
      <c r="AB57" s="95">
        <v>62985</v>
      </c>
      <c r="AC57" s="95">
        <v>62007</v>
      </c>
      <c r="AF57"/>
      <c r="AG57"/>
      <c r="AH57" s="95">
        <v>35230</v>
      </c>
      <c r="AI57" s="95">
        <v>35607</v>
      </c>
      <c r="AJ57" s="95">
        <v>35754</v>
      </c>
      <c r="AK57" s="95">
        <v>35966</v>
      </c>
      <c r="AL57" s="95">
        <v>36086</v>
      </c>
      <c r="AM57" s="95">
        <v>76360</v>
      </c>
      <c r="AN57" s="95">
        <v>64108</v>
      </c>
      <c r="AO57" s="95">
        <v>64471000</v>
      </c>
      <c r="AP57" s="95">
        <v>62985</v>
      </c>
      <c r="AQ57" s="95">
        <v>62007</v>
      </c>
      <c r="AR57" s="95">
        <v>59403</v>
      </c>
    </row>
    <row r="58" spans="1:44" ht="12.5" x14ac:dyDescent="0.25">
      <c r="A58" s="95" t="s">
        <v>516</v>
      </c>
      <c r="B58" s="95" t="s">
        <v>109</v>
      </c>
      <c r="C58" s="95">
        <f t="shared" si="0"/>
        <v>6787.1</v>
      </c>
      <c r="D58" s="95">
        <f t="shared" si="1"/>
        <v>8194.7999999999993</v>
      </c>
      <c r="E58" s="184">
        <v>8209000</v>
      </c>
      <c r="F58" s="184">
        <f t="shared" si="2"/>
        <v>12990702.507140242</v>
      </c>
      <c r="G58" s="95">
        <v>3143</v>
      </c>
      <c r="H58" s="95">
        <v>3143</v>
      </c>
      <c r="I58" s="95">
        <v>8817</v>
      </c>
      <c r="J58" s="95">
        <v>10680</v>
      </c>
      <c r="K58" s="95">
        <v>6881</v>
      </c>
      <c r="L58" s="95">
        <v>11314</v>
      </c>
      <c r="M58" s="95">
        <v>10829</v>
      </c>
      <c r="N58" s="95">
        <v>13525</v>
      </c>
      <c r="O58" s="95">
        <v>8159</v>
      </c>
      <c r="P58" s="95">
        <v>12249</v>
      </c>
      <c r="Q58" s="95">
        <v>9022</v>
      </c>
      <c r="R58" s="95">
        <v>9276</v>
      </c>
      <c r="S58" s="95">
        <v>9405</v>
      </c>
      <c r="T58" s="95">
        <v>11048</v>
      </c>
      <c r="U58" s="95">
        <v>3544</v>
      </c>
      <c r="V58" s="95">
        <v>3669</v>
      </c>
      <c r="W58" s="95">
        <v>3364</v>
      </c>
      <c r="X58" s="95">
        <v>3230</v>
      </c>
      <c r="Y58" s="95">
        <v>4707</v>
      </c>
      <c r="Z58" s="95">
        <v>3814</v>
      </c>
      <c r="AA58" s="95">
        <v>35515</v>
      </c>
      <c r="AB58" s="95">
        <v>95747</v>
      </c>
      <c r="AC58" s="95">
        <v>95608</v>
      </c>
      <c r="AF58"/>
      <c r="AG58"/>
      <c r="AH58" s="95">
        <v>35268</v>
      </c>
      <c r="AI58" s="95">
        <v>35291</v>
      </c>
      <c r="AJ58" s="95">
        <v>35497</v>
      </c>
      <c r="AK58" s="95">
        <v>35356</v>
      </c>
      <c r="AL58" s="95">
        <v>35317</v>
      </c>
      <c r="AM58" s="95">
        <v>96130</v>
      </c>
      <c r="AN58" s="95">
        <v>93055</v>
      </c>
      <c r="AO58" s="95">
        <v>98458000</v>
      </c>
      <c r="AP58" s="95">
        <v>95747</v>
      </c>
      <c r="AQ58" s="95">
        <v>95608</v>
      </c>
      <c r="AR58" s="95">
        <v>94703</v>
      </c>
    </row>
    <row r="59" spans="1:44" ht="12.5" x14ac:dyDescent="0.25">
      <c r="A59" s="95" t="s">
        <v>517</v>
      </c>
      <c r="B59" s="95" t="s">
        <v>355</v>
      </c>
      <c r="C59" s="95">
        <f t="shared" si="0"/>
        <v>1432.3</v>
      </c>
      <c r="D59" s="95">
        <f t="shared" si="1"/>
        <v>1393.7</v>
      </c>
      <c r="E59" s="184">
        <v>2326000</v>
      </c>
      <c r="F59" s="184">
        <f t="shared" si="2"/>
        <v>7559956.0584985083</v>
      </c>
      <c r="G59" s="95">
        <v>2203</v>
      </c>
      <c r="H59" s="95">
        <v>2203</v>
      </c>
      <c r="I59" s="95">
        <v>2219</v>
      </c>
      <c r="J59" s="95">
        <v>1935</v>
      </c>
      <c r="K59" s="95">
        <v>3709</v>
      </c>
      <c r="L59" s="95">
        <v>3450</v>
      </c>
      <c r="M59" s="95">
        <v>3013</v>
      </c>
      <c r="N59" s="95">
        <v>3013</v>
      </c>
      <c r="O59" s="95" t="s">
        <v>623</v>
      </c>
      <c r="P59" s="95" t="s">
        <v>623</v>
      </c>
      <c r="Q59" s="95">
        <v>778</v>
      </c>
      <c r="R59" s="95">
        <v>1018</v>
      </c>
      <c r="S59" s="95">
        <v>1485</v>
      </c>
      <c r="T59" s="95">
        <v>1409</v>
      </c>
      <c r="U59" s="95">
        <v>105</v>
      </c>
      <c r="V59" s="95">
        <v>99</v>
      </c>
      <c r="W59" s="95">
        <v>211</v>
      </c>
      <c r="X59" s="95">
        <v>211</v>
      </c>
      <c r="Y59" s="95">
        <v>600</v>
      </c>
      <c r="Z59" s="95">
        <v>599</v>
      </c>
      <c r="AA59" s="95">
        <v>20668</v>
      </c>
      <c r="AB59" s="95">
        <v>45852</v>
      </c>
      <c r="AC59" s="95">
        <v>48947</v>
      </c>
      <c r="AF59"/>
      <c r="AG59"/>
      <c r="AH59" s="95">
        <v>20686</v>
      </c>
      <c r="AI59" s="95">
        <v>20335</v>
      </c>
      <c r="AJ59" s="95">
        <v>20436</v>
      </c>
      <c r="AK59" s="95">
        <v>21119</v>
      </c>
      <c r="AL59" s="95">
        <v>21001</v>
      </c>
      <c r="AM59" s="95">
        <v>40960</v>
      </c>
      <c r="AN59" s="95">
        <v>0</v>
      </c>
      <c r="AO59" s="95">
        <v>43618000</v>
      </c>
      <c r="AP59" s="95">
        <v>45852</v>
      </c>
      <c r="AQ59" s="95">
        <v>48947</v>
      </c>
      <c r="AR59" s="95">
        <v>54238</v>
      </c>
    </row>
    <row r="60" spans="1:44" ht="12.5" x14ac:dyDescent="0.25">
      <c r="A60" s="95" t="s">
        <v>519</v>
      </c>
      <c r="B60" s="95" t="s">
        <v>174</v>
      </c>
      <c r="C60" s="95">
        <f t="shared" si="0"/>
        <v>5911.6</v>
      </c>
      <c r="D60" s="95">
        <f t="shared" si="1"/>
        <v>5313.7</v>
      </c>
      <c r="E60" s="184">
        <v>4235000</v>
      </c>
      <c r="F60" s="184">
        <f t="shared" si="2"/>
        <v>10749198.214200485</v>
      </c>
      <c r="G60" s="95">
        <v>3599</v>
      </c>
      <c r="H60" s="95">
        <v>3563</v>
      </c>
      <c r="I60" s="95">
        <v>10662</v>
      </c>
      <c r="J60" s="95">
        <v>10283</v>
      </c>
      <c r="K60" s="95">
        <v>3751</v>
      </c>
      <c r="L60" s="95">
        <v>4910</v>
      </c>
      <c r="M60" s="95">
        <v>4395</v>
      </c>
      <c r="N60" s="95">
        <v>5033</v>
      </c>
      <c r="O60" s="95">
        <v>8311</v>
      </c>
      <c r="P60" s="95">
        <v>8028</v>
      </c>
      <c r="Q60" s="95">
        <v>3543</v>
      </c>
      <c r="R60" s="95">
        <v>3955</v>
      </c>
      <c r="S60" s="95">
        <v>10270</v>
      </c>
      <c r="T60" s="95">
        <v>8473</v>
      </c>
      <c r="U60" s="95">
        <v>9765</v>
      </c>
      <c r="V60" s="95">
        <v>4274</v>
      </c>
      <c r="W60" s="95">
        <v>3557</v>
      </c>
      <c r="X60" s="95">
        <v>3483</v>
      </c>
      <c r="Y60" s="95">
        <v>1263</v>
      </c>
      <c r="Z60" s="95">
        <v>1135</v>
      </c>
      <c r="AA60" s="95">
        <v>29387</v>
      </c>
      <c r="AB60" s="95">
        <v>85124</v>
      </c>
      <c r="AC60" s="95">
        <v>84410</v>
      </c>
      <c r="AF60"/>
      <c r="AG60"/>
      <c r="AH60" s="95">
        <v>27865</v>
      </c>
      <c r="AI60" s="95">
        <v>28195</v>
      </c>
      <c r="AJ60" s="95">
        <v>28544</v>
      </c>
      <c r="AK60" s="95">
        <v>28920</v>
      </c>
      <c r="AL60" s="95">
        <v>29121</v>
      </c>
      <c r="AM60" s="95">
        <v>96308</v>
      </c>
      <c r="AN60" s="95">
        <v>91490</v>
      </c>
      <c r="AO60" s="95">
        <v>88077000</v>
      </c>
      <c r="AP60" s="95">
        <v>85124</v>
      </c>
      <c r="AQ60" s="95">
        <v>84410</v>
      </c>
      <c r="AR60" s="95">
        <v>85623</v>
      </c>
    </row>
    <row r="61" spans="1:44" ht="12.5" x14ac:dyDescent="0.25">
      <c r="A61" s="95" t="s">
        <v>522</v>
      </c>
      <c r="B61" s="95" t="s">
        <v>143</v>
      </c>
      <c r="C61" s="95">
        <f t="shared" si="0"/>
        <v>5757.8</v>
      </c>
      <c r="D61" s="95">
        <f t="shared" si="1"/>
        <v>5205.2</v>
      </c>
      <c r="E61" s="184">
        <v>2219000</v>
      </c>
      <c r="F61" s="184">
        <f t="shared" si="2"/>
        <v>10665434.427796569</v>
      </c>
      <c r="G61" s="95">
        <v>4294</v>
      </c>
      <c r="H61" s="95">
        <v>4294</v>
      </c>
      <c r="I61" s="95">
        <v>1188</v>
      </c>
      <c r="J61" s="95">
        <v>2852</v>
      </c>
      <c r="K61" s="95">
        <v>1443</v>
      </c>
      <c r="L61" s="95">
        <v>4157</v>
      </c>
      <c r="M61" s="95">
        <v>750</v>
      </c>
      <c r="N61" s="95">
        <v>1990</v>
      </c>
      <c r="O61" s="95">
        <v>7163</v>
      </c>
      <c r="P61" s="95">
        <v>5813</v>
      </c>
      <c r="Q61" s="95">
        <v>6354</v>
      </c>
      <c r="R61" s="95">
        <v>4639</v>
      </c>
      <c r="S61" s="95">
        <v>13335</v>
      </c>
      <c r="T61" s="95">
        <v>8360</v>
      </c>
      <c r="U61" s="95">
        <v>6728</v>
      </c>
      <c r="V61" s="95">
        <v>6199</v>
      </c>
      <c r="W61" s="95">
        <v>9337</v>
      </c>
      <c r="X61" s="95">
        <v>7605</v>
      </c>
      <c r="Y61" s="95">
        <v>6986</v>
      </c>
      <c r="Z61" s="95">
        <v>6143</v>
      </c>
      <c r="AA61" s="95">
        <v>29158</v>
      </c>
      <c r="AB61" s="95">
        <v>40775</v>
      </c>
      <c r="AC61" s="95">
        <v>47334</v>
      </c>
      <c r="AF61"/>
      <c r="AG61"/>
      <c r="AH61" s="95">
        <v>28070</v>
      </c>
      <c r="AI61" s="95">
        <v>28252</v>
      </c>
      <c r="AJ61" s="95">
        <v>28487</v>
      </c>
      <c r="AK61" s="95">
        <v>28592</v>
      </c>
      <c r="AL61" s="95">
        <v>28901</v>
      </c>
      <c r="AM61" s="95">
        <v>55985</v>
      </c>
      <c r="AN61" s="95">
        <v>53310</v>
      </c>
      <c r="AO61" s="95">
        <v>37411000</v>
      </c>
      <c r="AP61" s="95">
        <v>40775</v>
      </c>
      <c r="AQ61" s="95">
        <v>47334</v>
      </c>
      <c r="AR61" s="95">
        <v>53191</v>
      </c>
    </row>
    <row r="62" spans="1:44" ht="12.5" x14ac:dyDescent="0.25">
      <c r="A62" s="95" t="s">
        <v>520</v>
      </c>
      <c r="B62" s="95" t="s">
        <v>129</v>
      </c>
      <c r="C62" s="95">
        <f t="shared" si="0"/>
        <v>1846.5</v>
      </c>
      <c r="D62" s="95">
        <f t="shared" si="1"/>
        <v>1732</v>
      </c>
      <c r="E62" s="184">
        <v>1911000</v>
      </c>
      <c r="F62" s="184">
        <f t="shared" si="2"/>
        <v>6935568.3580990033</v>
      </c>
      <c r="G62" s="95">
        <v>55</v>
      </c>
      <c r="H62" s="95">
        <v>55</v>
      </c>
      <c r="I62" s="95">
        <v>2870</v>
      </c>
      <c r="J62" s="95">
        <v>3459</v>
      </c>
      <c r="K62" s="95">
        <v>1299</v>
      </c>
      <c r="L62" s="95">
        <v>407</v>
      </c>
      <c r="M62" s="95">
        <v>1072</v>
      </c>
      <c r="N62" s="95">
        <v>1117</v>
      </c>
      <c r="O62" s="95">
        <v>2874</v>
      </c>
      <c r="P62" s="95">
        <v>2839</v>
      </c>
      <c r="Q62" s="95">
        <v>1816</v>
      </c>
      <c r="R62" s="95">
        <v>1755</v>
      </c>
      <c r="S62" s="95">
        <v>1510</v>
      </c>
      <c r="T62" s="95">
        <v>1953</v>
      </c>
      <c r="U62" s="95">
        <v>4681</v>
      </c>
      <c r="V62" s="95">
        <v>3827</v>
      </c>
      <c r="W62" s="95">
        <v>1105</v>
      </c>
      <c r="X62" s="95">
        <v>881</v>
      </c>
      <c r="Y62" s="95">
        <v>1183</v>
      </c>
      <c r="Z62" s="95">
        <v>1027</v>
      </c>
      <c r="AA62" s="95">
        <v>18961</v>
      </c>
      <c r="AB62" s="95">
        <v>37167</v>
      </c>
      <c r="AC62" s="95">
        <v>37053</v>
      </c>
      <c r="AF62"/>
      <c r="AG62"/>
      <c r="AH62" s="95">
        <v>18943</v>
      </c>
      <c r="AI62" s="95">
        <v>18911</v>
      </c>
      <c r="AJ62" s="95">
        <v>18930</v>
      </c>
      <c r="AK62" s="95">
        <v>18945</v>
      </c>
      <c r="AL62" s="95">
        <v>18943</v>
      </c>
      <c r="AM62" s="95">
        <v>41456</v>
      </c>
      <c r="AN62" s="95">
        <v>40656</v>
      </c>
      <c r="AO62" s="95">
        <v>39252000</v>
      </c>
      <c r="AP62" s="95">
        <v>37167</v>
      </c>
      <c r="AQ62" s="95">
        <v>37053</v>
      </c>
      <c r="AR62" s="95">
        <v>35559</v>
      </c>
    </row>
    <row r="63" spans="1:44" ht="12.5" x14ac:dyDescent="0.25">
      <c r="A63" s="95" t="s">
        <v>524</v>
      </c>
      <c r="B63" s="95" t="s">
        <v>218</v>
      </c>
      <c r="C63" s="95">
        <f t="shared" si="0"/>
        <v>9390</v>
      </c>
      <c r="D63" s="95">
        <f t="shared" si="1"/>
        <v>10085.799999999999</v>
      </c>
      <c r="E63" s="184">
        <v>4269000</v>
      </c>
      <c r="F63" s="184">
        <f t="shared" si="2"/>
        <v>15914387.855290936</v>
      </c>
      <c r="G63" s="95">
        <v>9631</v>
      </c>
      <c r="H63" s="95">
        <v>9670</v>
      </c>
      <c r="I63" s="95">
        <v>9235</v>
      </c>
      <c r="J63" s="95">
        <v>15488</v>
      </c>
      <c r="K63" s="95">
        <v>20115</v>
      </c>
      <c r="L63" s="95">
        <v>20178</v>
      </c>
      <c r="M63" s="95">
        <v>7694</v>
      </c>
      <c r="N63" s="95">
        <v>11261</v>
      </c>
      <c r="O63" s="95">
        <v>6980</v>
      </c>
      <c r="P63" s="95">
        <v>7593</v>
      </c>
      <c r="Q63" s="95">
        <v>3241</v>
      </c>
      <c r="R63" s="95">
        <v>3708</v>
      </c>
      <c r="S63" s="95">
        <v>4445</v>
      </c>
      <c r="T63" s="95">
        <v>4449</v>
      </c>
      <c r="U63" s="95">
        <v>6212</v>
      </c>
      <c r="V63" s="95">
        <v>5248</v>
      </c>
      <c r="W63" s="95">
        <v>16984</v>
      </c>
      <c r="X63" s="95">
        <v>15623</v>
      </c>
      <c r="Y63" s="95">
        <v>9363</v>
      </c>
      <c r="Z63" s="95">
        <v>7640</v>
      </c>
      <c r="AA63" s="95">
        <v>43508</v>
      </c>
      <c r="AB63" s="95">
        <v>95733</v>
      </c>
      <c r="AC63" s="95">
        <v>99149</v>
      </c>
      <c r="AF63"/>
      <c r="AG63"/>
      <c r="AH63" s="95">
        <v>42759</v>
      </c>
      <c r="AI63" s="95">
        <v>42851</v>
      </c>
      <c r="AJ63" s="95">
        <v>42809</v>
      </c>
      <c r="AK63" s="95">
        <v>43123</v>
      </c>
      <c r="AL63" s="95">
        <v>43384</v>
      </c>
      <c r="AM63" s="95">
        <v>93635</v>
      </c>
      <c r="AN63" s="95">
        <v>93942</v>
      </c>
      <c r="AO63" s="95">
        <v>94168000</v>
      </c>
      <c r="AP63" s="95">
        <v>95733</v>
      </c>
      <c r="AQ63" s="95">
        <v>99149</v>
      </c>
      <c r="AR63" s="95">
        <v>102955</v>
      </c>
    </row>
    <row r="64" spans="1:44" ht="12.5" x14ac:dyDescent="0.25">
      <c r="A64" s="95" t="s">
        <v>520</v>
      </c>
      <c r="B64" s="95" t="s">
        <v>529</v>
      </c>
      <c r="C64" s="95">
        <f t="shared" si="0"/>
        <v>5329.6094894275402</v>
      </c>
      <c r="D64" s="95">
        <f t="shared" si="1"/>
        <v>4852.6421454357915</v>
      </c>
      <c r="E64" s="184">
        <v>6313000</v>
      </c>
      <c r="F64" s="184">
        <f t="shared" si="2"/>
        <v>18872456.591747168</v>
      </c>
      <c r="G64" s="95">
        <v>948</v>
      </c>
      <c r="H64" s="95">
        <v>826</v>
      </c>
      <c r="I64" s="95">
        <v>12264.0948942754</v>
      </c>
      <c r="J64" s="95">
        <v>14419.421454357916</v>
      </c>
      <c r="K64" s="95">
        <v>82</v>
      </c>
      <c r="L64" s="95">
        <v>55</v>
      </c>
      <c r="M64" s="95">
        <v>3513</v>
      </c>
      <c r="N64" s="95">
        <v>4557</v>
      </c>
      <c r="O64" s="95">
        <v>9740</v>
      </c>
      <c r="P64" s="95">
        <v>8657</v>
      </c>
      <c r="Q64" s="95">
        <v>6137</v>
      </c>
      <c r="R64" s="95">
        <v>6993</v>
      </c>
      <c r="S64" s="95">
        <v>9394</v>
      </c>
      <c r="T64" s="95">
        <v>6332</v>
      </c>
      <c r="U64" s="95">
        <v>3740</v>
      </c>
      <c r="V64" s="95">
        <v>3099</v>
      </c>
      <c r="W64" s="95">
        <v>4400</v>
      </c>
      <c r="X64" s="95">
        <v>2239</v>
      </c>
      <c r="Y64" s="95">
        <v>3078</v>
      </c>
      <c r="Z64" s="95">
        <v>1349</v>
      </c>
      <c r="AA64" s="95">
        <v>51595</v>
      </c>
      <c r="AB64" s="95">
        <v>111669</v>
      </c>
      <c r="AC64" s="95">
        <v>107892</v>
      </c>
      <c r="AF64"/>
      <c r="AG64"/>
      <c r="AH64" s="95">
        <v>51589</v>
      </c>
      <c r="AI64" s="95">
        <v>51728</v>
      </c>
      <c r="AJ64" s="95">
        <v>51442</v>
      </c>
      <c r="AK64" s="95">
        <v>51561</v>
      </c>
      <c r="AL64" s="95">
        <v>51778</v>
      </c>
      <c r="AM64" s="95">
        <v>106367</v>
      </c>
      <c r="AN64" s="95">
        <v>105052</v>
      </c>
      <c r="AO64" s="95">
        <v>107172000</v>
      </c>
      <c r="AP64" s="95">
        <v>111669</v>
      </c>
      <c r="AQ64" s="95">
        <v>107892</v>
      </c>
      <c r="AR64" s="95">
        <v>107238</v>
      </c>
    </row>
    <row r="65" spans="1:44" ht="12.5" x14ac:dyDescent="0.25">
      <c r="A65" s="95" t="s">
        <v>524</v>
      </c>
      <c r="B65" s="95" t="s">
        <v>219</v>
      </c>
      <c r="C65" s="95">
        <f t="shared" si="0"/>
        <v>11997.4</v>
      </c>
      <c r="D65" s="95">
        <f t="shared" si="1"/>
        <v>10427.299999999999</v>
      </c>
      <c r="E65" s="184">
        <v>4377000</v>
      </c>
      <c r="F65" s="184">
        <f t="shared" si="2"/>
        <v>16441843.663126957</v>
      </c>
      <c r="G65" s="95">
        <v>0</v>
      </c>
      <c r="H65" s="95">
        <v>-317</v>
      </c>
      <c r="I65" s="95">
        <v>5095</v>
      </c>
      <c r="J65" s="95">
        <v>7004</v>
      </c>
      <c r="K65" s="95">
        <v>5047</v>
      </c>
      <c r="L65" s="95">
        <v>5373</v>
      </c>
      <c r="M65" s="95">
        <v>8734</v>
      </c>
      <c r="N65" s="95">
        <v>8091</v>
      </c>
      <c r="O65" s="95">
        <v>18511</v>
      </c>
      <c r="P65" s="95">
        <v>16287</v>
      </c>
      <c r="Q65" s="95">
        <v>22035</v>
      </c>
      <c r="R65" s="95">
        <v>21125</v>
      </c>
      <c r="S65" s="95">
        <v>18897</v>
      </c>
      <c r="T65" s="95">
        <v>13871</v>
      </c>
      <c r="U65" s="95">
        <v>9948</v>
      </c>
      <c r="V65" s="95">
        <v>7000</v>
      </c>
      <c r="W65" s="95">
        <v>4630</v>
      </c>
      <c r="X65" s="95">
        <v>3174</v>
      </c>
      <c r="Y65" s="95">
        <v>27077</v>
      </c>
      <c r="Z65" s="95">
        <v>22665</v>
      </c>
      <c r="AA65" s="95">
        <v>44950</v>
      </c>
      <c r="AB65" s="95">
        <v>80258</v>
      </c>
      <c r="AC65" s="95">
        <v>83450</v>
      </c>
      <c r="AF65"/>
      <c r="AG65"/>
      <c r="AH65" s="95">
        <v>42759</v>
      </c>
      <c r="AI65" s="95">
        <v>43620</v>
      </c>
      <c r="AJ65" s="95">
        <v>44064</v>
      </c>
      <c r="AK65" s="95">
        <v>44435</v>
      </c>
      <c r="AL65" s="95">
        <v>44720</v>
      </c>
      <c r="AM65" s="95">
        <v>75030</v>
      </c>
      <c r="AN65" s="95">
        <v>74817</v>
      </c>
      <c r="AO65" s="95">
        <v>77548000</v>
      </c>
      <c r="AP65" s="95">
        <v>80258</v>
      </c>
      <c r="AQ65" s="95">
        <v>83450</v>
      </c>
      <c r="AR65" s="95">
        <v>86978</v>
      </c>
    </row>
    <row r="66" spans="1:44" ht="12.5" x14ac:dyDescent="0.25">
      <c r="A66" s="95" t="s">
        <v>516</v>
      </c>
      <c r="B66" s="95" t="s">
        <v>117</v>
      </c>
      <c r="C66" s="95">
        <f t="shared" ref="C66:C129" si="3">SUM(G66,I66,K66,M66,O66,Q66,S66,U66,W66,Y66)/10</f>
        <v>1582.9</v>
      </c>
      <c r="D66" s="95">
        <f t="shared" ref="D66:D129" si="4">SUM(H66,J66,L66,N66,P66,R66,T66,V66,X66,Z66)/10</f>
        <v>1514.9</v>
      </c>
      <c r="E66" s="184">
        <v>3258000</v>
      </c>
      <c r="F66" s="184">
        <f t="shared" si="2"/>
        <v>8966748.7332123294</v>
      </c>
      <c r="G66" s="95">
        <v>714</v>
      </c>
      <c r="H66" s="95">
        <v>747</v>
      </c>
      <c r="I66" s="95">
        <v>1183</v>
      </c>
      <c r="J66" s="95">
        <v>1927</v>
      </c>
      <c r="K66" s="95">
        <v>2324</v>
      </c>
      <c r="L66" s="95">
        <v>2645</v>
      </c>
      <c r="M66" s="95">
        <v>2111</v>
      </c>
      <c r="N66" s="95">
        <v>2040</v>
      </c>
      <c r="O66" s="95">
        <v>2912</v>
      </c>
      <c r="P66" s="95">
        <v>2675</v>
      </c>
      <c r="Q66" s="95">
        <v>1892</v>
      </c>
      <c r="R66" s="95">
        <v>1509</v>
      </c>
      <c r="S66" s="95">
        <v>1563</v>
      </c>
      <c r="T66" s="95">
        <v>978</v>
      </c>
      <c r="U66" s="95">
        <v>1070</v>
      </c>
      <c r="V66" s="95">
        <v>837</v>
      </c>
      <c r="W66" s="95">
        <v>1245</v>
      </c>
      <c r="X66" s="95">
        <v>1033</v>
      </c>
      <c r="Y66" s="95">
        <v>815</v>
      </c>
      <c r="Z66" s="95">
        <v>758</v>
      </c>
      <c r="AA66" s="95">
        <v>24514</v>
      </c>
      <c r="AB66" s="95">
        <v>40928</v>
      </c>
      <c r="AC66" s="95">
        <v>44245</v>
      </c>
      <c r="AF66"/>
      <c r="AG66"/>
      <c r="AH66" s="95">
        <v>23745</v>
      </c>
      <c r="AI66" s="95">
        <v>23914</v>
      </c>
      <c r="AJ66" s="95">
        <v>24116</v>
      </c>
      <c r="AK66" s="95">
        <v>24291</v>
      </c>
      <c r="AL66" s="95">
        <v>24374</v>
      </c>
      <c r="AM66" s="95">
        <v>42170</v>
      </c>
      <c r="AN66" s="95">
        <v>41677</v>
      </c>
      <c r="AO66" s="95">
        <v>41057000</v>
      </c>
      <c r="AP66" s="95">
        <v>40928</v>
      </c>
      <c r="AQ66" s="95">
        <v>44245</v>
      </c>
      <c r="AR66" s="95">
        <v>45724</v>
      </c>
    </row>
    <row r="67" spans="1:44" ht="12.5" x14ac:dyDescent="0.25">
      <c r="A67" s="95" t="s">
        <v>521</v>
      </c>
      <c r="B67" s="95" t="s">
        <v>290</v>
      </c>
      <c r="C67" s="95">
        <f t="shared" si="3"/>
        <v>34325.5</v>
      </c>
      <c r="D67" s="95">
        <f t="shared" si="4"/>
        <v>35824.5</v>
      </c>
      <c r="E67" s="184">
        <v>16227000</v>
      </c>
      <c r="F67" s="184">
        <f t="shared" ref="F67:F130" si="5">AA67*$AG$7</f>
        <v>38236156.699391551</v>
      </c>
      <c r="G67" s="95">
        <v>6231</v>
      </c>
      <c r="H67" s="95">
        <v>6604</v>
      </c>
      <c r="I67" s="95">
        <v>56724</v>
      </c>
      <c r="J67" s="95">
        <v>66677</v>
      </c>
      <c r="K67" s="95">
        <v>38877</v>
      </c>
      <c r="L67" s="95">
        <v>65198</v>
      </c>
      <c r="M67" s="95">
        <v>67419</v>
      </c>
      <c r="N67" s="95">
        <v>81446</v>
      </c>
      <c r="O67" s="95">
        <v>27633</v>
      </c>
      <c r="P67" s="95">
        <v>29299</v>
      </c>
      <c r="Q67" s="95">
        <v>19327</v>
      </c>
      <c r="R67" s="95">
        <v>19051</v>
      </c>
      <c r="S67" s="95">
        <v>40257</v>
      </c>
      <c r="T67" s="95">
        <v>12502</v>
      </c>
      <c r="U67" s="95">
        <v>34475</v>
      </c>
      <c r="V67" s="95">
        <v>34666</v>
      </c>
      <c r="W67" s="95">
        <v>35667</v>
      </c>
      <c r="X67" s="95">
        <v>32471</v>
      </c>
      <c r="Y67" s="95">
        <v>16645</v>
      </c>
      <c r="Z67" s="95">
        <v>10331</v>
      </c>
      <c r="AA67" s="95">
        <v>104533</v>
      </c>
      <c r="AB67" s="95">
        <v>390002</v>
      </c>
      <c r="AC67" s="95">
        <v>393714</v>
      </c>
      <c r="AF67"/>
      <c r="AG67"/>
      <c r="AH67" s="95">
        <v>101361</v>
      </c>
      <c r="AI67" s="95">
        <v>102280</v>
      </c>
      <c r="AJ67" s="95">
        <v>103217</v>
      </c>
      <c r="AK67" s="95">
        <v>103808</v>
      </c>
      <c r="AL67" s="95">
        <v>103581</v>
      </c>
      <c r="AM67" s="95">
        <v>275458</v>
      </c>
      <c r="AN67" s="95">
        <v>231822</v>
      </c>
      <c r="AO67" s="95">
        <v>348200000</v>
      </c>
      <c r="AP67" s="95">
        <v>390002</v>
      </c>
      <c r="AQ67" s="95">
        <v>393714</v>
      </c>
      <c r="AR67" s="95">
        <v>390848</v>
      </c>
    </row>
    <row r="68" spans="1:44" ht="12.5" x14ac:dyDescent="0.25">
      <c r="A68" s="95" t="s">
        <v>518</v>
      </c>
      <c r="B68" s="95" t="s">
        <v>247</v>
      </c>
      <c r="C68" s="95">
        <f t="shared" si="3"/>
        <v>6389</v>
      </c>
      <c r="D68" s="95">
        <f t="shared" si="4"/>
        <v>6990.4</v>
      </c>
      <c r="E68" s="184">
        <v>8088000</v>
      </c>
      <c r="F68" s="184">
        <f t="shared" si="5"/>
        <v>20607354.578270223</v>
      </c>
      <c r="G68" s="95">
        <v>6464</v>
      </c>
      <c r="H68" s="95">
        <v>5332</v>
      </c>
      <c r="I68" s="95">
        <v>4205</v>
      </c>
      <c r="J68" s="95">
        <v>6937</v>
      </c>
      <c r="K68" s="95">
        <v>14099</v>
      </c>
      <c r="L68" s="95">
        <v>14400</v>
      </c>
      <c r="M68" s="95">
        <v>6651</v>
      </c>
      <c r="N68" s="95">
        <v>17468</v>
      </c>
      <c r="O68" s="95">
        <v>8771</v>
      </c>
      <c r="P68" s="95">
        <v>9233</v>
      </c>
      <c r="Q68" s="95">
        <v>2909</v>
      </c>
      <c r="R68" s="95">
        <v>2808</v>
      </c>
      <c r="S68" s="95">
        <v>5953</v>
      </c>
      <c r="T68" s="95">
        <v>3308</v>
      </c>
      <c r="U68" s="95">
        <v>6462</v>
      </c>
      <c r="V68" s="95">
        <v>4580</v>
      </c>
      <c r="W68" s="95">
        <v>4526</v>
      </c>
      <c r="X68" s="95">
        <v>2010</v>
      </c>
      <c r="Y68" s="95">
        <v>3850</v>
      </c>
      <c r="Z68" s="95">
        <v>3828</v>
      </c>
      <c r="AA68" s="95">
        <v>56338</v>
      </c>
      <c r="AB68" s="95">
        <v>84311</v>
      </c>
      <c r="AC68" s="95">
        <v>97091</v>
      </c>
      <c r="AF68"/>
      <c r="AG68"/>
      <c r="AH68" s="95">
        <v>56030</v>
      </c>
      <c r="AI68" s="95">
        <v>55762</v>
      </c>
      <c r="AJ68" s="95">
        <v>55600</v>
      </c>
      <c r="AK68" s="95">
        <v>56218</v>
      </c>
      <c r="AL68" s="95">
        <v>56582</v>
      </c>
      <c r="AM68" s="95">
        <v>89536</v>
      </c>
      <c r="AN68" s="95">
        <v>82979</v>
      </c>
      <c r="AO68" s="95">
        <v>86682000</v>
      </c>
      <c r="AP68" s="95">
        <v>84311</v>
      </c>
      <c r="AQ68" s="95">
        <v>97091</v>
      </c>
      <c r="AR68" s="95">
        <v>105067</v>
      </c>
    </row>
    <row r="69" spans="1:44" ht="12.5" x14ac:dyDescent="0.25">
      <c r="A69" s="95" t="s">
        <v>517</v>
      </c>
      <c r="B69" s="95" t="s">
        <v>357</v>
      </c>
      <c r="C69" s="95">
        <f t="shared" si="3"/>
        <v>13864.6</v>
      </c>
      <c r="D69" s="95">
        <f t="shared" si="4"/>
        <v>12940.3</v>
      </c>
      <c r="E69" s="184">
        <v>3545000</v>
      </c>
      <c r="F69" s="184">
        <f t="shared" si="5"/>
        <v>11925183.250395218</v>
      </c>
      <c r="G69" s="95">
        <v>17232</v>
      </c>
      <c r="H69" s="95">
        <v>14414</v>
      </c>
      <c r="I69" s="95">
        <v>20962</v>
      </c>
      <c r="J69" s="95">
        <v>21907</v>
      </c>
      <c r="K69" s="95">
        <v>15803</v>
      </c>
      <c r="L69" s="95">
        <v>16609</v>
      </c>
      <c r="M69" s="95">
        <v>10217</v>
      </c>
      <c r="N69" s="95">
        <v>13273</v>
      </c>
      <c r="O69" s="95">
        <v>21343</v>
      </c>
      <c r="P69" s="95">
        <v>23879</v>
      </c>
      <c r="Q69" s="95">
        <v>15977</v>
      </c>
      <c r="R69" s="95">
        <v>15272</v>
      </c>
      <c r="S69" s="95">
        <v>10445</v>
      </c>
      <c r="T69" s="95">
        <v>9156</v>
      </c>
      <c r="U69" s="95">
        <v>15925</v>
      </c>
      <c r="V69" s="95">
        <v>5492</v>
      </c>
      <c r="W69" s="95">
        <v>3116</v>
      </c>
      <c r="X69" s="95">
        <v>2591</v>
      </c>
      <c r="Y69" s="95">
        <v>7626</v>
      </c>
      <c r="Z69" s="95">
        <v>6810</v>
      </c>
      <c r="AA69" s="95">
        <v>32602</v>
      </c>
      <c r="AB69" s="95">
        <v>80970</v>
      </c>
      <c r="AC69" s="95">
        <v>98177</v>
      </c>
      <c r="AF69"/>
      <c r="AG69"/>
      <c r="AH69" s="95">
        <v>31928</v>
      </c>
      <c r="AI69" s="95">
        <v>32140</v>
      </c>
      <c r="AJ69" s="95">
        <v>32354</v>
      </c>
      <c r="AK69" s="95">
        <v>32457</v>
      </c>
      <c r="AL69" s="95">
        <v>32437</v>
      </c>
      <c r="AM69" s="95">
        <v>100250</v>
      </c>
      <c r="AN69" s="95">
        <v>95419</v>
      </c>
      <c r="AO69" s="95">
        <v>88658000</v>
      </c>
      <c r="AP69" s="95">
        <v>80970</v>
      </c>
      <c r="AQ69" s="95">
        <v>98177</v>
      </c>
      <c r="AR69" s="95">
        <v>97282</v>
      </c>
    </row>
    <row r="70" spans="1:44" ht="12.5" x14ac:dyDescent="0.25">
      <c r="A70" s="95" t="s">
        <v>522</v>
      </c>
      <c r="B70" s="95" t="s">
        <v>144</v>
      </c>
      <c r="C70" s="95">
        <f t="shared" si="3"/>
        <v>17128</v>
      </c>
      <c r="D70" s="95">
        <f t="shared" si="4"/>
        <v>19394</v>
      </c>
      <c r="E70" s="184">
        <v>14323000</v>
      </c>
      <c r="F70" s="184">
        <f t="shared" si="5"/>
        <v>37095652.393682316</v>
      </c>
      <c r="G70" s="95">
        <v>8175</v>
      </c>
      <c r="H70" s="95">
        <v>7013</v>
      </c>
      <c r="I70" s="95">
        <v>34109</v>
      </c>
      <c r="J70" s="95">
        <v>38538</v>
      </c>
      <c r="K70" s="95">
        <v>15367</v>
      </c>
      <c r="L70" s="95">
        <v>28222</v>
      </c>
      <c r="M70" s="95">
        <v>22704</v>
      </c>
      <c r="N70" s="95">
        <v>27788</v>
      </c>
      <c r="O70" s="95">
        <v>29906</v>
      </c>
      <c r="P70" s="95">
        <v>32553</v>
      </c>
      <c r="Q70" s="95">
        <v>38328</v>
      </c>
      <c r="R70" s="95">
        <v>40984</v>
      </c>
      <c r="S70" s="95">
        <v>5311</v>
      </c>
      <c r="T70" s="95">
        <v>4878</v>
      </c>
      <c r="U70" s="95">
        <v>6750</v>
      </c>
      <c r="V70" s="95">
        <v>6058</v>
      </c>
      <c r="W70" s="95">
        <v>6050</v>
      </c>
      <c r="X70" s="95">
        <v>3598</v>
      </c>
      <c r="Y70" s="95">
        <v>4580</v>
      </c>
      <c r="Z70" s="95">
        <v>4308</v>
      </c>
      <c r="AA70" s="95">
        <v>101415</v>
      </c>
      <c r="AB70" s="95">
        <v>250289</v>
      </c>
      <c r="AC70" s="95">
        <v>251736</v>
      </c>
      <c r="AF70"/>
      <c r="AG70"/>
      <c r="AH70" s="95">
        <v>99328</v>
      </c>
      <c r="AI70" s="95">
        <v>99605</v>
      </c>
      <c r="AJ70" s="95">
        <v>99941</v>
      </c>
      <c r="AK70" s="95">
        <v>100662</v>
      </c>
      <c r="AL70" s="95">
        <v>101236</v>
      </c>
      <c r="AM70" s="95">
        <v>236466</v>
      </c>
      <c r="AN70" s="95">
        <v>247819</v>
      </c>
      <c r="AO70" s="95">
        <v>251097000</v>
      </c>
      <c r="AP70" s="95">
        <v>250289</v>
      </c>
      <c r="AQ70" s="95">
        <v>251736</v>
      </c>
      <c r="AR70" s="95">
        <v>250479</v>
      </c>
    </row>
    <row r="71" spans="1:44" ht="12.5" x14ac:dyDescent="0.25">
      <c r="A71" s="95" t="s">
        <v>518</v>
      </c>
      <c r="B71" s="95" t="s">
        <v>248</v>
      </c>
      <c r="C71" s="95">
        <f t="shared" si="3"/>
        <v>15724.1</v>
      </c>
      <c r="D71" s="95">
        <f t="shared" si="4"/>
        <v>15468.5</v>
      </c>
      <c r="E71" s="184">
        <v>5747000</v>
      </c>
      <c r="F71" s="184">
        <f t="shared" si="5"/>
        <v>11639142.722151274</v>
      </c>
      <c r="G71" s="95">
        <v>14621</v>
      </c>
      <c r="H71" s="95">
        <v>14519</v>
      </c>
      <c r="I71" s="95">
        <v>17369</v>
      </c>
      <c r="J71" s="95">
        <v>17108</v>
      </c>
      <c r="K71" s="95">
        <v>13550</v>
      </c>
      <c r="L71" s="95">
        <v>15332</v>
      </c>
      <c r="M71" s="95">
        <v>18094</v>
      </c>
      <c r="N71" s="95">
        <v>15475</v>
      </c>
      <c r="O71" s="95">
        <v>12709</v>
      </c>
      <c r="P71" s="95">
        <v>12639</v>
      </c>
      <c r="Q71" s="95">
        <v>27781</v>
      </c>
      <c r="R71" s="95">
        <v>26703</v>
      </c>
      <c r="S71" s="95">
        <v>19034</v>
      </c>
      <c r="T71" s="95">
        <v>19035</v>
      </c>
      <c r="U71" s="95">
        <v>22058</v>
      </c>
      <c r="V71" s="95">
        <v>22058</v>
      </c>
      <c r="W71" s="95">
        <v>10257</v>
      </c>
      <c r="X71" s="95">
        <v>10206</v>
      </c>
      <c r="Y71" s="95">
        <v>1768</v>
      </c>
      <c r="Z71" s="95">
        <v>1610</v>
      </c>
      <c r="AA71" s="95">
        <v>31820</v>
      </c>
      <c r="AB71" s="95">
        <v>73216</v>
      </c>
      <c r="AC71" s="95">
        <v>75964</v>
      </c>
      <c r="AF71"/>
      <c r="AG71"/>
      <c r="AH71" s="95">
        <v>27225</v>
      </c>
      <c r="AI71" s="95">
        <v>28152</v>
      </c>
      <c r="AJ71" s="95">
        <v>29205</v>
      </c>
      <c r="AK71" s="95">
        <v>30767</v>
      </c>
      <c r="AL71" s="95">
        <v>31334</v>
      </c>
      <c r="AM71" s="95">
        <v>71910</v>
      </c>
      <c r="AN71" s="95">
        <v>70152</v>
      </c>
      <c r="AO71" s="95">
        <v>75820000</v>
      </c>
      <c r="AP71" s="95">
        <v>73216</v>
      </c>
      <c r="AQ71" s="95">
        <v>75964</v>
      </c>
      <c r="AR71" s="95">
        <v>77763</v>
      </c>
    </row>
    <row r="72" spans="1:44" ht="12.5" x14ac:dyDescent="0.25">
      <c r="A72" s="95" t="s">
        <v>518</v>
      </c>
      <c r="B72" s="280" t="s">
        <v>867</v>
      </c>
      <c r="C72" s="95">
        <f t="shared" si="3"/>
        <v>33262.5</v>
      </c>
      <c r="D72" s="95">
        <f t="shared" si="4"/>
        <v>32843.300000000003</v>
      </c>
      <c r="E72" s="296">
        <v>10032000</v>
      </c>
      <c r="F72" s="184">
        <f t="shared" si="5"/>
        <v>32062143.814187545</v>
      </c>
      <c r="G72" s="280">
        <v>23550</v>
      </c>
      <c r="H72" s="280">
        <v>22341</v>
      </c>
      <c r="I72" s="95">
        <v>39839</v>
      </c>
      <c r="J72" s="95">
        <v>49244</v>
      </c>
      <c r="K72" s="95">
        <v>48088</v>
      </c>
      <c r="L72" s="95">
        <v>56851</v>
      </c>
      <c r="M72" s="95">
        <v>30818</v>
      </c>
      <c r="N72" s="95">
        <v>39763</v>
      </c>
      <c r="O72" s="95">
        <v>36193</v>
      </c>
      <c r="P72" s="95">
        <v>27380</v>
      </c>
      <c r="Q72" s="95">
        <v>38339</v>
      </c>
      <c r="R72" s="95">
        <v>33209</v>
      </c>
      <c r="S72" s="95">
        <v>14959</v>
      </c>
      <c r="T72" s="95">
        <v>14897</v>
      </c>
      <c r="U72" s="95">
        <v>32330</v>
      </c>
      <c r="V72" s="95">
        <v>21771</v>
      </c>
      <c r="W72" s="95">
        <v>28328</v>
      </c>
      <c r="X72" s="95">
        <v>25252</v>
      </c>
      <c r="Y72" s="95">
        <v>40181</v>
      </c>
      <c r="Z72" s="95">
        <v>37725</v>
      </c>
      <c r="AA72" s="95">
        <v>87654</v>
      </c>
      <c r="AB72" s="95">
        <v>207765</v>
      </c>
      <c r="AC72" s="95">
        <v>208244</v>
      </c>
      <c r="AF72"/>
      <c r="AG72"/>
      <c r="AH72" s="95">
        <v>82553</v>
      </c>
      <c r="AI72" s="95">
        <v>83709</v>
      </c>
      <c r="AJ72" s="95">
        <v>84735</v>
      </c>
      <c r="AK72" s="95">
        <v>85709</v>
      </c>
      <c r="AL72" s="95">
        <v>86722</v>
      </c>
      <c r="AM72" s="95">
        <v>213712</v>
      </c>
      <c r="AN72" s="95">
        <v>210967</v>
      </c>
      <c r="AO72" s="95">
        <v>216650000</v>
      </c>
      <c r="AP72" s="95">
        <v>207765</v>
      </c>
      <c r="AQ72" s="95">
        <v>208244</v>
      </c>
      <c r="AR72" s="95">
        <v>223174</v>
      </c>
    </row>
    <row r="73" spans="1:44" ht="12.5" x14ac:dyDescent="0.25">
      <c r="A73" s="95" t="s">
        <v>522</v>
      </c>
      <c r="B73" s="95" t="s">
        <v>145</v>
      </c>
      <c r="C73" s="95">
        <f t="shared" si="3"/>
        <v>6433.7</v>
      </c>
      <c r="D73" s="95">
        <f t="shared" si="4"/>
        <v>6196.1</v>
      </c>
      <c r="E73" s="184">
        <v>2565000</v>
      </c>
      <c r="F73" s="184">
        <f t="shared" si="5"/>
        <v>9726475.3024740573</v>
      </c>
      <c r="G73" s="95">
        <v>3370</v>
      </c>
      <c r="H73" s="95">
        <v>3043</v>
      </c>
      <c r="I73" s="95">
        <v>7417</v>
      </c>
      <c r="J73" s="95">
        <v>7638</v>
      </c>
      <c r="K73" s="95">
        <v>8298</v>
      </c>
      <c r="L73" s="95">
        <v>8600</v>
      </c>
      <c r="M73" s="95">
        <v>5029</v>
      </c>
      <c r="N73" s="95">
        <v>7660</v>
      </c>
      <c r="O73" s="95">
        <v>5405</v>
      </c>
      <c r="P73" s="95">
        <v>4749</v>
      </c>
      <c r="Q73" s="95">
        <v>9427</v>
      </c>
      <c r="R73" s="95">
        <v>8269</v>
      </c>
      <c r="S73" s="95">
        <v>9135</v>
      </c>
      <c r="T73" s="95">
        <v>5507</v>
      </c>
      <c r="U73" s="95">
        <v>4424</v>
      </c>
      <c r="V73" s="95">
        <v>4139</v>
      </c>
      <c r="W73" s="95">
        <v>7648</v>
      </c>
      <c r="X73" s="95">
        <v>8726</v>
      </c>
      <c r="Y73" s="95">
        <v>4184</v>
      </c>
      <c r="Z73" s="95">
        <v>3630</v>
      </c>
      <c r="AA73" s="95">
        <v>26591</v>
      </c>
      <c r="AB73" s="95">
        <v>49716</v>
      </c>
      <c r="AC73" s="95">
        <v>52143</v>
      </c>
      <c r="AF73"/>
      <c r="AG73"/>
      <c r="AH73" s="95">
        <v>26243</v>
      </c>
      <c r="AI73" s="95">
        <v>26294</v>
      </c>
      <c r="AJ73" s="95">
        <v>26340</v>
      </c>
      <c r="AK73" s="95">
        <v>26473</v>
      </c>
      <c r="AL73" s="95">
        <v>26606</v>
      </c>
      <c r="AM73" s="95">
        <v>56010</v>
      </c>
      <c r="AN73" s="95">
        <v>52377</v>
      </c>
      <c r="AO73" s="95">
        <v>51049000</v>
      </c>
      <c r="AP73" s="95">
        <v>49716</v>
      </c>
      <c r="AQ73" s="95">
        <v>52143</v>
      </c>
      <c r="AR73" s="95">
        <v>58538</v>
      </c>
    </row>
    <row r="74" spans="1:44" ht="12.5" x14ac:dyDescent="0.25">
      <c r="A74" s="95" t="s">
        <v>519</v>
      </c>
      <c r="B74" s="95" t="s">
        <v>175</v>
      </c>
      <c r="C74" s="95">
        <f t="shared" si="3"/>
        <v>415.9</v>
      </c>
      <c r="D74" s="95">
        <f t="shared" si="4"/>
        <v>397.8</v>
      </c>
      <c r="E74" s="184">
        <v>1632000</v>
      </c>
      <c r="F74" s="184">
        <f t="shared" si="5"/>
        <v>4036024.5379075157</v>
      </c>
      <c r="G74" s="95">
        <v>4</v>
      </c>
      <c r="H74" s="95">
        <v>0</v>
      </c>
      <c r="I74" s="95">
        <v>1363</v>
      </c>
      <c r="J74" s="95">
        <v>1362</v>
      </c>
      <c r="K74" s="95">
        <v>420</v>
      </c>
      <c r="L74" s="95">
        <v>400</v>
      </c>
      <c r="M74" s="95">
        <v>317</v>
      </c>
      <c r="N74" s="95">
        <v>317</v>
      </c>
      <c r="O74" s="95">
        <v>522</v>
      </c>
      <c r="P74" s="95">
        <v>502</v>
      </c>
      <c r="Q74" s="95">
        <v>268</v>
      </c>
      <c r="R74" s="95">
        <v>87</v>
      </c>
      <c r="S74" s="95">
        <v>70</v>
      </c>
      <c r="T74" s="95">
        <v>70</v>
      </c>
      <c r="U74" s="95">
        <v>312</v>
      </c>
      <c r="V74" s="95">
        <v>312</v>
      </c>
      <c r="W74" s="95">
        <v>140</v>
      </c>
      <c r="X74" s="95">
        <v>140</v>
      </c>
      <c r="Y74" s="95">
        <v>743</v>
      </c>
      <c r="Z74" s="95">
        <v>788</v>
      </c>
      <c r="AA74" s="95">
        <v>11034</v>
      </c>
      <c r="AB74" s="95">
        <v>15924</v>
      </c>
      <c r="AC74" s="95">
        <v>18086</v>
      </c>
      <c r="AF74"/>
      <c r="AG74"/>
      <c r="AH74" s="95">
        <v>11345</v>
      </c>
      <c r="AI74" s="95">
        <v>11326</v>
      </c>
      <c r="AJ74" s="95">
        <v>11142</v>
      </c>
      <c r="AK74" s="95">
        <v>11077</v>
      </c>
      <c r="AL74" s="95">
        <v>11064</v>
      </c>
      <c r="AM74" s="95">
        <v>16594</v>
      </c>
      <c r="AN74" s="95">
        <v>15137</v>
      </c>
      <c r="AO74" s="95">
        <v>15664000</v>
      </c>
      <c r="AP74" s="95">
        <v>15924</v>
      </c>
      <c r="AQ74" s="95">
        <v>18086</v>
      </c>
      <c r="AR74" s="95">
        <v>19896</v>
      </c>
    </row>
    <row r="75" spans="1:44" ht="12.5" x14ac:dyDescent="0.25">
      <c r="A75" s="95" t="s">
        <v>519</v>
      </c>
      <c r="B75" s="95" t="s">
        <v>176</v>
      </c>
      <c r="C75" s="95">
        <f t="shared" si="3"/>
        <v>17600.7</v>
      </c>
      <c r="D75" s="95">
        <f t="shared" si="4"/>
        <v>17490.099999999999</v>
      </c>
      <c r="E75" s="184">
        <v>9149000</v>
      </c>
      <c r="F75" s="184">
        <f t="shared" si="5"/>
        <v>21415364.203450363</v>
      </c>
      <c r="G75" s="95">
        <v>7691</v>
      </c>
      <c r="H75" s="95">
        <v>7368</v>
      </c>
      <c r="I75" s="95">
        <v>42573</v>
      </c>
      <c r="J75" s="95">
        <v>48878</v>
      </c>
      <c r="K75" s="95">
        <v>23309</v>
      </c>
      <c r="L75" s="95">
        <v>25054</v>
      </c>
      <c r="M75" s="95">
        <v>18210</v>
      </c>
      <c r="N75" s="95">
        <v>18247</v>
      </c>
      <c r="O75" s="95">
        <v>21206</v>
      </c>
      <c r="P75" s="95">
        <v>20646</v>
      </c>
      <c r="Q75" s="95">
        <v>13474</v>
      </c>
      <c r="R75" s="95">
        <v>15374</v>
      </c>
      <c r="S75" s="95">
        <v>24457</v>
      </c>
      <c r="T75" s="95">
        <v>21836</v>
      </c>
      <c r="U75" s="95">
        <v>9921</v>
      </c>
      <c r="V75" s="95">
        <v>8122</v>
      </c>
      <c r="W75" s="95">
        <v>8102</v>
      </c>
      <c r="X75" s="95">
        <v>5354</v>
      </c>
      <c r="Y75" s="95">
        <v>7064</v>
      </c>
      <c r="Z75" s="95">
        <v>4022</v>
      </c>
      <c r="AA75" s="95">
        <v>58547</v>
      </c>
      <c r="AB75" s="95">
        <v>210871</v>
      </c>
      <c r="AC75" s="95">
        <v>211175</v>
      </c>
      <c r="AF75"/>
      <c r="AG75"/>
      <c r="AH75" s="95">
        <v>57065</v>
      </c>
      <c r="AI75" s="95">
        <v>57377</v>
      </c>
      <c r="AJ75" s="95">
        <v>57543</v>
      </c>
      <c r="AK75" s="95">
        <v>57962</v>
      </c>
      <c r="AL75" s="95">
        <v>58270</v>
      </c>
      <c r="AM75" s="95">
        <v>182064</v>
      </c>
      <c r="AN75" s="95">
        <v>191246</v>
      </c>
      <c r="AO75" s="95">
        <v>202872000</v>
      </c>
      <c r="AP75" s="95">
        <v>210871</v>
      </c>
      <c r="AQ75" s="95">
        <v>211175</v>
      </c>
      <c r="AR75" s="95">
        <v>217550</v>
      </c>
    </row>
    <row r="76" spans="1:44" ht="12.5" x14ac:dyDescent="0.25">
      <c r="A76" s="95" t="s">
        <v>517</v>
      </c>
      <c r="B76" s="95" t="s">
        <v>358</v>
      </c>
      <c r="C76" s="95">
        <f t="shared" si="3"/>
        <v>5702.9</v>
      </c>
      <c r="D76" s="95">
        <f t="shared" si="4"/>
        <v>6249.1</v>
      </c>
      <c r="E76" s="184">
        <v>2915000</v>
      </c>
      <c r="F76" s="184">
        <f t="shared" si="5"/>
        <v>9684044.7381821163</v>
      </c>
      <c r="G76" s="95">
        <v>1356</v>
      </c>
      <c r="H76" s="95">
        <v>1434</v>
      </c>
      <c r="I76" s="95">
        <v>5656</v>
      </c>
      <c r="J76" s="95">
        <v>5353</v>
      </c>
      <c r="K76" s="95">
        <v>8189</v>
      </c>
      <c r="L76" s="95">
        <v>13973</v>
      </c>
      <c r="M76" s="95">
        <v>2693</v>
      </c>
      <c r="N76" s="95">
        <v>3185</v>
      </c>
      <c r="O76" s="95">
        <v>5622</v>
      </c>
      <c r="P76" s="95">
        <v>6415</v>
      </c>
      <c r="Q76" s="95">
        <v>6589</v>
      </c>
      <c r="R76" s="95">
        <v>5809</v>
      </c>
      <c r="S76" s="95">
        <v>7268</v>
      </c>
      <c r="T76" s="95">
        <v>7742</v>
      </c>
      <c r="U76" s="95">
        <v>8579</v>
      </c>
      <c r="V76" s="95">
        <v>8273</v>
      </c>
      <c r="W76" s="95">
        <v>6858</v>
      </c>
      <c r="X76" s="95">
        <v>6729</v>
      </c>
      <c r="Y76" s="95">
        <v>4219</v>
      </c>
      <c r="Z76" s="95">
        <v>3578</v>
      </c>
      <c r="AA76" s="95">
        <v>26475</v>
      </c>
      <c r="AB76" s="95">
        <v>56990</v>
      </c>
      <c r="AC76" s="95">
        <v>62538</v>
      </c>
      <c r="AF76"/>
      <c r="AG76"/>
      <c r="AH76" s="95">
        <v>25511</v>
      </c>
      <c r="AI76" s="95">
        <v>25773</v>
      </c>
      <c r="AJ76" s="95">
        <v>26061</v>
      </c>
      <c r="AK76" s="95">
        <v>26175</v>
      </c>
      <c r="AL76" s="95">
        <v>26368</v>
      </c>
      <c r="AM76" s="95">
        <v>48099</v>
      </c>
      <c r="AN76" s="95">
        <v>48520</v>
      </c>
      <c r="AO76" s="95">
        <v>51088000</v>
      </c>
      <c r="AP76" s="95">
        <v>56990</v>
      </c>
      <c r="AQ76" s="95">
        <v>62538</v>
      </c>
      <c r="AR76" s="95">
        <v>68726</v>
      </c>
    </row>
    <row r="77" spans="1:44" ht="12.5" x14ac:dyDescent="0.25">
      <c r="A77" s="95" t="s">
        <v>521</v>
      </c>
      <c r="B77" s="95" t="s">
        <v>291</v>
      </c>
      <c r="C77" s="95">
        <f t="shared" si="3"/>
        <v>27721.200000000001</v>
      </c>
      <c r="D77" s="95">
        <f t="shared" si="4"/>
        <v>32907.5</v>
      </c>
      <c r="E77" s="184">
        <v>18126000</v>
      </c>
      <c r="F77" s="184">
        <f t="shared" si="5"/>
        <v>43715551.98467835</v>
      </c>
      <c r="G77" s="95">
        <v>35590</v>
      </c>
      <c r="H77" s="95">
        <v>28256</v>
      </c>
      <c r="I77" s="95">
        <v>50994</v>
      </c>
      <c r="J77" s="95">
        <v>84006</v>
      </c>
      <c r="K77" s="95">
        <v>50377</v>
      </c>
      <c r="L77" s="95">
        <v>94318</v>
      </c>
      <c r="M77" s="95">
        <v>21818</v>
      </c>
      <c r="N77" s="95">
        <v>22285</v>
      </c>
      <c r="O77" s="95">
        <v>18603</v>
      </c>
      <c r="P77" s="95">
        <v>19782</v>
      </c>
      <c r="Q77" s="95">
        <v>24559</v>
      </c>
      <c r="R77" s="95">
        <v>14219</v>
      </c>
      <c r="S77" s="95">
        <v>15784</v>
      </c>
      <c r="T77" s="95">
        <v>21978</v>
      </c>
      <c r="U77" s="95">
        <v>18973</v>
      </c>
      <c r="V77" s="95">
        <v>24741</v>
      </c>
      <c r="W77" s="95">
        <v>16895</v>
      </c>
      <c r="X77" s="95">
        <v>9311</v>
      </c>
      <c r="Y77" s="95">
        <v>23619</v>
      </c>
      <c r="Z77" s="95">
        <v>10179</v>
      </c>
      <c r="AA77" s="95">
        <v>119513</v>
      </c>
      <c r="AB77" s="95">
        <v>612887</v>
      </c>
      <c r="AC77" s="95">
        <v>628633</v>
      </c>
      <c r="AF77"/>
      <c r="AG77"/>
      <c r="AH77" s="95">
        <v>118624</v>
      </c>
      <c r="AI77" s="95">
        <v>118466</v>
      </c>
      <c r="AJ77" s="95">
        <v>118667</v>
      </c>
      <c r="AK77" s="95">
        <v>119232</v>
      </c>
      <c r="AL77" s="95">
        <v>119115</v>
      </c>
      <c r="AM77" s="95">
        <v>613055</v>
      </c>
      <c r="AN77" s="95">
        <v>609176</v>
      </c>
      <c r="AO77" s="95">
        <v>626756000</v>
      </c>
      <c r="AP77" s="95">
        <v>612887</v>
      </c>
      <c r="AQ77" s="95">
        <v>628633</v>
      </c>
      <c r="AR77" s="95">
        <v>651946</v>
      </c>
    </row>
    <row r="78" spans="1:44" ht="12.5" x14ac:dyDescent="0.25">
      <c r="A78" s="95" t="s">
        <v>518</v>
      </c>
      <c r="B78" s="95" t="s">
        <v>249</v>
      </c>
      <c r="C78" s="95">
        <f t="shared" si="3"/>
        <v>3433.3</v>
      </c>
      <c r="D78" s="95">
        <f t="shared" si="4"/>
        <v>2795.8</v>
      </c>
      <c r="E78" s="184">
        <v>1968000</v>
      </c>
      <c r="F78" s="184">
        <f t="shared" si="5"/>
        <v>7307567.3571067927</v>
      </c>
      <c r="G78" s="95">
        <v>403</v>
      </c>
      <c r="H78" s="95">
        <v>73</v>
      </c>
      <c r="I78" s="95">
        <v>2744</v>
      </c>
      <c r="J78" s="95">
        <v>3037</v>
      </c>
      <c r="K78" s="95">
        <v>3292</v>
      </c>
      <c r="L78" s="95">
        <v>3152</v>
      </c>
      <c r="M78" s="95">
        <v>2063</v>
      </c>
      <c r="N78" s="95">
        <v>1148</v>
      </c>
      <c r="O78" s="95">
        <v>4120</v>
      </c>
      <c r="P78" s="95">
        <v>3234</v>
      </c>
      <c r="Q78" s="95">
        <v>4386</v>
      </c>
      <c r="R78" s="95">
        <v>2305</v>
      </c>
      <c r="S78" s="95">
        <v>4292</v>
      </c>
      <c r="T78" s="95">
        <v>3040</v>
      </c>
      <c r="U78" s="95">
        <v>1820</v>
      </c>
      <c r="V78" s="95">
        <v>1317</v>
      </c>
      <c r="W78" s="95">
        <v>2975</v>
      </c>
      <c r="X78" s="95">
        <v>2461</v>
      </c>
      <c r="Y78" s="95">
        <v>8238</v>
      </c>
      <c r="Z78" s="95">
        <v>8191</v>
      </c>
      <c r="AA78" s="95">
        <v>19978</v>
      </c>
      <c r="AB78" s="95">
        <v>26052</v>
      </c>
      <c r="AC78" s="95">
        <v>29242</v>
      </c>
      <c r="AF78"/>
      <c r="AG78"/>
      <c r="AH78" s="95">
        <v>19383</v>
      </c>
      <c r="AI78" s="95">
        <v>19443</v>
      </c>
      <c r="AJ78" s="95">
        <v>19604</v>
      </c>
      <c r="AK78" s="95">
        <v>19724</v>
      </c>
      <c r="AL78" s="95">
        <v>19838</v>
      </c>
      <c r="AM78" s="95">
        <v>30413</v>
      </c>
      <c r="AN78" s="95">
        <v>25947</v>
      </c>
      <c r="AO78" s="95">
        <v>26785000</v>
      </c>
      <c r="AP78" s="95">
        <v>26052</v>
      </c>
      <c r="AQ78" s="95">
        <v>29242</v>
      </c>
      <c r="AR78" s="95">
        <v>30665</v>
      </c>
    </row>
    <row r="79" spans="1:44" ht="12.5" x14ac:dyDescent="0.25">
      <c r="A79" s="95" t="s">
        <v>517</v>
      </c>
      <c r="B79" s="95" t="s">
        <v>359</v>
      </c>
      <c r="C79" s="95">
        <f t="shared" si="3"/>
        <v>3123.8</v>
      </c>
      <c r="D79" s="95">
        <f t="shared" si="4"/>
        <v>2786.5</v>
      </c>
      <c r="E79" s="184">
        <v>4208000</v>
      </c>
      <c r="F79" s="184">
        <f t="shared" si="5"/>
        <v>10049093.903383467</v>
      </c>
      <c r="G79" s="95">
        <v>5384</v>
      </c>
      <c r="H79" s="95">
        <v>4373</v>
      </c>
      <c r="I79" s="95">
        <v>8473</v>
      </c>
      <c r="J79" s="95">
        <v>7651</v>
      </c>
      <c r="K79" s="95">
        <v>7977</v>
      </c>
      <c r="L79" s="95">
        <v>7825</v>
      </c>
      <c r="M79" s="95">
        <v>4678</v>
      </c>
      <c r="N79" s="95">
        <v>3267</v>
      </c>
      <c r="O79" s="95">
        <v>1093</v>
      </c>
      <c r="P79" s="95">
        <v>892</v>
      </c>
      <c r="Q79" s="95">
        <v>2286</v>
      </c>
      <c r="R79" s="95">
        <v>2435</v>
      </c>
      <c r="S79" s="95">
        <v>190</v>
      </c>
      <c r="T79" s="95">
        <v>188</v>
      </c>
      <c r="U79" s="95">
        <v>533</v>
      </c>
      <c r="V79" s="95">
        <v>553</v>
      </c>
      <c r="W79" s="95">
        <v>191</v>
      </c>
      <c r="X79" s="95">
        <v>261</v>
      </c>
      <c r="Y79" s="95">
        <v>433</v>
      </c>
      <c r="Z79" s="95">
        <v>420</v>
      </c>
      <c r="AA79" s="95">
        <v>27473</v>
      </c>
      <c r="AB79" s="95">
        <v>54410</v>
      </c>
      <c r="AC79" s="95">
        <v>57233</v>
      </c>
      <c r="AF79"/>
      <c r="AG79"/>
      <c r="AH79" s="95">
        <v>26863</v>
      </c>
      <c r="AI79" s="95">
        <v>27064</v>
      </c>
      <c r="AJ79" s="95">
        <v>27162</v>
      </c>
      <c r="AK79" s="95">
        <v>27257</v>
      </c>
      <c r="AL79" s="95">
        <v>27325</v>
      </c>
      <c r="AM79" s="95">
        <v>54380</v>
      </c>
      <c r="AN79" s="95">
        <v>53316</v>
      </c>
      <c r="AO79" s="95">
        <v>54125000</v>
      </c>
      <c r="AP79" s="95">
        <v>54410</v>
      </c>
      <c r="AQ79" s="95">
        <v>57233</v>
      </c>
      <c r="AR79" s="95">
        <v>60315</v>
      </c>
    </row>
    <row r="80" spans="1:44" ht="12.5" x14ac:dyDescent="0.25">
      <c r="A80" s="95" t="s">
        <v>523</v>
      </c>
      <c r="B80" s="95" t="s">
        <v>430</v>
      </c>
      <c r="C80" s="95">
        <f t="shared" si="3"/>
        <v>8551.1</v>
      </c>
      <c r="D80" s="95">
        <f t="shared" si="4"/>
        <v>6622.5</v>
      </c>
      <c r="E80" s="184">
        <v>4348000</v>
      </c>
      <c r="F80" s="184">
        <f t="shared" si="5"/>
        <v>15692724.734938214</v>
      </c>
      <c r="G80" s="95">
        <v>1958</v>
      </c>
      <c r="H80" s="95">
        <v>1958</v>
      </c>
      <c r="I80" s="95">
        <v>5287</v>
      </c>
      <c r="J80" s="95">
        <v>7546</v>
      </c>
      <c r="K80" s="95">
        <v>12250</v>
      </c>
      <c r="L80" s="95">
        <v>12923</v>
      </c>
      <c r="M80" s="95">
        <v>9034</v>
      </c>
      <c r="N80" s="95">
        <v>11751</v>
      </c>
      <c r="O80" s="95">
        <v>12942</v>
      </c>
      <c r="P80" s="95">
        <v>10953</v>
      </c>
      <c r="Q80" s="95">
        <v>5959</v>
      </c>
      <c r="R80" s="95">
        <v>8724</v>
      </c>
      <c r="S80" s="95">
        <v>22400</v>
      </c>
      <c r="T80" s="95">
        <v>2457</v>
      </c>
      <c r="U80" s="95">
        <v>6144</v>
      </c>
      <c r="V80" s="95">
        <v>1987</v>
      </c>
      <c r="W80" s="95">
        <v>4504</v>
      </c>
      <c r="X80" s="95">
        <v>5258</v>
      </c>
      <c r="Y80" s="95">
        <v>5033</v>
      </c>
      <c r="Z80" s="95">
        <v>2668</v>
      </c>
      <c r="AA80" s="95">
        <v>42902</v>
      </c>
      <c r="AB80" s="95">
        <v>63098</v>
      </c>
      <c r="AC80" s="95">
        <v>66543</v>
      </c>
      <c r="AF80"/>
      <c r="AG80"/>
      <c r="AH80" s="95">
        <v>40745</v>
      </c>
      <c r="AI80" s="95">
        <v>40767</v>
      </c>
      <c r="AJ80" s="95">
        <v>40797</v>
      </c>
      <c r="AK80" s="95">
        <v>41532</v>
      </c>
      <c r="AL80" s="95">
        <v>42011</v>
      </c>
      <c r="AM80" s="95">
        <v>56089</v>
      </c>
      <c r="AN80" s="95">
        <v>46597</v>
      </c>
      <c r="AO80" s="95">
        <v>61029000</v>
      </c>
      <c r="AP80" s="95">
        <v>63098</v>
      </c>
      <c r="AQ80" s="95">
        <v>66543</v>
      </c>
      <c r="AR80" s="95">
        <v>74648</v>
      </c>
    </row>
    <row r="81" spans="1:44" ht="12.5" x14ac:dyDescent="0.25">
      <c r="A81" s="95" t="s">
        <v>519</v>
      </c>
      <c r="B81" s="95" t="s">
        <v>177</v>
      </c>
      <c r="C81" s="95">
        <f t="shared" si="3"/>
        <v>1437.3</v>
      </c>
      <c r="D81" s="95">
        <f t="shared" si="4"/>
        <v>2057.5</v>
      </c>
      <c r="E81" s="184">
        <v>1678000</v>
      </c>
      <c r="F81" s="184">
        <f t="shared" si="5"/>
        <v>7014576.9950564103</v>
      </c>
      <c r="G81" s="95">
        <v>137</v>
      </c>
      <c r="H81" s="95">
        <v>348</v>
      </c>
      <c r="I81" s="95">
        <v>3153</v>
      </c>
      <c r="J81" s="95">
        <v>4990</v>
      </c>
      <c r="K81" s="95">
        <v>3814</v>
      </c>
      <c r="L81" s="95">
        <v>3488</v>
      </c>
      <c r="M81" s="95">
        <v>1851</v>
      </c>
      <c r="N81" s="95">
        <v>4673</v>
      </c>
      <c r="O81" s="95">
        <v>2405</v>
      </c>
      <c r="P81" s="95">
        <v>2374</v>
      </c>
      <c r="Q81" s="95">
        <v>1438</v>
      </c>
      <c r="R81" s="95">
        <v>1945</v>
      </c>
      <c r="S81" s="95">
        <v>537</v>
      </c>
      <c r="T81" s="95">
        <v>717</v>
      </c>
      <c r="U81" s="95">
        <v>734</v>
      </c>
      <c r="V81" s="95">
        <v>808</v>
      </c>
      <c r="W81" s="95">
        <v>198</v>
      </c>
      <c r="X81" s="95">
        <v>613</v>
      </c>
      <c r="Y81" s="95">
        <v>106</v>
      </c>
      <c r="Z81" s="95">
        <v>619</v>
      </c>
      <c r="AA81" s="95">
        <v>19177</v>
      </c>
      <c r="AB81" s="95">
        <v>43936</v>
      </c>
      <c r="AC81" s="95">
        <v>45152</v>
      </c>
      <c r="AF81"/>
      <c r="AG81"/>
      <c r="AH81" s="95">
        <v>18561</v>
      </c>
      <c r="AI81" s="95">
        <v>18706</v>
      </c>
      <c r="AJ81" s="95">
        <v>18790</v>
      </c>
      <c r="AK81" s="95">
        <v>18920</v>
      </c>
      <c r="AL81" s="95">
        <v>18991</v>
      </c>
      <c r="AM81" s="95">
        <v>45726</v>
      </c>
      <c r="AN81" s="95">
        <v>44308</v>
      </c>
      <c r="AO81" s="95">
        <v>44560000</v>
      </c>
      <c r="AP81" s="95">
        <v>43936</v>
      </c>
      <c r="AQ81" s="95">
        <v>45152</v>
      </c>
      <c r="AR81" s="95">
        <v>46672</v>
      </c>
    </row>
    <row r="82" spans="1:44" ht="12.5" x14ac:dyDescent="0.25">
      <c r="A82" s="95" t="s">
        <v>519</v>
      </c>
      <c r="B82" s="95" t="s">
        <v>178</v>
      </c>
      <c r="C82" s="95">
        <f t="shared" si="3"/>
        <v>2882.6</v>
      </c>
      <c r="D82" s="95">
        <f t="shared" si="4"/>
        <v>4152.7</v>
      </c>
      <c r="E82" s="184">
        <v>2472000</v>
      </c>
      <c r="F82" s="184">
        <f t="shared" si="5"/>
        <v>9124034.4456738327</v>
      </c>
      <c r="G82" s="95">
        <v>330</v>
      </c>
      <c r="H82" s="95">
        <v>331</v>
      </c>
      <c r="I82" s="95">
        <v>1760</v>
      </c>
      <c r="J82" s="95">
        <v>6483</v>
      </c>
      <c r="K82" s="95">
        <v>6630</v>
      </c>
      <c r="L82" s="95">
        <v>8645</v>
      </c>
      <c r="M82" s="95">
        <v>4226</v>
      </c>
      <c r="N82" s="95">
        <v>4773</v>
      </c>
      <c r="O82" s="95">
        <v>4227</v>
      </c>
      <c r="P82" s="95">
        <v>6768</v>
      </c>
      <c r="Q82" s="95">
        <v>6085</v>
      </c>
      <c r="R82" s="95">
        <v>6988</v>
      </c>
      <c r="S82" s="95">
        <v>2797</v>
      </c>
      <c r="T82" s="95">
        <v>2656</v>
      </c>
      <c r="U82" s="95">
        <v>1107</v>
      </c>
      <c r="V82" s="95">
        <v>1628</v>
      </c>
      <c r="W82" s="95">
        <v>826</v>
      </c>
      <c r="X82" s="95">
        <v>2067</v>
      </c>
      <c r="Y82" s="95">
        <v>838</v>
      </c>
      <c r="Z82" s="95">
        <v>1188</v>
      </c>
      <c r="AA82" s="95">
        <v>24944</v>
      </c>
      <c r="AB82" s="95">
        <v>56801</v>
      </c>
      <c r="AC82" s="95">
        <v>55535</v>
      </c>
      <c r="AF82"/>
      <c r="AG82"/>
      <c r="AH82" s="95">
        <v>25399</v>
      </c>
      <c r="AI82" s="95">
        <v>25446</v>
      </c>
      <c r="AJ82" s="95">
        <v>25339</v>
      </c>
      <c r="AK82" s="95">
        <v>25183</v>
      </c>
      <c r="AL82" s="95">
        <v>25066</v>
      </c>
      <c r="AM82" s="95">
        <v>53754</v>
      </c>
      <c r="AN82" s="95">
        <v>57703</v>
      </c>
      <c r="AO82" s="95">
        <v>55479000</v>
      </c>
      <c r="AP82" s="95">
        <v>56801</v>
      </c>
      <c r="AQ82" s="95">
        <v>55535</v>
      </c>
      <c r="AR82" s="95">
        <v>55654</v>
      </c>
    </row>
    <row r="83" spans="1:44" ht="12.5" x14ac:dyDescent="0.25">
      <c r="A83" s="95" t="s">
        <v>526</v>
      </c>
      <c r="B83" s="95" t="s">
        <v>403</v>
      </c>
      <c r="C83" s="95">
        <f t="shared" si="3"/>
        <v>5746.4</v>
      </c>
      <c r="D83" s="95">
        <f t="shared" si="4"/>
        <v>5608.6</v>
      </c>
      <c r="E83" s="184">
        <v>3537000</v>
      </c>
      <c r="F83" s="184">
        <f t="shared" si="5"/>
        <v>11609514.483292246</v>
      </c>
      <c r="G83" s="95">
        <v>275</v>
      </c>
      <c r="H83" s="95">
        <v>157</v>
      </c>
      <c r="I83" s="95">
        <v>37775</v>
      </c>
      <c r="J83" s="95">
        <v>35837</v>
      </c>
      <c r="K83" s="95">
        <v>3093</v>
      </c>
      <c r="L83" s="95">
        <v>3364</v>
      </c>
      <c r="M83" s="95">
        <v>6637</v>
      </c>
      <c r="N83" s="95">
        <v>7321</v>
      </c>
      <c r="O83" s="95">
        <v>4715</v>
      </c>
      <c r="P83" s="95">
        <v>5194</v>
      </c>
      <c r="Q83" s="95">
        <v>3552</v>
      </c>
      <c r="R83" s="95">
        <v>2734</v>
      </c>
      <c r="S83" s="95">
        <v>164</v>
      </c>
      <c r="T83" s="95">
        <v>97</v>
      </c>
      <c r="U83" s="95">
        <v>388</v>
      </c>
      <c r="V83" s="95">
        <v>452</v>
      </c>
      <c r="W83" s="95">
        <v>415</v>
      </c>
      <c r="X83" s="95">
        <v>382</v>
      </c>
      <c r="Y83" s="95">
        <v>450</v>
      </c>
      <c r="Z83" s="95">
        <v>548</v>
      </c>
      <c r="AA83" s="95">
        <v>31739</v>
      </c>
      <c r="AB83" s="95">
        <v>90968</v>
      </c>
      <c r="AC83" s="95">
        <v>92088</v>
      </c>
      <c r="AF83"/>
      <c r="AG83"/>
      <c r="AH83" s="95">
        <v>31826</v>
      </c>
      <c r="AI83" s="95">
        <v>31757</v>
      </c>
      <c r="AJ83" s="95">
        <v>31646</v>
      </c>
      <c r="AK83" s="95">
        <v>31692</v>
      </c>
      <c r="AL83" s="95">
        <v>31751</v>
      </c>
      <c r="AM83" s="95">
        <v>77523</v>
      </c>
      <c r="AN83" s="95">
        <v>84066</v>
      </c>
      <c r="AO83" s="95">
        <v>86726000</v>
      </c>
      <c r="AP83" s="95">
        <v>90968</v>
      </c>
      <c r="AQ83" s="95">
        <v>92088</v>
      </c>
      <c r="AR83" s="95">
        <v>96834</v>
      </c>
    </row>
    <row r="84" spans="1:44" ht="11.25" customHeight="1" x14ac:dyDescent="0.25">
      <c r="A84" s="95" t="s">
        <v>518</v>
      </c>
      <c r="B84" s="95" t="s">
        <v>250</v>
      </c>
      <c r="C84" s="95">
        <f t="shared" si="3"/>
        <v>8813.6</v>
      </c>
      <c r="D84" s="95">
        <f t="shared" si="4"/>
        <v>8384.7999999999993</v>
      </c>
      <c r="E84" s="184">
        <v>8567000</v>
      </c>
      <c r="F84" s="184">
        <f t="shared" si="5"/>
        <v>13338194.197462168</v>
      </c>
      <c r="G84" s="95">
        <v>833</v>
      </c>
      <c r="H84" s="95">
        <v>106</v>
      </c>
      <c r="I84" s="95">
        <v>22242</v>
      </c>
      <c r="J84" s="95">
        <v>22545</v>
      </c>
      <c r="K84" s="95">
        <v>2666</v>
      </c>
      <c r="L84" s="95">
        <v>3242</v>
      </c>
      <c r="M84" s="95">
        <v>5747</v>
      </c>
      <c r="N84" s="95">
        <v>6126</v>
      </c>
      <c r="O84" s="95">
        <v>4803</v>
      </c>
      <c r="P84" s="95">
        <v>7901</v>
      </c>
      <c r="Q84" s="95">
        <v>7584</v>
      </c>
      <c r="R84" s="95">
        <v>7621</v>
      </c>
      <c r="S84" s="95">
        <v>15919</v>
      </c>
      <c r="T84" s="95">
        <v>10664</v>
      </c>
      <c r="U84" s="95">
        <v>8379</v>
      </c>
      <c r="V84" s="95">
        <v>7167</v>
      </c>
      <c r="W84" s="95">
        <v>14284</v>
      </c>
      <c r="X84" s="95">
        <v>13148</v>
      </c>
      <c r="Y84" s="95">
        <v>5679</v>
      </c>
      <c r="Z84" s="95">
        <v>5328</v>
      </c>
      <c r="AA84" s="95">
        <v>36465</v>
      </c>
      <c r="AB84" s="95">
        <v>86975</v>
      </c>
      <c r="AC84" s="95">
        <v>94208</v>
      </c>
      <c r="AF84"/>
      <c r="AG84"/>
      <c r="AH84" s="95">
        <v>35802</v>
      </c>
      <c r="AI84" s="95">
        <v>35956</v>
      </c>
      <c r="AJ84" s="95">
        <v>36094</v>
      </c>
      <c r="AK84" s="95">
        <v>36199</v>
      </c>
      <c r="AL84" s="95">
        <v>36268</v>
      </c>
      <c r="AM84" s="95">
        <v>75572</v>
      </c>
      <c r="AN84" s="95">
        <v>79587</v>
      </c>
      <c r="AO84" s="95">
        <v>85079000</v>
      </c>
      <c r="AP84" s="95">
        <v>86975</v>
      </c>
      <c r="AQ84" s="95">
        <v>94208</v>
      </c>
      <c r="AR84" s="95">
        <v>106628</v>
      </c>
    </row>
    <row r="85" spans="1:44" ht="12.5" x14ac:dyDescent="0.25">
      <c r="A85" s="95" t="s">
        <v>519</v>
      </c>
      <c r="B85" s="95" t="s">
        <v>179</v>
      </c>
      <c r="C85" s="95">
        <f t="shared" si="3"/>
        <v>38714.1</v>
      </c>
      <c r="D85" s="95">
        <f t="shared" si="4"/>
        <v>41228.199999999997</v>
      </c>
      <c r="E85" s="184">
        <v>14389000</v>
      </c>
      <c r="F85" s="184">
        <f t="shared" si="5"/>
        <v>43892589.856379203</v>
      </c>
      <c r="G85" s="95">
        <v>13833</v>
      </c>
      <c r="H85" s="95">
        <v>13690</v>
      </c>
      <c r="I85" s="95">
        <v>25486</v>
      </c>
      <c r="J85" s="95">
        <v>45634</v>
      </c>
      <c r="K85" s="95">
        <v>40192</v>
      </c>
      <c r="L85" s="95">
        <v>32626</v>
      </c>
      <c r="M85" s="95">
        <v>59958</v>
      </c>
      <c r="N85" s="95">
        <v>70333</v>
      </c>
      <c r="O85" s="95">
        <v>51574</v>
      </c>
      <c r="P85" s="95">
        <v>52951</v>
      </c>
      <c r="Q85" s="95">
        <v>33746</v>
      </c>
      <c r="R85" s="95">
        <v>37721</v>
      </c>
      <c r="S85" s="95">
        <v>66696</v>
      </c>
      <c r="T85" s="95">
        <v>66869</v>
      </c>
      <c r="U85" s="95">
        <v>44267</v>
      </c>
      <c r="V85" s="95">
        <v>46593</v>
      </c>
      <c r="W85" s="95">
        <v>26668</v>
      </c>
      <c r="X85" s="95">
        <v>21882</v>
      </c>
      <c r="Y85" s="95">
        <v>24721</v>
      </c>
      <c r="Z85" s="95">
        <v>23983</v>
      </c>
      <c r="AA85" s="95">
        <v>119997</v>
      </c>
      <c r="AB85" s="95">
        <v>240065</v>
      </c>
      <c r="AC85" s="95">
        <v>256778</v>
      </c>
      <c r="AF85"/>
      <c r="AG85"/>
      <c r="AH85" s="95">
        <v>113448</v>
      </c>
      <c r="AI85" s="95">
        <v>114620</v>
      </c>
      <c r="AJ85" s="95">
        <v>115732</v>
      </c>
      <c r="AK85" s="95">
        <v>117159</v>
      </c>
      <c r="AL85" s="95">
        <v>118530</v>
      </c>
      <c r="AM85" s="95">
        <v>230020</v>
      </c>
      <c r="AN85" s="95">
        <v>225842</v>
      </c>
      <c r="AO85" s="95">
        <v>230101000</v>
      </c>
      <c r="AP85" s="95">
        <v>240065</v>
      </c>
      <c r="AQ85" s="95">
        <v>256778</v>
      </c>
      <c r="AR85" s="95">
        <v>261032</v>
      </c>
    </row>
    <row r="86" spans="1:44" ht="12.5" x14ac:dyDescent="0.25">
      <c r="A86" s="95" t="s">
        <v>524</v>
      </c>
      <c r="B86" s="95" t="s">
        <v>220</v>
      </c>
      <c r="C86" s="95">
        <f t="shared" si="3"/>
        <v>3972.9</v>
      </c>
      <c r="D86" s="95">
        <f t="shared" si="4"/>
        <v>3275.4</v>
      </c>
      <c r="E86" s="184">
        <v>1277000</v>
      </c>
      <c r="F86" s="184">
        <f t="shared" si="5"/>
        <v>3456262.0861598803</v>
      </c>
      <c r="G86" s="95">
        <v>7686</v>
      </c>
      <c r="H86" s="95">
        <v>4239</v>
      </c>
      <c r="I86" s="95">
        <v>3203</v>
      </c>
      <c r="J86" s="95">
        <v>3277</v>
      </c>
      <c r="K86" s="95">
        <v>5419</v>
      </c>
      <c r="L86" s="95">
        <v>5810</v>
      </c>
      <c r="M86" s="95">
        <v>16512</v>
      </c>
      <c r="N86" s="95">
        <v>14084</v>
      </c>
      <c r="O86" s="95">
        <v>2580</v>
      </c>
      <c r="P86" s="95">
        <v>2527</v>
      </c>
      <c r="Q86" s="95">
        <v>1476</v>
      </c>
      <c r="R86" s="95">
        <v>1510</v>
      </c>
      <c r="S86" s="95">
        <v>878</v>
      </c>
      <c r="T86" s="95">
        <v>231</v>
      </c>
      <c r="U86" s="95">
        <v>908</v>
      </c>
      <c r="V86" s="95">
        <v>281</v>
      </c>
      <c r="W86" s="95">
        <v>190</v>
      </c>
      <c r="X86" s="95">
        <v>240</v>
      </c>
      <c r="Y86" s="95">
        <v>877</v>
      </c>
      <c r="Z86" s="95">
        <v>555</v>
      </c>
      <c r="AA86" s="95">
        <v>9449</v>
      </c>
      <c r="AB86" s="95">
        <v>20280</v>
      </c>
      <c r="AC86" s="95">
        <v>29503</v>
      </c>
      <c r="AF86"/>
      <c r="AG86"/>
      <c r="AH86" s="95">
        <v>9000</v>
      </c>
      <c r="AI86" s="95">
        <v>9111</v>
      </c>
      <c r="AJ86" s="95">
        <v>9117</v>
      </c>
      <c r="AK86" s="95">
        <v>9231</v>
      </c>
      <c r="AL86" s="95">
        <v>9362</v>
      </c>
      <c r="AM86" s="95">
        <v>15997</v>
      </c>
      <c r="AN86" s="95">
        <v>17353</v>
      </c>
      <c r="AO86" s="95">
        <v>19231000</v>
      </c>
      <c r="AP86" s="95">
        <v>20280</v>
      </c>
      <c r="AQ86" s="95">
        <v>29503</v>
      </c>
      <c r="AR86" s="95">
        <v>39262</v>
      </c>
    </row>
    <row r="87" spans="1:44" ht="12.5" x14ac:dyDescent="0.25">
      <c r="A87" s="95" t="s">
        <v>525</v>
      </c>
      <c r="B87" s="95" t="s">
        <v>754</v>
      </c>
      <c r="C87" s="95">
        <f t="shared" si="3"/>
        <v>3306.4</v>
      </c>
      <c r="D87" s="95">
        <f t="shared" si="4"/>
        <v>3620.8</v>
      </c>
      <c r="E87" s="184">
        <v>7075000</v>
      </c>
      <c r="F87" s="184">
        <f t="shared" si="5"/>
        <v>16622173.561367704</v>
      </c>
      <c r="G87" s="95">
        <v>4902</v>
      </c>
      <c r="H87" s="95">
        <v>4912</v>
      </c>
      <c r="I87" s="95">
        <v>6195</v>
      </c>
      <c r="J87" s="95">
        <v>7157</v>
      </c>
      <c r="K87" s="95">
        <v>3369</v>
      </c>
      <c r="L87" s="95">
        <v>3650</v>
      </c>
      <c r="M87" s="95">
        <v>3227</v>
      </c>
      <c r="N87" s="95">
        <v>3408</v>
      </c>
      <c r="O87" s="95">
        <v>4521</v>
      </c>
      <c r="P87" s="95">
        <v>5043</v>
      </c>
      <c r="Q87" s="95">
        <v>1926</v>
      </c>
      <c r="R87" s="95">
        <v>2361</v>
      </c>
      <c r="S87" s="95">
        <v>614</v>
      </c>
      <c r="T87" s="95">
        <v>909</v>
      </c>
      <c r="U87" s="95">
        <v>1023</v>
      </c>
      <c r="V87" s="95">
        <v>1103</v>
      </c>
      <c r="W87" s="95">
        <v>2139</v>
      </c>
      <c r="X87" s="95">
        <v>2058</v>
      </c>
      <c r="Y87" s="95">
        <v>5148</v>
      </c>
      <c r="Z87" s="95">
        <v>5607</v>
      </c>
      <c r="AA87" s="95">
        <v>45443</v>
      </c>
      <c r="AB87" s="95">
        <v>133506</v>
      </c>
      <c r="AC87" s="95">
        <v>142881</v>
      </c>
      <c r="AF87"/>
      <c r="AG87"/>
      <c r="AH87" s="95">
        <v>46843</v>
      </c>
      <c r="AI87" s="95">
        <v>46415</v>
      </c>
      <c r="AJ87" s="95">
        <v>46051</v>
      </c>
      <c r="AK87" s="95">
        <v>45857</v>
      </c>
      <c r="AL87" s="95">
        <v>45587</v>
      </c>
      <c r="AM87" s="95">
        <v>130227</v>
      </c>
      <c r="AN87" s="95">
        <v>133815</v>
      </c>
      <c r="AO87" s="95">
        <v>133508000</v>
      </c>
      <c r="AP87" s="95">
        <v>138118</v>
      </c>
      <c r="AQ87" s="95">
        <v>142881</v>
      </c>
      <c r="AR87" s="95">
        <v>151913</v>
      </c>
    </row>
    <row r="88" spans="1:44" ht="12.5" x14ac:dyDescent="0.25">
      <c r="A88" s="95" t="s">
        <v>517</v>
      </c>
      <c r="B88" s="95" t="s">
        <v>360</v>
      </c>
      <c r="C88" s="95">
        <f t="shared" si="3"/>
        <v>4730.3999999999996</v>
      </c>
      <c r="D88" s="95">
        <f t="shared" si="4"/>
        <v>4616.1000000000004</v>
      </c>
      <c r="E88" s="184">
        <v>4171000</v>
      </c>
      <c r="F88" s="184">
        <f t="shared" si="5"/>
        <v>7250505.5637486661</v>
      </c>
      <c r="G88" s="95">
        <v>7568</v>
      </c>
      <c r="H88" s="95">
        <v>4662</v>
      </c>
      <c r="I88" s="95">
        <v>41</v>
      </c>
      <c r="J88" s="95">
        <v>572</v>
      </c>
      <c r="K88" s="95">
        <v>5278</v>
      </c>
      <c r="L88" s="95">
        <v>6804</v>
      </c>
      <c r="M88" s="95">
        <v>6790</v>
      </c>
      <c r="N88" s="95">
        <v>7359</v>
      </c>
      <c r="O88" s="95">
        <v>5614</v>
      </c>
      <c r="P88" s="95">
        <v>5644</v>
      </c>
      <c r="Q88" s="95">
        <v>7419</v>
      </c>
      <c r="R88" s="95">
        <v>7535</v>
      </c>
      <c r="S88" s="95">
        <v>9202</v>
      </c>
      <c r="T88" s="95">
        <v>9024</v>
      </c>
      <c r="U88" s="95">
        <v>941</v>
      </c>
      <c r="V88" s="95">
        <v>1021</v>
      </c>
      <c r="W88" s="95">
        <v>1935</v>
      </c>
      <c r="X88" s="95">
        <v>1798</v>
      </c>
      <c r="Y88" s="95">
        <v>2516</v>
      </c>
      <c r="Z88" s="95">
        <v>1742</v>
      </c>
      <c r="AA88" s="95">
        <v>19822</v>
      </c>
      <c r="AB88" s="95">
        <v>47117</v>
      </c>
      <c r="AC88" s="95">
        <v>47798</v>
      </c>
      <c r="AF88"/>
      <c r="AG88"/>
      <c r="AH88" s="95">
        <v>18554</v>
      </c>
      <c r="AI88" s="95">
        <v>18774</v>
      </c>
      <c r="AJ88" s="95">
        <v>19111</v>
      </c>
      <c r="AK88" s="95">
        <v>19277</v>
      </c>
      <c r="AL88" s="95">
        <v>19528</v>
      </c>
      <c r="AM88" s="95">
        <v>42810</v>
      </c>
      <c r="AN88" s="95">
        <v>44283</v>
      </c>
      <c r="AO88" s="95">
        <v>45516000</v>
      </c>
      <c r="AP88" s="95">
        <v>47117</v>
      </c>
      <c r="AQ88" s="95">
        <v>47798</v>
      </c>
      <c r="AR88" s="95">
        <v>47996</v>
      </c>
    </row>
    <row r="89" spans="1:44" ht="12.5" x14ac:dyDescent="0.25">
      <c r="A89" s="95" t="s">
        <v>526</v>
      </c>
      <c r="B89" s="95" t="s">
        <v>404</v>
      </c>
      <c r="C89" s="95">
        <f t="shared" si="3"/>
        <v>3134.4</v>
      </c>
      <c r="D89" s="95">
        <f t="shared" si="4"/>
        <v>3259.8</v>
      </c>
      <c r="E89" s="184">
        <v>3579000</v>
      </c>
      <c r="F89" s="184">
        <f t="shared" si="5"/>
        <v>9457260.6876562275</v>
      </c>
      <c r="G89" s="95">
        <v>2746</v>
      </c>
      <c r="H89" s="95">
        <v>2740</v>
      </c>
      <c r="I89" s="95">
        <v>4333</v>
      </c>
      <c r="J89" s="95">
        <v>5009</v>
      </c>
      <c r="K89" s="95">
        <v>5873</v>
      </c>
      <c r="L89" s="95">
        <v>5984</v>
      </c>
      <c r="M89" s="95">
        <v>5744</v>
      </c>
      <c r="N89" s="95">
        <v>5639</v>
      </c>
      <c r="O89" s="95">
        <v>2810</v>
      </c>
      <c r="P89" s="95">
        <v>5479</v>
      </c>
      <c r="Q89" s="95">
        <v>2600</v>
      </c>
      <c r="R89" s="95">
        <v>2784</v>
      </c>
      <c r="S89" s="95">
        <v>3165</v>
      </c>
      <c r="T89" s="95">
        <v>2346</v>
      </c>
      <c r="U89" s="95">
        <v>1642</v>
      </c>
      <c r="V89" s="95">
        <v>1288</v>
      </c>
      <c r="W89" s="95">
        <v>1069</v>
      </c>
      <c r="X89" s="95">
        <v>1043</v>
      </c>
      <c r="Y89" s="95">
        <v>1362</v>
      </c>
      <c r="Z89" s="95">
        <v>286</v>
      </c>
      <c r="AA89" s="95">
        <v>25855</v>
      </c>
      <c r="AB89" s="95">
        <v>78407</v>
      </c>
      <c r="AC89" s="95">
        <v>81773</v>
      </c>
      <c r="AF89"/>
      <c r="AG89"/>
      <c r="AH89" s="95">
        <v>25297</v>
      </c>
      <c r="AI89" s="95">
        <v>25563</v>
      </c>
      <c r="AJ89" s="95">
        <v>25654</v>
      </c>
      <c r="AK89" s="95">
        <v>25743</v>
      </c>
      <c r="AL89" s="95">
        <v>25900</v>
      </c>
      <c r="AM89" s="95">
        <v>62122</v>
      </c>
      <c r="AN89" s="95">
        <v>62464</v>
      </c>
      <c r="AO89" s="95">
        <v>65445000</v>
      </c>
      <c r="AP89" s="95">
        <v>78407</v>
      </c>
      <c r="AQ89" s="95">
        <v>81773</v>
      </c>
      <c r="AR89" s="95">
        <v>84055</v>
      </c>
    </row>
    <row r="90" spans="1:44" ht="12.5" x14ac:dyDescent="0.25">
      <c r="A90" s="95" t="s">
        <v>517</v>
      </c>
      <c r="B90" s="95" t="s">
        <v>361</v>
      </c>
      <c r="C90" s="95">
        <f t="shared" si="3"/>
        <v>40727.599999999999</v>
      </c>
      <c r="D90" s="95">
        <f t="shared" si="4"/>
        <v>48157</v>
      </c>
      <c r="E90" s="184">
        <v>32955000</v>
      </c>
      <c r="F90" s="184">
        <f t="shared" si="5"/>
        <v>87167376.065438688</v>
      </c>
      <c r="G90" s="95">
        <v>72838</v>
      </c>
      <c r="H90" s="95">
        <v>75430</v>
      </c>
      <c r="I90" s="95">
        <v>88428</v>
      </c>
      <c r="J90" s="95">
        <v>63759</v>
      </c>
      <c r="K90" s="95">
        <v>-65471</v>
      </c>
      <c r="L90" s="95">
        <v>63013</v>
      </c>
      <c r="M90" s="95">
        <v>39675</v>
      </c>
      <c r="N90" s="95">
        <v>45818</v>
      </c>
      <c r="O90" s="95">
        <v>59232</v>
      </c>
      <c r="P90" s="95">
        <v>59044</v>
      </c>
      <c r="Q90" s="95">
        <v>45103</v>
      </c>
      <c r="R90" s="95">
        <v>47547</v>
      </c>
      <c r="S90" s="95">
        <v>63741</v>
      </c>
      <c r="T90" s="95">
        <v>46363</v>
      </c>
      <c r="U90" s="95">
        <v>48584</v>
      </c>
      <c r="V90" s="95">
        <v>40221</v>
      </c>
      <c r="W90" s="95">
        <v>31188</v>
      </c>
      <c r="X90" s="95">
        <v>20758</v>
      </c>
      <c r="Y90" s="95">
        <v>23958</v>
      </c>
      <c r="Z90" s="95">
        <v>19617</v>
      </c>
      <c r="AA90" s="95">
        <v>238305</v>
      </c>
      <c r="AB90" s="95">
        <v>648910</v>
      </c>
      <c r="AC90" s="95">
        <v>660931</v>
      </c>
      <c r="AF90"/>
      <c r="AG90"/>
      <c r="AH90" s="95">
        <v>226879</v>
      </c>
      <c r="AI90" s="95">
        <v>229184</v>
      </c>
      <c r="AJ90" s="95">
        <v>231469</v>
      </c>
      <c r="AK90" s="95">
        <v>234525</v>
      </c>
      <c r="AL90" s="95">
        <v>235691</v>
      </c>
      <c r="AM90" s="95">
        <v>606952</v>
      </c>
      <c r="AN90" s="95">
        <v>602344</v>
      </c>
      <c r="AO90" s="95">
        <v>643573000</v>
      </c>
      <c r="AP90" s="95">
        <v>648910</v>
      </c>
      <c r="AQ90" s="95">
        <v>660931</v>
      </c>
      <c r="AR90" s="95">
        <v>665198</v>
      </c>
    </row>
    <row r="91" spans="1:44" ht="12.5" x14ac:dyDescent="0.25">
      <c r="A91" s="95" t="s">
        <v>519</v>
      </c>
      <c r="B91" s="95" t="s">
        <v>180</v>
      </c>
      <c r="C91" s="95">
        <f t="shared" si="3"/>
        <v>2973.7</v>
      </c>
      <c r="D91" s="95">
        <f t="shared" si="4"/>
        <v>2980.3</v>
      </c>
      <c r="E91" s="184">
        <v>3032000</v>
      </c>
      <c r="F91" s="184">
        <f t="shared" si="5"/>
        <v>8683268.6700549684</v>
      </c>
      <c r="G91" s="95">
        <v>404</v>
      </c>
      <c r="H91" s="95">
        <v>404</v>
      </c>
      <c r="I91" s="95">
        <v>2757</v>
      </c>
      <c r="J91" s="95">
        <v>3306</v>
      </c>
      <c r="K91" s="95">
        <v>1818</v>
      </c>
      <c r="L91" s="95">
        <v>2109</v>
      </c>
      <c r="M91" s="95">
        <v>2742</v>
      </c>
      <c r="N91" s="95">
        <v>3206</v>
      </c>
      <c r="O91" s="95">
        <v>2882</v>
      </c>
      <c r="P91" s="95">
        <v>2979</v>
      </c>
      <c r="Q91" s="95">
        <v>1977</v>
      </c>
      <c r="R91" s="95">
        <v>1648</v>
      </c>
      <c r="S91" s="95">
        <v>3534</v>
      </c>
      <c r="T91" s="95">
        <v>2811</v>
      </c>
      <c r="U91" s="95">
        <v>6378</v>
      </c>
      <c r="V91" s="95">
        <v>6068</v>
      </c>
      <c r="W91" s="95">
        <v>2600</v>
      </c>
      <c r="X91" s="95">
        <v>3100</v>
      </c>
      <c r="Y91" s="95">
        <v>4645</v>
      </c>
      <c r="Z91" s="95">
        <v>4172</v>
      </c>
      <c r="AA91" s="95">
        <v>23739</v>
      </c>
      <c r="AB91" s="95">
        <v>56425</v>
      </c>
      <c r="AC91" s="95">
        <v>58860</v>
      </c>
      <c r="AF91"/>
      <c r="AG91"/>
      <c r="AH91" s="95">
        <v>23029</v>
      </c>
      <c r="AI91" s="95">
        <v>23111</v>
      </c>
      <c r="AJ91" s="95">
        <v>23087</v>
      </c>
      <c r="AK91" s="95">
        <v>23154</v>
      </c>
      <c r="AL91" s="95">
        <v>23429</v>
      </c>
      <c r="AM91" s="95">
        <v>56727</v>
      </c>
      <c r="AN91" s="95">
        <v>57389</v>
      </c>
      <c r="AO91" s="95">
        <v>56694000</v>
      </c>
      <c r="AP91" s="95">
        <v>56425</v>
      </c>
      <c r="AQ91" s="95">
        <v>58860</v>
      </c>
      <c r="AR91" s="95">
        <v>58742</v>
      </c>
    </row>
    <row r="92" spans="1:44" ht="12.5" x14ac:dyDescent="0.25">
      <c r="A92" s="95" t="s">
        <v>516</v>
      </c>
      <c r="B92" s="95" t="s">
        <v>110</v>
      </c>
      <c r="C92" s="95">
        <f t="shared" si="3"/>
        <v>23403.8</v>
      </c>
      <c r="D92" s="95">
        <f t="shared" si="4"/>
        <v>25855.4</v>
      </c>
      <c r="E92" s="184">
        <v>20439000</v>
      </c>
      <c r="F92" s="184">
        <f t="shared" si="5"/>
        <v>39453109.176971599</v>
      </c>
      <c r="G92" s="95">
        <v>5260</v>
      </c>
      <c r="H92" s="95">
        <v>5415</v>
      </c>
      <c r="I92" s="95">
        <v>37994</v>
      </c>
      <c r="J92" s="95">
        <v>40393</v>
      </c>
      <c r="K92" s="95">
        <v>36831</v>
      </c>
      <c r="L92" s="95">
        <v>52604</v>
      </c>
      <c r="M92" s="95">
        <v>35195</v>
      </c>
      <c r="N92" s="95">
        <v>41095</v>
      </c>
      <c r="O92" s="95">
        <v>23825</v>
      </c>
      <c r="P92" s="95">
        <v>26922</v>
      </c>
      <c r="Q92" s="95">
        <v>10150</v>
      </c>
      <c r="R92" s="95">
        <v>15371</v>
      </c>
      <c r="S92" s="95">
        <v>26426</v>
      </c>
      <c r="T92" s="95">
        <v>24354</v>
      </c>
      <c r="U92" s="95">
        <v>14598</v>
      </c>
      <c r="V92" s="95">
        <v>15496</v>
      </c>
      <c r="W92" s="95">
        <v>22934</v>
      </c>
      <c r="X92" s="95">
        <v>16682</v>
      </c>
      <c r="Y92" s="95">
        <v>20825</v>
      </c>
      <c r="Z92" s="95">
        <v>20222</v>
      </c>
      <c r="AA92" s="95">
        <v>107860</v>
      </c>
      <c r="AB92" s="95">
        <v>454354</v>
      </c>
      <c r="AC92" s="95">
        <v>466511</v>
      </c>
      <c r="AF92"/>
      <c r="AG92"/>
      <c r="AH92" s="95">
        <v>107508</v>
      </c>
      <c r="AI92" s="95">
        <v>107216</v>
      </c>
      <c r="AJ92" s="95">
        <v>107111</v>
      </c>
      <c r="AK92" s="95">
        <v>107056</v>
      </c>
      <c r="AL92" s="95">
        <v>107024</v>
      </c>
      <c r="AM92" s="95">
        <v>417881</v>
      </c>
      <c r="AN92" s="95">
        <v>388490</v>
      </c>
      <c r="AO92" s="95">
        <v>431828000</v>
      </c>
      <c r="AP92" s="95">
        <v>454354</v>
      </c>
      <c r="AQ92" s="95">
        <v>466511</v>
      </c>
      <c r="AR92" s="95">
        <v>484989</v>
      </c>
    </row>
    <row r="93" spans="1:44" ht="12.5" x14ac:dyDescent="0.25">
      <c r="A93" s="95" t="s">
        <v>518</v>
      </c>
      <c r="B93" s="95" t="s">
        <v>251</v>
      </c>
      <c r="C93" s="95">
        <f t="shared" si="3"/>
        <v>479.2</v>
      </c>
      <c r="D93" s="95">
        <f t="shared" si="4"/>
        <v>457.1</v>
      </c>
      <c r="E93" s="184">
        <v>1688000</v>
      </c>
      <c r="F93" s="184">
        <f t="shared" si="5"/>
        <v>6810837.1303097643</v>
      </c>
      <c r="G93" s="95">
        <v>0</v>
      </c>
      <c r="H93" s="95">
        <v>27</v>
      </c>
      <c r="I93" s="95">
        <v>2358</v>
      </c>
      <c r="J93" s="95">
        <v>1845</v>
      </c>
      <c r="K93" s="95">
        <v>809</v>
      </c>
      <c r="L93" s="95">
        <v>1128</v>
      </c>
      <c r="M93" s="95">
        <v>737</v>
      </c>
      <c r="N93" s="95">
        <v>764</v>
      </c>
      <c r="O93" s="95">
        <v>447</v>
      </c>
      <c r="P93" s="95">
        <v>410</v>
      </c>
      <c r="Q93" s="95">
        <v>251</v>
      </c>
      <c r="R93" s="95">
        <v>251</v>
      </c>
      <c r="S93" s="95">
        <v>16</v>
      </c>
      <c r="T93" s="95">
        <v>21</v>
      </c>
      <c r="U93" s="95">
        <v>174</v>
      </c>
      <c r="V93" s="95">
        <v>18</v>
      </c>
      <c r="W93" s="95">
        <v>0</v>
      </c>
      <c r="X93" s="95">
        <v>43</v>
      </c>
      <c r="Y93" s="95">
        <v>0</v>
      </c>
      <c r="Z93" s="95">
        <v>64</v>
      </c>
      <c r="AA93" s="95">
        <v>18620</v>
      </c>
      <c r="AB93" s="95">
        <v>40581</v>
      </c>
      <c r="AC93" s="95">
        <v>43284</v>
      </c>
      <c r="AF93"/>
      <c r="AG93"/>
      <c r="AH93" s="95">
        <v>18474</v>
      </c>
      <c r="AI93" s="95">
        <v>18475</v>
      </c>
      <c r="AJ93" s="95">
        <v>18510</v>
      </c>
      <c r="AK93" s="95">
        <v>18611</v>
      </c>
      <c r="AL93" s="95">
        <v>18637</v>
      </c>
      <c r="AM93" s="95">
        <v>42984</v>
      </c>
      <c r="AN93" s="95">
        <v>41950</v>
      </c>
      <c r="AO93" s="95">
        <v>41305000</v>
      </c>
      <c r="AP93" s="95">
        <v>40581</v>
      </c>
      <c r="AQ93" s="95">
        <v>43284</v>
      </c>
      <c r="AR93" s="95">
        <v>44774</v>
      </c>
    </row>
    <row r="94" spans="1:44" ht="12.5" x14ac:dyDescent="0.25">
      <c r="A94" s="95" t="s">
        <v>522</v>
      </c>
      <c r="B94" s="95" t="s">
        <v>146</v>
      </c>
      <c r="C94" s="95">
        <f t="shared" si="3"/>
        <v>44456.800000000003</v>
      </c>
      <c r="D94" s="95">
        <f t="shared" si="4"/>
        <v>54339.6</v>
      </c>
      <c r="E94" s="184">
        <v>25735000</v>
      </c>
      <c r="F94" s="184">
        <f t="shared" si="5"/>
        <v>58729021.910218865</v>
      </c>
      <c r="G94" s="95">
        <v>14883</v>
      </c>
      <c r="H94" s="95">
        <v>15192</v>
      </c>
      <c r="I94" s="95">
        <v>51379</v>
      </c>
      <c r="J94" s="95">
        <v>111169</v>
      </c>
      <c r="K94" s="95">
        <v>64629</v>
      </c>
      <c r="L94" s="95">
        <v>63083</v>
      </c>
      <c r="M94" s="95">
        <v>44383</v>
      </c>
      <c r="N94" s="95">
        <v>55458</v>
      </c>
      <c r="O94" s="95">
        <v>136626</v>
      </c>
      <c r="P94" s="95">
        <v>144096</v>
      </c>
      <c r="Q94" s="95">
        <v>29100</v>
      </c>
      <c r="R94" s="95">
        <v>53145</v>
      </c>
      <c r="S94" s="95">
        <v>28729</v>
      </c>
      <c r="T94" s="95">
        <v>28793</v>
      </c>
      <c r="U94" s="95">
        <v>25864</v>
      </c>
      <c r="V94" s="95">
        <v>26176</v>
      </c>
      <c r="W94" s="95">
        <v>23007</v>
      </c>
      <c r="X94" s="95">
        <v>20305</v>
      </c>
      <c r="Y94" s="95">
        <v>25968</v>
      </c>
      <c r="Z94" s="95">
        <v>25979</v>
      </c>
      <c r="AA94" s="95">
        <v>160558</v>
      </c>
      <c r="AB94" s="95">
        <v>514759</v>
      </c>
      <c r="AC94" s="95">
        <v>495548</v>
      </c>
      <c r="AF94"/>
      <c r="AG94"/>
      <c r="AH94" s="95">
        <v>158142</v>
      </c>
      <c r="AI94" s="95">
        <v>158276</v>
      </c>
      <c r="AJ94" s="95">
        <v>158961</v>
      </c>
      <c r="AK94" s="95">
        <v>159939</v>
      </c>
      <c r="AL94" s="95">
        <v>159732</v>
      </c>
      <c r="AM94" s="95">
        <v>558443</v>
      </c>
      <c r="AN94" s="95">
        <v>514799</v>
      </c>
      <c r="AO94" s="95">
        <v>531403000</v>
      </c>
      <c r="AP94" s="95">
        <v>514759</v>
      </c>
      <c r="AQ94" s="95">
        <v>495548</v>
      </c>
      <c r="AR94" s="95">
        <v>463902</v>
      </c>
    </row>
    <row r="95" spans="1:44" ht="12.5" x14ac:dyDescent="0.25">
      <c r="A95" s="95" t="s">
        <v>519</v>
      </c>
      <c r="B95" s="95" t="s">
        <v>181</v>
      </c>
      <c r="C95" s="95">
        <f t="shared" si="3"/>
        <v>2600.6999999999998</v>
      </c>
      <c r="D95" s="95">
        <f t="shared" si="4"/>
        <v>1965.6</v>
      </c>
      <c r="E95" s="184">
        <v>4014000</v>
      </c>
      <c r="F95" s="184">
        <f t="shared" si="5"/>
        <v>12165866.968533983</v>
      </c>
      <c r="G95" s="95">
        <v>865</v>
      </c>
      <c r="H95" s="95">
        <v>814</v>
      </c>
      <c r="I95" s="95">
        <v>5731</v>
      </c>
      <c r="J95" s="95">
        <v>6398</v>
      </c>
      <c r="K95" s="95">
        <v>2281</v>
      </c>
      <c r="L95" s="95">
        <v>2035</v>
      </c>
      <c r="M95" s="95">
        <v>2234</v>
      </c>
      <c r="N95" s="95">
        <v>1693</v>
      </c>
      <c r="O95" s="95">
        <v>4315</v>
      </c>
      <c r="P95" s="95">
        <v>1409</v>
      </c>
      <c r="Q95" s="95">
        <v>2264</v>
      </c>
      <c r="R95" s="95">
        <v>2425</v>
      </c>
      <c r="S95" s="95">
        <v>3303</v>
      </c>
      <c r="T95" s="95">
        <v>1609</v>
      </c>
      <c r="U95" s="95">
        <v>2938</v>
      </c>
      <c r="V95" s="95">
        <v>1539</v>
      </c>
      <c r="W95" s="95">
        <v>1355</v>
      </c>
      <c r="X95" s="95">
        <v>1017</v>
      </c>
      <c r="Y95" s="95">
        <v>721</v>
      </c>
      <c r="Z95" s="95">
        <v>717</v>
      </c>
      <c r="AA95" s="95">
        <v>33260</v>
      </c>
      <c r="AB95" s="95">
        <v>51276</v>
      </c>
      <c r="AC95" s="95">
        <v>53977</v>
      </c>
      <c r="AF95"/>
      <c r="AG95"/>
      <c r="AH95" s="95">
        <v>32543</v>
      </c>
      <c r="AI95" s="95">
        <v>32852</v>
      </c>
      <c r="AJ95" s="95">
        <v>33151</v>
      </c>
      <c r="AK95" s="95">
        <v>33183</v>
      </c>
      <c r="AL95" s="95">
        <v>33198</v>
      </c>
      <c r="AM95" s="95">
        <v>51468</v>
      </c>
      <c r="AN95" s="95">
        <v>51599</v>
      </c>
      <c r="AO95" s="95">
        <v>49153000</v>
      </c>
      <c r="AP95" s="95">
        <v>51276</v>
      </c>
      <c r="AQ95" s="95">
        <v>53977</v>
      </c>
      <c r="AR95" s="95">
        <v>55803</v>
      </c>
    </row>
    <row r="96" spans="1:44" ht="12.5" x14ac:dyDescent="0.25">
      <c r="A96" s="95" t="s">
        <v>519</v>
      </c>
      <c r="B96" s="95" t="s">
        <v>182</v>
      </c>
      <c r="C96" s="95">
        <f t="shared" si="3"/>
        <v>2032.7</v>
      </c>
      <c r="D96" s="95">
        <f t="shared" si="4"/>
        <v>1665.1</v>
      </c>
      <c r="E96" s="184">
        <v>3569000</v>
      </c>
      <c r="F96" s="184">
        <f t="shared" si="5"/>
        <v>9971182.6086060256</v>
      </c>
      <c r="G96" s="95">
        <v>115</v>
      </c>
      <c r="H96" s="95">
        <v>124</v>
      </c>
      <c r="I96" s="95">
        <v>2434</v>
      </c>
      <c r="J96" s="95">
        <v>2103</v>
      </c>
      <c r="K96" s="95">
        <v>5331</v>
      </c>
      <c r="L96" s="95">
        <v>4980</v>
      </c>
      <c r="M96" s="95">
        <v>1896</v>
      </c>
      <c r="N96" s="95">
        <v>1446</v>
      </c>
      <c r="O96" s="95">
        <v>1723</v>
      </c>
      <c r="P96" s="95">
        <v>1350</v>
      </c>
      <c r="Q96" s="95">
        <v>2237</v>
      </c>
      <c r="R96" s="95">
        <v>2183</v>
      </c>
      <c r="S96" s="95">
        <v>862</v>
      </c>
      <c r="T96" s="95">
        <v>724</v>
      </c>
      <c r="U96" s="95">
        <v>2047</v>
      </c>
      <c r="V96" s="95">
        <v>1530</v>
      </c>
      <c r="W96" s="95">
        <v>2264</v>
      </c>
      <c r="X96" s="95">
        <v>1309</v>
      </c>
      <c r="Y96" s="95">
        <v>1418</v>
      </c>
      <c r="Z96" s="95">
        <v>902</v>
      </c>
      <c r="AA96" s="95">
        <v>27260</v>
      </c>
      <c r="AB96" s="95">
        <v>36347</v>
      </c>
      <c r="AC96" s="95">
        <v>41257</v>
      </c>
      <c r="AF96"/>
      <c r="AG96"/>
      <c r="AH96" s="95">
        <v>26596</v>
      </c>
      <c r="AI96" s="95">
        <v>26798</v>
      </c>
      <c r="AJ96" s="95">
        <v>26855</v>
      </c>
      <c r="AK96" s="95">
        <v>26983</v>
      </c>
      <c r="AL96" s="95">
        <v>27016</v>
      </c>
      <c r="AM96" s="95">
        <v>34876</v>
      </c>
      <c r="AN96" s="95">
        <v>33645</v>
      </c>
      <c r="AO96" s="95">
        <v>33640000</v>
      </c>
      <c r="AP96" s="95">
        <v>36347</v>
      </c>
      <c r="AQ96" s="95">
        <v>41257</v>
      </c>
      <c r="AR96" s="95">
        <v>51388</v>
      </c>
    </row>
    <row r="97" spans="1:44" ht="12.5" x14ac:dyDescent="0.25">
      <c r="A97" s="95" t="s">
        <v>517</v>
      </c>
      <c r="B97" s="95" t="s">
        <v>362</v>
      </c>
      <c r="C97" s="95">
        <f t="shared" si="3"/>
        <v>13571.1</v>
      </c>
      <c r="D97" s="95">
        <f t="shared" si="4"/>
        <v>14251</v>
      </c>
      <c r="E97" s="184">
        <v>7755000</v>
      </c>
      <c r="F97" s="184">
        <f t="shared" si="5"/>
        <v>16149219.081803229</v>
      </c>
      <c r="G97" s="95">
        <v>13350</v>
      </c>
      <c r="H97" s="95">
        <v>12049</v>
      </c>
      <c r="I97" s="95">
        <v>18962</v>
      </c>
      <c r="J97" s="95">
        <v>20618</v>
      </c>
      <c r="K97" s="95">
        <v>8105</v>
      </c>
      <c r="L97" s="95">
        <v>10232</v>
      </c>
      <c r="M97" s="95">
        <v>10454</v>
      </c>
      <c r="N97" s="95">
        <v>14078</v>
      </c>
      <c r="O97" s="95">
        <v>16322</v>
      </c>
      <c r="P97" s="95">
        <v>17000</v>
      </c>
      <c r="Q97" s="95">
        <v>19614</v>
      </c>
      <c r="R97" s="95">
        <v>20345</v>
      </c>
      <c r="S97" s="95">
        <v>15045</v>
      </c>
      <c r="T97" s="95">
        <v>16234</v>
      </c>
      <c r="U97" s="95">
        <v>17315</v>
      </c>
      <c r="V97" s="95">
        <v>15026</v>
      </c>
      <c r="W97" s="95">
        <v>12140</v>
      </c>
      <c r="X97" s="95">
        <v>12576</v>
      </c>
      <c r="Y97" s="95">
        <v>4404</v>
      </c>
      <c r="Z97" s="95">
        <v>4352</v>
      </c>
      <c r="AA97" s="95">
        <v>44150</v>
      </c>
      <c r="AB97" s="95">
        <v>109373</v>
      </c>
      <c r="AC97" s="95">
        <v>119284</v>
      </c>
      <c r="AF97"/>
      <c r="AG97"/>
      <c r="AH97" s="95">
        <v>43032</v>
      </c>
      <c r="AI97" s="95">
        <v>43528</v>
      </c>
      <c r="AJ97" s="95">
        <v>43786</v>
      </c>
      <c r="AK97" s="95">
        <v>43888</v>
      </c>
      <c r="AL97" s="95">
        <v>43869</v>
      </c>
      <c r="AM97" s="95">
        <v>105010</v>
      </c>
      <c r="AN97" s="95">
        <v>98746</v>
      </c>
      <c r="AO97" s="95">
        <v>100223000</v>
      </c>
      <c r="AP97" s="95">
        <v>109373</v>
      </c>
      <c r="AQ97" s="95">
        <v>119284</v>
      </c>
      <c r="AR97" s="95">
        <v>124917</v>
      </c>
    </row>
    <row r="98" spans="1:44" ht="12.5" x14ac:dyDescent="0.25">
      <c r="A98" s="95" t="s">
        <v>517</v>
      </c>
      <c r="B98" s="95" t="s">
        <v>363</v>
      </c>
      <c r="C98" s="95">
        <f t="shared" si="3"/>
        <v>2478.9</v>
      </c>
      <c r="D98" s="95">
        <f t="shared" si="4"/>
        <v>2381.5</v>
      </c>
      <c r="E98" s="184">
        <v>2548000</v>
      </c>
      <c r="F98" s="184">
        <f t="shared" si="5"/>
        <v>8028886.9500697814</v>
      </c>
      <c r="G98" s="95">
        <v>2782</v>
      </c>
      <c r="H98" s="95">
        <v>2810</v>
      </c>
      <c r="I98" s="95">
        <v>145</v>
      </c>
      <c r="J98" s="95">
        <v>374</v>
      </c>
      <c r="K98" s="95">
        <v>2770</v>
      </c>
      <c r="L98" s="95">
        <v>2712</v>
      </c>
      <c r="M98" s="95">
        <v>486</v>
      </c>
      <c r="N98" s="95">
        <v>541</v>
      </c>
      <c r="O98" s="95">
        <v>3781</v>
      </c>
      <c r="P98" s="95">
        <v>3460</v>
      </c>
      <c r="Q98" s="95">
        <v>885</v>
      </c>
      <c r="R98" s="95">
        <v>827</v>
      </c>
      <c r="S98" s="95">
        <v>280</v>
      </c>
      <c r="T98" s="95">
        <v>430</v>
      </c>
      <c r="U98" s="95">
        <v>4048</v>
      </c>
      <c r="V98" s="95">
        <v>4109</v>
      </c>
      <c r="W98" s="95">
        <v>6695</v>
      </c>
      <c r="X98" s="95">
        <v>5849</v>
      </c>
      <c r="Y98" s="95">
        <v>2917</v>
      </c>
      <c r="Z98" s="95">
        <v>2703</v>
      </c>
      <c r="AA98" s="95">
        <v>21950</v>
      </c>
      <c r="AB98" s="95">
        <v>41265</v>
      </c>
      <c r="AC98" s="95">
        <v>43340</v>
      </c>
      <c r="AF98"/>
      <c r="AG98"/>
      <c r="AH98" s="95">
        <v>21502</v>
      </c>
      <c r="AI98" s="95">
        <v>21529</v>
      </c>
      <c r="AJ98" s="95">
        <v>21515</v>
      </c>
      <c r="AK98" s="95">
        <v>21553</v>
      </c>
      <c r="AL98" s="95">
        <v>21770</v>
      </c>
      <c r="AM98" s="95">
        <v>40395</v>
      </c>
      <c r="AN98" s="95">
        <v>39272</v>
      </c>
      <c r="AO98" s="95">
        <v>39141000</v>
      </c>
      <c r="AP98" s="95">
        <v>41265</v>
      </c>
      <c r="AQ98" s="95">
        <v>43340</v>
      </c>
      <c r="AR98" s="95">
        <v>43931</v>
      </c>
    </row>
    <row r="99" spans="1:44" ht="12.5" x14ac:dyDescent="0.25">
      <c r="A99" s="95" t="s">
        <v>517</v>
      </c>
      <c r="B99" s="95" t="s">
        <v>364</v>
      </c>
      <c r="C99" s="95">
        <f t="shared" si="3"/>
        <v>11302.3</v>
      </c>
      <c r="D99" s="95">
        <f t="shared" si="4"/>
        <v>9883.5</v>
      </c>
      <c r="E99" s="184">
        <v>5840000</v>
      </c>
      <c r="F99" s="184">
        <f t="shared" si="5"/>
        <v>14673659.63047833</v>
      </c>
      <c r="G99" s="95">
        <v>19145</v>
      </c>
      <c r="H99" s="95">
        <v>17199</v>
      </c>
      <c r="I99" s="95">
        <v>5118</v>
      </c>
      <c r="J99" s="95">
        <v>11144</v>
      </c>
      <c r="K99" s="95">
        <v>5825</v>
      </c>
      <c r="L99" s="95">
        <v>11031</v>
      </c>
      <c r="M99" s="95">
        <v>13175</v>
      </c>
      <c r="N99" s="95">
        <v>7341</v>
      </c>
      <c r="O99" s="95">
        <v>18224</v>
      </c>
      <c r="P99" s="95">
        <v>7342</v>
      </c>
      <c r="Q99" s="95">
        <v>14652</v>
      </c>
      <c r="R99" s="95">
        <v>14025</v>
      </c>
      <c r="S99" s="95">
        <v>21846</v>
      </c>
      <c r="T99" s="95">
        <v>13505</v>
      </c>
      <c r="U99" s="95">
        <v>7067</v>
      </c>
      <c r="V99" s="95">
        <v>8230</v>
      </c>
      <c r="W99" s="95">
        <v>6385</v>
      </c>
      <c r="X99" s="95">
        <v>7938</v>
      </c>
      <c r="Y99" s="95">
        <v>1586</v>
      </c>
      <c r="Z99" s="95">
        <v>1080</v>
      </c>
      <c r="AA99" s="95">
        <v>40116</v>
      </c>
      <c r="AB99" s="95">
        <v>75895</v>
      </c>
      <c r="AC99" s="95">
        <v>81424</v>
      </c>
      <c r="AF99"/>
      <c r="AG99"/>
      <c r="AH99" s="95">
        <v>39070</v>
      </c>
      <c r="AI99" s="95">
        <v>39258</v>
      </c>
      <c r="AJ99" s="95">
        <v>39588</v>
      </c>
      <c r="AK99" s="95">
        <v>39743</v>
      </c>
      <c r="AL99" s="95">
        <v>40066</v>
      </c>
      <c r="AM99" s="95">
        <v>77945</v>
      </c>
      <c r="AN99" s="95">
        <v>79812</v>
      </c>
      <c r="AO99" s="95">
        <v>75549000</v>
      </c>
      <c r="AP99" s="95">
        <v>75895</v>
      </c>
      <c r="AQ99" s="95">
        <v>81424</v>
      </c>
      <c r="AR99" s="95">
        <v>93961</v>
      </c>
    </row>
    <row r="100" spans="1:44" ht="12.5" x14ac:dyDescent="0.25">
      <c r="A100" s="95" t="s">
        <v>517</v>
      </c>
      <c r="B100" s="95" t="s">
        <v>365</v>
      </c>
      <c r="C100" s="95">
        <f t="shared" si="3"/>
        <v>5089.1000000000004</v>
      </c>
      <c r="D100" s="95">
        <f t="shared" si="4"/>
        <v>6283.3</v>
      </c>
      <c r="E100" s="184">
        <v>3590000</v>
      </c>
      <c r="F100" s="184">
        <f t="shared" si="5"/>
        <v>11352736.413180675</v>
      </c>
      <c r="G100" s="95">
        <v>2022</v>
      </c>
      <c r="H100" s="95">
        <v>1870</v>
      </c>
      <c r="I100" s="95">
        <v>-1618</v>
      </c>
      <c r="J100" s="95">
        <v>10483</v>
      </c>
      <c r="K100" s="95">
        <v>4013</v>
      </c>
      <c r="L100" s="95">
        <v>5723</v>
      </c>
      <c r="M100" s="95">
        <v>4269</v>
      </c>
      <c r="N100" s="95">
        <v>5707</v>
      </c>
      <c r="O100" s="95">
        <v>6134</v>
      </c>
      <c r="P100" s="95">
        <v>6994</v>
      </c>
      <c r="Q100" s="95">
        <v>7546</v>
      </c>
      <c r="R100" s="95">
        <v>8640</v>
      </c>
      <c r="S100" s="95">
        <v>7842</v>
      </c>
      <c r="T100" s="95">
        <v>5851</v>
      </c>
      <c r="U100" s="95">
        <v>8196</v>
      </c>
      <c r="V100" s="95">
        <v>6895</v>
      </c>
      <c r="W100" s="95">
        <v>5219</v>
      </c>
      <c r="X100" s="95">
        <v>2824</v>
      </c>
      <c r="Y100" s="95">
        <v>7268</v>
      </c>
      <c r="Z100" s="95">
        <v>7846</v>
      </c>
      <c r="AA100" s="95">
        <v>31037</v>
      </c>
      <c r="AB100" s="95">
        <v>83602</v>
      </c>
      <c r="AC100" s="95">
        <v>83183</v>
      </c>
      <c r="AF100"/>
      <c r="AG100"/>
      <c r="AH100" s="95">
        <v>30032</v>
      </c>
      <c r="AI100" s="95">
        <v>30352</v>
      </c>
      <c r="AJ100" s="95">
        <v>30458</v>
      </c>
      <c r="AK100" s="95">
        <v>30706</v>
      </c>
      <c r="AL100" s="95">
        <v>30760</v>
      </c>
      <c r="AM100" s="95">
        <v>87861</v>
      </c>
      <c r="AN100" s="95">
        <v>85919</v>
      </c>
      <c r="AO100" s="95">
        <v>83473000</v>
      </c>
      <c r="AP100" s="95">
        <v>83602</v>
      </c>
      <c r="AQ100" s="95">
        <v>83183</v>
      </c>
      <c r="AR100" s="95">
        <v>81439</v>
      </c>
    </row>
    <row r="101" spans="1:44" ht="12.5" x14ac:dyDescent="0.25">
      <c r="A101" s="95" t="s">
        <v>526</v>
      </c>
      <c r="B101" s="95" t="s">
        <v>405</v>
      </c>
      <c r="C101" s="95">
        <f t="shared" si="3"/>
        <v>3300.2</v>
      </c>
      <c r="D101" s="95">
        <f t="shared" si="4"/>
        <v>3354.1</v>
      </c>
      <c r="E101" s="184">
        <v>2282000</v>
      </c>
      <c r="F101" s="184">
        <f t="shared" si="5"/>
        <v>6307888.6311596073</v>
      </c>
      <c r="G101" s="95">
        <v>112</v>
      </c>
      <c r="H101" s="95">
        <v>149</v>
      </c>
      <c r="I101" s="95">
        <v>1583</v>
      </c>
      <c r="J101" s="95">
        <v>2792</v>
      </c>
      <c r="K101" s="95">
        <v>7080</v>
      </c>
      <c r="L101" s="95">
        <v>7061</v>
      </c>
      <c r="M101" s="95">
        <v>1196</v>
      </c>
      <c r="N101" s="95">
        <v>1599</v>
      </c>
      <c r="O101" s="95">
        <v>19228</v>
      </c>
      <c r="P101" s="95">
        <v>18172</v>
      </c>
      <c r="Q101" s="95">
        <v>1343</v>
      </c>
      <c r="R101" s="95">
        <v>607</v>
      </c>
      <c r="S101" s="95">
        <v>482</v>
      </c>
      <c r="T101" s="95">
        <v>796</v>
      </c>
      <c r="U101" s="95">
        <v>536</v>
      </c>
      <c r="V101" s="95">
        <v>514</v>
      </c>
      <c r="W101" s="95">
        <v>863</v>
      </c>
      <c r="X101" s="95">
        <v>1173</v>
      </c>
      <c r="Y101" s="95">
        <v>579</v>
      </c>
      <c r="Z101" s="95">
        <v>678</v>
      </c>
      <c r="AA101" s="95">
        <v>17245</v>
      </c>
      <c r="AB101" s="95">
        <v>33026</v>
      </c>
      <c r="AC101" s="95">
        <v>33313</v>
      </c>
      <c r="AF101"/>
      <c r="AG101"/>
      <c r="AH101" s="95">
        <v>17129</v>
      </c>
      <c r="AI101" s="95">
        <v>17048</v>
      </c>
      <c r="AJ101" s="95">
        <v>17072</v>
      </c>
      <c r="AK101" s="95">
        <v>16945</v>
      </c>
      <c r="AL101" s="95">
        <v>17035</v>
      </c>
      <c r="AM101" s="95">
        <v>33764</v>
      </c>
      <c r="AN101" s="95">
        <v>33269</v>
      </c>
      <c r="AO101" s="95">
        <v>32664000</v>
      </c>
      <c r="AP101" s="95">
        <v>33026</v>
      </c>
      <c r="AQ101" s="95">
        <v>33313</v>
      </c>
      <c r="AR101" s="95">
        <v>36295</v>
      </c>
    </row>
    <row r="102" spans="1:44" ht="12.5" x14ac:dyDescent="0.25">
      <c r="A102" s="95" t="s">
        <v>517</v>
      </c>
      <c r="B102" s="95" t="s">
        <v>366</v>
      </c>
      <c r="C102" s="95">
        <f t="shared" si="3"/>
        <v>4325.1000000000004</v>
      </c>
      <c r="D102" s="95">
        <f t="shared" si="4"/>
        <v>4819.3</v>
      </c>
      <c r="E102" s="184">
        <v>3468000</v>
      </c>
      <c r="F102" s="184">
        <f t="shared" si="5"/>
        <v>9726841.0832007118</v>
      </c>
      <c r="G102" s="95">
        <v>5389</v>
      </c>
      <c r="H102" s="95">
        <v>4409</v>
      </c>
      <c r="I102" s="95">
        <v>7594</v>
      </c>
      <c r="J102" s="95">
        <v>9086</v>
      </c>
      <c r="K102" s="95">
        <v>3572</v>
      </c>
      <c r="L102" s="95">
        <v>4268</v>
      </c>
      <c r="M102" s="95">
        <v>5213</v>
      </c>
      <c r="N102" s="95">
        <v>5008</v>
      </c>
      <c r="O102" s="95">
        <v>6255</v>
      </c>
      <c r="P102" s="95">
        <v>5391</v>
      </c>
      <c r="Q102" s="95">
        <v>7042</v>
      </c>
      <c r="R102" s="95">
        <v>11924</v>
      </c>
      <c r="S102" s="95">
        <v>2434</v>
      </c>
      <c r="T102" s="95">
        <v>4415</v>
      </c>
      <c r="U102" s="95">
        <v>2542</v>
      </c>
      <c r="V102" s="95">
        <v>2157</v>
      </c>
      <c r="W102" s="95">
        <v>2306</v>
      </c>
      <c r="X102" s="95">
        <v>1106</v>
      </c>
      <c r="Y102" s="95">
        <v>904</v>
      </c>
      <c r="Z102" s="95">
        <v>429</v>
      </c>
      <c r="AA102" s="95">
        <v>26592</v>
      </c>
      <c r="AB102" s="95">
        <v>44725</v>
      </c>
      <c r="AC102" s="95">
        <v>48698</v>
      </c>
      <c r="AF102"/>
      <c r="AG102"/>
      <c r="AH102" s="95">
        <v>26241</v>
      </c>
      <c r="AI102" s="95">
        <v>26327</v>
      </c>
      <c r="AJ102" s="95">
        <v>26451</v>
      </c>
      <c r="AK102" s="95">
        <v>26453</v>
      </c>
      <c r="AL102" s="95">
        <v>26723</v>
      </c>
      <c r="AM102" s="95">
        <v>51599</v>
      </c>
      <c r="AN102" s="95">
        <v>39000</v>
      </c>
      <c r="AO102" s="95">
        <v>35865000</v>
      </c>
      <c r="AP102" s="95">
        <v>44725</v>
      </c>
      <c r="AQ102" s="95">
        <v>48698</v>
      </c>
      <c r="AR102" s="95">
        <v>50555</v>
      </c>
    </row>
    <row r="103" spans="1:44" ht="12.5" x14ac:dyDescent="0.25">
      <c r="A103" s="95" t="s">
        <v>521</v>
      </c>
      <c r="B103" s="95" t="s">
        <v>292</v>
      </c>
      <c r="C103" s="95">
        <f t="shared" si="3"/>
        <v>5013.3</v>
      </c>
      <c r="D103" s="95">
        <f t="shared" si="4"/>
        <v>5102.7</v>
      </c>
      <c r="E103" s="184">
        <v>6816000</v>
      </c>
      <c r="F103" s="184">
        <f t="shared" si="5"/>
        <v>18670911.411360454</v>
      </c>
      <c r="G103" s="95">
        <v>3434</v>
      </c>
      <c r="H103" s="95">
        <v>3496</v>
      </c>
      <c r="I103" s="95">
        <v>5819</v>
      </c>
      <c r="J103" s="95">
        <v>6019</v>
      </c>
      <c r="K103" s="95">
        <v>5700</v>
      </c>
      <c r="L103" s="95">
        <v>8649</v>
      </c>
      <c r="M103" s="95">
        <v>5648</v>
      </c>
      <c r="N103" s="95">
        <v>4496</v>
      </c>
      <c r="O103" s="95">
        <v>4773</v>
      </c>
      <c r="P103" s="95">
        <v>4443</v>
      </c>
      <c r="Q103" s="95">
        <v>8145</v>
      </c>
      <c r="R103" s="95">
        <v>7313</v>
      </c>
      <c r="S103" s="95">
        <v>5760</v>
      </c>
      <c r="T103" s="95">
        <v>6166</v>
      </c>
      <c r="U103" s="95">
        <v>4287</v>
      </c>
      <c r="V103" s="95">
        <v>3727</v>
      </c>
      <c r="W103" s="95">
        <v>3671</v>
      </c>
      <c r="X103" s="95">
        <v>3770</v>
      </c>
      <c r="Y103" s="95">
        <v>2896</v>
      </c>
      <c r="Z103" s="95">
        <v>2948</v>
      </c>
      <c r="AA103" s="95">
        <v>51044</v>
      </c>
      <c r="AB103" s="95">
        <v>122014</v>
      </c>
      <c r="AC103" s="95">
        <v>133841</v>
      </c>
      <c r="AF103"/>
      <c r="AG103"/>
      <c r="AH103" s="95">
        <v>48661</v>
      </c>
      <c r="AI103" s="95">
        <v>49136</v>
      </c>
      <c r="AJ103" s="95">
        <v>49610</v>
      </c>
      <c r="AK103" s="95">
        <v>50044</v>
      </c>
      <c r="AL103" s="95">
        <v>50589</v>
      </c>
      <c r="AM103" s="95">
        <v>128391</v>
      </c>
      <c r="AN103" s="95">
        <v>126489</v>
      </c>
      <c r="AO103" s="95">
        <v>124638000</v>
      </c>
      <c r="AP103" s="95">
        <v>122014</v>
      </c>
      <c r="AQ103" s="95">
        <v>133841</v>
      </c>
      <c r="AR103" s="95">
        <v>133231</v>
      </c>
    </row>
    <row r="104" spans="1:44" ht="12.5" x14ac:dyDescent="0.25">
      <c r="A104" s="95" t="s">
        <v>528</v>
      </c>
      <c r="B104" s="95" t="s">
        <v>331</v>
      </c>
      <c r="C104" s="95">
        <f t="shared" si="3"/>
        <v>12272.5</v>
      </c>
      <c r="D104" s="95">
        <f t="shared" si="4"/>
        <v>9929.1</v>
      </c>
      <c r="E104" s="184">
        <v>6305000</v>
      </c>
      <c r="F104" s="184">
        <f t="shared" si="5"/>
        <v>14246427.741745688</v>
      </c>
      <c r="G104" s="95">
        <v>5974</v>
      </c>
      <c r="H104" s="95">
        <v>5979</v>
      </c>
      <c r="I104" s="95">
        <v>7793</v>
      </c>
      <c r="J104" s="95">
        <v>7421</v>
      </c>
      <c r="K104" s="95">
        <v>5486</v>
      </c>
      <c r="L104" s="95">
        <v>4999</v>
      </c>
      <c r="M104" s="95">
        <v>5753</v>
      </c>
      <c r="N104" s="95">
        <v>5469</v>
      </c>
      <c r="O104" s="95">
        <v>10910</v>
      </c>
      <c r="P104" s="95">
        <v>7350</v>
      </c>
      <c r="Q104" s="95">
        <v>9710</v>
      </c>
      <c r="R104" s="95">
        <v>9015</v>
      </c>
      <c r="S104" s="95">
        <v>18053</v>
      </c>
      <c r="T104" s="95">
        <v>9507</v>
      </c>
      <c r="U104" s="95">
        <v>22937</v>
      </c>
      <c r="V104" s="95">
        <v>18203</v>
      </c>
      <c r="W104" s="95">
        <v>20526</v>
      </c>
      <c r="X104" s="95">
        <v>16855</v>
      </c>
      <c r="Y104" s="95">
        <v>15583</v>
      </c>
      <c r="Z104" s="95">
        <v>14493</v>
      </c>
      <c r="AA104" s="95">
        <v>38948</v>
      </c>
      <c r="AB104" s="95">
        <v>151921</v>
      </c>
      <c r="AC104" s="95">
        <v>152478</v>
      </c>
      <c r="AF104"/>
      <c r="AG104"/>
      <c r="AH104" s="95">
        <v>37256</v>
      </c>
      <c r="AI104" s="95">
        <v>37653</v>
      </c>
      <c r="AJ104" s="95">
        <v>37654</v>
      </c>
      <c r="AK104" s="95">
        <v>38079</v>
      </c>
      <c r="AL104" s="95">
        <v>38594</v>
      </c>
      <c r="AM104" s="95">
        <v>161785</v>
      </c>
      <c r="AN104" s="95">
        <v>159124</v>
      </c>
      <c r="AO104" s="95">
        <v>153092000</v>
      </c>
      <c r="AP104" s="95">
        <v>151921</v>
      </c>
      <c r="AQ104" s="95">
        <v>152478</v>
      </c>
      <c r="AR104" s="95">
        <v>178726</v>
      </c>
    </row>
    <row r="105" spans="1:44" ht="12.5" x14ac:dyDescent="0.25">
      <c r="A105" s="95" t="s">
        <v>517</v>
      </c>
      <c r="B105" s="95" t="s">
        <v>367</v>
      </c>
      <c r="C105" s="95">
        <f t="shared" si="3"/>
        <v>7195.3</v>
      </c>
      <c r="D105" s="95">
        <f t="shared" si="4"/>
        <v>6732.8</v>
      </c>
      <c r="E105" s="184">
        <v>3786000</v>
      </c>
      <c r="F105" s="184">
        <f t="shared" si="5"/>
        <v>8773616.5095386691</v>
      </c>
      <c r="G105" s="95">
        <v>2160</v>
      </c>
      <c r="H105" s="95">
        <v>2160</v>
      </c>
      <c r="I105" s="95">
        <v>7330</v>
      </c>
      <c r="J105" s="95">
        <v>7523</v>
      </c>
      <c r="K105" s="95">
        <v>5785</v>
      </c>
      <c r="L105" s="95">
        <v>6248</v>
      </c>
      <c r="M105" s="95">
        <v>5360</v>
      </c>
      <c r="N105" s="95">
        <v>5416</v>
      </c>
      <c r="O105" s="95">
        <v>17947</v>
      </c>
      <c r="P105" s="95">
        <v>17774</v>
      </c>
      <c r="Q105" s="95">
        <v>11009</v>
      </c>
      <c r="R105" s="95">
        <v>11176</v>
      </c>
      <c r="S105" s="95">
        <v>10732</v>
      </c>
      <c r="T105" s="95">
        <v>6817</v>
      </c>
      <c r="U105" s="95">
        <v>4112</v>
      </c>
      <c r="V105" s="95">
        <v>4028</v>
      </c>
      <c r="W105" s="95">
        <v>5146</v>
      </c>
      <c r="X105" s="95">
        <v>4823</v>
      </c>
      <c r="Y105" s="95">
        <v>2372</v>
      </c>
      <c r="Z105" s="95">
        <v>1363</v>
      </c>
      <c r="AA105" s="95">
        <v>23986</v>
      </c>
      <c r="AB105" s="95">
        <v>60492</v>
      </c>
      <c r="AC105" s="95">
        <v>61961</v>
      </c>
      <c r="AF105"/>
      <c r="AG105"/>
      <c r="AH105" s="95">
        <v>23316</v>
      </c>
      <c r="AI105" s="95">
        <v>23554</v>
      </c>
      <c r="AJ105" s="95">
        <v>23780</v>
      </c>
      <c r="AK105" s="95">
        <v>23889</v>
      </c>
      <c r="AL105" s="95">
        <v>23952</v>
      </c>
      <c r="AM105" s="95">
        <v>59079</v>
      </c>
      <c r="AN105" s="95">
        <v>58647</v>
      </c>
      <c r="AO105" s="95">
        <v>56538000</v>
      </c>
      <c r="AP105" s="95">
        <v>60492</v>
      </c>
      <c r="AQ105" s="95">
        <v>61961</v>
      </c>
      <c r="AR105" s="95">
        <v>62277</v>
      </c>
    </row>
    <row r="106" spans="1:44" ht="12.5" x14ac:dyDescent="0.25">
      <c r="A106" s="95" t="s">
        <v>518</v>
      </c>
      <c r="B106" s="95" t="s">
        <v>490</v>
      </c>
      <c r="C106" s="95">
        <f t="shared" si="3"/>
        <v>5398</v>
      </c>
      <c r="D106" s="95">
        <f t="shared" si="4"/>
        <v>5146.8999999999996</v>
      </c>
      <c r="E106" s="184">
        <v>9180000</v>
      </c>
      <c r="F106" s="184">
        <f t="shared" si="5"/>
        <v>21524732.640720107</v>
      </c>
      <c r="G106" s="95">
        <v>2735</v>
      </c>
      <c r="H106" s="95">
        <v>2718</v>
      </c>
      <c r="I106" s="95">
        <v>5836</v>
      </c>
      <c r="J106" s="95">
        <v>6962</v>
      </c>
      <c r="K106" s="95">
        <v>9769</v>
      </c>
      <c r="L106" s="95">
        <v>3930</v>
      </c>
      <c r="M106" s="95">
        <v>8354</v>
      </c>
      <c r="N106" s="95">
        <v>3897</v>
      </c>
      <c r="O106" s="95">
        <v>8635</v>
      </c>
      <c r="P106" s="95">
        <v>6966</v>
      </c>
      <c r="Q106" s="95">
        <v>7291</v>
      </c>
      <c r="R106" s="95">
        <v>7944</v>
      </c>
      <c r="S106" s="95">
        <v>3066</v>
      </c>
      <c r="T106" s="95">
        <v>3843</v>
      </c>
      <c r="U106" s="95">
        <v>1877</v>
      </c>
      <c r="V106" s="95">
        <v>1867</v>
      </c>
      <c r="W106" s="95">
        <v>2220</v>
      </c>
      <c r="X106" s="95">
        <v>10107</v>
      </c>
      <c r="Y106" s="95">
        <v>4197</v>
      </c>
      <c r="Z106" s="95">
        <v>3235</v>
      </c>
      <c r="AA106" s="95">
        <v>58846</v>
      </c>
      <c r="AB106" s="95">
        <v>161502</v>
      </c>
      <c r="AC106" s="95">
        <v>169878</v>
      </c>
      <c r="AF106"/>
      <c r="AG106"/>
      <c r="AH106" s="95">
        <v>56973</v>
      </c>
      <c r="AI106" s="95">
        <v>57350</v>
      </c>
      <c r="AJ106" s="95">
        <v>57709</v>
      </c>
      <c r="AK106" s="95">
        <v>58078</v>
      </c>
      <c r="AL106" s="95">
        <v>58524</v>
      </c>
      <c r="AM106" s="95">
        <v>158055</v>
      </c>
      <c r="AN106" s="95">
        <v>158594</v>
      </c>
      <c r="AO106" s="95">
        <v>162014000</v>
      </c>
      <c r="AP106" s="95">
        <v>161502</v>
      </c>
      <c r="AQ106" s="95">
        <v>169878</v>
      </c>
      <c r="AR106" s="95">
        <v>164455</v>
      </c>
    </row>
    <row r="107" spans="1:44" ht="12.5" x14ac:dyDescent="0.25">
      <c r="A107" s="95" t="s">
        <v>521</v>
      </c>
      <c r="B107" s="95" t="s">
        <v>293</v>
      </c>
      <c r="C107" s="95">
        <f t="shared" si="3"/>
        <v>21312.1</v>
      </c>
      <c r="D107" s="95">
        <f t="shared" si="4"/>
        <v>21317.200000000001</v>
      </c>
      <c r="E107" s="184">
        <v>6532000</v>
      </c>
      <c r="F107" s="184">
        <f t="shared" si="5"/>
        <v>13761402.498201609</v>
      </c>
      <c r="G107" s="95">
        <v>3826</v>
      </c>
      <c r="H107" s="95">
        <v>3390</v>
      </c>
      <c r="I107" s="95">
        <v>41115</v>
      </c>
      <c r="J107" s="95">
        <v>54280</v>
      </c>
      <c r="K107" s="95">
        <v>20926</v>
      </c>
      <c r="L107" s="95">
        <v>25136</v>
      </c>
      <c r="M107" s="95">
        <v>46107</v>
      </c>
      <c r="N107" s="95">
        <v>44677</v>
      </c>
      <c r="O107" s="95">
        <v>16886</v>
      </c>
      <c r="P107" s="95">
        <v>19488</v>
      </c>
      <c r="Q107" s="95">
        <v>28236</v>
      </c>
      <c r="R107" s="95">
        <v>20481</v>
      </c>
      <c r="S107" s="95">
        <v>20234</v>
      </c>
      <c r="T107" s="95">
        <v>16355</v>
      </c>
      <c r="U107" s="95">
        <v>24387</v>
      </c>
      <c r="V107" s="95">
        <v>22301</v>
      </c>
      <c r="W107" s="95">
        <v>4781</v>
      </c>
      <c r="X107" s="95">
        <v>3021</v>
      </c>
      <c r="Y107" s="95">
        <v>6623</v>
      </c>
      <c r="Z107" s="95">
        <v>4043</v>
      </c>
      <c r="AA107" s="95">
        <v>37622</v>
      </c>
      <c r="AB107" s="95">
        <v>164863</v>
      </c>
      <c r="AC107" s="95">
        <v>162133</v>
      </c>
      <c r="AF107"/>
      <c r="AG107"/>
      <c r="AH107" s="95">
        <v>35745</v>
      </c>
      <c r="AI107" s="95">
        <v>36296</v>
      </c>
      <c r="AJ107" s="95">
        <v>36679</v>
      </c>
      <c r="AK107" s="95">
        <v>36961</v>
      </c>
      <c r="AL107" s="95">
        <v>37410</v>
      </c>
      <c r="AM107" s="95">
        <v>220701</v>
      </c>
      <c r="AN107" s="95">
        <v>223656</v>
      </c>
      <c r="AO107" s="95">
        <v>162993000</v>
      </c>
      <c r="AP107" s="95">
        <v>164863</v>
      </c>
      <c r="AQ107" s="95">
        <v>162133</v>
      </c>
      <c r="AR107" s="95">
        <v>161264</v>
      </c>
    </row>
    <row r="108" spans="1:44" ht="12.5" x14ac:dyDescent="0.25">
      <c r="A108" s="95" t="s">
        <v>521</v>
      </c>
      <c r="B108" s="95" t="s">
        <v>294</v>
      </c>
      <c r="C108" s="95">
        <f t="shared" si="3"/>
        <v>15380.6</v>
      </c>
      <c r="D108" s="95">
        <f t="shared" si="4"/>
        <v>14349</v>
      </c>
      <c r="E108" s="184">
        <v>18042000</v>
      </c>
      <c r="F108" s="184">
        <f t="shared" si="5"/>
        <v>27116788.389816545</v>
      </c>
      <c r="G108" s="95">
        <v>9972</v>
      </c>
      <c r="H108" s="95">
        <v>9973</v>
      </c>
      <c r="I108" s="95">
        <v>26633</v>
      </c>
      <c r="J108" s="95">
        <v>29227</v>
      </c>
      <c r="K108" s="95">
        <v>6028</v>
      </c>
      <c r="L108" s="95">
        <v>6580</v>
      </c>
      <c r="M108" s="95">
        <v>6250</v>
      </c>
      <c r="N108" s="95">
        <v>7386</v>
      </c>
      <c r="O108" s="95">
        <v>33908</v>
      </c>
      <c r="P108" s="95">
        <v>29961</v>
      </c>
      <c r="Q108" s="95">
        <v>21056</v>
      </c>
      <c r="R108" s="95">
        <v>17627</v>
      </c>
      <c r="S108" s="95">
        <v>11135</v>
      </c>
      <c r="T108" s="95">
        <v>7670</v>
      </c>
      <c r="U108" s="95">
        <v>14523</v>
      </c>
      <c r="V108" s="95">
        <v>12434</v>
      </c>
      <c r="W108" s="95">
        <v>14457</v>
      </c>
      <c r="X108" s="95">
        <v>12481</v>
      </c>
      <c r="Y108" s="95">
        <v>9844</v>
      </c>
      <c r="Z108" s="95">
        <v>10151</v>
      </c>
      <c r="AA108" s="95">
        <v>74134</v>
      </c>
      <c r="AB108" s="95">
        <v>363225</v>
      </c>
      <c r="AC108" s="95">
        <v>358741</v>
      </c>
      <c r="AF108"/>
      <c r="AG108"/>
      <c r="AH108" s="95">
        <v>71757</v>
      </c>
      <c r="AI108" s="95">
        <v>72690</v>
      </c>
      <c r="AJ108" s="95">
        <v>73161</v>
      </c>
      <c r="AK108" s="95">
        <v>73456</v>
      </c>
      <c r="AL108" s="95">
        <v>73681</v>
      </c>
      <c r="AM108" s="95">
        <v>366388</v>
      </c>
      <c r="AN108" s="95">
        <v>345918</v>
      </c>
      <c r="AO108" s="95">
        <v>358827000</v>
      </c>
      <c r="AP108" s="95">
        <v>363225</v>
      </c>
      <c r="AQ108" s="95">
        <v>358741</v>
      </c>
      <c r="AR108" s="95">
        <v>355994</v>
      </c>
    </row>
    <row r="109" spans="1:44" ht="12.5" x14ac:dyDescent="0.25">
      <c r="A109" s="95" t="s">
        <v>525</v>
      </c>
      <c r="B109" s="95" t="s">
        <v>121</v>
      </c>
      <c r="C109" s="95">
        <f t="shared" si="3"/>
        <v>18713.900000000001</v>
      </c>
      <c r="D109" s="95">
        <f t="shared" si="4"/>
        <v>18962.8</v>
      </c>
      <c r="E109" s="184">
        <v>45576000</v>
      </c>
      <c r="F109" s="184">
        <f t="shared" si="5"/>
        <v>85950057.807131991</v>
      </c>
      <c r="G109" s="95">
        <v>1243</v>
      </c>
      <c r="H109" s="95">
        <v>3781</v>
      </c>
      <c r="I109" s="95">
        <v>16341</v>
      </c>
      <c r="J109" s="95">
        <v>56746</v>
      </c>
      <c r="K109" s="95">
        <v>20379</v>
      </c>
      <c r="L109" s="95">
        <v>38684</v>
      </c>
      <c r="M109" s="95">
        <v>59765</v>
      </c>
      <c r="N109" s="95">
        <v>23998</v>
      </c>
      <c r="O109" s="95">
        <v>48782</v>
      </c>
      <c r="P109" s="95">
        <v>27801</v>
      </c>
      <c r="Q109" s="95">
        <v>12289</v>
      </c>
      <c r="R109" s="95">
        <v>17811</v>
      </c>
      <c r="S109" s="95">
        <v>14961</v>
      </c>
      <c r="T109" s="95">
        <v>5623</v>
      </c>
      <c r="U109" s="95">
        <v>6697</v>
      </c>
      <c r="V109" s="95">
        <v>9500</v>
      </c>
      <c r="W109" s="95">
        <v>4237</v>
      </c>
      <c r="X109" s="95">
        <v>2772</v>
      </c>
      <c r="Y109" s="95">
        <v>2445</v>
      </c>
      <c r="Z109" s="95">
        <v>2912</v>
      </c>
      <c r="AA109" s="95">
        <v>234977</v>
      </c>
      <c r="AB109" s="95">
        <v>1224301</v>
      </c>
      <c r="AC109" s="95">
        <v>1282435</v>
      </c>
      <c r="AF109"/>
      <c r="AG109"/>
      <c r="AH109" s="95">
        <v>228399</v>
      </c>
      <c r="AI109" s="95">
        <v>230061</v>
      </c>
      <c r="AJ109" s="95">
        <v>231354</v>
      </c>
      <c r="AK109" s="95">
        <v>233053</v>
      </c>
      <c r="AL109" s="95">
        <v>233273</v>
      </c>
      <c r="AM109" s="95">
        <v>961869</v>
      </c>
      <c r="AN109" s="95">
        <v>996931</v>
      </c>
      <c r="AO109" s="95">
        <v>1160500000</v>
      </c>
      <c r="AP109" s="95">
        <v>1224301</v>
      </c>
      <c r="AQ109" s="95">
        <v>1282435</v>
      </c>
      <c r="AR109" s="95">
        <v>1329237</v>
      </c>
    </row>
    <row r="110" spans="1:44" ht="12.5" x14ac:dyDescent="0.25">
      <c r="A110" s="95" t="s">
        <v>526</v>
      </c>
      <c r="B110" s="95" t="s">
        <v>406</v>
      </c>
      <c r="C110" s="95">
        <f t="shared" si="3"/>
        <v>261.8</v>
      </c>
      <c r="D110" s="95">
        <f t="shared" si="4"/>
        <v>322.5</v>
      </c>
      <c r="E110" s="184">
        <v>1832000</v>
      </c>
      <c r="F110" s="184">
        <f t="shared" si="5"/>
        <v>5188599.607596349</v>
      </c>
      <c r="G110" s="95">
        <v>0</v>
      </c>
      <c r="H110" s="95">
        <v>108</v>
      </c>
      <c r="I110" s="95">
        <v>276</v>
      </c>
      <c r="J110" s="95">
        <v>1876</v>
      </c>
      <c r="K110" s="95">
        <v>564</v>
      </c>
      <c r="L110" s="95">
        <v>51</v>
      </c>
      <c r="M110" s="95">
        <v>154</v>
      </c>
      <c r="N110" s="95">
        <v>334</v>
      </c>
      <c r="O110" s="95">
        <v>899</v>
      </c>
      <c r="P110" s="95">
        <v>372</v>
      </c>
      <c r="Q110" s="95">
        <v>377</v>
      </c>
      <c r="R110" s="95">
        <v>252</v>
      </c>
      <c r="S110" s="95">
        <v>150</v>
      </c>
      <c r="T110" s="95">
        <v>1</v>
      </c>
      <c r="U110" s="95">
        <v>140</v>
      </c>
      <c r="V110" s="95">
        <v>81</v>
      </c>
      <c r="W110" s="95">
        <v>27</v>
      </c>
      <c r="X110" s="95">
        <v>65</v>
      </c>
      <c r="Y110" s="95">
        <v>31</v>
      </c>
      <c r="Z110" s="95">
        <v>85</v>
      </c>
      <c r="AA110" s="95">
        <v>14185</v>
      </c>
      <c r="AB110" s="95">
        <v>35601</v>
      </c>
      <c r="AC110" s="95">
        <v>35378</v>
      </c>
      <c r="AF110"/>
      <c r="AG110"/>
      <c r="AH110" s="95">
        <v>14329</v>
      </c>
      <c r="AI110" s="95">
        <v>14216</v>
      </c>
      <c r="AJ110" s="95">
        <v>14258</v>
      </c>
      <c r="AK110" s="95">
        <v>14183</v>
      </c>
      <c r="AL110" s="95">
        <v>14206</v>
      </c>
      <c r="AM110" s="95">
        <v>31774</v>
      </c>
      <c r="AN110" s="95">
        <v>32371</v>
      </c>
      <c r="AO110" s="95">
        <v>31479000</v>
      </c>
      <c r="AP110" s="95">
        <v>35601</v>
      </c>
      <c r="AQ110" s="95">
        <v>35378</v>
      </c>
      <c r="AR110" s="95">
        <v>36988</v>
      </c>
    </row>
    <row r="111" spans="1:44" ht="12.5" x14ac:dyDescent="0.25">
      <c r="A111" s="95" t="s">
        <v>522</v>
      </c>
      <c r="B111" s="95" t="s">
        <v>147</v>
      </c>
      <c r="C111" s="95">
        <f t="shared" si="3"/>
        <v>1658.7</v>
      </c>
      <c r="D111" s="95">
        <f t="shared" si="4"/>
        <v>1679</v>
      </c>
      <c r="E111" s="184">
        <v>3711000</v>
      </c>
      <c r="F111" s="184">
        <f t="shared" si="5"/>
        <v>8876400.8937286288</v>
      </c>
      <c r="G111" s="95">
        <v>248</v>
      </c>
      <c r="H111" s="95">
        <v>125</v>
      </c>
      <c r="I111" s="95">
        <v>1648</v>
      </c>
      <c r="J111" s="95">
        <v>1478</v>
      </c>
      <c r="K111" s="95">
        <v>1527</v>
      </c>
      <c r="L111" s="95">
        <v>1559</v>
      </c>
      <c r="M111" s="95">
        <v>1813</v>
      </c>
      <c r="N111" s="95">
        <v>1842</v>
      </c>
      <c r="O111" s="95">
        <v>2711</v>
      </c>
      <c r="P111" s="95">
        <v>3450</v>
      </c>
      <c r="Q111" s="95">
        <v>3105</v>
      </c>
      <c r="R111" s="95">
        <v>3338</v>
      </c>
      <c r="S111" s="95">
        <v>670</v>
      </c>
      <c r="T111" s="95">
        <v>705</v>
      </c>
      <c r="U111" s="95">
        <v>3267</v>
      </c>
      <c r="V111" s="95">
        <v>2864</v>
      </c>
      <c r="W111" s="95">
        <v>1088</v>
      </c>
      <c r="X111" s="95">
        <v>891</v>
      </c>
      <c r="Y111" s="95">
        <v>510</v>
      </c>
      <c r="Z111" s="95">
        <v>538</v>
      </c>
      <c r="AA111" s="95">
        <v>24267</v>
      </c>
      <c r="AB111" s="95">
        <v>52221</v>
      </c>
      <c r="AC111" s="95">
        <v>53563</v>
      </c>
      <c r="AF111"/>
      <c r="AG111"/>
      <c r="AH111" s="95">
        <v>24271</v>
      </c>
      <c r="AI111" s="95">
        <v>24295</v>
      </c>
      <c r="AJ111" s="95">
        <v>24270</v>
      </c>
      <c r="AK111" s="95">
        <v>24326</v>
      </c>
      <c r="AL111" s="95">
        <v>24229</v>
      </c>
      <c r="AM111" s="95">
        <v>63990</v>
      </c>
      <c r="AN111" s="95">
        <v>57510</v>
      </c>
      <c r="AO111" s="95">
        <v>55925000</v>
      </c>
      <c r="AP111" s="95">
        <v>52221</v>
      </c>
      <c r="AQ111" s="95">
        <v>53563</v>
      </c>
      <c r="AR111" s="95">
        <v>51014</v>
      </c>
    </row>
    <row r="112" spans="1:44" ht="12.5" x14ac:dyDescent="0.25">
      <c r="A112" s="95" t="s">
        <v>518</v>
      </c>
      <c r="B112" s="95" t="s">
        <v>252</v>
      </c>
      <c r="C112" s="95">
        <f t="shared" si="3"/>
        <v>14991.9</v>
      </c>
      <c r="D112" s="95">
        <f t="shared" si="4"/>
        <v>11799.1</v>
      </c>
      <c r="E112" s="184">
        <v>31136000</v>
      </c>
      <c r="F112" s="184">
        <f t="shared" si="5"/>
        <v>59581656.784050874</v>
      </c>
      <c r="G112" s="95">
        <v>11323</v>
      </c>
      <c r="H112" s="95">
        <v>8060</v>
      </c>
      <c r="I112" s="95">
        <v>31278</v>
      </c>
      <c r="J112" s="95">
        <v>33453</v>
      </c>
      <c r="K112" s="95">
        <v>21097</v>
      </c>
      <c r="L112" s="95">
        <v>23736</v>
      </c>
      <c r="M112" s="95">
        <v>12777</v>
      </c>
      <c r="N112" s="95">
        <v>13659</v>
      </c>
      <c r="O112" s="95">
        <v>9861</v>
      </c>
      <c r="P112" s="95">
        <v>8258</v>
      </c>
      <c r="Q112" s="95">
        <v>9475</v>
      </c>
      <c r="R112" s="95">
        <v>6477</v>
      </c>
      <c r="S112" s="95">
        <v>25922</v>
      </c>
      <c r="T112" s="95">
        <v>4950</v>
      </c>
      <c r="U112" s="95">
        <v>11103</v>
      </c>
      <c r="V112" s="95">
        <v>8170</v>
      </c>
      <c r="W112" s="95">
        <v>8842</v>
      </c>
      <c r="X112" s="95">
        <v>5831</v>
      </c>
      <c r="Y112" s="95">
        <v>8241</v>
      </c>
      <c r="Z112" s="95">
        <v>5397</v>
      </c>
      <c r="AA112" s="95">
        <v>162889</v>
      </c>
      <c r="AB112" s="95">
        <v>606898</v>
      </c>
      <c r="AC112" s="95">
        <v>618798</v>
      </c>
      <c r="AF112"/>
      <c r="AG112"/>
      <c r="AH112" s="95">
        <v>159234</v>
      </c>
      <c r="AI112" s="95">
        <v>159819</v>
      </c>
      <c r="AJ112" s="95">
        <v>161213</v>
      </c>
      <c r="AK112" s="95">
        <v>162994</v>
      </c>
      <c r="AL112" s="95">
        <v>162543</v>
      </c>
      <c r="AM112" s="95">
        <v>614587</v>
      </c>
      <c r="AN112" s="95">
        <v>595166</v>
      </c>
      <c r="AO112" s="95">
        <v>595980595</v>
      </c>
      <c r="AP112" s="95">
        <v>606898</v>
      </c>
      <c r="AQ112" s="95">
        <v>618798</v>
      </c>
      <c r="AR112" s="95">
        <v>628307</v>
      </c>
    </row>
    <row r="113" spans="1:44" ht="12.5" x14ac:dyDescent="0.25">
      <c r="A113" s="95" t="s">
        <v>518</v>
      </c>
      <c r="B113" s="95" t="s">
        <v>253</v>
      </c>
      <c r="C113" s="95">
        <f t="shared" si="3"/>
        <v>61888.6</v>
      </c>
      <c r="D113" s="95">
        <f t="shared" si="4"/>
        <v>59962.7</v>
      </c>
      <c r="E113" s="184">
        <v>28975000</v>
      </c>
      <c r="F113" s="184">
        <f t="shared" si="5"/>
        <v>58281306.300793558</v>
      </c>
      <c r="G113" s="95">
        <v>55348</v>
      </c>
      <c r="H113" s="95">
        <v>55773</v>
      </c>
      <c r="I113" s="95">
        <v>75393</v>
      </c>
      <c r="J113" s="95">
        <v>102070</v>
      </c>
      <c r="K113" s="95">
        <v>62200</v>
      </c>
      <c r="L113" s="95">
        <v>60573</v>
      </c>
      <c r="M113" s="95">
        <v>37074</v>
      </c>
      <c r="N113" s="95">
        <v>41871</v>
      </c>
      <c r="O113" s="95">
        <v>50333</v>
      </c>
      <c r="P113" s="95">
        <v>43417</v>
      </c>
      <c r="Q113" s="95">
        <v>43566</v>
      </c>
      <c r="R113" s="95">
        <v>35761</v>
      </c>
      <c r="S113" s="95">
        <v>92267</v>
      </c>
      <c r="T113" s="95">
        <v>70069</v>
      </c>
      <c r="U113" s="95">
        <v>82377</v>
      </c>
      <c r="V113" s="95">
        <v>72303</v>
      </c>
      <c r="W113" s="95">
        <v>53204</v>
      </c>
      <c r="X113" s="95">
        <v>48888</v>
      </c>
      <c r="Y113" s="95">
        <v>67124</v>
      </c>
      <c r="Z113" s="95">
        <v>68902</v>
      </c>
      <c r="AA113" s="95">
        <v>159334</v>
      </c>
      <c r="AB113" s="95">
        <v>580101</v>
      </c>
      <c r="AC113" s="95">
        <v>598808</v>
      </c>
      <c r="AF113"/>
      <c r="AH113" s="95">
        <v>151655</v>
      </c>
      <c r="AI113" s="95">
        <v>153170</v>
      </c>
      <c r="AJ113" s="95">
        <v>154223</v>
      </c>
      <c r="AK113" s="95">
        <v>155884</v>
      </c>
      <c r="AL113" s="95">
        <v>157789</v>
      </c>
      <c r="AM113" s="95">
        <v>491856</v>
      </c>
      <c r="AN113" s="95">
        <v>496696</v>
      </c>
      <c r="AO113" s="95">
        <v>554924000</v>
      </c>
      <c r="AP113" s="95">
        <v>580101</v>
      </c>
      <c r="AQ113" s="95">
        <v>598808</v>
      </c>
      <c r="AR113" s="95">
        <v>623784</v>
      </c>
    </row>
    <row r="114" spans="1:44" ht="12.5" x14ac:dyDescent="0.25">
      <c r="A114" s="95" t="s">
        <v>517</v>
      </c>
      <c r="B114" s="95" t="s">
        <v>370</v>
      </c>
      <c r="C114" s="95">
        <f t="shared" si="3"/>
        <v>12984.1</v>
      </c>
      <c r="D114" s="95">
        <f t="shared" si="4"/>
        <v>13271.6</v>
      </c>
      <c r="E114" s="184">
        <v>2975000</v>
      </c>
      <c r="F114" s="184">
        <f t="shared" si="5"/>
        <v>11253244.055530608</v>
      </c>
      <c r="G114" s="95">
        <v>9023</v>
      </c>
      <c r="H114" s="95">
        <v>8966</v>
      </c>
      <c r="I114" s="95">
        <v>36683</v>
      </c>
      <c r="J114" s="95">
        <v>40740</v>
      </c>
      <c r="K114" s="95">
        <v>29030</v>
      </c>
      <c r="L114" s="95">
        <v>30687</v>
      </c>
      <c r="M114" s="95">
        <v>24134</v>
      </c>
      <c r="N114" s="95">
        <v>23900</v>
      </c>
      <c r="O114" s="95">
        <v>8317</v>
      </c>
      <c r="P114" s="95">
        <v>8688</v>
      </c>
      <c r="Q114" s="95">
        <v>3867</v>
      </c>
      <c r="R114" s="95">
        <v>3492</v>
      </c>
      <c r="S114" s="95">
        <v>5313</v>
      </c>
      <c r="T114" s="95">
        <v>2983</v>
      </c>
      <c r="U114" s="95">
        <v>6757</v>
      </c>
      <c r="V114" s="95">
        <v>7504</v>
      </c>
      <c r="W114" s="95">
        <v>2361</v>
      </c>
      <c r="X114" s="95">
        <v>1760</v>
      </c>
      <c r="Y114" s="95">
        <v>4356</v>
      </c>
      <c r="Z114" s="95">
        <v>3996</v>
      </c>
      <c r="AA114" s="95">
        <v>30765</v>
      </c>
      <c r="AB114" s="95">
        <v>67130</v>
      </c>
      <c r="AC114" s="95">
        <v>69136</v>
      </c>
      <c r="AF114"/>
      <c r="AG114"/>
      <c r="AH114" s="95">
        <v>29581</v>
      </c>
      <c r="AI114" s="95">
        <v>29888</v>
      </c>
      <c r="AJ114" s="95">
        <v>30191</v>
      </c>
      <c r="AK114" s="95">
        <v>30262</v>
      </c>
      <c r="AL114" s="95">
        <v>30430</v>
      </c>
      <c r="AM114" s="95">
        <v>54727</v>
      </c>
      <c r="AN114" s="95">
        <v>45915</v>
      </c>
      <c r="AO114" s="95">
        <v>52354000</v>
      </c>
      <c r="AP114" s="95">
        <v>67130</v>
      </c>
      <c r="AQ114" s="95">
        <v>69136</v>
      </c>
      <c r="AR114" s="95">
        <v>69637</v>
      </c>
    </row>
    <row r="115" spans="1:44" ht="12.5" x14ac:dyDescent="0.25">
      <c r="A115" s="95" t="s">
        <v>522</v>
      </c>
      <c r="B115" s="95" t="s">
        <v>148</v>
      </c>
      <c r="C115" s="95">
        <f t="shared" si="3"/>
        <v>15519.9</v>
      </c>
      <c r="D115" s="95">
        <f t="shared" si="4"/>
        <v>15883.4</v>
      </c>
      <c r="E115" s="184">
        <v>10827000</v>
      </c>
      <c r="F115" s="184">
        <f t="shared" si="5"/>
        <v>22603420.0036247</v>
      </c>
      <c r="G115" s="95">
        <v>15306</v>
      </c>
      <c r="H115" s="95">
        <v>14535</v>
      </c>
      <c r="I115" s="95">
        <v>29731</v>
      </c>
      <c r="J115" s="95">
        <v>40858</v>
      </c>
      <c r="K115" s="95">
        <v>23371</v>
      </c>
      <c r="L115" s="95">
        <v>23950</v>
      </c>
      <c r="M115" s="95">
        <v>9947</v>
      </c>
      <c r="N115" s="95">
        <v>11136</v>
      </c>
      <c r="O115" s="95">
        <v>6995</v>
      </c>
      <c r="P115" s="95">
        <v>7228</v>
      </c>
      <c r="Q115" s="95">
        <v>9221</v>
      </c>
      <c r="R115" s="95">
        <v>8659</v>
      </c>
      <c r="S115" s="95">
        <v>16790</v>
      </c>
      <c r="T115" s="95">
        <v>14245</v>
      </c>
      <c r="U115" s="95">
        <v>12314</v>
      </c>
      <c r="V115" s="95">
        <v>10775</v>
      </c>
      <c r="W115" s="95">
        <v>19400</v>
      </c>
      <c r="X115" s="95">
        <v>16619</v>
      </c>
      <c r="Y115" s="95">
        <v>12124</v>
      </c>
      <c r="Z115" s="95">
        <v>10829</v>
      </c>
      <c r="AA115" s="95">
        <v>61795</v>
      </c>
      <c r="AB115" s="95">
        <v>181502</v>
      </c>
      <c r="AC115" s="95">
        <v>183548</v>
      </c>
      <c r="AG115"/>
      <c r="AH115" s="95">
        <v>60196</v>
      </c>
      <c r="AI115" s="95">
        <v>60553</v>
      </c>
      <c r="AJ115" s="95">
        <v>60575</v>
      </c>
      <c r="AK115" s="95">
        <v>60922</v>
      </c>
      <c r="AL115" s="95">
        <v>61357</v>
      </c>
      <c r="AM115" s="95">
        <v>203932</v>
      </c>
      <c r="AN115" s="95">
        <v>196470</v>
      </c>
      <c r="AO115" s="95">
        <v>184795000</v>
      </c>
      <c r="AP115" s="95">
        <v>181502</v>
      </c>
      <c r="AQ115" s="95">
        <v>183548</v>
      </c>
      <c r="AR115" s="95">
        <v>184655</v>
      </c>
    </row>
    <row r="116" spans="1:44" ht="12.5" x14ac:dyDescent="0.25">
      <c r="A116" s="95" t="s">
        <v>519</v>
      </c>
      <c r="B116" s="95" t="s">
        <v>183</v>
      </c>
      <c r="C116" s="95">
        <f t="shared" si="3"/>
        <v>17872.599999999999</v>
      </c>
      <c r="D116" s="95">
        <f t="shared" si="4"/>
        <v>16268.7</v>
      </c>
      <c r="E116" s="184">
        <v>5535000</v>
      </c>
      <c r="F116" s="184">
        <f t="shared" si="5"/>
        <v>17871680.523620021</v>
      </c>
      <c r="G116" s="95">
        <v>12679</v>
      </c>
      <c r="H116" s="95">
        <v>12678</v>
      </c>
      <c r="I116" s="95">
        <v>31527</v>
      </c>
      <c r="J116" s="95">
        <v>32142</v>
      </c>
      <c r="K116" s="95">
        <v>25864</v>
      </c>
      <c r="L116" s="95">
        <v>30869</v>
      </c>
      <c r="M116" s="95">
        <v>31972</v>
      </c>
      <c r="N116" s="95">
        <v>25647</v>
      </c>
      <c r="O116" s="95">
        <v>52097</v>
      </c>
      <c r="P116" s="95">
        <v>41272</v>
      </c>
      <c r="Q116" s="95">
        <v>24587</v>
      </c>
      <c r="R116" s="95">
        <v>20079</v>
      </c>
      <c r="S116" s="95">
        <v>0</v>
      </c>
      <c r="T116" s="95">
        <v>0</v>
      </c>
      <c r="U116" s="95">
        <v>0</v>
      </c>
      <c r="V116" s="95">
        <v>0</v>
      </c>
      <c r="W116" s="95">
        <v>0</v>
      </c>
      <c r="X116" s="95">
        <v>0</v>
      </c>
      <c r="Y116" s="95">
        <v>0</v>
      </c>
      <c r="Z116" s="95">
        <v>0</v>
      </c>
      <c r="AA116" s="95">
        <v>48859</v>
      </c>
      <c r="AB116" s="95">
        <v>214728</v>
      </c>
      <c r="AC116" s="95">
        <v>221193</v>
      </c>
      <c r="AF116"/>
      <c r="AG116"/>
      <c r="AH116" s="95">
        <v>46358</v>
      </c>
      <c r="AI116" s="95">
        <v>46834</v>
      </c>
      <c r="AJ116" s="95">
        <v>47572</v>
      </c>
      <c r="AK116" s="95">
        <v>48349</v>
      </c>
      <c r="AL116" s="95">
        <v>48726</v>
      </c>
      <c r="AM116" s="95">
        <v>194928</v>
      </c>
      <c r="AN116" s="95">
        <v>206546</v>
      </c>
      <c r="AO116" s="95">
        <v>88120000</v>
      </c>
      <c r="AP116" s="95">
        <v>214728</v>
      </c>
      <c r="AQ116" s="95">
        <v>221193</v>
      </c>
      <c r="AR116" s="95">
        <v>234783</v>
      </c>
    </row>
    <row r="117" spans="1:44" ht="12.5" x14ac:dyDescent="0.25">
      <c r="A117" s="95" t="s">
        <v>521</v>
      </c>
      <c r="B117" s="95" t="s">
        <v>295</v>
      </c>
      <c r="C117" s="95">
        <f t="shared" si="3"/>
        <v>5358.5</v>
      </c>
      <c r="D117" s="95">
        <f t="shared" si="4"/>
        <v>5287.4</v>
      </c>
      <c r="E117" s="184">
        <v>1611000</v>
      </c>
      <c r="F117" s="184">
        <f t="shared" si="5"/>
        <v>6770967.0311044063</v>
      </c>
      <c r="G117" s="95">
        <v>8249</v>
      </c>
      <c r="H117" s="95">
        <v>8249</v>
      </c>
      <c r="I117" s="95">
        <v>2270</v>
      </c>
      <c r="J117" s="95">
        <v>2870</v>
      </c>
      <c r="K117" s="95">
        <v>4347</v>
      </c>
      <c r="L117" s="95">
        <v>5567</v>
      </c>
      <c r="M117" s="95">
        <v>5055</v>
      </c>
      <c r="N117" s="95">
        <v>5420</v>
      </c>
      <c r="O117" s="95">
        <v>7472</v>
      </c>
      <c r="P117" s="95">
        <v>5472</v>
      </c>
      <c r="Q117" s="95">
        <v>7006</v>
      </c>
      <c r="R117" s="95">
        <v>6923</v>
      </c>
      <c r="S117" s="95">
        <v>8579</v>
      </c>
      <c r="T117" s="95">
        <v>8104</v>
      </c>
      <c r="U117" s="95">
        <v>3890</v>
      </c>
      <c r="V117" s="95">
        <v>3260</v>
      </c>
      <c r="W117" s="95">
        <v>2893</v>
      </c>
      <c r="X117" s="95">
        <v>2632</v>
      </c>
      <c r="Y117" s="95">
        <v>3824</v>
      </c>
      <c r="Z117" s="95">
        <v>4377</v>
      </c>
      <c r="AA117" s="95">
        <v>18511</v>
      </c>
      <c r="AB117" s="95">
        <v>48812</v>
      </c>
      <c r="AC117" s="95">
        <v>50636</v>
      </c>
      <c r="AF117"/>
      <c r="AG117"/>
      <c r="AH117" s="95">
        <v>17866</v>
      </c>
      <c r="AI117" s="95">
        <v>17957</v>
      </c>
      <c r="AJ117" s="95">
        <v>18053</v>
      </c>
      <c r="AK117" s="95">
        <v>18275</v>
      </c>
      <c r="AL117" s="95">
        <v>18413</v>
      </c>
      <c r="AM117" s="95">
        <v>46291</v>
      </c>
      <c r="AN117" s="95">
        <v>44946</v>
      </c>
      <c r="AO117" s="95">
        <v>47408000</v>
      </c>
      <c r="AP117" s="95">
        <v>48812</v>
      </c>
      <c r="AQ117" s="95">
        <v>50636</v>
      </c>
      <c r="AR117" s="95">
        <v>46114</v>
      </c>
    </row>
    <row r="118" spans="1:44" ht="12.5" x14ac:dyDescent="0.25">
      <c r="A118" s="95" t="s">
        <v>520</v>
      </c>
      <c r="B118" s="95" t="s">
        <v>130</v>
      </c>
      <c r="C118" s="95">
        <f t="shared" si="3"/>
        <v>324.39999999999998</v>
      </c>
      <c r="D118" s="95">
        <f t="shared" si="4"/>
        <v>419.3</v>
      </c>
      <c r="E118" s="184">
        <v>3162000</v>
      </c>
      <c r="F118" s="184">
        <f t="shared" si="5"/>
        <v>5818108.2381690182</v>
      </c>
      <c r="G118" s="95">
        <v>0</v>
      </c>
      <c r="H118" s="95">
        <v>0</v>
      </c>
      <c r="I118" s="95">
        <v>200</v>
      </c>
      <c r="J118" s="95">
        <v>522</v>
      </c>
      <c r="K118" s="95">
        <v>415</v>
      </c>
      <c r="L118" s="95">
        <v>515</v>
      </c>
      <c r="M118" s="95">
        <v>449</v>
      </c>
      <c r="N118" s="95">
        <v>782</v>
      </c>
      <c r="O118" s="95">
        <v>1041</v>
      </c>
      <c r="P118" s="95">
        <v>830</v>
      </c>
      <c r="Q118" s="95">
        <v>1139</v>
      </c>
      <c r="R118" s="95">
        <v>1544</v>
      </c>
      <c r="S118" s="95">
        <v>0</v>
      </c>
      <c r="T118" s="95">
        <v>0</v>
      </c>
      <c r="U118" s="95">
        <v>0</v>
      </c>
      <c r="V118" s="95">
        <v>0</v>
      </c>
      <c r="W118" s="95">
        <v>0</v>
      </c>
      <c r="X118" s="95">
        <v>0</v>
      </c>
      <c r="Y118" s="95">
        <v>0</v>
      </c>
      <c r="Z118" s="95">
        <v>0</v>
      </c>
      <c r="AA118" s="95">
        <v>15906</v>
      </c>
      <c r="AB118" s="95">
        <v>69060</v>
      </c>
      <c r="AC118" s="95">
        <v>77802</v>
      </c>
      <c r="AF118"/>
      <c r="AG118"/>
      <c r="AH118" s="95">
        <v>15864</v>
      </c>
      <c r="AI118" s="95">
        <v>15789</v>
      </c>
      <c r="AJ118" s="95">
        <v>15758</v>
      </c>
      <c r="AK118" s="95">
        <v>15708</v>
      </c>
      <c r="AL118" s="95">
        <v>15807</v>
      </c>
      <c r="AM118" s="95">
        <v>69228</v>
      </c>
      <c r="AN118" s="95">
        <v>69207</v>
      </c>
      <c r="AO118" s="95">
        <v>66271000</v>
      </c>
      <c r="AP118" s="95">
        <v>69060</v>
      </c>
      <c r="AQ118" s="95">
        <v>77802</v>
      </c>
      <c r="AR118" s="95">
        <v>78512</v>
      </c>
    </row>
    <row r="119" spans="1:44" ht="12.5" x14ac:dyDescent="0.25">
      <c r="A119" s="95" t="s">
        <v>522</v>
      </c>
      <c r="B119" s="95" t="s">
        <v>184</v>
      </c>
      <c r="C119" s="95">
        <f t="shared" si="3"/>
        <v>3865.3</v>
      </c>
      <c r="D119" s="95">
        <f t="shared" si="4"/>
        <v>3892.1</v>
      </c>
      <c r="E119" s="184">
        <v>1529000</v>
      </c>
      <c r="F119" s="184">
        <f t="shared" si="5"/>
        <v>4500931.8414855879</v>
      </c>
      <c r="G119" s="95">
        <v>15</v>
      </c>
      <c r="H119" s="95">
        <v>28</v>
      </c>
      <c r="I119" s="95">
        <v>2590</v>
      </c>
      <c r="J119" s="95">
        <v>2699</v>
      </c>
      <c r="K119" s="95">
        <v>1988</v>
      </c>
      <c r="L119" s="95">
        <v>2003</v>
      </c>
      <c r="M119" s="95">
        <v>4265</v>
      </c>
      <c r="N119" s="95">
        <v>5074</v>
      </c>
      <c r="O119" s="95">
        <v>6083</v>
      </c>
      <c r="P119" s="95">
        <v>6112</v>
      </c>
      <c r="Q119" s="95">
        <v>3936</v>
      </c>
      <c r="R119" s="95">
        <v>3954</v>
      </c>
      <c r="S119" s="95">
        <v>7849</v>
      </c>
      <c r="T119" s="95">
        <v>7424</v>
      </c>
      <c r="U119" s="95">
        <v>5188</v>
      </c>
      <c r="V119" s="95">
        <v>4911</v>
      </c>
      <c r="W119" s="95">
        <v>3815</v>
      </c>
      <c r="X119" s="95">
        <v>3790</v>
      </c>
      <c r="Y119" s="95">
        <v>2924</v>
      </c>
      <c r="Z119" s="95">
        <v>2926</v>
      </c>
      <c r="AA119" s="95">
        <v>12305</v>
      </c>
      <c r="AB119" s="95">
        <v>24842</v>
      </c>
      <c r="AC119" s="95">
        <v>25372</v>
      </c>
      <c r="AF119"/>
      <c r="AG119"/>
      <c r="AH119" s="95">
        <v>12036</v>
      </c>
      <c r="AI119" s="95">
        <v>12157</v>
      </c>
      <c r="AJ119" s="95">
        <v>12170</v>
      </c>
      <c r="AK119" s="95">
        <v>12211</v>
      </c>
      <c r="AL119" s="95">
        <v>12228</v>
      </c>
      <c r="AM119" s="95">
        <v>21499</v>
      </c>
      <c r="AN119" s="95">
        <v>23201</v>
      </c>
      <c r="AO119" s="95">
        <v>24804000</v>
      </c>
      <c r="AP119" s="95">
        <v>24842</v>
      </c>
      <c r="AQ119" s="95">
        <v>25372</v>
      </c>
      <c r="AR119" s="95">
        <v>28468</v>
      </c>
    </row>
    <row r="120" spans="1:44" ht="12.5" x14ac:dyDescent="0.25">
      <c r="A120" s="95" t="s">
        <v>518</v>
      </c>
      <c r="B120" s="95" t="s">
        <v>254</v>
      </c>
      <c r="C120" s="95">
        <f t="shared" si="3"/>
        <v>3055.9</v>
      </c>
      <c r="D120" s="95">
        <f t="shared" si="4"/>
        <v>2288.5</v>
      </c>
      <c r="E120" s="184">
        <v>4030000</v>
      </c>
      <c r="F120" s="184">
        <f t="shared" si="5"/>
        <v>14332020.431782879</v>
      </c>
      <c r="G120" s="95">
        <v>918</v>
      </c>
      <c r="H120" s="95">
        <v>1055</v>
      </c>
      <c r="I120" s="95">
        <v>4575</v>
      </c>
      <c r="J120" s="95">
        <v>4906</v>
      </c>
      <c r="K120" s="95">
        <v>2985</v>
      </c>
      <c r="L120" s="95">
        <v>2664</v>
      </c>
      <c r="M120" s="95">
        <v>7648</v>
      </c>
      <c r="N120" s="95">
        <v>4878</v>
      </c>
      <c r="O120" s="95">
        <v>5064</v>
      </c>
      <c r="P120" s="95">
        <v>2191</v>
      </c>
      <c r="Q120" s="95">
        <v>803</v>
      </c>
      <c r="R120" s="95">
        <v>822</v>
      </c>
      <c r="S120" s="95">
        <v>2560</v>
      </c>
      <c r="T120" s="95">
        <v>2316</v>
      </c>
      <c r="U120" s="95">
        <v>2230</v>
      </c>
      <c r="V120" s="95">
        <v>2366</v>
      </c>
      <c r="W120" s="95">
        <v>1771</v>
      </c>
      <c r="X120" s="95">
        <v>410</v>
      </c>
      <c r="Y120" s="95">
        <v>2005</v>
      </c>
      <c r="Z120" s="95">
        <v>1277</v>
      </c>
      <c r="AA120" s="95">
        <v>39182</v>
      </c>
      <c r="AB120" s="95">
        <v>82685</v>
      </c>
      <c r="AC120" s="95">
        <v>80275</v>
      </c>
      <c r="AF120"/>
      <c r="AG120"/>
      <c r="AH120" s="95">
        <v>39171</v>
      </c>
      <c r="AI120" s="95">
        <v>39149</v>
      </c>
      <c r="AJ120" s="95">
        <v>39159</v>
      </c>
      <c r="AK120" s="95">
        <v>39178</v>
      </c>
      <c r="AL120" s="95">
        <v>39191</v>
      </c>
      <c r="AM120" s="95">
        <v>87013</v>
      </c>
      <c r="AN120" s="95">
        <v>84453</v>
      </c>
      <c r="AO120" s="95">
        <v>84945000</v>
      </c>
      <c r="AP120" s="95">
        <v>82685</v>
      </c>
      <c r="AQ120" s="95">
        <v>80275</v>
      </c>
      <c r="AR120" s="95">
        <v>80751</v>
      </c>
    </row>
    <row r="121" spans="1:44" ht="12.5" x14ac:dyDescent="0.25">
      <c r="A121" s="95" t="s">
        <v>518</v>
      </c>
      <c r="B121" s="95" t="s">
        <v>255</v>
      </c>
      <c r="C121" s="95">
        <f t="shared" si="3"/>
        <v>0</v>
      </c>
      <c r="D121" s="95">
        <f t="shared" si="4"/>
        <v>0</v>
      </c>
      <c r="E121" s="184">
        <v>3941000</v>
      </c>
      <c r="F121" s="184">
        <f t="shared" si="5"/>
        <v>10080916.826602424</v>
      </c>
      <c r="G121" s="95">
        <v>0</v>
      </c>
      <c r="H121" s="95">
        <v>0</v>
      </c>
      <c r="I121" s="95">
        <v>0</v>
      </c>
      <c r="J121" s="95">
        <v>0</v>
      </c>
      <c r="K121" s="95">
        <v>0</v>
      </c>
      <c r="L121" s="95">
        <v>0</v>
      </c>
      <c r="M121" s="95">
        <v>0</v>
      </c>
      <c r="N121" s="95">
        <v>0</v>
      </c>
      <c r="O121" s="95">
        <v>0</v>
      </c>
      <c r="P121" s="95">
        <v>0</v>
      </c>
      <c r="Q121" s="95">
        <v>0</v>
      </c>
      <c r="R121" s="95">
        <v>0</v>
      </c>
      <c r="S121" s="95">
        <v>0</v>
      </c>
      <c r="T121" s="95">
        <v>0</v>
      </c>
      <c r="U121" s="95">
        <v>0</v>
      </c>
      <c r="V121" s="95">
        <v>0</v>
      </c>
      <c r="W121" s="95">
        <v>0</v>
      </c>
      <c r="X121" s="95">
        <v>0</v>
      </c>
      <c r="Y121" s="95">
        <v>0</v>
      </c>
      <c r="Z121" s="95">
        <v>0</v>
      </c>
      <c r="AA121" s="95">
        <v>27560</v>
      </c>
      <c r="AB121" s="95">
        <v>56085</v>
      </c>
      <c r="AC121" s="95">
        <v>58344</v>
      </c>
      <c r="AF121"/>
      <c r="AG121"/>
      <c r="AH121" s="95">
        <v>26920</v>
      </c>
      <c r="AI121" s="95">
        <v>27080</v>
      </c>
      <c r="AJ121" s="95">
        <v>27278</v>
      </c>
      <c r="AK121" s="95">
        <v>27245</v>
      </c>
      <c r="AL121" s="95">
        <v>27545</v>
      </c>
      <c r="AM121" s="95">
        <v>53837</v>
      </c>
      <c r="AN121" s="95">
        <v>54105</v>
      </c>
      <c r="AO121" s="95">
        <v>54363000</v>
      </c>
      <c r="AP121" s="95">
        <v>56085</v>
      </c>
      <c r="AQ121" s="95">
        <v>58344</v>
      </c>
      <c r="AR121" s="95">
        <v>57556</v>
      </c>
    </row>
    <row r="122" spans="1:44" ht="12.5" x14ac:dyDescent="0.25">
      <c r="A122" s="95" t="s">
        <v>519</v>
      </c>
      <c r="B122" s="95" t="s">
        <v>185</v>
      </c>
      <c r="C122" s="95">
        <f t="shared" si="3"/>
        <v>2141.6</v>
      </c>
      <c r="D122" s="95">
        <f t="shared" si="4"/>
        <v>2314.6999999999998</v>
      </c>
      <c r="E122" s="184">
        <v>2095000</v>
      </c>
      <c r="F122" s="184">
        <f t="shared" si="5"/>
        <v>6942152.4111787872</v>
      </c>
      <c r="G122" s="95">
        <v>362</v>
      </c>
      <c r="H122" s="95">
        <v>203</v>
      </c>
      <c r="I122" s="95">
        <v>3146</v>
      </c>
      <c r="J122" s="95">
        <v>5612</v>
      </c>
      <c r="K122" s="95">
        <v>2574</v>
      </c>
      <c r="L122" s="95">
        <v>2882</v>
      </c>
      <c r="M122" s="95">
        <v>2830</v>
      </c>
      <c r="N122" s="95">
        <v>2821</v>
      </c>
      <c r="O122" s="95">
        <v>2125</v>
      </c>
      <c r="P122" s="95">
        <v>2429</v>
      </c>
      <c r="Q122" s="95">
        <v>861</v>
      </c>
      <c r="R122" s="95">
        <v>964</v>
      </c>
      <c r="S122" s="95">
        <v>2041</v>
      </c>
      <c r="T122" s="95">
        <v>1929</v>
      </c>
      <c r="U122" s="95">
        <v>2215</v>
      </c>
      <c r="V122" s="95">
        <v>1398</v>
      </c>
      <c r="W122" s="95">
        <v>2686</v>
      </c>
      <c r="X122" s="95">
        <v>2555</v>
      </c>
      <c r="Y122" s="95">
        <v>2576</v>
      </c>
      <c r="Z122" s="95">
        <v>2354</v>
      </c>
      <c r="AA122" s="95">
        <v>18979</v>
      </c>
      <c r="AB122" s="95">
        <v>59010</v>
      </c>
      <c r="AC122" s="95">
        <v>60865</v>
      </c>
      <c r="AF122"/>
      <c r="AG122"/>
      <c r="AH122" s="95">
        <v>18563</v>
      </c>
      <c r="AI122" s="95">
        <v>18608</v>
      </c>
      <c r="AJ122" s="95">
        <v>18549</v>
      </c>
      <c r="AK122" s="95">
        <v>18573</v>
      </c>
      <c r="AL122" s="95">
        <v>18776</v>
      </c>
      <c r="AM122" s="95">
        <v>54452</v>
      </c>
      <c r="AN122" s="95">
        <v>54310</v>
      </c>
      <c r="AO122" s="95">
        <v>58342000</v>
      </c>
      <c r="AP122" s="95">
        <v>59010</v>
      </c>
      <c r="AQ122" s="95">
        <v>60865</v>
      </c>
      <c r="AR122" s="95">
        <v>59330</v>
      </c>
    </row>
    <row r="123" spans="1:44" ht="12.5" x14ac:dyDescent="0.25">
      <c r="A123" s="95" t="s">
        <v>520</v>
      </c>
      <c r="B123" s="95" t="s">
        <v>131</v>
      </c>
      <c r="C123" s="95">
        <f t="shared" si="3"/>
        <v>8089.5219494584835</v>
      </c>
      <c r="D123" s="95">
        <f t="shared" si="4"/>
        <v>9859.2546879834954</v>
      </c>
      <c r="E123" s="184">
        <v>8037000</v>
      </c>
      <c r="F123" s="184">
        <f t="shared" si="5"/>
        <v>18699808.088766173</v>
      </c>
      <c r="G123" s="95">
        <v>9221</v>
      </c>
      <c r="H123" s="95">
        <v>9766</v>
      </c>
      <c r="I123" s="95">
        <v>601.18566271273858</v>
      </c>
      <c r="J123" s="95">
        <v>3874.3289324394018</v>
      </c>
      <c r="K123" s="95">
        <v>14554.033831872099</v>
      </c>
      <c r="L123" s="95">
        <v>17936.217947395566</v>
      </c>
      <c r="M123" s="95">
        <v>6876</v>
      </c>
      <c r="N123" s="95">
        <v>13997</v>
      </c>
      <c r="O123" s="95">
        <v>13638</v>
      </c>
      <c r="P123" s="95">
        <v>16901</v>
      </c>
      <c r="Q123" s="95">
        <v>5860</v>
      </c>
      <c r="R123" s="95">
        <v>6601</v>
      </c>
      <c r="S123" s="95">
        <v>8891</v>
      </c>
      <c r="T123" s="95">
        <v>8732</v>
      </c>
      <c r="U123" s="95">
        <v>7521</v>
      </c>
      <c r="V123" s="95">
        <v>7744</v>
      </c>
      <c r="W123" s="95">
        <v>7242</v>
      </c>
      <c r="X123" s="95">
        <v>7647</v>
      </c>
      <c r="Y123" s="95">
        <v>6491</v>
      </c>
      <c r="Z123" s="95">
        <v>5394</v>
      </c>
      <c r="AA123" s="95">
        <v>51123</v>
      </c>
      <c r="AB123" s="95">
        <v>127223</v>
      </c>
      <c r="AC123" s="95">
        <v>128102</v>
      </c>
      <c r="AF123"/>
      <c r="AG123"/>
      <c r="AH123" s="95">
        <v>50201</v>
      </c>
      <c r="AI123" s="95">
        <v>50200</v>
      </c>
      <c r="AJ123" s="95">
        <v>50252</v>
      </c>
      <c r="AK123" s="95">
        <v>50432</v>
      </c>
      <c r="AL123" s="95">
        <v>50650</v>
      </c>
      <c r="AM123" s="95">
        <v>129041</v>
      </c>
      <c r="AN123" s="95">
        <v>108886</v>
      </c>
      <c r="AO123" s="95">
        <v>128345000</v>
      </c>
      <c r="AP123" s="95">
        <v>127223</v>
      </c>
      <c r="AQ123" s="95">
        <v>128102</v>
      </c>
      <c r="AR123" s="95">
        <v>131109</v>
      </c>
    </row>
    <row r="124" spans="1:44" ht="12.5" x14ac:dyDescent="0.25">
      <c r="A124" s="95" t="s">
        <v>526</v>
      </c>
      <c r="B124" s="95" t="s">
        <v>407</v>
      </c>
      <c r="C124" s="95">
        <f t="shared" si="3"/>
        <v>9840.4</v>
      </c>
      <c r="D124" s="95">
        <f t="shared" si="4"/>
        <v>8516.6</v>
      </c>
      <c r="E124" s="184">
        <v>16889000</v>
      </c>
      <c r="F124" s="184">
        <f t="shared" si="5"/>
        <v>31770982.355770439</v>
      </c>
      <c r="G124" s="95">
        <v>37</v>
      </c>
      <c r="H124" s="95">
        <v>320</v>
      </c>
      <c r="I124" s="95">
        <v>13725</v>
      </c>
      <c r="J124" s="95">
        <v>13055</v>
      </c>
      <c r="K124" s="95">
        <v>11221</v>
      </c>
      <c r="L124" s="95">
        <v>10770</v>
      </c>
      <c r="M124" s="95">
        <v>16342</v>
      </c>
      <c r="N124" s="95">
        <v>16358</v>
      </c>
      <c r="O124" s="95">
        <v>5290</v>
      </c>
      <c r="P124" s="95">
        <v>5463</v>
      </c>
      <c r="Q124" s="95">
        <v>8183</v>
      </c>
      <c r="R124" s="95">
        <v>6553</v>
      </c>
      <c r="S124" s="95">
        <v>11256</v>
      </c>
      <c r="T124" s="95">
        <v>9749</v>
      </c>
      <c r="U124" s="95">
        <v>11453</v>
      </c>
      <c r="V124" s="95">
        <v>7062</v>
      </c>
      <c r="W124" s="95">
        <v>13257</v>
      </c>
      <c r="X124" s="95">
        <v>12376</v>
      </c>
      <c r="Y124" s="95">
        <v>7640</v>
      </c>
      <c r="Z124" s="95">
        <v>3460</v>
      </c>
      <c r="AA124" s="95">
        <v>86858</v>
      </c>
      <c r="AB124" s="95">
        <v>305101</v>
      </c>
      <c r="AC124" s="95">
        <v>336984</v>
      </c>
      <c r="AF124"/>
      <c r="AG124"/>
      <c r="AH124" s="95">
        <v>87202</v>
      </c>
      <c r="AI124" s="95">
        <v>86819</v>
      </c>
      <c r="AJ124" s="95">
        <v>86826</v>
      </c>
      <c r="AK124" s="95">
        <v>87101</v>
      </c>
      <c r="AL124" s="95">
        <v>86936</v>
      </c>
      <c r="AM124" s="95">
        <v>256964</v>
      </c>
      <c r="AN124" s="95">
        <v>255513</v>
      </c>
      <c r="AO124" s="95">
        <v>286707000</v>
      </c>
      <c r="AP124" s="95">
        <v>305101</v>
      </c>
      <c r="AQ124" s="95">
        <v>336984</v>
      </c>
      <c r="AR124" s="95">
        <v>354725</v>
      </c>
    </row>
    <row r="125" spans="1:44" ht="12.5" x14ac:dyDescent="0.25">
      <c r="A125" s="95" t="s">
        <v>517</v>
      </c>
      <c r="B125" s="95" t="s">
        <v>371</v>
      </c>
      <c r="C125" s="95">
        <f t="shared" si="3"/>
        <v>1450</v>
      </c>
      <c r="D125" s="95">
        <f t="shared" si="4"/>
        <v>1528.5</v>
      </c>
      <c r="E125" s="184">
        <v>1515000</v>
      </c>
      <c r="F125" s="184">
        <f t="shared" si="5"/>
        <v>6027334.8138154838</v>
      </c>
      <c r="G125" s="95">
        <v>131</v>
      </c>
      <c r="H125" s="95">
        <v>71</v>
      </c>
      <c r="I125" s="95">
        <v>2044</v>
      </c>
      <c r="J125" s="95">
        <v>3047</v>
      </c>
      <c r="K125" s="95">
        <v>561</v>
      </c>
      <c r="L125" s="95">
        <v>623</v>
      </c>
      <c r="M125" s="95">
        <v>1406</v>
      </c>
      <c r="N125" s="95">
        <v>1340</v>
      </c>
      <c r="O125" s="95">
        <v>1544</v>
      </c>
      <c r="P125" s="95">
        <v>1613</v>
      </c>
      <c r="Q125" s="95">
        <v>2416</v>
      </c>
      <c r="R125" s="95">
        <v>2415</v>
      </c>
      <c r="S125" s="95">
        <v>1403</v>
      </c>
      <c r="T125" s="95">
        <v>1404</v>
      </c>
      <c r="U125" s="95">
        <v>109</v>
      </c>
      <c r="V125" s="95">
        <v>109</v>
      </c>
      <c r="W125" s="95">
        <v>4316</v>
      </c>
      <c r="X125" s="95">
        <v>4226</v>
      </c>
      <c r="Y125" s="95">
        <v>570</v>
      </c>
      <c r="Z125" s="95">
        <v>437</v>
      </c>
      <c r="AA125" s="95">
        <v>16478</v>
      </c>
      <c r="AB125" s="95">
        <v>18510</v>
      </c>
      <c r="AC125" s="95">
        <v>18210</v>
      </c>
      <c r="AF125"/>
      <c r="AG125"/>
      <c r="AH125" s="95">
        <v>15713</v>
      </c>
      <c r="AI125" s="95">
        <v>15891</v>
      </c>
      <c r="AJ125" s="95">
        <v>15965</v>
      </c>
      <c r="AK125" s="95">
        <v>16125</v>
      </c>
      <c r="AL125" s="95">
        <v>16243</v>
      </c>
      <c r="AM125" s="95">
        <v>25110</v>
      </c>
      <c r="AN125" s="95">
        <v>24614</v>
      </c>
      <c r="AO125" s="95">
        <v>17986000</v>
      </c>
      <c r="AP125" s="95">
        <v>18510</v>
      </c>
      <c r="AQ125" s="95">
        <v>18210</v>
      </c>
      <c r="AR125" s="95">
        <v>23188</v>
      </c>
    </row>
    <row r="126" spans="1:44" ht="12.5" x14ac:dyDescent="0.25">
      <c r="A126" s="95" t="s">
        <v>518</v>
      </c>
      <c r="B126" s="95" t="s">
        <v>257</v>
      </c>
      <c r="C126" s="95">
        <f t="shared" si="3"/>
        <v>8187.7</v>
      </c>
      <c r="D126" s="95">
        <f t="shared" si="4"/>
        <v>8145</v>
      </c>
      <c r="E126" s="184">
        <v>2214000</v>
      </c>
      <c r="F126" s="184">
        <f t="shared" si="5"/>
        <v>8931268.0027268268</v>
      </c>
      <c r="G126" s="95">
        <v>4216</v>
      </c>
      <c r="H126" s="95">
        <v>3951</v>
      </c>
      <c r="I126" s="95">
        <v>11017</v>
      </c>
      <c r="J126" s="95">
        <v>15860</v>
      </c>
      <c r="K126" s="95">
        <v>2958</v>
      </c>
      <c r="L126" s="95">
        <v>4384</v>
      </c>
      <c r="M126" s="95">
        <v>5100</v>
      </c>
      <c r="N126" s="95">
        <v>5471</v>
      </c>
      <c r="O126" s="95">
        <v>10731</v>
      </c>
      <c r="P126" s="95">
        <v>10400</v>
      </c>
      <c r="Q126" s="95">
        <v>11282</v>
      </c>
      <c r="R126" s="95">
        <v>4790</v>
      </c>
      <c r="S126" s="95">
        <v>7494</v>
      </c>
      <c r="T126" s="95">
        <v>7741</v>
      </c>
      <c r="U126" s="95">
        <v>22823</v>
      </c>
      <c r="V126" s="95">
        <v>22819</v>
      </c>
      <c r="W126" s="95">
        <v>4173</v>
      </c>
      <c r="X126" s="95">
        <v>3850</v>
      </c>
      <c r="Y126" s="95">
        <v>2083</v>
      </c>
      <c r="Z126" s="95">
        <v>2184</v>
      </c>
      <c r="AA126" s="95">
        <v>24417</v>
      </c>
      <c r="AB126" s="95">
        <v>54481</v>
      </c>
      <c r="AC126" s="95">
        <v>54704</v>
      </c>
      <c r="AF126"/>
      <c r="AG126"/>
      <c r="AH126" s="95">
        <v>22851</v>
      </c>
      <c r="AI126" s="95">
        <v>23102</v>
      </c>
      <c r="AJ126" s="95">
        <v>23459</v>
      </c>
      <c r="AK126" s="95">
        <v>23955</v>
      </c>
      <c r="AL126" s="95">
        <v>24144</v>
      </c>
      <c r="AM126" s="95">
        <v>57387</v>
      </c>
      <c r="AN126" s="95">
        <v>55914</v>
      </c>
      <c r="AO126" s="95">
        <v>56008000</v>
      </c>
      <c r="AP126" s="95">
        <v>54481</v>
      </c>
      <c r="AQ126" s="95">
        <v>54704</v>
      </c>
      <c r="AR126" s="95">
        <v>51977</v>
      </c>
    </row>
    <row r="127" spans="1:44" ht="12.5" x14ac:dyDescent="0.25">
      <c r="A127" s="95" t="s">
        <v>522</v>
      </c>
      <c r="B127" s="95" t="s">
        <v>149</v>
      </c>
      <c r="C127" s="95">
        <f t="shared" si="3"/>
        <v>3656.7</v>
      </c>
      <c r="D127" s="95">
        <f t="shared" si="4"/>
        <v>3920.7</v>
      </c>
      <c r="E127" s="184">
        <v>7015000</v>
      </c>
      <c r="F127" s="184">
        <f t="shared" si="5"/>
        <v>13146890.877421781</v>
      </c>
      <c r="G127" s="95">
        <v>1204</v>
      </c>
      <c r="H127" s="95">
        <v>1224</v>
      </c>
      <c r="I127" s="95">
        <v>3312</v>
      </c>
      <c r="J127" s="95">
        <v>4274</v>
      </c>
      <c r="K127" s="95">
        <v>1682</v>
      </c>
      <c r="L127" s="95">
        <v>2478</v>
      </c>
      <c r="M127" s="95">
        <v>5217</v>
      </c>
      <c r="N127" s="95">
        <v>5939</v>
      </c>
      <c r="O127" s="95">
        <v>1477</v>
      </c>
      <c r="P127" s="95">
        <v>1957</v>
      </c>
      <c r="Q127" s="95">
        <v>3862</v>
      </c>
      <c r="R127" s="95">
        <v>3518</v>
      </c>
      <c r="S127" s="95">
        <v>6578</v>
      </c>
      <c r="T127" s="95">
        <v>7389</v>
      </c>
      <c r="U127" s="95">
        <v>5139</v>
      </c>
      <c r="V127" s="95">
        <v>4943</v>
      </c>
      <c r="W127" s="95">
        <v>3593</v>
      </c>
      <c r="X127" s="95">
        <v>3362</v>
      </c>
      <c r="Y127" s="95">
        <v>4503</v>
      </c>
      <c r="Z127" s="95">
        <v>4123</v>
      </c>
      <c r="AA127" s="95">
        <v>35942</v>
      </c>
      <c r="AB127" s="95">
        <v>122308</v>
      </c>
      <c r="AC127" s="95">
        <v>123840</v>
      </c>
      <c r="AF127"/>
      <c r="AG127"/>
      <c r="AH127" s="95">
        <v>35774</v>
      </c>
      <c r="AI127" s="95">
        <v>35808</v>
      </c>
      <c r="AJ127" s="95">
        <v>35812</v>
      </c>
      <c r="AK127" s="95">
        <v>35933</v>
      </c>
      <c r="AL127" s="95">
        <v>35932</v>
      </c>
      <c r="AM127" s="95">
        <v>128951</v>
      </c>
      <c r="AN127" s="95">
        <v>124309</v>
      </c>
      <c r="AO127" s="95">
        <v>122691000</v>
      </c>
      <c r="AP127" s="95">
        <v>122308</v>
      </c>
      <c r="AQ127" s="95">
        <v>123840</v>
      </c>
      <c r="AR127" s="95">
        <v>127500</v>
      </c>
    </row>
    <row r="128" spans="1:44" ht="12.5" x14ac:dyDescent="0.25">
      <c r="A128" s="95" t="s">
        <v>521</v>
      </c>
      <c r="B128" s="95" t="s">
        <v>296</v>
      </c>
      <c r="C128" s="95">
        <f t="shared" si="3"/>
        <v>15114.7</v>
      </c>
      <c r="D128" s="95">
        <f t="shared" si="4"/>
        <v>15700.9</v>
      </c>
      <c r="E128" s="184">
        <v>5605000</v>
      </c>
      <c r="F128" s="184">
        <f t="shared" si="5"/>
        <v>14839724.080379546</v>
      </c>
      <c r="G128" s="95">
        <v>25493</v>
      </c>
      <c r="H128" s="95">
        <v>25383</v>
      </c>
      <c r="I128" s="95">
        <v>14516</v>
      </c>
      <c r="J128" s="95">
        <v>15154</v>
      </c>
      <c r="K128" s="95">
        <v>6625</v>
      </c>
      <c r="L128" s="95">
        <v>7257</v>
      </c>
      <c r="M128" s="95">
        <v>5938</v>
      </c>
      <c r="N128" s="95">
        <v>8627</v>
      </c>
      <c r="O128" s="95">
        <v>9095</v>
      </c>
      <c r="P128" s="95">
        <v>5214</v>
      </c>
      <c r="Q128" s="95">
        <v>5998</v>
      </c>
      <c r="R128" s="95">
        <v>5993</v>
      </c>
      <c r="S128" s="95">
        <v>10695</v>
      </c>
      <c r="T128" s="95">
        <v>10577</v>
      </c>
      <c r="U128" s="95">
        <v>12551</v>
      </c>
      <c r="V128" s="95">
        <v>11916</v>
      </c>
      <c r="W128" s="95">
        <v>20009</v>
      </c>
      <c r="X128" s="95">
        <v>24625</v>
      </c>
      <c r="Y128" s="95">
        <v>40227</v>
      </c>
      <c r="Z128" s="95">
        <v>42263</v>
      </c>
      <c r="AA128" s="95">
        <v>40570</v>
      </c>
      <c r="AB128" s="95">
        <v>95607</v>
      </c>
      <c r="AC128" s="95">
        <v>99847</v>
      </c>
      <c r="AF128"/>
      <c r="AG128"/>
      <c r="AH128" s="95">
        <v>38721</v>
      </c>
      <c r="AI128" s="95">
        <v>38772</v>
      </c>
      <c r="AJ128" s="95">
        <v>40041</v>
      </c>
      <c r="AK128" s="95">
        <v>40094</v>
      </c>
      <c r="AL128" s="95">
        <v>40312</v>
      </c>
      <c r="AM128" s="95">
        <v>110026</v>
      </c>
      <c r="AN128" s="95">
        <v>94864</v>
      </c>
      <c r="AO128" s="95">
        <v>102011000</v>
      </c>
      <c r="AP128" s="95">
        <v>95607</v>
      </c>
      <c r="AQ128" s="95">
        <v>99847</v>
      </c>
      <c r="AR128" s="95">
        <v>108818</v>
      </c>
    </row>
    <row r="129" spans="1:44" ht="12.5" x14ac:dyDescent="0.25">
      <c r="A129" s="95" t="s">
        <v>517</v>
      </c>
      <c r="B129" s="95" t="s">
        <v>372</v>
      </c>
      <c r="C129" s="95">
        <f t="shared" si="3"/>
        <v>30013.4</v>
      </c>
      <c r="D129" s="95">
        <f t="shared" si="4"/>
        <v>28918.7</v>
      </c>
      <c r="E129" s="184">
        <v>10065000</v>
      </c>
      <c r="F129" s="184">
        <f t="shared" si="5"/>
        <v>34189524.520411044</v>
      </c>
      <c r="G129" s="95">
        <v>41877</v>
      </c>
      <c r="H129" s="95">
        <v>41876</v>
      </c>
      <c r="I129" s="95">
        <v>30602</v>
      </c>
      <c r="J129" s="95">
        <v>47857</v>
      </c>
      <c r="K129" s="95">
        <v>29241</v>
      </c>
      <c r="L129" s="95">
        <v>45677</v>
      </c>
      <c r="M129" s="95">
        <v>18101</v>
      </c>
      <c r="N129" s="95">
        <v>22447</v>
      </c>
      <c r="O129" s="95">
        <v>74398</v>
      </c>
      <c r="P129" s="95">
        <v>45298</v>
      </c>
      <c r="Q129" s="95">
        <v>26708</v>
      </c>
      <c r="R129" s="95">
        <v>16445</v>
      </c>
      <c r="S129" s="95">
        <v>14125</v>
      </c>
      <c r="T129" s="95">
        <v>15381</v>
      </c>
      <c r="U129" s="95">
        <v>18828</v>
      </c>
      <c r="V129" s="95">
        <v>22503</v>
      </c>
      <c r="W129" s="95">
        <v>17099</v>
      </c>
      <c r="X129" s="95">
        <v>11148</v>
      </c>
      <c r="Y129" s="95">
        <v>29155</v>
      </c>
      <c r="Z129" s="95">
        <v>20555</v>
      </c>
      <c r="AA129" s="95">
        <v>93470</v>
      </c>
      <c r="AB129" s="95">
        <v>239798</v>
      </c>
      <c r="AC129" s="95">
        <v>239366</v>
      </c>
      <c r="AF129"/>
      <c r="AG129"/>
      <c r="AH129" s="95">
        <v>90619</v>
      </c>
      <c r="AI129" s="95">
        <v>90872</v>
      </c>
      <c r="AJ129" s="95">
        <v>91535</v>
      </c>
      <c r="AK129" s="95">
        <v>92418</v>
      </c>
      <c r="AL129" s="95">
        <v>92627</v>
      </c>
      <c r="AM129" s="95">
        <v>233398</v>
      </c>
      <c r="AN129" s="95">
        <v>226074</v>
      </c>
      <c r="AO129" s="95">
        <v>238485000</v>
      </c>
      <c r="AP129" s="95">
        <v>239798</v>
      </c>
      <c r="AQ129" s="95">
        <v>239366</v>
      </c>
      <c r="AR129" s="95">
        <v>238265</v>
      </c>
    </row>
    <row r="130" spans="1:44" ht="12.5" x14ac:dyDescent="0.25">
      <c r="A130" s="95" t="s">
        <v>521</v>
      </c>
      <c r="B130" s="95" t="s">
        <v>297</v>
      </c>
      <c r="C130" s="95">
        <f t="shared" ref="C130:C193" si="6">SUM(G130,I130,K130,M130,O130,Q130,S130,U130,W130,Y130)/10</f>
        <v>14882.8</v>
      </c>
      <c r="D130" s="95">
        <f t="shared" ref="D130:D193" si="7">SUM(H130,J130,L130,N130,P130,R130,T130,V130,X130,Z130)/10</f>
        <v>14610.7</v>
      </c>
      <c r="E130" s="184">
        <v>2505000</v>
      </c>
      <c r="F130" s="184">
        <f t="shared" si="5"/>
        <v>11581349.367339836</v>
      </c>
      <c r="G130" s="95">
        <v>18788</v>
      </c>
      <c r="H130" s="95">
        <v>18852</v>
      </c>
      <c r="I130" s="95">
        <v>10373</v>
      </c>
      <c r="J130" s="95">
        <v>12823</v>
      </c>
      <c r="K130" s="95">
        <v>12361</v>
      </c>
      <c r="L130" s="95">
        <v>13695</v>
      </c>
      <c r="M130" s="95">
        <v>11118</v>
      </c>
      <c r="N130" s="95">
        <v>9133</v>
      </c>
      <c r="O130" s="95">
        <v>17477</v>
      </c>
      <c r="P130" s="95">
        <v>15333</v>
      </c>
      <c r="Q130" s="95">
        <v>18797</v>
      </c>
      <c r="R130" s="95">
        <v>16916</v>
      </c>
      <c r="S130" s="95">
        <v>9827</v>
      </c>
      <c r="T130" s="95">
        <v>10026</v>
      </c>
      <c r="U130" s="95">
        <v>9848</v>
      </c>
      <c r="V130" s="95">
        <v>9173</v>
      </c>
      <c r="W130" s="95">
        <v>10119</v>
      </c>
      <c r="X130" s="95">
        <v>9827</v>
      </c>
      <c r="Y130" s="95">
        <v>30120</v>
      </c>
      <c r="Z130" s="95">
        <v>30329</v>
      </c>
      <c r="AA130" s="95">
        <v>31662</v>
      </c>
      <c r="AB130" s="95">
        <v>73214</v>
      </c>
      <c r="AC130" s="95">
        <v>77801</v>
      </c>
      <c r="AF130"/>
      <c r="AG130"/>
      <c r="AH130" s="95">
        <v>29724</v>
      </c>
      <c r="AI130" s="95">
        <v>30681</v>
      </c>
      <c r="AJ130" s="95">
        <v>30962</v>
      </c>
      <c r="AK130" s="95">
        <v>31236</v>
      </c>
      <c r="AL130" s="95">
        <v>31258</v>
      </c>
      <c r="AM130" s="95">
        <v>67971</v>
      </c>
      <c r="AN130" s="95">
        <v>64258</v>
      </c>
      <c r="AO130" s="95">
        <v>68603000</v>
      </c>
      <c r="AP130" s="95">
        <v>73214</v>
      </c>
      <c r="AQ130" s="95">
        <v>77801</v>
      </c>
      <c r="AR130" s="95">
        <v>80902</v>
      </c>
    </row>
    <row r="131" spans="1:44" ht="12.5" x14ac:dyDescent="0.25">
      <c r="A131" s="95" t="s">
        <v>522</v>
      </c>
      <c r="B131" s="95" t="s">
        <v>444</v>
      </c>
      <c r="C131" s="95">
        <f t="shared" si="6"/>
        <v>34808.699999999997</v>
      </c>
      <c r="D131" s="95">
        <f t="shared" si="7"/>
        <v>37012.400000000001</v>
      </c>
      <c r="E131" s="184">
        <v>11993000</v>
      </c>
      <c r="F131" s="184">
        <f t="shared" ref="F131:F194" si="8">AA131*$AG$7</f>
        <v>29785158.79076229</v>
      </c>
      <c r="G131" s="95">
        <v>18817</v>
      </c>
      <c r="H131" s="95">
        <v>19472</v>
      </c>
      <c r="I131" s="95">
        <v>65671</v>
      </c>
      <c r="J131" s="95">
        <v>69364</v>
      </c>
      <c r="K131" s="95">
        <v>43549</v>
      </c>
      <c r="L131" s="95">
        <v>52858</v>
      </c>
      <c r="M131" s="95">
        <v>40101</v>
      </c>
      <c r="N131" s="95">
        <v>46383</v>
      </c>
      <c r="O131" s="95">
        <v>37778</v>
      </c>
      <c r="P131" s="95">
        <v>40893</v>
      </c>
      <c r="Q131" s="95">
        <v>38132</v>
      </c>
      <c r="R131" s="95">
        <v>40613</v>
      </c>
      <c r="S131" s="95">
        <v>33835</v>
      </c>
      <c r="T131" s="95">
        <v>38331</v>
      </c>
      <c r="U131" s="95">
        <v>33041</v>
      </c>
      <c r="V131" s="95">
        <v>34274</v>
      </c>
      <c r="W131" s="95">
        <v>22911</v>
      </c>
      <c r="X131" s="95">
        <v>22454</v>
      </c>
      <c r="Y131" s="95">
        <v>14252</v>
      </c>
      <c r="Z131" s="95">
        <v>5482</v>
      </c>
      <c r="AA131" s="95">
        <v>81429</v>
      </c>
      <c r="AB131" s="95">
        <v>233133</v>
      </c>
      <c r="AC131" s="95">
        <v>250837</v>
      </c>
      <c r="AF131"/>
      <c r="AG131"/>
      <c r="AH131" s="95">
        <v>80813</v>
      </c>
      <c r="AI131" s="95">
        <v>80608</v>
      </c>
      <c r="AJ131" s="95">
        <v>80660</v>
      </c>
      <c r="AK131" s="95">
        <v>81208</v>
      </c>
      <c r="AL131" s="95">
        <v>81049</v>
      </c>
      <c r="AM131" s="95">
        <v>214922</v>
      </c>
      <c r="AN131" s="95">
        <v>203045</v>
      </c>
      <c r="AO131" s="95">
        <v>220947000</v>
      </c>
      <c r="AP131" s="95">
        <v>233133</v>
      </c>
      <c r="AQ131" s="95">
        <v>250837</v>
      </c>
      <c r="AR131" s="95">
        <v>289811</v>
      </c>
    </row>
    <row r="132" spans="1:44" ht="12.5" x14ac:dyDescent="0.25">
      <c r="A132" s="95" t="s">
        <v>525</v>
      </c>
      <c r="B132" s="95" t="s">
        <v>600</v>
      </c>
      <c r="C132" s="95">
        <f t="shared" si="6"/>
        <v>3434.2</v>
      </c>
      <c r="D132" s="95">
        <f t="shared" si="7"/>
        <v>3861.5</v>
      </c>
      <c r="E132" s="184">
        <v>9000000</v>
      </c>
      <c r="F132" s="184">
        <f t="shared" si="8"/>
        <v>17560035.34451025</v>
      </c>
      <c r="G132" s="95">
        <v>182</v>
      </c>
      <c r="H132" s="95">
        <v>190</v>
      </c>
      <c r="I132" s="95">
        <v>2625</v>
      </c>
      <c r="J132" s="95">
        <v>4107</v>
      </c>
      <c r="K132" s="95">
        <v>3122</v>
      </c>
      <c r="L132" s="95">
        <v>2905</v>
      </c>
      <c r="M132" s="95">
        <v>2394</v>
      </c>
      <c r="N132" s="95">
        <v>2251</v>
      </c>
      <c r="O132" s="95">
        <v>1295</v>
      </c>
      <c r="P132" s="95">
        <v>2439</v>
      </c>
      <c r="Q132" s="95">
        <v>1432</v>
      </c>
      <c r="R132" s="95">
        <v>1813</v>
      </c>
      <c r="S132" s="95">
        <v>1021</v>
      </c>
      <c r="T132" s="95">
        <v>1309</v>
      </c>
      <c r="U132" s="95">
        <v>2135</v>
      </c>
      <c r="V132" s="95">
        <v>2106</v>
      </c>
      <c r="W132" s="95">
        <v>5120</v>
      </c>
      <c r="X132" s="95">
        <v>6253</v>
      </c>
      <c r="Y132" s="95">
        <v>15016</v>
      </c>
      <c r="Z132" s="95">
        <v>15242</v>
      </c>
      <c r="AA132" s="95">
        <v>48007</v>
      </c>
      <c r="AB132" s="95">
        <v>139018</v>
      </c>
      <c r="AC132" s="95">
        <v>148823</v>
      </c>
      <c r="AF132"/>
      <c r="AG132"/>
      <c r="AH132" s="95">
        <v>49815</v>
      </c>
      <c r="AI132" s="95">
        <v>49656</v>
      </c>
      <c r="AJ132" s="95">
        <v>49434</v>
      </c>
      <c r="AK132" s="95">
        <v>47821</v>
      </c>
      <c r="AL132" s="95">
        <v>47834</v>
      </c>
      <c r="AM132" s="95">
        <v>142039</v>
      </c>
      <c r="AN132" s="95">
        <v>142570</v>
      </c>
      <c r="AO132" s="95">
        <v>140512000</v>
      </c>
      <c r="AP132" s="95">
        <v>139018</v>
      </c>
      <c r="AQ132" s="95">
        <v>148823</v>
      </c>
      <c r="AR132" s="95">
        <v>148563</v>
      </c>
    </row>
    <row r="133" spans="1:44" ht="12.5" x14ac:dyDescent="0.25">
      <c r="A133" s="95" t="s">
        <v>519</v>
      </c>
      <c r="B133" s="95" t="s">
        <v>186</v>
      </c>
      <c r="C133" s="95">
        <f t="shared" si="6"/>
        <v>1556</v>
      </c>
      <c r="D133" s="95">
        <f t="shared" si="7"/>
        <v>1972.3</v>
      </c>
      <c r="E133" s="184">
        <v>1394000</v>
      </c>
      <c r="F133" s="184">
        <f t="shared" si="8"/>
        <v>6290331.1562801842</v>
      </c>
      <c r="G133" s="95">
        <v>147</v>
      </c>
      <c r="H133" s="95">
        <v>147</v>
      </c>
      <c r="I133" s="95">
        <v>2022</v>
      </c>
      <c r="J133" s="95">
        <v>4239</v>
      </c>
      <c r="K133" s="95">
        <v>1892</v>
      </c>
      <c r="L133" s="95">
        <v>1997</v>
      </c>
      <c r="M133" s="95">
        <v>1223</v>
      </c>
      <c r="N133" s="95">
        <v>2563</v>
      </c>
      <c r="O133" s="95">
        <v>674</v>
      </c>
      <c r="P133" s="95">
        <v>514</v>
      </c>
      <c r="Q133" s="95">
        <v>1064</v>
      </c>
      <c r="R133" s="95">
        <v>1053</v>
      </c>
      <c r="S133" s="95">
        <v>2715</v>
      </c>
      <c r="T133" s="95">
        <v>3453</v>
      </c>
      <c r="U133" s="95">
        <v>2559</v>
      </c>
      <c r="V133" s="95">
        <v>2361</v>
      </c>
      <c r="W133" s="95">
        <v>2117</v>
      </c>
      <c r="X133" s="95">
        <v>2329</v>
      </c>
      <c r="Y133" s="95">
        <v>1147</v>
      </c>
      <c r="Z133" s="95">
        <v>1067</v>
      </c>
      <c r="AA133" s="95">
        <v>17197</v>
      </c>
      <c r="AB133" s="95">
        <v>14020</v>
      </c>
      <c r="AC133" s="95">
        <v>20334</v>
      </c>
      <c r="AF133"/>
      <c r="AG133"/>
      <c r="AH133" s="95">
        <v>16468</v>
      </c>
      <c r="AI133" s="95">
        <v>16452</v>
      </c>
      <c r="AJ133" s="95">
        <v>16483</v>
      </c>
      <c r="AK133" s="95">
        <v>16431</v>
      </c>
      <c r="AL133" s="95">
        <v>16569</v>
      </c>
      <c r="AM133" s="95">
        <v>12266</v>
      </c>
      <c r="AN133" s="95">
        <v>10012</v>
      </c>
      <c r="AO133" s="95">
        <v>10986000</v>
      </c>
      <c r="AP133" s="95">
        <v>14020</v>
      </c>
      <c r="AQ133" s="95">
        <v>20334</v>
      </c>
      <c r="AR133" s="95">
        <v>27219</v>
      </c>
    </row>
    <row r="134" spans="1:44" ht="12.5" x14ac:dyDescent="0.25">
      <c r="A134" s="95" t="s">
        <v>517</v>
      </c>
      <c r="B134" s="95" t="s">
        <v>373</v>
      </c>
      <c r="C134" s="95">
        <f t="shared" si="6"/>
        <v>13528.9</v>
      </c>
      <c r="D134" s="95">
        <f t="shared" si="7"/>
        <v>15591.6</v>
      </c>
      <c r="E134" s="184">
        <v>3356000</v>
      </c>
      <c r="F134" s="184">
        <f t="shared" si="8"/>
        <v>16667164.590746226</v>
      </c>
      <c r="G134" s="95">
        <v>16852</v>
      </c>
      <c r="H134" s="95">
        <v>16397</v>
      </c>
      <c r="I134" s="95">
        <v>4646</v>
      </c>
      <c r="J134" s="95">
        <v>13692</v>
      </c>
      <c r="K134" s="95">
        <v>10604</v>
      </c>
      <c r="L134" s="95">
        <v>24849</v>
      </c>
      <c r="M134" s="95">
        <v>19634</v>
      </c>
      <c r="N134" s="95">
        <v>23900</v>
      </c>
      <c r="O134" s="95">
        <v>8497</v>
      </c>
      <c r="P134" s="95">
        <v>8219</v>
      </c>
      <c r="Q134" s="95">
        <v>24698</v>
      </c>
      <c r="R134" s="95">
        <v>20517</v>
      </c>
      <c r="S134" s="95">
        <v>15284</v>
      </c>
      <c r="T134" s="95">
        <v>15713</v>
      </c>
      <c r="U134" s="95">
        <v>14771</v>
      </c>
      <c r="V134" s="95">
        <v>15753</v>
      </c>
      <c r="W134" s="95">
        <v>13112</v>
      </c>
      <c r="X134" s="95">
        <v>11592</v>
      </c>
      <c r="Y134" s="95">
        <v>7191</v>
      </c>
      <c r="Z134" s="95">
        <v>5284</v>
      </c>
      <c r="AA134" s="95">
        <v>45566</v>
      </c>
      <c r="AB134" s="95">
        <v>83800</v>
      </c>
      <c r="AC134" s="95">
        <v>87466</v>
      </c>
      <c r="AF134"/>
      <c r="AG134"/>
      <c r="AH134" s="95">
        <v>43516</v>
      </c>
      <c r="AI134" s="95">
        <v>43747</v>
      </c>
      <c r="AJ134" s="95">
        <v>44107</v>
      </c>
      <c r="AK134" s="95">
        <v>44666</v>
      </c>
      <c r="AL134" s="95">
        <v>45005</v>
      </c>
      <c r="AM134" s="95">
        <v>185160</v>
      </c>
      <c r="AN134" s="95">
        <v>183628</v>
      </c>
      <c r="AO134" s="95">
        <v>74359000</v>
      </c>
      <c r="AP134" s="95">
        <v>83800</v>
      </c>
      <c r="AQ134" s="95">
        <v>87466</v>
      </c>
      <c r="AR134" s="95">
        <v>87325</v>
      </c>
    </row>
    <row r="135" spans="1:44" ht="12.5" x14ac:dyDescent="0.25">
      <c r="A135" s="95" t="s">
        <v>521</v>
      </c>
      <c r="B135" s="95" t="s">
        <v>298</v>
      </c>
      <c r="C135" s="95">
        <f t="shared" si="6"/>
        <v>1970.2</v>
      </c>
      <c r="D135" s="95">
        <f t="shared" si="7"/>
        <v>1525.5</v>
      </c>
      <c r="E135" s="184">
        <v>3526000</v>
      </c>
      <c r="F135" s="184">
        <f t="shared" si="8"/>
        <v>8163494.2574786963</v>
      </c>
      <c r="G135" s="95">
        <v>4008</v>
      </c>
      <c r="H135" s="95">
        <v>4024</v>
      </c>
      <c r="I135" s="95">
        <v>2493</v>
      </c>
      <c r="J135" s="95">
        <v>1194</v>
      </c>
      <c r="K135" s="95">
        <v>2120</v>
      </c>
      <c r="L135" s="95">
        <v>557</v>
      </c>
      <c r="M135" s="95">
        <v>1753</v>
      </c>
      <c r="N135" s="95">
        <v>922</v>
      </c>
      <c r="O135" s="95">
        <v>30</v>
      </c>
      <c r="P135" s="95">
        <v>106</v>
      </c>
      <c r="Q135" s="95">
        <v>2256</v>
      </c>
      <c r="R135" s="95">
        <v>2317</v>
      </c>
      <c r="S135" s="95">
        <v>2365</v>
      </c>
      <c r="T135" s="95">
        <v>2263</v>
      </c>
      <c r="U135" s="95">
        <v>445</v>
      </c>
      <c r="V135" s="95">
        <v>352</v>
      </c>
      <c r="W135" s="95">
        <v>1554</v>
      </c>
      <c r="X135" s="95">
        <v>1480</v>
      </c>
      <c r="Y135" s="95">
        <v>2678</v>
      </c>
      <c r="Z135" s="95">
        <v>2040</v>
      </c>
      <c r="AA135" s="95">
        <v>22318</v>
      </c>
      <c r="AB135" s="95">
        <v>53877</v>
      </c>
      <c r="AC135" s="95">
        <v>53454</v>
      </c>
      <c r="AF135"/>
      <c r="AG135"/>
      <c r="AH135" s="95">
        <v>21313</v>
      </c>
      <c r="AI135" s="95">
        <v>21821</v>
      </c>
      <c r="AJ135" s="95">
        <v>21963</v>
      </c>
      <c r="AK135" s="95">
        <v>22209</v>
      </c>
      <c r="AL135" s="95">
        <v>22197</v>
      </c>
      <c r="AM135" s="95">
        <v>48406</v>
      </c>
      <c r="AN135" s="95">
        <v>47759</v>
      </c>
      <c r="AO135" s="95">
        <v>50389000</v>
      </c>
      <c r="AP135" s="95">
        <v>53877</v>
      </c>
      <c r="AQ135" s="95">
        <v>53454</v>
      </c>
      <c r="AR135" s="95">
        <v>57921</v>
      </c>
    </row>
    <row r="136" spans="1:44" ht="12.5" x14ac:dyDescent="0.25">
      <c r="A136" s="95" t="s">
        <v>517</v>
      </c>
      <c r="B136" s="95" t="s">
        <v>374</v>
      </c>
      <c r="C136" s="95">
        <f t="shared" si="6"/>
        <v>3309</v>
      </c>
      <c r="D136" s="95">
        <f t="shared" si="7"/>
        <v>2652.7</v>
      </c>
      <c r="E136" s="184">
        <v>1732000</v>
      </c>
      <c r="F136" s="184">
        <f t="shared" si="8"/>
        <v>5781895.9462302066</v>
      </c>
      <c r="G136" s="95">
        <v>2872</v>
      </c>
      <c r="H136" s="95">
        <v>2438</v>
      </c>
      <c r="I136" s="95">
        <v>1711</v>
      </c>
      <c r="J136" s="95">
        <v>1479</v>
      </c>
      <c r="K136" s="95">
        <v>4461</v>
      </c>
      <c r="L136" s="95">
        <v>3667</v>
      </c>
      <c r="M136" s="95">
        <v>3036</v>
      </c>
      <c r="N136" s="95">
        <v>2807</v>
      </c>
      <c r="O136" s="95">
        <v>4435</v>
      </c>
      <c r="P136" s="95">
        <v>2740</v>
      </c>
      <c r="Q136" s="95">
        <v>2517</v>
      </c>
      <c r="R136" s="95">
        <v>2450</v>
      </c>
      <c r="S136" s="95">
        <v>3357</v>
      </c>
      <c r="T136" s="95">
        <v>2450</v>
      </c>
      <c r="U136" s="95">
        <v>4274</v>
      </c>
      <c r="V136" s="95">
        <v>3792</v>
      </c>
      <c r="W136" s="95">
        <v>3944</v>
      </c>
      <c r="X136" s="95">
        <v>2948</v>
      </c>
      <c r="Y136" s="95">
        <v>2483</v>
      </c>
      <c r="Z136" s="95">
        <v>1756</v>
      </c>
      <c r="AA136" s="95">
        <v>15807</v>
      </c>
      <c r="AB136" s="95">
        <v>30304</v>
      </c>
      <c r="AC136" s="95">
        <v>40968</v>
      </c>
      <c r="AF136"/>
      <c r="AG136"/>
      <c r="AH136" s="95">
        <v>15282</v>
      </c>
      <c r="AI136" s="95">
        <v>15366</v>
      </c>
      <c r="AJ136" s="95">
        <v>15330</v>
      </c>
      <c r="AK136" s="95">
        <v>15521</v>
      </c>
      <c r="AL136" s="95">
        <v>15698</v>
      </c>
      <c r="AM136" s="95">
        <v>27517</v>
      </c>
      <c r="AN136" s="95">
        <v>29595</v>
      </c>
      <c r="AO136" s="95">
        <v>27893000</v>
      </c>
      <c r="AP136" s="95">
        <v>30304</v>
      </c>
      <c r="AQ136" s="95">
        <v>40968</v>
      </c>
      <c r="AR136" s="95">
        <v>42712</v>
      </c>
    </row>
    <row r="137" spans="1:44" ht="12.5" x14ac:dyDescent="0.25">
      <c r="A137" s="95" t="s">
        <v>518</v>
      </c>
      <c r="B137" s="95" t="s">
        <v>258</v>
      </c>
      <c r="C137" s="95">
        <f t="shared" si="6"/>
        <v>17095.5</v>
      </c>
      <c r="D137" s="95">
        <f t="shared" si="7"/>
        <v>15479.7</v>
      </c>
      <c r="E137" s="184">
        <v>10473000</v>
      </c>
      <c r="F137" s="184">
        <f t="shared" si="8"/>
        <v>33549774.029492047</v>
      </c>
      <c r="G137" s="95">
        <v>5111</v>
      </c>
      <c r="H137" s="95">
        <v>4137</v>
      </c>
      <c r="I137" s="95">
        <v>55584</v>
      </c>
      <c r="J137" s="95">
        <v>53490</v>
      </c>
      <c r="K137" s="95">
        <v>20051</v>
      </c>
      <c r="L137" s="95">
        <v>19564</v>
      </c>
      <c r="M137" s="95">
        <v>20010</v>
      </c>
      <c r="N137" s="95">
        <v>19441</v>
      </c>
      <c r="O137" s="95">
        <v>23379</v>
      </c>
      <c r="P137" s="95">
        <v>17601</v>
      </c>
      <c r="Q137" s="95">
        <v>18726</v>
      </c>
      <c r="R137" s="95">
        <v>20819</v>
      </c>
      <c r="S137" s="95">
        <v>12368</v>
      </c>
      <c r="T137" s="95">
        <v>6983</v>
      </c>
      <c r="U137" s="95">
        <v>6188</v>
      </c>
      <c r="V137" s="95">
        <v>6203</v>
      </c>
      <c r="W137" s="95">
        <v>3277</v>
      </c>
      <c r="X137" s="95">
        <v>4544</v>
      </c>
      <c r="Y137" s="95">
        <v>6261</v>
      </c>
      <c r="Z137" s="95">
        <v>2015</v>
      </c>
      <c r="AA137" s="95">
        <v>91721</v>
      </c>
      <c r="AB137" s="95">
        <v>310150</v>
      </c>
      <c r="AC137" s="95">
        <v>325531</v>
      </c>
      <c r="AF137"/>
      <c r="AG137"/>
      <c r="AH137" s="95">
        <v>88915</v>
      </c>
      <c r="AI137" s="95">
        <v>89552</v>
      </c>
      <c r="AJ137" s="95">
        <v>90198</v>
      </c>
      <c r="AK137" s="95">
        <v>91004</v>
      </c>
      <c r="AL137" s="95">
        <v>91235</v>
      </c>
      <c r="AM137" s="95">
        <v>298865</v>
      </c>
      <c r="AN137" s="95">
        <v>303504</v>
      </c>
      <c r="AO137" s="95">
        <v>274175000</v>
      </c>
      <c r="AP137" s="95">
        <v>310150</v>
      </c>
      <c r="AQ137" s="95">
        <v>325531</v>
      </c>
      <c r="AR137" s="95">
        <v>286542</v>
      </c>
    </row>
    <row r="138" spans="1:44" ht="12.5" x14ac:dyDescent="0.25">
      <c r="A138" s="95" t="s">
        <v>521</v>
      </c>
      <c r="B138" s="95" t="s">
        <v>601</v>
      </c>
      <c r="C138" s="95">
        <f t="shared" si="6"/>
        <v>7605.8</v>
      </c>
      <c r="D138" s="95">
        <f t="shared" si="7"/>
        <v>7776.9</v>
      </c>
      <c r="E138" s="184">
        <v>10810000</v>
      </c>
      <c r="F138" s="184">
        <f t="shared" si="8"/>
        <v>32453529.191708032</v>
      </c>
      <c r="G138" s="95">
        <v>3715</v>
      </c>
      <c r="H138" s="95">
        <v>3886</v>
      </c>
      <c r="I138" s="95">
        <v>11463</v>
      </c>
      <c r="J138" s="95">
        <v>13856</v>
      </c>
      <c r="K138" s="95">
        <v>13396</v>
      </c>
      <c r="L138" s="95">
        <v>14880</v>
      </c>
      <c r="M138" s="95">
        <v>8108</v>
      </c>
      <c r="N138" s="95">
        <v>8788</v>
      </c>
      <c r="O138" s="95">
        <v>12382</v>
      </c>
      <c r="P138" s="95">
        <v>11538</v>
      </c>
      <c r="Q138" s="95">
        <v>10572</v>
      </c>
      <c r="R138" s="95">
        <v>9933</v>
      </c>
      <c r="S138" s="95">
        <v>6014</v>
      </c>
      <c r="T138" s="95">
        <v>5315</v>
      </c>
      <c r="U138" s="95">
        <v>4247</v>
      </c>
      <c r="V138" s="95">
        <v>4418</v>
      </c>
      <c r="W138" s="95">
        <v>2905</v>
      </c>
      <c r="X138" s="95">
        <v>2447</v>
      </c>
      <c r="Y138" s="95">
        <v>3256</v>
      </c>
      <c r="Z138" s="95">
        <v>2708</v>
      </c>
      <c r="AA138" s="95">
        <v>88724</v>
      </c>
      <c r="AB138" s="95">
        <v>153498</v>
      </c>
      <c r="AC138" s="95">
        <v>157674</v>
      </c>
      <c r="AF138"/>
      <c r="AG138"/>
      <c r="AH138" s="95">
        <v>85677</v>
      </c>
      <c r="AI138" s="95">
        <v>86129</v>
      </c>
      <c r="AJ138" s="95">
        <v>86642</v>
      </c>
      <c r="AK138" s="95">
        <v>87454</v>
      </c>
      <c r="AL138" s="95">
        <v>88047</v>
      </c>
      <c r="AM138" s="95">
        <v>154525</v>
      </c>
      <c r="AN138" s="95">
        <v>144787</v>
      </c>
      <c r="AO138" s="95">
        <v>147949000</v>
      </c>
      <c r="AP138" s="95">
        <v>153498</v>
      </c>
      <c r="AQ138" s="95">
        <v>157674</v>
      </c>
      <c r="AR138" s="95">
        <v>189918</v>
      </c>
    </row>
    <row r="139" spans="1:44" ht="12.5" x14ac:dyDescent="0.25">
      <c r="A139" s="95" t="s">
        <v>522</v>
      </c>
      <c r="B139" s="95" t="s">
        <v>150</v>
      </c>
      <c r="C139" s="95">
        <f t="shared" si="6"/>
        <v>1809.4</v>
      </c>
      <c r="D139" s="95">
        <f t="shared" si="7"/>
        <v>1682.7</v>
      </c>
      <c r="E139" s="184">
        <v>4930000</v>
      </c>
      <c r="F139" s="184">
        <f t="shared" si="8"/>
        <v>12823540.715059062</v>
      </c>
      <c r="G139" s="95">
        <v>195</v>
      </c>
      <c r="H139" s="95">
        <v>247</v>
      </c>
      <c r="I139" s="95">
        <v>5939</v>
      </c>
      <c r="J139" s="95">
        <v>6186</v>
      </c>
      <c r="K139" s="95">
        <v>1226</v>
      </c>
      <c r="L139" s="95">
        <v>1419</v>
      </c>
      <c r="M139" s="95">
        <v>1252</v>
      </c>
      <c r="N139" s="95">
        <v>1383</v>
      </c>
      <c r="O139" s="95">
        <v>2697</v>
      </c>
      <c r="P139" s="95">
        <v>2913</v>
      </c>
      <c r="Q139" s="95">
        <v>1898</v>
      </c>
      <c r="R139" s="95">
        <v>1581</v>
      </c>
      <c r="S139" s="95">
        <v>1967</v>
      </c>
      <c r="T139" s="95">
        <v>1235</v>
      </c>
      <c r="U139" s="95">
        <v>1280</v>
      </c>
      <c r="V139" s="95">
        <v>898</v>
      </c>
      <c r="W139" s="95">
        <v>1640</v>
      </c>
      <c r="X139" s="95">
        <v>965</v>
      </c>
      <c r="Y139" s="95">
        <v>0</v>
      </c>
      <c r="Z139" s="95">
        <v>0</v>
      </c>
      <c r="AA139" s="95">
        <v>35058</v>
      </c>
      <c r="AB139" s="95">
        <v>109651</v>
      </c>
      <c r="AC139" s="95">
        <v>110024</v>
      </c>
      <c r="AF139"/>
      <c r="AG139"/>
      <c r="AH139" s="95">
        <v>35008</v>
      </c>
      <c r="AI139" s="95">
        <v>34934</v>
      </c>
      <c r="AJ139" s="95">
        <v>34946</v>
      </c>
      <c r="AK139" s="95">
        <v>34993</v>
      </c>
      <c r="AL139" s="95">
        <v>35040</v>
      </c>
      <c r="AM139" s="95">
        <v>105456</v>
      </c>
      <c r="AN139" s="95">
        <v>91707</v>
      </c>
      <c r="AO139" s="95">
        <v>109832000</v>
      </c>
      <c r="AP139" s="95">
        <v>109651</v>
      </c>
      <c r="AQ139" s="95">
        <v>110024</v>
      </c>
      <c r="AR139" s="95">
        <v>115060</v>
      </c>
    </row>
    <row r="140" spans="1:44" ht="12.5" x14ac:dyDescent="0.25">
      <c r="A140" s="95" t="s">
        <v>518</v>
      </c>
      <c r="B140" s="95" t="s">
        <v>259</v>
      </c>
      <c r="C140" s="95">
        <f t="shared" si="6"/>
        <v>1792.3</v>
      </c>
      <c r="D140" s="95">
        <f t="shared" si="7"/>
        <v>1514.2</v>
      </c>
      <c r="E140" s="184">
        <v>5224000</v>
      </c>
      <c r="F140" s="184">
        <f t="shared" si="8"/>
        <v>17846075.872754194</v>
      </c>
      <c r="G140" s="95">
        <v>349</v>
      </c>
      <c r="H140" s="95">
        <v>73</v>
      </c>
      <c r="I140" s="95">
        <v>1866</v>
      </c>
      <c r="J140" s="95">
        <v>4453</v>
      </c>
      <c r="K140" s="95">
        <v>4259</v>
      </c>
      <c r="L140" s="95">
        <v>3644</v>
      </c>
      <c r="M140" s="95">
        <v>1919</v>
      </c>
      <c r="N140" s="95">
        <v>2714</v>
      </c>
      <c r="O140" s="95">
        <v>1249</v>
      </c>
      <c r="P140" s="95">
        <v>213</v>
      </c>
      <c r="Q140" s="95">
        <v>1378</v>
      </c>
      <c r="R140" s="95">
        <v>1138</v>
      </c>
      <c r="S140" s="95">
        <v>1186</v>
      </c>
      <c r="T140" s="95">
        <v>858</v>
      </c>
      <c r="U140" s="95">
        <v>1458</v>
      </c>
      <c r="V140" s="95">
        <v>963</v>
      </c>
      <c r="W140" s="95">
        <v>3120</v>
      </c>
      <c r="X140" s="95">
        <v>189</v>
      </c>
      <c r="Y140" s="95">
        <v>1139</v>
      </c>
      <c r="Z140" s="95">
        <v>897</v>
      </c>
      <c r="AA140" s="95">
        <v>48789</v>
      </c>
      <c r="AB140" s="95">
        <v>98026</v>
      </c>
      <c r="AC140" s="95">
        <v>100852</v>
      </c>
      <c r="AF140"/>
      <c r="AG140"/>
      <c r="AH140" s="95">
        <v>47595</v>
      </c>
      <c r="AI140" s="95">
        <v>47686</v>
      </c>
      <c r="AJ140" s="95">
        <v>47802</v>
      </c>
      <c r="AK140" s="95">
        <v>48426</v>
      </c>
      <c r="AL140" s="95">
        <v>48583</v>
      </c>
      <c r="AM140" s="95">
        <v>88819</v>
      </c>
      <c r="AN140" s="95">
        <v>89417</v>
      </c>
      <c r="AO140" s="95">
        <v>90225000</v>
      </c>
      <c r="AP140" s="95">
        <v>98026</v>
      </c>
      <c r="AQ140" s="95">
        <v>100852</v>
      </c>
      <c r="AR140" s="95">
        <v>106983</v>
      </c>
    </row>
    <row r="141" spans="1:44" ht="12.5" x14ac:dyDescent="0.25">
      <c r="A141" s="95" t="s">
        <v>516</v>
      </c>
      <c r="B141" s="95" t="s">
        <v>111</v>
      </c>
      <c r="C141" s="95">
        <f t="shared" si="6"/>
        <v>7255.9</v>
      </c>
      <c r="D141" s="95">
        <f t="shared" si="7"/>
        <v>8162.9</v>
      </c>
      <c r="E141" s="184">
        <v>7470000</v>
      </c>
      <c r="F141" s="184">
        <f t="shared" si="8"/>
        <v>20436900.75964915</v>
      </c>
      <c r="G141" s="95">
        <v>5606</v>
      </c>
      <c r="H141" s="95">
        <v>4981</v>
      </c>
      <c r="I141" s="95">
        <v>6892</v>
      </c>
      <c r="J141" s="95">
        <v>8822</v>
      </c>
      <c r="K141" s="95">
        <v>13050</v>
      </c>
      <c r="L141" s="95">
        <v>13735</v>
      </c>
      <c r="M141" s="95">
        <v>10338</v>
      </c>
      <c r="N141" s="95">
        <v>8708</v>
      </c>
      <c r="O141" s="95">
        <v>6094</v>
      </c>
      <c r="P141" s="95">
        <v>3553</v>
      </c>
      <c r="Q141" s="95">
        <v>15710</v>
      </c>
      <c r="R141" s="95">
        <v>27235</v>
      </c>
      <c r="S141" s="95">
        <v>3431</v>
      </c>
      <c r="T141" s="95">
        <v>3983</v>
      </c>
      <c r="U141" s="95">
        <v>4268</v>
      </c>
      <c r="V141" s="95">
        <v>3892</v>
      </c>
      <c r="W141" s="95">
        <v>2654</v>
      </c>
      <c r="X141" s="95">
        <v>2526</v>
      </c>
      <c r="Y141" s="95">
        <v>4516</v>
      </c>
      <c r="Z141" s="95">
        <v>4194</v>
      </c>
      <c r="AA141" s="95">
        <v>55872</v>
      </c>
      <c r="AB141" s="95">
        <v>137279</v>
      </c>
      <c r="AC141" s="95">
        <v>139399</v>
      </c>
      <c r="AF141"/>
      <c r="AG141"/>
      <c r="AH141" s="95">
        <v>55320</v>
      </c>
      <c r="AI141" s="95">
        <v>55685</v>
      </c>
      <c r="AJ141" s="95">
        <v>55678</v>
      </c>
      <c r="AK141" s="95">
        <v>55722</v>
      </c>
      <c r="AL141" s="95">
        <v>55603</v>
      </c>
      <c r="AM141" s="95">
        <v>110175</v>
      </c>
      <c r="AN141" s="95">
        <v>104668</v>
      </c>
      <c r="AO141" s="95">
        <v>130524000</v>
      </c>
      <c r="AP141" s="95">
        <v>137279</v>
      </c>
      <c r="AQ141" s="95">
        <v>139399</v>
      </c>
      <c r="AR141" s="95">
        <v>139968</v>
      </c>
    </row>
    <row r="142" spans="1:44" ht="12.5" x14ac:dyDescent="0.25">
      <c r="A142" s="95" t="s">
        <v>518</v>
      </c>
      <c r="B142" s="95" t="s">
        <v>260</v>
      </c>
      <c r="C142" s="95">
        <f t="shared" si="6"/>
        <v>12211.7</v>
      </c>
      <c r="D142" s="95">
        <f t="shared" si="7"/>
        <v>11920.4</v>
      </c>
      <c r="E142" s="184">
        <v>11076000</v>
      </c>
      <c r="F142" s="184">
        <f t="shared" si="8"/>
        <v>27180434.236254457</v>
      </c>
      <c r="G142" s="95">
        <v>11163</v>
      </c>
      <c r="H142" s="95">
        <v>10973</v>
      </c>
      <c r="I142" s="95">
        <v>21490</v>
      </c>
      <c r="J142" s="95">
        <v>28278</v>
      </c>
      <c r="K142" s="95">
        <v>16972</v>
      </c>
      <c r="L142" s="95">
        <v>17947</v>
      </c>
      <c r="M142" s="95">
        <v>15307</v>
      </c>
      <c r="N142" s="95">
        <v>14289</v>
      </c>
      <c r="O142" s="95">
        <v>6331</v>
      </c>
      <c r="P142" s="95">
        <v>4707</v>
      </c>
      <c r="Q142" s="95">
        <v>4648</v>
      </c>
      <c r="R142" s="95">
        <v>3918</v>
      </c>
      <c r="S142" s="95">
        <v>3961</v>
      </c>
      <c r="T142" s="95">
        <v>3812</v>
      </c>
      <c r="U142" s="95">
        <v>16362</v>
      </c>
      <c r="V142" s="95">
        <v>13359</v>
      </c>
      <c r="W142" s="95">
        <v>12026</v>
      </c>
      <c r="X142" s="95">
        <v>8980</v>
      </c>
      <c r="Y142" s="95">
        <v>13857</v>
      </c>
      <c r="Z142" s="95">
        <v>12941</v>
      </c>
      <c r="AA142" s="95">
        <v>74308</v>
      </c>
      <c r="AB142" s="95">
        <v>179988</v>
      </c>
      <c r="AC142" s="95">
        <v>182362</v>
      </c>
      <c r="AF142"/>
      <c r="AG142"/>
      <c r="AH142" s="95">
        <v>72519</v>
      </c>
      <c r="AI142" s="95">
        <v>72808</v>
      </c>
      <c r="AJ142" s="95">
        <v>73037</v>
      </c>
      <c r="AK142" s="95">
        <v>73262</v>
      </c>
      <c r="AL142" s="95">
        <v>73619</v>
      </c>
      <c r="AM142" s="95">
        <v>179073</v>
      </c>
      <c r="AN142" s="95">
        <v>180961</v>
      </c>
      <c r="AO142" s="95">
        <v>180406000</v>
      </c>
      <c r="AP142" s="95">
        <v>179988</v>
      </c>
      <c r="AQ142" s="95">
        <v>182362</v>
      </c>
      <c r="AR142" s="95">
        <v>184656</v>
      </c>
    </row>
    <row r="143" spans="1:44" ht="12.5" x14ac:dyDescent="0.25">
      <c r="A143" s="95" t="s">
        <v>526</v>
      </c>
      <c r="B143" s="95" t="s">
        <v>408</v>
      </c>
      <c r="C143" s="95">
        <f t="shared" si="6"/>
        <v>8411.9</v>
      </c>
      <c r="D143" s="95">
        <f t="shared" si="7"/>
        <v>8603.1</v>
      </c>
      <c r="E143" s="184">
        <v>6127000</v>
      </c>
      <c r="F143" s="184">
        <f t="shared" si="8"/>
        <v>15743568.255943211</v>
      </c>
      <c r="G143" s="95">
        <v>4666</v>
      </c>
      <c r="H143" s="95">
        <v>4560</v>
      </c>
      <c r="I143" s="95">
        <v>9784</v>
      </c>
      <c r="J143" s="95">
        <v>12703</v>
      </c>
      <c r="K143" s="95">
        <v>10111</v>
      </c>
      <c r="L143" s="95">
        <v>9124</v>
      </c>
      <c r="M143" s="95">
        <v>9237</v>
      </c>
      <c r="N143" s="95">
        <v>9718</v>
      </c>
      <c r="O143" s="95">
        <v>7230</v>
      </c>
      <c r="P143" s="95">
        <v>8186</v>
      </c>
      <c r="Q143" s="95">
        <v>12408</v>
      </c>
      <c r="R143" s="95">
        <v>13349</v>
      </c>
      <c r="S143" s="95">
        <v>15842</v>
      </c>
      <c r="T143" s="95">
        <v>13443</v>
      </c>
      <c r="U143" s="95">
        <v>3643</v>
      </c>
      <c r="V143" s="95">
        <v>4352</v>
      </c>
      <c r="W143" s="95">
        <v>4726</v>
      </c>
      <c r="X143" s="95">
        <v>4260</v>
      </c>
      <c r="Y143" s="95">
        <v>6472</v>
      </c>
      <c r="Z143" s="95">
        <v>6336</v>
      </c>
      <c r="AA143" s="95">
        <v>43041</v>
      </c>
      <c r="AB143" s="95">
        <v>95387</v>
      </c>
      <c r="AC143" s="95">
        <v>102216</v>
      </c>
      <c r="AF143"/>
      <c r="AG143"/>
      <c r="AH143" s="95">
        <v>42135</v>
      </c>
      <c r="AI143" s="95">
        <v>42266</v>
      </c>
      <c r="AJ143" s="95">
        <v>42293</v>
      </c>
      <c r="AK143" s="95">
        <v>42470</v>
      </c>
      <c r="AL143" s="95">
        <v>42487</v>
      </c>
      <c r="AM143" s="95">
        <v>97609</v>
      </c>
      <c r="AN143" s="95">
        <v>93987</v>
      </c>
      <c r="AO143" s="95">
        <v>96213000</v>
      </c>
      <c r="AP143" s="95">
        <v>95387</v>
      </c>
      <c r="AQ143" s="95">
        <v>102216</v>
      </c>
      <c r="AR143" s="95">
        <v>101666</v>
      </c>
    </row>
    <row r="144" spans="1:44" ht="12.5" x14ac:dyDescent="0.25">
      <c r="A144" s="95" t="s">
        <v>524</v>
      </c>
      <c r="B144" s="95" t="s">
        <v>221</v>
      </c>
      <c r="C144" s="95">
        <f t="shared" si="6"/>
        <v>16500.599999999999</v>
      </c>
      <c r="D144" s="95">
        <f t="shared" si="7"/>
        <v>16895.2</v>
      </c>
      <c r="E144" s="184">
        <v>5853000</v>
      </c>
      <c r="F144" s="184">
        <f t="shared" si="8"/>
        <v>18409743.972529024</v>
      </c>
      <c r="G144" s="95">
        <v>26026</v>
      </c>
      <c r="H144" s="95">
        <v>26026</v>
      </c>
      <c r="I144" s="95">
        <v>26183</v>
      </c>
      <c r="J144" s="95">
        <v>26177</v>
      </c>
      <c r="K144" s="95">
        <v>34434</v>
      </c>
      <c r="L144" s="95">
        <v>34429</v>
      </c>
      <c r="M144" s="95">
        <v>20518</v>
      </c>
      <c r="N144" s="95">
        <v>20509</v>
      </c>
      <c r="O144" s="95">
        <v>20067</v>
      </c>
      <c r="P144" s="95">
        <v>20073</v>
      </c>
      <c r="Q144" s="95">
        <v>14419</v>
      </c>
      <c r="R144" s="95">
        <v>14566</v>
      </c>
      <c r="S144" s="95">
        <v>2999</v>
      </c>
      <c r="T144" s="95">
        <v>2909</v>
      </c>
      <c r="U144" s="95">
        <v>5966</v>
      </c>
      <c r="V144" s="95">
        <v>10400</v>
      </c>
      <c r="W144" s="95">
        <v>6478</v>
      </c>
      <c r="X144" s="95">
        <v>6477</v>
      </c>
      <c r="Y144" s="95">
        <v>7916</v>
      </c>
      <c r="Z144" s="95">
        <v>7386</v>
      </c>
      <c r="AA144" s="95">
        <v>50330</v>
      </c>
      <c r="AB144" s="95">
        <v>127287</v>
      </c>
      <c r="AC144" s="95">
        <v>125444</v>
      </c>
      <c r="AF144"/>
      <c r="AG144"/>
      <c r="AH144" s="95">
        <v>49294</v>
      </c>
      <c r="AI144" s="95">
        <v>49586</v>
      </c>
      <c r="AJ144" s="95">
        <v>49902</v>
      </c>
      <c r="AK144" s="95">
        <v>50164</v>
      </c>
      <c r="AL144" s="95">
        <v>50223</v>
      </c>
      <c r="AM144" s="95">
        <v>128292</v>
      </c>
      <c r="AN144" s="95">
        <v>129247</v>
      </c>
      <c r="AO144" s="95">
        <v>129561000</v>
      </c>
      <c r="AP144" s="95">
        <v>127287</v>
      </c>
      <c r="AQ144" s="95">
        <v>125444</v>
      </c>
      <c r="AR144" s="95">
        <v>122714</v>
      </c>
    </row>
    <row r="145" spans="1:44" ht="12.5" x14ac:dyDescent="0.25">
      <c r="A145" s="95" t="s">
        <v>518</v>
      </c>
      <c r="B145" s="95" t="s">
        <v>261</v>
      </c>
      <c r="C145" s="95">
        <f t="shared" si="6"/>
        <v>1824.8</v>
      </c>
      <c r="D145" s="95">
        <f t="shared" si="7"/>
        <v>1803.1</v>
      </c>
      <c r="E145" s="184">
        <v>5645000</v>
      </c>
      <c r="F145" s="184">
        <f t="shared" si="8"/>
        <v>14975428.729968425</v>
      </c>
      <c r="G145" s="95">
        <v>65</v>
      </c>
      <c r="H145" s="95">
        <v>69</v>
      </c>
      <c r="I145" s="95">
        <v>2973</v>
      </c>
      <c r="J145" s="95">
        <v>2972</v>
      </c>
      <c r="K145" s="95">
        <v>5201</v>
      </c>
      <c r="L145" s="95">
        <v>2455</v>
      </c>
      <c r="M145" s="95">
        <v>2047</v>
      </c>
      <c r="N145" s="95">
        <v>2056</v>
      </c>
      <c r="O145" s="95">
        <v>3235</v>
      </c>
      <c r="P145" s="95">
        <v>2965</v>
      </c>
      <c r="Q145" s="95">
        <v>82</v>
      </c>
      <c r="R145" s="95">
        <v>-542</v>
      </c>
      <c r="S145" s="95">
        <v>80</v>
      </c>
      <c r="T145" s="95">
        <v>87</v>
      </c>
      <c r="U145" s="95">
        <v>2378</v>
      </c>
      <c r="V145" s="95">
        <v>4989</v>
      </c>
      <c r="W145" s="95">
        <v>483</v>
      </c>
      <c r="X145" s="95">
        <v>481</v>
      </c>
      <c r="Y145" s="95">
        <v>1704</v>
      </c>
      <c r="Z145" s="95">
        <v>2499</v>
      </c>
      <c r="AA145" s="95">
        <v>40941</v>
      </c>
      <c r="AB145" s="95">
        <v>58179</v>
      </c>
      <c r="AC145" s="95">
        <v>52211</v>
      </c>
      <c r="AF145"/>
      <c r="AG145"/>
      <c r="AH145" s="95">
        <v>41378</v>
      </c>
      <c r="AI145" s="95">
        <v>41364</v>
      </c>
      <c r="AJ145" s="95">
        <v>41280</v>
      </c>
      <c r="AK145" s="95">
        <v>41263</v>
      </c>
      <c r="AL145" s="95">
        <v>41090</v>
      </c>
      <c r="AM145" s="95">
        <v>60996</v>
      </c>
      <c r="AN145" s="95">
        <v>65087</v>
      </c>
      <c r="AO145" s="95">
        <v>56937000</v>
      </c>
      <c r="AP145" s="95">
        <v>58179</v>
      </c>
      <c r="AQ145" s="95">
        <v>52211</v>
      </c>
      <c r="AR145" s="95">
        <v>53426</v>
      </c>
    </row>
    <row r="146" spans="1:44" ht="12.5" x14ac:dyDescent="0.25">
      <c r="A146" s="95" t="s">
        <v>528</v>
      </c>
      <c r="B146" s="95" t="s">
        <v>332</v>
      </c>
      <c r="C146" s="95">
        <f t="shared" si="6"/>
        <v>1561</v>
      </c>
      <c r="D146" s="95">
        <f t="shared" si="7"/>
        <v>1725.6</v>
      </c>
      <c r="E146" s="184">
        <v>2961000</v>
      </c>
      <c r="F146" s="184">
        <f t="shared" si="8"/>
        <v>10070674.966256093</v>
      </c>
      <c r="G146" s="95">
        <v>2030</v>
      </c>
      <c r="H146" s="95">
        <v>2050</v>
      </c>
      <c r="I146" s="95">
        <v>4995</v>
      </c>
      <c r="J146" s="95">
        <v>3905</v>
      </c>
      <c r="K146" s="95">
        <v>2157</v>
      </c>
      <c r="L146" s="95">
        <v>2813</v>
      </c>
      <c r="M146" s="95">
        <v>580</v>
      </c>
      <c r="N146" s="95">
        <v>795</v>
      </c>
      <c r="O146" s="95">
        <v>652</v>
      </c>
      <c r="P146" s="95">
        <v>761</v>
      </c>
      <c r="Q146" s="95">
        <v>262</v>
      </c>
      <c r="R146" s="95">
        <v>3262</v>
      </c>
      <c r="S146" s="95">
        <v>1408</v>
      </c>
      <c r="T146" s="95">
        <v>1268</v>
      </c>
      <c r="U146" s="95">
        <v>1839</v>
      </c>
      <c r="V146" s="95">
        <v>1257</v>
      </c>
      <c r="W146" s="95">
        <v>620</v>
      </c>
      <c r="X146" s="95">
        <v>233</v>
      </c>
      <c r="Y146" s="95">
        <v>1067</v>
      </c>
      <c r="Z146" s="95">
        <v>912</v>
      </c>
      <c r="AA146" s="95">
        <v>27532</v>
      </c>
      <c r="AB146" s="95">
        <v>55139</v>
      </c>
      <c r="AC146" s="95">
        <v>60075</v>
      </c>
      <c r="AF146"/>
      <c r="AG146"/>
      <c r="AH146" s="95">
        <v>27400</v>
      </c>
      <c r="AI146" s="95">
        <v>27469</v>
      </c>
      <c r="AJ146" s="95">
        <v>27523</v>
      </c>
      <c r="AK146" s="95">
        <v>27533</v>
      </c>
      <c r="AL146" s="95">
        <v>27575</v>
      </c>
      <c r="AM146" s="95">
        <v>59912</v>
      </c>
      <c r="AN146" s="95">
        <v>54721</v>
      </c>
      <c r="AO146" s="95">
        <v>52051000</v>
      </c>
      <c r="AP146" s="95">
        <v>55139</v>
      </c>
      <c r="AQ146" s="95">
        <v>60075</v>
      </c>
      <c r="AR146" s="95">
        <v>60037</v>
      </c>
    </row>
    <row r="147" spans="1:44" ht="12.5" x14ac:dyDescent="0.25">
      <c r="A147" s="95" t="s">
        <v>524</v>
      </c>
      <c r="B147" s="95" t="s">
        <v>222</v>
      </c>
      <c r="C147" s="95">
        <f t="shared" si="6"/>
        <v>4370.2</v>
      </c>
      <c r="D147" s="95">
        <f t="shared" si="7"/>
        <v>3754.8</v>
      </c>
      <c r="E147" s="184">
        <v>3511000</v>
      </c>
      <c r="F147" s="184">
        <f t="shared" si="8"/>
        <v>12230610.157151859</v>
      </c>
      <c r="G147" s="95">
        <v>53</v>
      </c>
      <c r="H147" s="95">
        <v>86</v>
      </c>
      <c r="I147" s="95">
        <v>7119</v>
      </c>
      <c r="J147" s="95">
        <v>6446</v>
      </c>
      <c r="K147" s="95">
        <v>3492</v>
      </c>
      <c r="L147" s="95">
        <v>2564</v>
      </c>
      <c r="M147" s="95">
        <v>10623</v>
      </c>
      <c r="N147" s="95">
        <v>9924</v>
      </c>
      <c r="O147" s="95">
        <v>5186</v>
      </c>
      <c r="P147" s="95">
        <v>5217</v>
      </c>
      <c r="Q147" s="95">
        <v>7285</v>
      </c>
      <c r="R147" s="95">
        <v>6407</v>
      </c>
      <c r="S147" s="95">
        <v>9015</v>
      </c>
      <c r="T147" s="95">
        <v>5448</v>
      </c>
      <c r="U147" s="95">
        <v>488</v>
      </c>
      <c r="V147" s="95">
        <v>523</v>
      </c>
      <c r="W147" s="95">
        <v>232</v>
      </c>
      <c r="X147" s="95">
        <v>759</v>
      </c>
      <c r="Y147" s="95">
        <v>209</v>
      </c>
      <c r="Z147" s="95">
        <v>174</v>
      </c>
      <c r="AA147" s="95">
        <v>33437</v>
      </c>
      <c r="AB147" s="95">
        <v>62218</v>
      </c>
      <c r="AC147" s="95">
        <v>65634</v>
      </c>
      <c r="AF147"/>
      <c r="AG147"/>
      <c r="AH147" s="95">
        <v>34206</v>
      </c>
      <c r="AI147" s="95">
        <v>34299</v>
      </c>
      <c r="AJ147" s="95">
        <v>34162</v>
      </c>
      <c r="AK147" s="95">
        <v>34116</v>
      </c>
      <c r="AL147" s="95">
        <v>33819</v>
      </c>
      <c r="AM147" s="95">
        <v>62013</v>
      </c>
      <c r="AN147" s="95">
        <v>59251</v>
      </c>
      <c r="AO147" s="95">
        <v>60232000</v>
      </c>
      <c r="AP147" s="95">
        <v>62218</v>
      </c>
      <c r="AQ147" s="95">
        <v>65634</v>
      </c>
      <c r="AR147" s="95">
        <v>68171</v>
      </c>
    </row>
    <row r="148" spans="1:44" ht="12.5" x14ac:dyDescent="0.25">
      <c r="A148" s="95" t="s">
        <v>521</v>
      </c>
      <c r="B148" s="95" t="s">
        <v>299</v>
      </c>
      <c r="C148" s="95">
        <f t="shared" si="6"/>
        <v>7648.8</v>
      </c>
      <c r="D148" s="95">
        <f t="shared" si="7"/>
        <v>6896.4</v>
      </c>
      <c r="E148" s="184">
        <v>2787000</v>
      </c>
      <c r="F148" s="184">
        <f t="shared" si="8"/>
        <v>10203819.150758389</v>
      </c>
      <c r="G148" s="95">
        <v>2346</v>
      </c>
      <c r="H148" s="95">
        <v>2665</v>
      </c>
      <c r="I148" s="95">
        <v>16085</v>
      </c>
      <c r="J148" s="95">
        <v>20302</v>
      </c>
      <c r="K148" s="95">
        <v>23260</v>
      </c>
      <c r="L148" s="95">
        <v>20293</v>
      </c>
      <c r="M148" s="95">
        <v>9026</v>
      </c>
      <c r="N148" s="95">
        <v>7776</v>
      </c>
      <c r="O148" s="95">
        <v>6423</v>
      </c>
      <c r="P148" s="95">
        <v>4043</v>
      </c>
      <c r="Q148" s="95">
        <v>1550</v>
      </c>
      <c r="R148" s="95">
        <v>2860</v>
      </c>
      <c r="S148" s="95">
        <v>4192</v>
      </c>
      <c r="T148" s="95">
        <v>1056</v>
      </c>
      <c r="U148" s="95">
        <v>6311</v>
      </c>
      <c r="V148" s="95">
        <v>6486</v>
      </c>
      <c r="W148" s="95">
        <v>3377</v>
      </c>
      <c r="X148" s="95">
        <v>724</v>
      </c>
      <c r="Y148" s="95">
        <v>3918</v>
      </c>
      <c r="Z148" s="95">
        <v>2759</v>
      </c>
      <c r="AA148" s="95">
        <v>27896</v>
      </c>
      <c r="AB148" s="95">
        <v>72555</v>
      </c>
      <c r="AC148" s="95">
        <v>61100</v>
      </c>
      <c r="AF148"/>
      <c r="AG148"/>
      <c r="AH148" s="95">
        <v>26377</v>
      </c>
      <c r="AI148" s="95">
        <v>26632</v>
      </c>
      <c r="AJ148" s="95">
        <v>26861</v>
      </c>
      <c r="AK148" s="95">
        <v>27285</v>
      </c>
      <c r="AL148" s="95">
        <v>27541</v>
      </c>
      <c r="AM148" s="95">
        <v>51573</v>
      </c>
      <c r="AN148" s="95">
        <v>112006</v>
      </c>
      <c r="AO148" s="95">
        <v>54907000</v>
      </c>
      <c r="AP148" s="95">
        <v>72555</v>
      </c>
      <c r="AQ148" s="95">
        <v>61100</v>
      </c>
      <c r="AR148" s="95">
        <v>64992</v>
      </c>
    </row>
    <row r="149" spans="1:44" ht="12.5" x14ac:dyDescent="0.25">
      <c r="A149" s="95" t="s">
        <v>522</v>
      </c>
      <c r="B149" s="95" t="s">
        <v>151</v>
      </c>
      <c r="C149" s="95">
        <f t="shared" si="6"/>
        <v>26890.5</v>
      </c>
      <c r="D149" s="95">
        <f t="shared" si="7"/>
        <v>27302.1</v>
      </c>
      <c r="E149" s="184">
        <v>6834000</v>
      </c>
      <c r="F149" s="184">
        <f t="shared" si="8"/>
        <v>20037468.206142262</v>
      </c>
      <c r="G149" s="95">
        <v>10761</v>
      </c>
      <c r="H149" s="95">
        <v>9604</v>
      </c>
      <c r="I149" s="95">
        <v>40083</v>
      </c>
      <c r="J149" s="95">
        <v>47258</v>
      </c>
      <c r="K149" s="95">
        <v>27273</v>
      </c>
      <c r="L149" s="95">
        <v>27574</v>
      </c>
      <c r="M149" s="95">
        <v>31214</v>
      </c>
      <c r="N149" s="95">
        <v>34226</v>
      </c>
      <c r="O149" s="95">
        <v>28517</v>
      </c>
      <c r="P149" s="95">
        <v>35315</v>
      </c>
      <c r="Q149" s="95">
        <v>40467</v>
      </c>
      <c r="R149" s="95">
        <v>38848</v>
      </c>
      <c r="S149" s="95">
        <v>22898</v>
      </c>
      <c r="T149" s="95">
        <v>18316</v>
      </c>
      <c r="U149" s="95">
        <v>18761</v>
      </c>
      <c r="V149" s="95">
        <v>17855</v>
      </c>
      <c r="W149" s="95">
        <v>19916</v>
      </c>
      <c r="X149" s="95">
        <v>15757</v>
      </c>
      <c r="Y149" s="95">
        <v>29015</v>
      </c>
      <c r="Z149" s="95">
        <v>28268</v>
      </c>
      <c r="AA149" s="95">
        <v>54780</v>
      </c>
      <c r="AB149" s="95">
        <v>145461</v>
      </c>
      <c r="AC149" s="95">
        <v>146551</v>
      </c>
      <c r="AF149"/>
      <c r="AG149"/>
      <c r="AH149" s="95">
        <v>52514</v>
      </c>
      <c r="AI149" s="95">
        <v>53258</v>
      </c>
      <c r="AJ149" s="95">
        <v>53787</v>
      </c>
      <c r="AK149" s="95">
        <v>54324</v>
      </c>
      <c r="AL149" s="95">
        <v>54474</v>
      </c>
      <c r="AM149" s="95">
        <v>114320</v>
      </c>
      <c r="AN149" s="95">
        <v>114730</v>
      </c>
      <c r="AO149" s="95">
        <v>147397000</v>
      </c>
      <c r="AP149" s="95">
        <v>145461</v>
      </c>
      <c r="AQ149" s="95">
        <v>146551</v>
      </c>
      <c r="AR149" s="95">
        <v>144116</v>
      </c>
    </row>
    <row r="150" spans="1:44" ht="12.5" x14ac:dyDescent="0.25">
      <c r="A150" s="95" t="s">
        <v>528</v>
      </c>
      <c r="B150" s="95" t="s">
        <v>333</v>
      </c>
      <c r="C150" s="95">
        <f t="shared" si="6"/>
        <v>2909.3</v>
      </c>
      <c r="D150" s="95">
        <f t="shared" si="7"/>
        <v>2462</v>
      </c>
      <c r="E150" s="184">
        <v>2297000</v>
      </c>
      <c r="F150" s="184">
        <f t="shared" si="8"/>
        <v>4763562.4032236338</v>
      </c>
      <c r="G150" s="95">
        <v>2170</v>
      </c>
      <c r="H150" s="95">
        <v>2178</v>
      </c>
      <c r="I150" s="95">
        <v>1584</v>
      </c>
      <c r="J150" s="95">
        <v>1460</v>
      </c>
      <c r="K150" s="95">
        <v>2160</v>
      </c>
      <c r="L150" s="95">
        <v>2070</v>
      </c>
      <c r="M150" s="95">
        <v>4092</v>
      </c>
      <c r="N150" s="95">
        <v>2828</v>
      </c>
      <c r="O150" s="95">
        <v>1685</v>
      </c>
      <c r="P150" s="95">
        <v>1627</v>
      </c>
      <c r="Q150" s="95">
        <v>3918</v>
      </c>
      <c r="R150" s="95">
        <v>3936</v>
      </c>
      <c r="S150" s="95">
        <v>2725</v>
      </c>
      <c r="T150" s="95">
        <v>1410</v>
      </c>
      <c r="U150" s="95">
        <v>3128</v>
      </c>
      <c r="V150" s="95">
        <v>2669</v>
      </c>
      <c r="W150" s="95">
        <v>2970</v>
      </c>
      <c r="X150" s="95">
        <v>2442</v>
      </c>
      <c r="Y150" s="95">
        <v>4661</v>
      </c>
      <c r="Z150" s="95">
        <v>4000</v>
      </c>
      <c r="AA150" s="95">
        <v>13023</v>
      </c>
      <c r="AB150" s="95">
        <v>42663</v>
      </c>
      <c r="AC150" s="95">
        <v>49325</v>
      </c>
      <c r="AF150"/>
      <c r="AG150"/>
      <c r="AH150" s="95">
        <v>12620</v>
      </c>
      <c r="AI150" s="95">
        <v>12710</v>
      </c>
      <c r="AJ150" s="95">
        <v>12804</v>
      </c>
      <c r="AK150" s="95">
        <v>12667</v>
      </c>
      <c r="AL150" s="95">
        <v>12882</v>
      </c>
      <c r="AM150" s="95">
        <v>37420</v>
      </c>
      <c r="AN150" s="95">
        <v>36212</v>
      </c>
      <c r="AO150" s="95">
        <v>42567000</v>
      </c>
      <c r="AP150" s="95">
        <v>42663</v>
      </c>
      <c r="AQ150" s="95">
        <v>49325</v>
      </c>
      <c r="AR150" s="95">
        <v>49144</v>
      </c>
    </row>
    <row r="151" spans="1:44" ht="12.5" x14ac:dyDescent="0.25">
      <c r="A151" s="95" t="s">
        <v>521</v>
      </c>
      <c r="B151" s="95" t="s">
        <v>300</v>
      </c>
      <c r="C151" s="95">
        <f t="shared" si="6"/>
        <v>19658.5</v>
      </c>
      <c r="D151" s="95">
        <f t="shared" si="7"/>
        <v>21474.2</v>
      </c>
      <c r="E151" s="184">
        <v>12061000</v>
      </c>
      <c r="F151" s="184">
        <f t="shared" si="8"/>
        <v>24156159.188273732</v>
      </c>
      <c r="G151" s="95">
        <v>7060</v>
      </c>
      <c r="H151" s="95">
        <v>6547</v>
      </c>
      <c r="I151" s="95">
        <v>36375</v>
      </c>
      <c r="J151" s="95">
        <v>58141</v>
      </c>
      <c r="K151" s="95">
        <v>18152</v>
      </c>
      <c r="L151" s="95">
        <v>19224</v>
      </c>
      <c r="M151" s="95">
        <v>28067</v>
      </c>
      <c r="N151" s="95">
        <v>32902</v>
      </c>
      <c r="O151" s="95">
        <v>21892</v>
      </c>
      <c r="P151" s="95">
        <v>23118</v>
      </c>
      <c r="Q151" s="95">
        <v>20005</v>
      </c>
      <c r="R151" s="95">
        <v>19681</v>
      </c>
      <c r="S151" s="95">
        <v>21987</v>
      </c>
      <c r="T151" s="95">
        <v>18503</v>
      </c>
      <c r="U151" s="95">
        <v>18554</v>
      </c>
      <c r="V151" s="95">
        <v>15755</v>
      </c>
      <c r="W151" s="95">
        <v>8280</v>
      </c>
      <c r="X151" s="95">
        <v>7701</v>
      </c>
      <c r="Y151" s="95">
        <v>16213</v>
      </c>
      <c r="Z151" s="95">
        <v>13170</v>
      </c>
      <c r="AA151" s="95">
        <v>66040</v>
      </c>
      <c r="AB151" s="95">
        <v>188312</v>
      </c>
      <c r="AC151" s="95">
        <v>194301</v>
      </c>
      <c r="AF151"/>
      <c r="AG151"/>
      <c r="AH151" s="95">
        <v>64546</v>
      </c>
      <c r="AI151" s="95">
        <v>64940</v>
      </c>
      <c r="AJ151" s="95">
        <v>65312</v>
      </c>
      <c r="AK151" s="95">
        <v>65712</v>
      </c>
      <c r="AL151" s="95">
        <v>65995</v>
      </c>
      <c r="AM151" s="95">
        <v>171153</v>
      </c>
      <c r="AN151" s="95">
        <v>168461</v>
      </c>
      <c r="AO151" s="95">
        <v>174211000</v>
      </c>
      <c r="AP151" s="95">
        <v>188312</v>
      </c>
      <c r="AQ151" s="95">
        <v>194301</v>
      </c>
      <c r="AR151" s="95">
        <v>202925</v>
      </c>
    </row>
    <row r="152" spans="1:44" ht="12.5" x14ac:dyDescent="0.25">
      <c r="A152" s="95" t="s">
        <v>526</v>
      </c>
      <c r="B152" s="95" t="s">
        <v>409</v>
      </c>
      <c r="C152" s="95">
        <f t="shared" si="6"/>
        <v>2426.8000000000002</v>
      </c>
      <c r="D152" s="95">
        <f t="shared" si="7"/>
        <v>2428.6</v>
      </c>
      <c r="E152" s="184">
        <v>9311000</v>
      </c>
      <c r="F152" s="184">
        <f t="shared" si="8"/>
        <v>16566209.11018954</v>
      </c>
      <c r="G152" s="95">
        <v>327</v>
      </c>
      <c r="H152" s="95">
        <v>29</v>
      </c>
      <c r="I152" s="95">
        <v>2694</v>
      </c>
      <c r="J152" s="95">
        <v>3996</v>
      </c>
      <c r="K152" s="95">
        <v>2642</v>
      </c>
      <c r="L152" s="95">
        <v>2874</v>
      </c>
      <c r="M152" s="95">
        <v>3064</v>
      </c>
      <c r="N152" s="95">
        <v>3130</v>
      </c>
      <c r="O152" s="95">
        <v>3442</v>
      </c>
      <c r="P152" s="95">
        <v>3333</v>
      </c>
      <c r="Q152" s="95">
        <v>3222</v>
      </c>
      <c r="R152" s="95">
        <v>2980</v>
      </c>
      <c r="S152" s="95">
        <v>2438</v>
      </c>
      <c r="T152" s="95">
        <v>2502</v>
      </c>
      <c r="U152" s="95">
        <v>3334</v>
      </c>
      <c r="V152" s="95">
        <v>2898</v>
      </c>
      <c r="W152" s="95">
        <v>1855</v>
      </c>
      <c r="X152" s="95">
        <v>1415</v>
      </c>
      <c r="Y152" s="95">
        <v>1250</v>
      </c>
      <c r="Z152" s="95">
        <v>1129</v>
      </c>
      <c r="AA152" s="95">
        <v>45290</v>
      </c>
      <c r="AB152" s="95">
        <v>126326</v>
      </c>
      <c r="AC152" s="95">
        <v>134780</v>
      </c>
      <c r="AF152"/>
      <c r="AG152"/>
      <c r="AH152" s="95">
        <v>45954</v>
      </c>
      <c r="AI152" s="95">
        <v>45789</v>
      </c>
      <c r="AJ152" s="95">
        <v>45643</v>
      </c>
      <c r="AK152" s="95">
        <v>45746</v>
      </c>
      <c r="AL152" s="95">
        <v>45442</v>
      </c>
      <c r="AM152" s="95">
        <v>118336</v>
      </c>
      <c r="AN152" s="95">
        <v>102449</v>
      </c>
      <c r="AO152" s="95">
        <v>107231000</v>
      </c>
      <c r="AP152" s="95">
        <v>126326</v>
      </c>
      <c r="AQ152" s="95">
        <v>134780</v>
      </c>
      <c r="AR152" s="95">
        <v>137634</v>
      </c>
    </row>
    <row r="153" spans="1:44" ht="12.5" x14ac:dyDescent="0.25">
      <c r="A153" s="95" t="s">
        <v>518</v>
      </c>
      <c r="B153" s="95" t="s">
        <v>262</v>
      </c>
      <c r="C153" s="95">
        <f t="shared" si="6"/>
        <v>2786.9</v>
      </c>
      <c r="D153" s="95">
        <f t="shared" si="7"/>
        <v>2964.3</v>
      </c>
      <c r="E153" s="184">
        <v>2874000</v>
      </c>
      <c r="F153" s="184">
        <f t="shared" si="8"/>
        <v>8427953.7228500154</v>
      </c>
      <c r="G153" s="95">
        <v>4862</v>
      </c>
      <c r="H153" s="95">
        <v>4980</v>
      </c>
      <c r="I153" s="95">
        <v>2302</v>
      </c>
      <c r="J153" s="95">
        <v>4705</v>
      </c>
      <c r="K153" s="95">
        <v>3286</v>
      </c>
      <c r="L153" s="95">
        <v>2934</v>
      </c>
      <c r="M153" s="95">
        <v>1831</v>
      </c>
      <c r="N153" s="95">
        <v>3656</v>
      </c>
      <c r="O153" s="95">
        <v>2169</v>
      </c>
      <c r="P153" s="95">
        <v>904</v>
      </c>
      <c r="Q153" s="95">
        <v>1725</v>
      </c>
      <c r="R153" s="95">
        <v>1753</v>
      </c>
      <c r="S153" s="95">
        <v>180</v>
      </c>
      <c r="T153" s="95">
        <v>439</v>
      </c>
      <c r="U153" s="95">
        <v>2074</v>
      </c>
      <c r="V153" s="95">
        <v>2218</v>
      </c>
      <c r="W153" s="95">
        <v>5191</v>
      </c>
      <c r="X153" s="95">
        <v>4629</v>
      </c>
      <c r="Y153" s="95">
        <v>4249</v>
      </c>
      <c r="Z153" s="95">
        <v>3425</v>
      </c>
      <c r="AA153" s="95">
        <v>23041</v>
      </c>
      <c r="AB153" s="95">
        <v>61554</v>
      </c>
      <c r="AC153" s="95">
        <v>58991</v>
      </c>
      <c r="AF153"/>
      <c r="AG153"/>
      <c r="AH153" s="95">
        <v>22524</v>
      </c>
      <c r="AI153" s="95">
        <v>22671</v>
      </c>
      <c r="AJ153" s="95">
        <v>22736</v>
      </c>
      <c r="AK153" s="95">
        <v>22811</v>
      </c>
      <c r="AL153" s="95">
        <v>22940</v>
      </c>
      <c r="AM153" s="95">
        <v>66786</v>
      </c>
      <c r="AN153" s="95">
        <v>63834</v>
      </c>
      <c r="AO153" s="95">
        <v>64682000</v>
      </c>
      <c r="AP153" s="95">
        <v>61554</v>
      </c>
      <c r="AQ153" s="95">
        <v>58991</v>
      </c>
      <c r="AR153" s="95">
        <v>58410</v>
      </c>
    </row>
    <row r="154" spans="1:44" ht="12.5" x14ac:dyDescent="0.25">
      <c r="A154" s="95" t="s">
        <v>521</v>
      </c>
      <c r="B154" s="95" t="s">
        <v>301</v>
      </c>
      <c r="C154" s="95">
        <f t="shared" si="6"/>
        <v>2519.6999999999998</v>
      </c>
      <c r="D154" s="95">
        <f t="shared" si="7"/>
        <v>2692</v>
      </c>
      <c r="E154" s="184">
        <v>2623000</v>
      </c>
      <c r="F154" s="184">
        <f t="shared" si="8"/>
        <v>10759805.855273472</v>
      </c>
      <c r="G154" s="95">
        <v>9</v>
      </c>
      <c r="H154" s="95">
        <v>301</v>
      </c>
      <c r="I154" s="95">
        <v>4585</v>
      </c>
      <c r="J154" s="95">
        <v>3620</v>
      </c>
      <c r="K154" s="95">
        <v>5143</v>
      </c>
      <c r="L154" s="95">
        <v>6442</v>
      </c>
      <c r="M154" s="95">
        <v>3472</v>
      </c>
      <c r="N154" s="95">
        <v>3621</v>
      </c>
      <c r="O154" s="95">
        <v>3272</v>
      </c>
      <c r="P154" s="95">
        <v>4192</v>
      </c>
      <c r="Q154" s="95">
        <v>4039</v>
      </c>
      <c r="R154" s="95">
        <v>4030</v>
      </c>
      <c r="S154" s="95">
        <v>1318</v>
      </c>
      <c r="T154" s="95">
        <v>769</v>
      </c>
      <c r="U154" s="95">
        <v>605</v>
      </c>
      <c r="V154" s="95">
        <v>774</v>
      </c>
      <c r="W154" s="95">
        <v>2019</v>
      </c>
      <c r="X154" s="95">
        <v>2614</v>
      </c>
      <c r="Y154" s="95">
        <v>735</v>
      </c>
      <c r="Z154" s="95">
        <v>557</v>
      </c>
      <c r="AA154" s="95">
        <v>29416</v>
      </c>
      <c r="AB154" s="95">
        <v>58609</v>
      </c>
      <c r="AC154" s="95">
        <v>59863</v>
      </c>
      <c r="AF154"/>
      <c r="AG154"/>
      <c r="AH154" s="95">
        <v>29139</v>
      </c>
      <c r="AI154" s="95">
        <v>29290</v>
      </c>
      <c r="AJ154" s="95">
        <v>29353</v>
      </c>
      <c r="AK154" s="95">
        <v>29484</v>
      </c>
      <c r="AL154" s="95">
        <v>29410</v>
      </c>
      <c r="AM154" s="95">
        <v>49815</v>
      </c>
      <c r="AN154" s="95">
        <v>54210</v>
      </c>
      <c r="AO154" s="95">
        <v>56420000</v>
      </c>
      <c r="AP154" s="95">
        <v>58609</v>
      </c>
      <c r="AQ154" s="95">
        <v>59863</v>
      </c>
      <c r="AR154" s="95">
        <v>59126</v>
      </c>
    </row>
    <row r="155" spans="1:44" ht="12.5" x14ac:dyDescent="0.25">
      <c r="A155" s="95" t="s">
        <v>521</v>
      </c>
      <c r="B155" s="95" t="s">
        <v>478</v>
      </c>
      <c r="C155" s="95">
        <f t="shared" si="6"/>
        <v>8351.7000000000007</v>
      </c>
      <c r="D155" s="95">
        <f t="shared" si="7"/>
        <v>7691.2</v>
      </c>
      <c r="E155" s="184">
        <v>6474000</v>
      </c>
      <c r="F155" s="184">
        <f t="shared" si="8"/>
        <v>20873277.166548159</v>
      </c>
      <c r="G155" s="95">
        <v>8984</v>
      </c>
      <c r="H155" s="95">
        <v>8884</v>
      </c>
      <c r="I155" s="95">
        <v>12373</v>
      </c>
      <c r="J155" s="95">
        <v>12523</v>
      </c>
      <c r="K155" s="95">
        <v>7606</v>
      </c>
      <c r="L155" s="95">
        <v>5896</v>
      </c>
      <c r="M155" s="95">
        <v>8968</v>
      </c>
      <c r="N155" s="95">
        <v>7939</v>
      </c>
      <c r="O155" s="95">
        <v>6278</v>
      </c>
      <c r="P155" s="95">
        <v>6271</v>
      </c>
      <c r="Q155" s="95">
        <v>6827</v>
      </c>
      <c r="R155" s="95">
        <v>8737</v>
      </c>
      <c r="S155" s="95">
        <v>8139</v>
      </c>
      <c r="T155" s="95">
        <v>5783</v>
      </c>
      <c r="U155" s="95">
        <v>11542</v>
      </c>
      <c r="V155" s="95">
        <v>10614</v>
      </c>
      <c r="W155" s="95">
        <v>3391</v>
      </c>
      <c r="X155" s="95">
        <v>2759</v>
      </c>
      <c r="Y155" s="95">
        <v>9409</v>
      </c>
      <c r="Z155" s="95">
        <v>7506</v>
      </c>
      <c r="AA155" s="95">
        <v>57065</v>
      </c>
      <c r="AB155" s="95">
        <v>128012</v>
      </c>
      <c r="AC155" s="95">
        <v>125650</v>
      </c>
      <c r="AF155"/>
      <c r="AG155"/>
      <c r="AH155" s="95">
        <v>55218</v>
      </c>
      <c r="AI155" s="95">
        <v>55656</v>
      </c>
      <c r="AJ155" s="95">
        <v>56043</v>
      </c>
      <c r="AK155" s="95">
        <v>56271</v>
      </c>
      <c r="AL155" s="95">
        <v>56622</v>
      </c>
      <c r="AM155" s="95">
        <v>135261</v>
      </c>
      <c r="AN155" s="95">
        <v>116478</v>
      </c>
      <c r="AO155" s="95">
        <v>123496000</v>
      </c>
      <c r="AP155" s="95">
        <v>128012</v>
      </c>
      <c r="AQ155" s="95">
        <v>125650</v>
      </c>
      <c r="AR155" s="95">
        <v>128777</v>
      </c>
    </row>
    <row r="156" spans="1:44" ht="12.5" x14ac:dyDescent="0.25">
      <c r="A156" s="95" t="s">
        <v>517</v>
      </c>
      <c r="B156" s="95" t="s">
        <v>375</v>
      </c>
      <c r="C156" s="95">
        <f t="shared" si="6"/>
        <v>6519.3</v>
      </c>
      <c r="D156" s="95">
        <f t="shared" si="7"/>
        <v>6186.9</v>
      </c>
      <c r="E156" s="184">
        <v>2312000</v>
      </c>
      <c r="F156" s="184">
        <f t="shared" si="8"/>
        <v>8392838.7730911691</v>
      </c>
      <c r="G156" s="95">
        <v>4237</v>
      </c>
      <c r="H156" s="95">
        <v>4303</v>
      </c>
      <c r="I156" s="95">
        <v>6576</v>
      </c>
      <c r="J156" s="95">
        <v>5488</v>
      </c>
      <c r="K156" s="95">
        <v>6057</v>
      </c>
      <c r="L156" s="95">
        <v>7411</v>
      </c>
      <c r="M156" s="95">
        <v>9554</v>
      </c>
      <c r="N156" s="95">
        <v>10019</v>
      </c>
      <c r="O156" s="95">
        <v>5525</v>
      </c>
      <c r="P156" s="95">
        <v>6229</v>
      </c>
      <c r="Q156" s="95">
        <v>6146</v>
      </c>
      <c r="R156" s="95">
        <v>5262</v>
      </c>
      <c r="S156" s="95">
        <v>6598</v>
      </c>
      <c r="T156" s="95">
        <v>4787</v>
      </c>
      <c r="U156" s="95">
        <v>8962</v>
      </c>
      <c r="V156" s="95">
        <v>7844</v>
      </c>
      <c r="W156" s="95">
        <v>5314</v>
      </c>
      <c r="X156" s="95">
        <v>5060</v>
      </c>
      <c r="Y156" s="95">
        <v>6224</v>
      </c>
      <c r="Z156" s="95">
        <v>5466</v>
      </c>
      <c r="AA156" s="95">
        <v>22945</v>
      </c>
      <c r="AB156" s="95">
        <v>46787</v>
      </c>
      <c r="AC156" s="95">
        <v>50369</v>
      </c>
      <c r="AF156"/>
      <c r="AG156"/>
      <c r="AH156" s="95">
        <v>21945</v>
      </c>
      <c r="AI156" s="95">
        <v>22159</v>
      </c>
      <c r="AJ156" s="95">
        <v>22334</v>
      </c>
      <c r="AK156" s="95">
        <v>22498</v>
      </c>
      <c r="AL156" s="95">
        <v>22805</v>
      </c>
      <c r="AM156" s="95">
        <v>45756</v>
      </c>
      <c r="AN156" s="95">
        <v>48412</v>
      </c>
      <c r="AO156" s="95">
        <v>48439000</v>
      </c>
      <c r="AP156" s="95">
        <v>46787</v>
      </c>
      <c r="AQ156" s="95">
        <v>50369</v>
      </c>
      <c r="AR156" s="95">
        <v>51271</v>
      </c>
    </row>
    <row r="157" spans="1:44" ht="12.5" x14ac:dyDescent="0.25">
      <c r="A157" s="95" t="s">
        <v>517</v>
      </c>
      <c r="B157" s="280" t="s">
        <v>868</v>
      </c>
      <c r="C157" s="95">
        <f t="shared" si="6"/>
        <v>15790.7</v>
      </c>
      <c r="D157" s="95">
        <f t="shared" si="7"/>
        <v>15346.9</v>
      </c>
      <c r="E157" s="296">
        <v>14245000</v>
      </c>
      <c r="F157" s="184">
        <f t="shared" si="8"/>
        <v>33188748.4522839</v>
      </c>
      <c r="G157" s="280">
        <v>17573</v>
      </c>
      <c r="H157" s="280">
        <v>17893</v>
      </c>
      <c r="I157" s="95">
        <v>19543</v>
      </c>
      <c r="J157" s="95">
        <v>19502</v>
      </c>
      <c r="K157" s="95">
        <v>35729</v>
      </c>
      <c r="L157" s="95">
        <v>40046</v>
      </c>
      <c r="M157" s="95">
        <v>12631</v>
      </c>
      <c r="N157" s="95">
        <v>14116</v>
      </c>
      <c r="O157" s="95">
        <v>3344</v>
      </c>
      <c r="P157" s="95">
        <v>4025</v>
      </c>
      <c r="Q157" s="95">
        <v>6444</v>
      </c>
      <c r="R157" s="95">
        <v>5397</v>
      </c>
      <c r="S157" s="95">
        <v>14142</v>
      </c>
      <c r="T157" s="95">
        <v>11270</v>
      </c>
      <c r="U157" s="95">
        <v>10256</v>
      </c>
      <c r="V157" s="95">
        <v>10765</v>
      </c>
      <c r="W157" s="95">
        <v>17294</v>
      </c>
      <c r="X157" s="95">
        <v>17128</v>
      </c>
      <c r="Y157" s="95">
        <v>20951</v>
      </c>
      <c r="Z157" s="95">
        <v>13327</v>
      </c>
      <c r="AA157" s="95">
        <v>90734</v>
      </c>
      <c r="AB157" s="95">
        <v>257684</v>
      </c>
      <c r="AC157" s="95">
        <v>266652</v>
      </c>
      <c r="AF157"/>
      <c r="AG157"/>
      <c r="AH157" s="95">
        <v>88209</v>
      </c>
      <c r="AI157" s="95">
        <v>88621</v>
      </c>
      <c r="AJ157" s="95">
        <v>88969</v>
      </c>
      <c r="AK157" s="95">
        <v>89523</v>
      </c>
      <c r="AL157" s="95">
        <v>90194</v>
      </c>
      <c r="AM157" s="95">
        <v>275994</v>
      </c>
      <c r="AN157" s="95">
        <v>281885</v>
      </c>
      <c r="AO157" s="95">
        <v>254238000</v>
      </c>
      <c r="AP157" s="95">
        <v>257684</v>
      </c>
      <c r="AQ157" s="95">
        <v>266652</v>
      </c>
      <c r="AR157" s="95">
        <v>269598</v>
      </c>
    </row>
    <row r="158" spans="1:44" ht="12.5" x14ac:dyDescent="0.25">
      <c r="A158" s="95" t="s">
        <v>526</v>
      </c>
      <c r="B158" s="95" t="s">
        <v>410</v>
      </c>
      <c r="C158" s="95">
        <f t="shared" si="6"/>
        <v>1380.9</v>
      </c>
      <c r="D158" s="95">
        <f t="shared" si="7"/>
        <v>1348.9</v>
      </c>
      <c r="E158" s="184">
        <v>7056000</v>
      </c>
      <c r="F158" s="184">
        <f t="shared" si="8"/>
        <v>13539739.377848886</v>
      </c>
      <c r="G158" s="95">
        <v>145</v>
      </c>
      <c r="H158" s="95">
        <v>320</v>
      </c>
      <c r="I158" s="95">
        <v>3860</v>
      </c>
      <c r="J158" s="95">
        <v>3409</v>
      </c>
      <c r="K158" s="95">
        <v>3552</v>
      </c>
      <c r="L158" s="95">
        <v>2228</v>
      </c>
      <c r="M158" s="95">
        <v>587</v>
      </c>
      <c r="N158" s="95">
        <v>880</v>
      </c>
      <c r="O158" s="95">
        <v>2454</v>
      </c>
      <c r="P158" s="95">
        <v>2611</v>
      </c>
      <c r="Q158" s="95">
        <v>2295</v>
      </c>
      <c r="R158" s="95">
        <v>2491</v>
      </c>
      <c r="S158" s="95">
        <v>294</v>
      </c>
      <c r="T158" s="95">
        <v>314</v>
      </c>
      <c r="U158" s="95">
        <v>179</v>
      </c>
      <c r="V158" s="95">
        <v>242</v>
      </c>
      <c r="W158" s="95">
        <v>267</v>
      </c>
      <c r="X158" s="95">
        <v>615</v>
      </c>
      <c r="Y158" s="95">
        <v>176</v>
      </c>
      <c r="Z158" s="95">
        <v>379</v>
      </c>
      <c r="AA158" s="95">
        <v>37016</v>
      </c>
      <c r="AB158" s="95">
        <v>75574</v>
      </c>
      <c r="AC158" s="95">
        <v>78149</v>
      </c>
      <c r="AF158"/>
      <c r="AG158"/>
      <c r="AH158" s="95">
        <v>37479</v>
      </c>
      <c r="AI158" s="95">
        <v>37591</v>
      </c>
      <c r="AJ158" s="95">
        <v>37596</v>
      </c>
      <c r="AK158" s="95">
        <v>37460</v>
      </c>
      <c r="AL158" s="95">
        <v>37262</v>
      </c>
      <c r="AM158" s="95">
        <v>58967</v>
      </c>
      <c r="AN158" s="95">
        <v>66829</v>
      </c>
      <c r="AO158" s="95">
        <v>74221000</v>
      </c>
      <c r="AP158" s="95">
        <v>75574</v>
      </c>
      <c r="AQ158" s="95">
        <v>78149</v>
      </c>
      <c r="AR158" s="95">
        <v>81956</v>
      </c>
    </row>
    <row r="159" spans="1:44" ht="12.5" x14ac:dyDescent="0.25">
      <c r="A159" s="95" t="s">
        <v>518</v>
      </c>
      <c r="B159" s="95" t="s">
        <v>263</v>
      </c>
      <c r="C159" s="95">
        <f t="shared" si="6"/>
        <v>3271.4</v>
      </c>
      <c r="D159" s="95">
        <f t="shared" si="7"/>
        <v>2974.9</v>
      </c>
      <c r="E159" s="184">
        <v>1425000</v>
      </c>
      <c r="F159" s="184">
        <f t="shared" si="8"/>
        <v>4228425.2001278671</v>
      </c>
      <c r="G159" s="95">
        <v>216</v>
      </c>
      <c r="H159" s="95">
        <v>39</v>
      </c>
      <c r="I159" s="95">
        <v>3661</v>
      </c>
      <c r="J159" s="95">
        <v>5445</v>
      </c>
      <c r="K159" s="95">
        <v>5359</v>
      </c>
      <c r="L159" s="95">
        <v>5760</v>
      </c>
      <c r="M159" s="95">
        <v>4030</v>
      </c>
      <c r="N159" s="95">
        <v>3101</v>
      </c>
      <c r="O159" s="95">
        <v>10850</v>
      </c>
      <c r="P159" s="95">
        <v>9209</v>
      </c>
      <c r="Q159" s="95">
        <v>4842</v>
      </c>
      <c r="R159" s="95">
        <v>4841</v>
      </c>
      <c r="S159" s="95">
        <v>3035</v>
      </c>
      <c r="T159" s="95">
        <v>1087</v>
      </c>
      <c r="U159" s="95">
        <v>433</v>
      </c>
      <c r="V159" s="95">
        <v>192</v>
      </c>
      <c r="W159" s="95">
        <v>69</v>
      </c>
      <c r="X159" s="95">
        <v>33</v>
      </c>
      <c r="Y159" s="95">
        <v>219</v>
      </c>
      <c r="Z159" s="95">
        <v>42</v>
      </c>
      <c r="AA159" s="95">
        <v>11560</v>
      </c>
      <c r="AB159" s="95">
        <v>20191</v>
      </c>
      <c r="AC159" s="95">
        <v>20429</v>
      </c>
      <c r="AF159"/>
      <c r="AG159"/>
      <c r="AH159" s="95">
        <v>11270</v>
      </c>
      <c r="AI159" s="95">
        <v>11439</v>
      </c>
      <c r="AJ159" s="95">
        <v>11498</v>
      </c>
      <c r="AK159" s="95">
        <v>11482</v>
      </c>
      <c r="AL159" s="95">
        <v>11565</v>
      </c>
      <c r="AM159" s="95">
        <v>18819</v>
      </c>
      <c r="AN159" s="95">
        <v>18769</v>
      </c>
      <c r="AO159" s="95">
        <v>19152000</v>
      </c>
      <c r="AP159" s="95">
        <v>20191</v>
      </c>
      <c r="AQ159" s="95">
        <v>20429</v>
      </c>
      <c r="AR159" s="95">
        <v>20828</v>
      </c>
    </row>
    <row r="160" spans="1:44" ht="12.5" x14ac:dyDescent="0.25">
      <c r="A160" s="95" t="s">
        <v>521</v>
      </c>
      <c r="B160" s="95" t="s">
        <v>302</v>
      </c>
      <c r="C160" s="95">
        <f t="shared" si="6"/>
        <v>44394.3</v>
      </c>
      <c r="D160" s="95">
        <f t="shared" si="7"/>
        <v>44808</v>
      </c>
      <c r="E160" s="184">
        <v>8910000</v>
      </c>
      <c r="F160" s="184">
        <f t="shared" si="8"/>
        <v>23453128.631643474</v>
      </c>
      <c r="G160" s="95">
        <v>38143</v>
      </c>
      <c r="H160" s="95">
        <v>38888</v>
      </c>
      <c r="I160" s="95">
        <v>35655</v>
      </c>
      <c r="J160" s="95">
        <v>52531</v>
      </c>
      <c r="K160" s="95">
        <v>45348</v>
      </c>
      <c r="L160" s="95">
        <v>89045</v>
      </c>
      <c r="M160" s="95">
        <v>24409</v>
      </c>
      <c r="N160" s="95">
        <v>27335</v>
      </c>
      <c r="O160" s="95">
        <v>71067</v>
      </c>
      <c r="P160" s="95">
        <v>37357</v>
      </c>
      <c r="Q160" s="95">
        <v>83006</v>
      </c>
      <c r="R160" s="95">
        <v>65990</v>
      </c>
      <c r="S160" s="95">
        <v>25675</v>
      </c>
      <c r="T160" s="95">
        <v>25679</v>
      </c>
      <c r="U160" s="95">
        <v>48351</v>
      </c>
      <c r="V160" s="95">
        <v>45277</v>
      </c>
      <c r="W160" s="95">
        <v>29901</v>
      </c>
      <c r="X160" s="95">
        <v>30583</v>
      </c>
      <c r="Y160" s="95">
        <v>42388</v>
      </c>
      <c r="Z160" s="95">
        <v>35395</v>
      </c>
      <c r="AA160" s="95">
        <v>64118</v>
      </c>
      <c r="AB160" s="95">
        <v>208094</v>
      </c>
      <c r="AC160" s="95">
        <v>208413</v>
      </c>
      <c r="AF160"/>
      <c r="AG160"/>
      <c r="AH160" s="95">
        <v>60098</v>
      </c>
      <c r="AI160" s="95">
        <v>61174</v>
      </c>
      <c r="AJ160" s="95">
        <v>61617</v>
      </c>
      <c r="AK160" s="95">
        <v>62306</v>
      </c>
      <c r="AL160" s="95">
        <v>63363</v>
      </c>
      <c r="AM160" s="95">
        <v>223629</v>
      </c>
      <c r="AN160" s="95">
        <v>210943</v>
      </c>
      <c r="AO160" s="95">
        <v>215453000</v>
      </c>
      <c r="AP160" s="95">
        <v>208094</v>
      </c>
      <c r="AQ160" s="95">
        <v>208413</v>
      </c>
      <c r="AR160" s="95">
        <v>0</v>
      </c>
    </row>
    <row r="161" spans="1:44" ht="12.5" x14ac:dyDescent="0.25">
      <c r="A161" s="95" t="s">
        <v>518</v>
      </c>
      <c r="B161" s="95" t="s">
        <v>265</v>
      </c>
      <c r="C161" s="95">
        <f t="shared" si="6"/>
        <v>1469</v>
      </c>
      <c r="D161" s="95">
        <f t="shared" si="7"/>
        <v>1327.5</v>
      </c>
      <c r="E161" s="184">
        <v>1442000</v>
      </c>
      <c r="F161" s="184">
        <f t="shared" si="8"/>
        <v>4215988.6554216081</v>
      </c>
      <c r="G161" s="95">
        <v>0</v>
      </c>
      <c r="H161" s="95">
        <v>0</v>
      </c>
      <c r="I161" s="95">
        <v>406</v>
      </c>
      <c r="J161" s="95">
        <v>386</v>
      </c>
      <c r="K161" s="95">
        <v>521</v>
      </c>
      <c r="L161" s="95">
        <v>221</v>
      </c>
      <c r="M161" s="95">
        <v>481</v>
      </c>
      <c r="N161" s="95">
        <v>226</v>
      </c>
      <c r="O161" s="95">
        <v>1268</v>
      </c>
      <c r="P161" s="95">
        <v>1199</v>
      </c>
      <c r="Q161" s="95">
        <v>1331</v>
      </c>
      <c r="R161" s="95">
        <v>1355</v>
      </c>
      <c r="S161" s="95">
        <v>228</v>
      </c>
      <c r="T161" s="95">
        <v>222</v>
      </c>
      <c r="U161" s="95">
        <v>10173</v>
      </c>
      <c r="V161" s="95">
        <v>9332</v>
      </c>
      <c r="W161" s="95">
        <v>0</v>
      </c>
      <c r="X161" s="95">
        <v>16</v>
      </c>
      <c r="Y161" s="95">
        <v>282</v>
      </c>
      <c r="Z161" s="95">
        <v>318</v>
      </c>
      <c r="AA161" s="95">
        <v>11526</v>
      </c>
      <c r="AB161" s="95">
        <v>23105</v>
      </c>
      <c r="AC161" s="95">
        <v>22188</v>
      </c>
      <c r="AF161"/>
      <c r="AG161"/>
      <c r="AH161" s="95">
        <v>11089</v>
      </c>
      <c r="AI161" s="95">
        <v>11136</v>
      </c>
      <c r="AJ161" s="95">
        <v>11198</v>
      </c>
      <c r="AK161" s="95">
        <v>11271</v>
      </c>
      <c r="AL161" s="95">
        <v>11398</v>
      </c>
      <c r="AM161" s="95">
        <v>24775</v>
      </c>
      <c r="AN161" s="95">
        <v>23002</v>
      </c>
      <c r="AO161" s="95">
        <v>22566000</v>
      </c>
      <c r="AP161" s="95">
        <v>23105</v>
      </c>
      <c r="AQ161" s="95">
        <v>22188</v>
      </c>
      <c r="AR161" s="95">
        <v>30733</v>
      </c>
    </row>
    <row r="162" spans="1:44" ht="12.5" x14ac:dyDescent="0.25">
      <c r="A162" s="95" t="s">
        <v>520</v>
      </c>
      <c r="B162" s="95" t="s">
        <v>132</v>
      </c>
      <c r="C162" s="95">
        <f t="shared" si="6"/>
        <v>34454.791046931408</v>
      </c>
      <c r="D162" s="95">
        <f t="shared" si="7"/>
        <v>32341.287993811246</v>
      </c>
      <c r="E162" s="184">
        <v>22699000</v>
      </c>
      <c r="F162" s="184">
        <f t="shared" si="8"/>
        <v>45909139.002426349</v>
      </c>
      <c r="G162" s="95">
        <v>23384</v>
      </c>
      <c r="H162" s="95">
        <v>23223</v>
      </c>
      <c r="I162" s="95">
        <v>87017.123517276952</v>
      </c>
      <c r="J162" s="95">
        <v>88219.94966477566</v>
      </c>
      <c r="K162" s="95">
        <v>20064.38695203713</v>
      </c>
      <c r="L162" s="95">
        <v>20274.730273336772</v>
      </c>
      <c r="M162" s="95">
        <v>21724.400000000001</v>
      </c>
      <c r="N162" s="95">
        <v>22066.2</v>
      </c>
      <c r="O162" s="95">
        <v>48746</v>
      </c>
      <c r="P162" s="95">
        <v>48945</v>
      </c>
      <c r="Q162" s="95">
        <v>36548</v>
      </c>
      <c r="R162" s="95">
        <v>35608</v>
      </c>
      <c r="S162" s="95">
        <v>21552</v>
      </c>
      <c r="T162" s="95">
        <v>21185</v>
      </c>
      <c r="U162" s="95">
        <v>19252</v>
      </c>
      <c r="V162" s="95">
        <v>17281</v>
      </c>
      <c r="W162" s="95">
        <v>39139</v>
      </c>
      <c r="X162" s="95">
        <v>25331</v>
      </c>
      <c r="Y162" s="95">
        <v>27121</v>
      </c>
      <c r="Z162" s="95">
        <v>21279</v>
      </c>
      <c r="AA162" s="95">
        <v>125510</v>
      </c>
      <c r="AB162" s="95">
        <v>427712.21952564811</v>
      </c>
      <c r="AC162" s="95">
        <v>426185</v>
      </c>
      <c r="AF162"/>
      <c r="AG162"/>
      <c r="AH162" s="95">
        <v>122012</v>
      </c>
      <c r="AI162" s="95">
        <v>122206.3</v>
      </c>
      <c r="AJ162" s="95">
        <v>123114</v>
      </c>
      <c r="AK162" s="95">
        <v>124137</v>
      </c>
      <c r="AL162" s="95">
        <v>124481</v>
      </c>
      <c r="AM162" s="95">
        <v>366833.6</v>
      </c>
      <c r="AN162" s="95">
        <v>396947</v>
      </c>
      <c r="AO162" s="95">
        <v>406098800</v>
      </c>
      <c r="AP162" s="95">
        <v>427712.21952564811</v>
      </c>
      <c r="AQ162" s="95">
        <v>426185</v>
      </c>
      <c r="AR162" s="95">
        <v>434695</v>
      </c>
    </row>
    <row r="163" spans="1:44" ht="12.5" x14ac:dyDescent="0.25">
      <c r="A163" s="95" t="s">
        <v>521</v>
      </c>
      <c r="B163" s="95" t="s">
        <v>303</v>
      </c>
      <c r="C163" s="95">
        <f t="shared" si="6"/>
        <v>29703.4</v>
      </c>
      <c r="D163" s="95">
        <f t="shared" si="7"/>
        <v>34980.6</v>
      </c>
      <c r="E163" s="184">
        <v>28727000</v>
      </c>
      <c r="F163" s="184">
        <f t="shared" si="8"/>
        <v>45759168.904497936</v>
      </c>
      <c r="G163" s="95">
        <v>20540</v>
      </c>
      <c r="H163" s="95">
        <v>17279</v>
      </c>
      <c r="I163" s="95">
        <v>40363</v>
      </c>
      <c r="J163" s="95">
        <v>53626</v>
      </c>
      <c r="K163" s="95">
        <v>27796</v>
      </c>
      <c r="L163" s="95">
        <v>43167</v>
      </c>
      <c r="M163" s="95">
        <v>43094</v>
      </c>
      <c r="N163" s="95">
        <v>51563</v>
      </c>
      <c r="O163" s="95">
        <v>35369</v>
      </c>
      <c r="P163" s="95">
        <v>44820</v>
      </c>
      <c r="Q163" s="95">
        <v>40711</v>
      </c>
      <c r="R163" s="95">
        <v>40263</v>
      </c>
      <c r="S163" s="95">
        <v>26112</v>
      </c>
      <c r="T163" s="95">
        <v>26603</v>
      </c>
      <c r="U163" s="95">
        <v>24354</v>
      </c>
      <c r="V163" s="95">
        <v>29363</v>
      </c>
      <c r="W163" s="95">
        <v>18991</v>
      </c>
      <c r="X163" s="95">
        <v>24392</v>
      </c>
      <c r="Y163" s="95">
        <v>19704</v>
      </c>
      <c r="Z163" s="95">
        <v>18730</v>
      </c>
      <c r="AA163" s="95">
        <v>125100</v>
      </c>
      <c r="AB163" s="95">
        <v>684255</v>
      </c>
      <c r="AC163" s="95">
        <v>725680</v>
      </c>
      <c r="AF163"/>
      <c r="AG163"/>
      <c r="AH163" s="95">
        <v>123752</v>
      </c>
      <c r="AI163" s="95">
        <v>124320</v>
      </c>
      <c r="AJ163" s="95">
        <v>124797</v>
      </c>
      <c r="AK163" s="95">
        <v>125409</v>
      </c>
      <c r="AL163" s="95">
        <v>124093</v>
      </c>
      <c r="AM163" s="95">
        <v>565117</v>
      </c>
      <c r="AN163" s="95">
        <v>377194</v>
      </c>
      <c r="AO163" s="95">
        <v>644579000</v>
      </c>
      <c r="AP163" s="95">
        <v>684255</v>
      </c>
      <c r="AQ163" s="95">
        <v>725680</v>
      </c>
      <c r="AR163" s="95">
        <v>761260</v>
      </c>
    </row>
    <row r="164" spans="1:44" ht="12.5" x14ac:dyDescent="0.25">
      <c r="A164" s="95" t="s">
        <v>521</v>
      </c>
      <c r="B164" s="95" t="s">
        <v>304</v>
      </c>
      <c r="C164" s="95">
        <f t="shared" si="6"/>
        <v>6417.4</v>
      </c>
      <c r="D164" s="95">
        <f t="shared" si="7"/>
        <v>5803.7</v>
      </c>
      <c r="E164" s="184">
        <v>3825000</v>
      </c>
      <c r="F164" s="184">
        <f t="shared" si="8"/>
        <v>10044704.534663612</v>
      </c>
      <c r="G164" s="95">
        <v>2145</v>
      </c>
      <c r="H164" s="95">
        <v>1244</v>
      </c>
      <c r="I164" s="95">
        <v>19895</v>
      </c>
      <c r="J164" s="95">
        <v>15029</v>
      </c>
      <c r="K164" s="95">
        <v>8920</v>
      </c>
      <c r="L164" s="95">
        <v>9339</v>
      </c>
      <c r="M164" s="95">
        <v>8236</v>
      </c>
      <c r="N164" s="95">
        <v>6774</v>
      </c>
      <c r="O164" s="95">
        <v>13763</v>
      </c>
      <c r="P164" s="95">
        <v>11395</v>
      </c>
      <c r="Q164" s="95">
        <v>3910</v>
      </c>
      <c r="R164" s="95">
        <v>8162</v>
      </c>
      <c r="S164" s="95">
        <v>-176</v>
      </c>
      <c r="T164" s="95">
        <v>-1932</v>
      </c>
      <c r="U164" s="95">
        <v>309</v>
      </c>
      <c r="V164" s="95">
        <v>578</v>
      </c>
      <c r="W164" s="95">
        <v>6044</v>
      </c>
      <c r="X164" s="95">
        <v>6242</v>
      </c>
      <c r="Y164" s="95">
        <v>1128</v>
      </c>
      <c r="Z164" s="95">
        <v>1206</v>
      </c>
      <c r="AA164" s="95">
        <v>27461</v>
      </c>
      <c r="AB164" s="95">
        <v>75846</v>
      </c>
      <c r="AC164" s="95">
        <v>75459</v>
      </c>
      <c r="AF164"/>
      <c r="AG164"/>
      <c r="AH164" s="95">
        <v>27129</v>
      </c>
      <c r="AI164" s="95">
        <v>27214</v>
      </c>
      <c r="AJ164" s="95">
        <v>27122</v>
      </c>
      <c r="AK164" s="95">
        <v>27084</v>
      </c>
      <c r="AL164" s="95">
        <v>27377</v>
      </c>
      <c r="AM164" s="95">
        <v>80248</v>
      </c>
      <c r="AN164" s="95">
        <v>67877</v>
      </c>
      <c r="AO164" s="95">
        <v>72958000</v>
      </c>
      <c r="AP164" s="95">
        <v>75846</v>
      </c>
      <c r="AQ164" s="95">
        <v>75459</v>
      </c>
      <c r="AR164" s="95">
        <v>78964</v>
      </c>
    </row>
    <row r="165" spans="1:44" ht="12.5" x14ac:dyDescent="0.25">
      <c r="A165" s="95" t="s">
        <v>521</v>
      </c>
      <c r="B165" s="95" t="s">
        <v>305</v>
      </c>
      <c r="C165" s="95">
        <f t="shared" si="6"/>
        <v>9682.7999999999993</v>
      </c>
      <c r="D165" s="95">
        <f t="shared" si="7"/>
        <v>11161.6</v>
      </c>
      <c r="E165" s="184">
        <v>11840000</v>
      </c>
      <c r="F165" s="184">
        <f t="shared" si="8"/>
        <v>28036361.136626363</v>
      </c>
      <c r="G165" s="95">
        <v>16304</v>
      </c>
      <c r="H165" s="95">
        <v>16303</v>
      </c>
      <c r="I165" s="95">
        <v>27614</v>
      </c>
      <c r="J165" s="95">
        <v>28621</v>
      </c>
      <c r="K165" s="95">
        <v>9565</v>
      </c>
      <c r="L165" s="95">
        <v>12221</v>
      </c>
      <c r="M165" s="95">
        <v>8022</v>
      </c>
      <c r="N165" s="95">
        <v>26593</v>
      </c>
      <c r="O165" s="95">
        <v>1615</v>
      </c>
      <c r="P165" s="95">
        <v>1747</v>
      </c>
      <c r="Q165" s="95">
        <v>11965</v>
      </c>
      <c r="R165" s="95">
        <v>4293</v>
      </c>
      <c r="S165" s="95">
        <v>6888</v>
      </c>
      <c r="T165" s="95">
        <v>11238</v>
      </c>
      <c r="U165" s="95">
        <v>8875</v>
      </c>
      <c r="V165" s="95">
        <v>4373</v>
      </c>
      <c r="W165" s="95">
        <v>3168</v>
      </c>
      <c r="X165" s="95">
        <v>3306</v>
      </c>
      <c r="Y165" s="95">
        <v>2812</v>
      </c>
      <c r="Z165" s="95">
        <v>2921</v>
      </c>
      <c r="AA165" s="95">
        <v>76648</v>
      </c>
      <c r="AB165" s="95">
        <v>190181</v>
      </c>
      <c r="AC165" s="95">
        <v>205137</v>
      </c>
      <c r="AF165"/>
      <c r="AG165"/>
      <c r="AH165" s="95">
        <v>74608</v>
      </c>
      <c r="AI165" s="95">
        <v>74947</v>
      </c>
      <c r="AJ165" s="95">
        <v>75405</v>
      </c>
      <c r="AK165" s="95">
        <v>76541</v>
      </c>
      <c r="AL165" s="95">
        <v>76433</v>
      </c>
      <c r="AM165" s="95">
        <v>156222</v>
      </c>
      <c r="AN165" s="95">
        <v>167230</v>
      </c>
      <c r="AO165" s="95">
        <v>174777000</v>
      </c>
      <c r="AP165" s="95">
        <v>190181</v>
      </c>
      <c r="AQ165" s="95">
        <v>205137</v>
      </c>
      <c r="AR165" s="95">
        <v>212127</v>
      </c>
    </row>
    <row r="166" spans="1:44" ht="12.5" x14ac:dyDescent="0.25">
      <c r="A166" s="95" t="s">
        <v>523</v>
      </c>
      <c r="B166" s="95" t="s">
        <v>431</v>
      </c>
      <c r="C166" s="95">
        <f t="shared" si="6"/>
        <v>18455.7</v>
      </c>
      <c r="D166" s="95">
        <f t="shared" si="7"/>
        <v>19292.5</v>
      </c>
      <c r="E166" s="184">
        <v>11261000</v>
      </c>
      <c r="F166" s="184">
        <f t="shared" si="8"/>
        <v>29700663.442905065</v>
      </c>
      <c r="G166" s="95">
        <v>20432</v>
      </c>
      <c r="H166" s="95">
        <v>20469</v>
      </c>
      <c r="I166" s="95">
        <v>34115</v>
      </c>
      <c r="J166" s="95">
        <v>43714</v>
      </c>
      <c r="K166" s="95">
        <v>15612</v>
      </c>
      <c r="L166" s="95">
        <v>20801</v>
      </c>
      <c r="M166" s="95">
        <v>10905</v>
      </c>
      <c r="N166" s="95">
        <v>16419</v>
      </c>
      <c r="O166" s="95">
        <v>29748</v>
      </c>
      <c r="P166" s="95">
        <v>26316</v>
      </c>
      <c r="Q166" s="95">
        <v>10956</v>
      </c>
      <c r="R166" s="95">
        <v>9661</v>
      </c>
      <c r="S166" s="95">
        <v>7319</v>
      </c>
      <c r="T166" s="95">
        <v>7720</v>
      </c>
      <c r="U166" s="95">
        <v>17955</v>
      </c>
      <c r="V166" s="95">
        <v>15337</v>
      </c>
      <c r="W166" s="95">
        <v>17165</v>
      </c>
      <c r="X166" s="95">
        <v>14454</v>
      </c>
      <c r="Y166" s="95">
        <v>20350</v>
      </c>
      <c r="Z166" s="95">
        <v>18034</v>
      </c>
      <c r="AA166" s="95">
        <v>81198</v>
      </c>
      <c r="AB166" s="95">
        <v>233551</v>
      </c>
      <c r="AC166" s="95">
        <v>234058</v>
      </c>
      <c r="AF166"/>
      <c r="AG166"/>
      <c r="AH166" s="95">
        <v>76970</v>
      </c>
      <c r="AI166" s="95">
        <v>77378</v>
      </c>
      <c r="AJ166" s="95">
        <v>77872</v>
      </c>
      <c r="AK166" s="95">
        <v>78570</v>
      </c>
      <c r="AL166" s="95">
        <v>79811</v>
      </c>
      <c r="AM166" s="95">
        <v>251918</v>
      </c>
      <c r="AN166" s="95">
        <v>238408</v>
      </c>
      <c r="AO166" s="95">
        <v>233104000</v>
      </c>
      <c r="AP166" s="95">
        <v>233551</v>
      </c>
      <c r="AQ166" s="95">
        <v>234058</v>
      </c>
      <c r="AR166" s="95">
        <v>234860</v>
      </c>
    </row>
    <row r="167" spans="1:44" ht="12.5" x14ac:dyDescent="0.25">
      <c r="A167" s="95" t="s">
        <v>526</v>
      </c>
      <c r="B167" s="95" t="s">
        <v>411</v>
      </c>
      <c r="C167" s="95">
        <f t="shared" si="6"/>
        <v>494.2</v>
      </c>
      <c r="D167" s="95">
        <f t="shared" si="7"/>
        <v>1151.7</v>
      </c>
      <c r="E167" s="184">
        <v>6000000</v>
      </c>
      <c r="F167" s="184">
        <f t="shared" si="8"/>
        <v>13146525.096695127</v>
      </c>
      <c r="G167" s="95">
        <v>39</v>
      </c>
      <c r="H167" s="95">
        <v>33</v>
      </c>
      <c r="I167" s="95">
        <v>447</v>
      </c>
      <c r="J167" s="95">
        <v>1852</v>
      </c>
      <c r="K167" s="95">
        <v>610</v>
      </c>
      <c r="L167" s="95">
        <v>3744</v>
      </c>
      <c r="M167" s="95">
        <v>489</v>
      </c>
      <c r="N167" s="95">
        <v>568</v>
      </c>
      <c r="O167" s="95">
        <v>307</v>
      </c>
      <c r="P167" s="95">
        <v>609</v>
      </c>
      <c r="Q167" s="95">
        <v>644</v>
      </c>
      <c r="R167" s="95">
        <v>677</v>
      </c>
      <c r="S167" s="95">
        <v>1002</v>
      </c>
      <c r="T167" s="95">
        <v>2980</v>
      </c>
      <c r="U167" s="95">
        <v>96</v>
      </c>
      <c r="V167" s="95">
        <v>95</v>
      </c>
      <c r="W167" s="95">
        <v>367</v>
      </c>
      <c r="X167" s="95">
        <v>411</v>
      </c>
      <c r="Y167" s="95">
        <v>941</v>
      </c>
      <c r="Z167" s="95">
        <v>548</v>
      </c>
      <c r="AA167" s="95">
        <v>35941</v>
      </c>
      <c r="AB167" s="95">
        <v>95316</v>
      </c>
      <c r="AC167" s="95">
        <v>96996</v>
      </c>
      <c r="AF167"/>
      <c r="AG167"/>
      <c r="AH167" s="95">
        <v>35907</v>
      </c>
      <c r="AI167" s="95">
        <v>35843</v>
      </c>
      <c r="AJ167" s="95">
        <v>35671</v>
      </c>
      <c r="AK167" s="95">
        <v>35869</v>
      </c>
      <c r="AL167" s="95">
        <v>36045</v>
      </c>
      <c r="AM167" s="95">
        <v>95808</v>
      </c>
      <c r="AN167" s="95">
        <v>95564</v>
      </c>
      <c r="AO167" s="95">
        <v>94771000</v>
      </c>
      <c r="AP167" s="95">
        <v>95316</v>
      </c>
      <c r="AQ167" s="95">
        <v>96996</v>
      </c>
      <c r="AR167" s="95">
        <v>98093</v>
      </c>
    </row>
    <row r="168" spans="1:44" ht="12.5" x14ac:dyDescent="0.25">
      <c r="A168" s="95" t="s">
        <v>524</v>
      </c>
      <c r="B168" s="95" t="s">
        <v>223</v>
      </c>
      <c r="C168" s="95">
        <f t="shared" si="6"/>
        <v>6314.1</v>
      </c>
      <c r="D168" s="95">
        <f t="shared" si="7"/>
        <v>6966</v>
      </c>
      <c r="E168" s="184">
        <v>3191000</v>
      </c>
      <c r="F168" s="184">
        <f t="shared" si="8"/>
        <v>11231662.992657982</v>
      </c>
      <c r="G168" s="95">
        <v>401</v>
      </c>
      <c r="H168" s="95">
        <v>627</v>
      </c>
      <c r="I168" s="95">
        <v>3711</v>
      </c>
      <c r="J168" s="95">
        <v>2978</v>
      </c>
      <c r="K168" s="95">
        <v>4482</v>
      </c>
      <c r="L168" s="95">
        <v>6581</v>
      </c>
      <c r="M168" s="95">
        <v>13615</v>
      </c>
      <c r="N168" s="95">
        <v>13064</v>
      </c>
      <c r="O168" s="95">
        <v>9727</v>
      </c>
      <c r="P168" s="95">
        <v>11036</v>
      </c>
      <c r="Q168" s="95">
        <v>5984</v>
      </c>
      <c r="R168" s="95">
        <v>6788</v>
      </c>
      <c r="S168" s="95">
        <v>11212</v>
      </c>
      <c r="T168" s="95">
        <v>8042</v>
      </c>
      <c r="U168" s="95">
        <v>2229</v>
      </c>
      <c r="V168" s="95">
        <v>3473</v>
      </c>
      <c r="W168" s="95">
        <v>8250</v>
      </c>
      <c r="X168" s="95">
        <v>9096</v>
      </c>
      <c r="Y168" s="95">
        <v>3530</v>
      </c>
      <c r="Z168" s="95">
        <v>7975</v>
      </c>
      <c r="AA168" s="95">
        <v>30706</v>
      </c>
      <c r="AB168" s="95">
        <v>48461</v>
      </c>
      <c r="AC168" s="95">
        <v>56783</v>
      </c>
      <c r="AF168"/>
      <c r="AG168"/>
      <c r="AH168" s="95">
        <v>29674</v>
      </c>
      <c r="AI168" s="95">
        <v>29762</v>
      </c>
      <c r="AJ168" s="95">
        <v>30028</v>
      </c>
      <c r="AK168" s="95">
        <v>30352</v>
      </c>
      <c r="AL168" s="95">
        <v>30544</v>
      </c>
      <c r="AM168" s="95">
        <v>26452</v>
      </c>
      <c r="AN168" s="95">
        <v>23726</v>
      </c>
      <c r="AO168" s="95">
        <v>29182000</v>
      </c>
      <c r="AP168" s="95">
        <v>48461</v>
      </c>
      <c r="AQ168" s="95">
        <v>56783</v>
      </c>
      <c r="AR168" s="95">
        <v>58989</v>
      </c>
    </row>
    <row r="169" spans="1:44" ht="12.5" x14ac:dyDescent="0.25">
      <c r="A169" s="95" t="s">
        <v>519</v>
      </c>
      <c r="B169" s="95" t="s">
        <v>187</v>
      </c>
      <c r="C169" s="95">
        <f t="shared" si="6"/>
        <v>3351.3</v>
      </c>
      <c r="D169" s="95">
        <f t="shared" si="7"/>
        <v>3325.5</v>
      </c>
      <c r="E169" s="184">
        <v>4993000</v>
      </c>
      <c r="F169" s="184">
        <f t="shared" si="8"/>
        <v>17180354.950242713</v>
      </c>
      <c r="G169" s="95">
        <v>446</v>
      </c>
      <c r="H169" s="95">
        <v>447</v>
      </c>
      <c r="I169" s="95">
        <v>11659</v>
      </c>
      <c r="J169" s="95">
        <v>11459</v>
      </c>
      <c r="K169" s="95">
        <v>4279</v>
      </c>
      <c r="L169" s="95">
        <v>3251</v>
      </c>
      <c r="M169" s="95">
        <v>8303</v>
      </c>
      <c r="N169" s="95">
        <v>8686</v>
      </c>
      <c r="O169" s="95">
        <v>2415</v>
      </c>
      <c r="P169" s="95">
        <v>2999</v>
      </c>
      <c r="Q169" s="95">
        <v>2573</v>
      </c>
      <c r="R169" s="95">
        <v>1505</v>
      </c>
      <c r="S169" s="95">
        <v>36</v>
      </c>
      <c r="T169" s="95">
        <v>0</v>
      </c>
      <c r="U169" s="95">
        <v>1824</v>
      </c>
      <c r="V169" s="95">
        <v>2908</v>
      </c>
      <c r="W169" s="95">
        <v>722</v>
      </c>
      <c r="X169" s="95">
        <v>820</v>
      </c>
      <c r="Y169" s="95">
        <v>1256</v>
      </c>
      <c r="Z169" s="95">
        <v>1180</v>
      </c>
      <c r="AA169" s="95">
        <v>46969</v>
      </c>
      <c r="AB169" s="95">
        <v>97246</v>
      </c>
      <c r="AC169" s="95">
        <v>95476</v>
      </c>
      <c r="AF169"/>
      <c r="AG169"/>
      <c r="AH169" s="95">
        <v>46173</v>
      </c>
      <c r="AI169" s="95">
        <v>46383</v>
      </c>
      <c r="AJ169" s="95">
        <v>46466</v>
      </c>
      <c r="AK169" s="95">
        <v>46613</v>
      </c>
      <c r="AL169" s="95">
        <v>46822</v>
      </c>
      <c r="AM169" s="95">
        <v>107688</v>
      </c>
      <c r="AN169" s="95">
        <v>100061</v>
      </c>
      <c r="AO169" s="95">
        <v>101236000</v>
      </c>
      <c r="AP169" s="95">
        <v>97246</v>
      </c>
      <c r="AQ169" s="95">
        <v>95476</v>
      </c>
      <c r="AR169" s="95">
        <v>100901</v>
      </c>
    </row>
    <row r="170" spans="1:44" ht="12.5" x14ac:dyDescent="0.25">
      <c r="A170" s="95" t="s">
        <v>518</v>
      </c>
      <c r="B170" s="95" t="s">
        <v>306</v>
      </c>
      <c r="C170" s="95">
        <f t="shared" si="6"/>
        <v>1362.9</v>
      </c>
      <c r="D170" s="95">
        <f t="shared" si="7"/>
        <v>1446.7</v>
      </c>
      <c r="E170" s="184">
        <v>3793000</v>
      </c>
      <c r="F170" s="184">
        <f t="shared" si="8"/>
        <v>8417346.0817770306</v>
      </c>
      <c r="G170" s="95">
        <v>0</v>
      </c>
      <c r="H170" s="95">
        <v>21</v>
      </c>
      <c r="I170" s="95">
        <v>136</v>
      </c>
      <c r="J170" s="95">
        <v>982</v>
      </c>
      <c r="K170" s="95">
        <v>1145</v>
      </c>
      <c r="L170" s="95">
        <v>1050</v>
      </c>
      <c r="M170" s="95">
        <v>1383</v>
      </c>
      <c r="N170" s="95">
        <v>1523</v>
      </c>
      <c r="O170" s="95">
        <v>1989</v>
      </c>
      <c r="P170" s="95">
        <v>2143</v>
      </c>
      <c r="Q170" s="95">
        <v>5244</v>
      </c>
      <c r="R170" s="95">
        <v>5516</v>
      </c>
      <c r="S170" s="95">
        <v>934</v>
      </c>
      <c r="T170" s="95">
        <v>1168</v>
      </c>
      <c r="U170" s="95">
        <v>2798</v>
      </c>
      <c r="V170" s="95">
        <v>2064</v>
      </c>
      <c r="W170" s="95">
        <v>0</v>
      </c>
      <c r="X170" s="95">
        <v>0</v>
      </c>
      <c r="Y170" s="95">
        <v>0</v>
      </c>
      <c r="Z170" s="95">
        <v>0</v>
      </c>
      <c r="AA170" s="95">
        <v>23012</v>
      </c>
      <c r="AB170" s="95">
        <v>89276</v>
      </c>
      <c r="AC170" s="95">
        <v>93008</v>
      </c>
      <c r="AF170"/>
      <c r="AG170"/>
      <c r="AH170" s="95">
        <v>22713</v>
      </c>
      <c r="AI170" s="95">
        <v>22754</v>
      </c>
      <c r="AJ170" s="95">
        <v>22807</v>
      </c>
      <c r="AK170" s="95">
        <v>22891</v>
      </c>
      <c r="AL170" s="95">
        <v>22982</v>
      </c>
      <c r="AM170" s="95">
        <v>87098</v>
      </c>
      <c r="AN170" s="95">
        <v>89907</v>
      </c>
      <c r="AO170" s="95">
        <v>88744000</v>
      </c>
      <c r="AP170" s="95">
        <v>89276</v>
      </c>
      <c r="AQ170" s="95">
        <v>93008</v>
      </c>
      <c r="AR170" s="95">
        <v>93121</v>
      </c>
    </row>
    <row r="171" spans="1:44" ht="12.5" x14ac:dyDescent="0.25">
      <c r="A171" s="95" t="s">
        <v>519</v>
      </c>
      <c r="B171" s="95" t="s">
        <v>188</v>
      </c>
      <c r="C171" s="95">
        <f t="shared" si="6"/>
        <v>5218.8999999999996</v>
      </c>
      <c r="D171" s="95">
        <f t="shared" si="7"/>
        <v>5506.8</v>
      </c>
      <c r="E171" s="184">
        <v>3441000</v>
      </c>
      <c r="F171" s="184">
        <f t="shared" si="8"/>
        <v>12462515.137850912</v>
      </c>
      <c r="G171" s="95">
        <v>1461</v>
      </c>
      <c r="H171" s="95">
        <v>1385</v>
      </c>
      <c r="I171" s="95">
        <v>6560</v>
      </c>
      <c r="J171" s="95">
        <v>7208</v>
      </c>
      <c r="K171" s="95">
        <v>8401</v>
      </c>
      <c r="L171" s="95">
        <v>8546</v>
      </c>
      <c r="M171" s="95">
        <v>2992</v>
      </c>
      <c r="N171" s="95">
        <v>3240</v>
      </c>
      <c r="O171" s="95">
        <v>5577</v>
      </c>
      <c r="P171" s="95">
        <v>5740</v>
      </c>
      <c r="Q171" s="95">
        <v>3586</v>
      </c>
      <c r="R171" s="95">
        <v>3759</v>
      </c>
      <c r="S171" s="95">
        <v>6336</v>
      </c>
      <c r="T171" s="95">
        <v>8882</v>
      </c>
      <c r="U171" s="95">
        <v>4878</v>
      </c>
      <c r="V171" s="95">
        <v>4542</v>
      </c>
      <c r="W171" s="95">
        <v>5082</v>
      </c>
      <c r="X171" s="95">
        <v>4590</v>
      </c>
      <c r="Y171" s="95">
        <v>7316</v>
      </c>
      <c r="Z171" s="95">
        <v>7176</v>
      </c>
      <c r="AA171" s="95">
        <v>34071</v>
      </c>
      <c r="AB171" s="95">
        <v>83052</v>
      </c>
      <c r="AC171" s="95">
        <v>85237</v>
      </c>
      <c r="AF171"/>
      <c r="AG171"/>
      <c r="AH171" s="95">
        <v>33543</v>
      </c>
      <c r="AI171" s="95">
        <v>33562</v>
      </c>
      <c r="AJ171" s="95">
        <v>33600</v>
      </c>
      <c r="AK171" s="95">
        <v>33691</v>
      </c>
      <c r="AL171" s="95">
        <v>33948</v>
      </c>
      <c r="AM171" s="95">
        <v>79331</v>
      </c>
      <c r="AN171" s="95">
        <v>79010</v>
      </c>
      <c r="AO171" s="95">
        <v>79976000</v>
      </c>
      <c r="AP171" s="95">
        <v>83052</v>
      </c>
      <c r="AQ171" s="95">
        <v>85237</v>
      </c>
      <c r="AR171" s="95">
        <v>81440</v>
      </c>
    </row>
    <row r="172" spans="1:44" ht="12.5" x14ac:dyDescent="0.25">
      <c r="A172" s="95" t="s">
        <v>517</v>
      </c>
      <c r="B172" s="95" t="s">
        <v>377</v>
      </c>
      <c r="C172" s="95">
        <f t="shared" si="6"/>
        <v>4624.3999999999996</v>
      </c>
      <c r="D172" s="95">
        <f t="shared" si="7"/>
        <v>5113.8999999999996</v>
      </c>
      <c r="E172" s="184">
        <v>3017000</v>
      </c>
      <c r="F172" s="184">
        <f t="shared" si="8"/>
        <v>8694973.6533079166</v>
      </c>
      <c r="G172" s="95">
        <v>43</v>
      </c>
      <c r="H172" s="95">
        <v>557</v>
      </c>
      <c r="I172" s="95">
        <v>4651</v>
      </c>
      <c r="J172" s="95">
        <v>8986</v>
      </c>
      <c r="K172" s="95">
        <v>3209</v>
      </c>
      <c r="L172" s="95">
        <v>4583</v>
      </c>
      <c r="M172" s="95">
        <v>6689</v>
      </c>
      <c r="N172" s="95">
        <v>6883</v>
      </c>
      <c r="O172" s="95">
        <v>21877</v>
      </c>
      <c r="P172" s="95">
        <v>20424</v>
      </c>
      <c r="Q172" s="95">
        <v>3606</v>
      </c>
      <c r="R172" s="95">
        <v>3698</v>
      </c>
      <c r="S172" s="95">
        <v>2724</v>
      </c>
      <c r="T172" s="95">
        <v>2797</v>
      </c>
      <c r="U172" s="95">
        <v>1300</v>
      </c>
      <c r="V172" s="95">
        <v>1240</v>
      </c>
      <c r="W172" s="95">
        <v>749</v>
      </c>
      <c r="X172" s="95">
        <v>683</v>
      </c>
      <c r="Y172" s="95">
        <v>1396</v>
      </c>
      <c r="Z172" s="95">
        <v>1288</v>
      </c>
      <c r="AA172" s="95">
        <v>23771</v>
      </c>
      <c r="AB172" s="95">
        <v>44500</v>
      </c>
      <c r="AC172" s="95">
        <v>48970</v>
      </c>
      <c r="AF172"/>
      <c r="AG172"/>
      <c r="AH172" s="95">
        <v>23095</v>
      </c>
      <c r="AI172" s="95">
        <v>23126</v>
      </c>
      <c r="AJ172" s="95">
        <v>23333</v>
      </c>
      <c r="AK172" s="95">
        <v>23400</v>
      </c>
      <c r="AL172" s="95">
        <v>23504</v>
      </c>
      <c r="AM172" s="95">
        <v>33760</v>
      </c>
      <c r="AN172" s="95">
        <v>42106</v>
      </c>
      <c r="AO172" s="95">
        <v>43112000</v>
      </c>
      <c r="AP172" s="95">
        <v>44500</v>
      </c>
      <c r="AQ172" s="95">
        <v>48970</v>
      </c>
      <c r="AR172" s="95">
        <v>48783</v>
      </c>
    </row>
    <row r="173" spans="1:44" ht="12.5" x14ac:dyDescent="0.25">
      <c r="A173" s="95" t="s">
        <v>519</v>
      </c>
      <c r="B173" s="95" t="s">
        <v>224</v>
      </c>
      <c r="C173" s="95">
        <f t="shared" si="6"/>
        <v>0</v>
      </c>
      <c r="D173" s="95">
        <f t="shared" si="7"/>
        <v>0</v>
      </c>
      <c r="E173" s="184">
        <v>1396000</v>
      </c>
      <c r="F173" s="184">
        <f t="shared" si="8"/>
        <v>5308209.9052124228</v>
      </c>
      <c r="G173" s="95">
        <v>0</v>
      </c>
      <c r="H173" s="95">
        <v>0</v>
      </c>
      <c r="I173" s="95">
        <v>0</v>
      </c>
      <c r="J173" s="95">
        <v>0</v>
      </c>
      <c r="K173" s="95">
        <v>0</v>
      </c>
      <c r="L173" s="95">
        <v>0</v>
      </c>
      <c r="M173" s="95">
        <v>0</v>
      </c>
      <c r="N173" s="95">
        <v>0</v>
      </c>
      <c r="O173" s="95">
        <v>0</v>
      </c>
      <c r="P173" s="95">
        <v>0</v>
      </c>
      <c r="Q173" s="95">
        <v>0</v>
      </c>
      <c r="R173" s="95">
        <v>0</v>
      </c>
      <c r="S173" s="95">
        <v>0</v>
      </c>
      <c r="T173" s="95">
        <v>0</v>
      </c>
      <c r="U173" s="95">
        <v>0</v>
      </c>
      <c r="V173" s="95">
        <v>0</v>
      </c>
      <c r="W173" s="95">
        <v>0</v>
      </c>
      <c r="X173" s="95">
        <v>0</v>
      </c>
      <c r="Y173" s="95">
        <v>0</v>
      </c>
      <c r="Z173" s="95">
        <v>0</v>
      </c>
      <c r="AA173" s="95">
        <v>14512</v>
      </c>
      <c r="AB173" s="95">
        <v>16274</v>
      </c>
      <c r="AC173" s="95">
        <v>16303</v>
      </c>
      <c r="AF173"/>
      <c r="AG173"/>
      <c r="AH173" s="95">
        <v>14207</v>
      </c>
      <c r="AI173" s="95">
        <v>14386</v>
      </c>
      <c r="AJ173" s="95">
        <v>14477</v>
      </c>
      <c r="AK173" s="95">
        <v>14447</v>
      </c>
      <c r="AL173" s="95">
        <v>14456</v>
      </c>
      <c r="AM173" s="95">
        <v>16091</v>
      </c>
      <c r="AN173" s="95">
        <v>15461</v>
      </c>
      <c r="AO173" s="95">
        <v>14722000</v>
      </c>
      <c r="AP173" s="95">
        <v>16274</v>
      </c>
      <c r="AQ173" s="95">
        <v>16303</v>
      </c>
      <c r="AR173" s="95">
        <v>17475</v>
      </c>
    </row>
    <row r="174" spans="1:44" ht="12.5" x14ac:dyDescent="0.25">
      <c r="A174" s="95" t="s">
        <v>522</v>
      </c>
      <c r="B174" s="95" t="s">
        <v>152</v>
      </c>
      <c r="C174" s="95">
        <f t="shared" si="6"/>
        <v>3412.5</v>
      </c>
      <c r="D174" s="95">
        <f t="shared" si="7"/>
        <v>2799.3</v>
      </c>
      <c r="E174" s="184">
        <v>3417000</v>
      </c>
      <c r="F174" s="184">
        <f t="shared" si="8"/>
        <v>8440390.2675562743</v>
      </c>
      <c r="G174" s="95">
        <v>5359</v>
      </c>
      <c r="H174" s="95">
        <v>4108</v>
      </c>
      <c r="I174" s="95">
        <v>2852</v>
      </c>
      <c r="J174" s="95">
        <v>2920</v>
      </c>
      <c r="K174" s="95">
        <v>2342</v>
      </c>
      <c r="L174" s="95">
        <v>2897</v>
      </c>
      <c r="M174" s="95">
        <v>2432</v>
      </c>
      <c r="N174" s="95">
        <v>2804</v>
      </c>
      <c r="O174" s="95">
        <v>4360</v>
      </c>
      <c r="P174" s="95">
        <v>4325</v>
      </c>
      <c r="Q174" s="95">
        <v>1993</v>
      </c>
      <c r="R174" s="95">
        <v>1988</v>
      </c>
      <c r="S174" s="95">
        <v>3435</v>
      </c>
      <c r="T174" s="95">
        <v>835</v>
      </c>
      <c r="U174" s="95">
        <v>2976</v>
      </c>
      <c r="V174" s="95">
        <v>2804</v>
      </c>
      <c r="W174" s="95">
        <v>4806</v>
      </c>
      <c r="X174" s="95">
        <v>2522</v>
      </c>
      <c r="Y174" s="95">
        <v>3570</v>
      </c>
      <c r="Z174" s="95">
        <v>2790</v>
      </c>
      <c r="AA174" s="95">
        <v>23075</v>
      </c>
      <c r="AB174" s="95">
        <v>47248</v>
      </c>
      <c r="AC174" s="95">
        <v>49337</v>
      </c>
      <c r="AF174"/>
      <c r="AG174"/>
      <c r="AH174" s="95">
        <v>22480</v>
      </c>
      <c r="AI174" s="95">
        <v>22548</v>
      </c>
      <c r="AJ174" s="95">
        <v>22614</v>
      </c>
      <c r="AK174" s="95">
        <v>22666</v>
      </c>
      <c r="AL174" s="95">
        <v>22888</v>
      </c>
      <c r="AM174" s="95">
        <v>41607</v>
      </c>
      <c r="AN174" s="95">
        <v>39420</v>
      </c>
      <c r="AO174" s="95">
        <v>44288000</v>
      </c>
      <c r="AP174" s="95">
        <v>47248</v>
      </c>
      <c r="AQ174" s="95">
        <v>49337</v>
      </c>
      <c r="AR174" s="95">
        <v>54440</v>
      </c>
    </row>
    <row r="175" spans="1:44" ht="12.5" x14ac:dyDescent="0.25">
      <c r="A175" s="95" t="s">
        <v>519</v>
      </c>
      <c r="B175" s="95" t="s">
        <v>189</v>
      </c>
      <c r="C175" s="95">
        <f t="shared" si="6"/>
        <v>3820.7</v>
      </c>
      <c r="D175" s="95">
        <f t="shared" si="7"/>
        <v>3622.4</v>
      </c>
      <c r="E175" s="184">
        <v>2311000</v>
      </c>
      <c r="F175" s="184">
        <f t="shared" si="8"/>
        <v>9331432.117687026</v>
      </c>
      <c r="G175" s="95">
        <v>2350</v>
      </c>
      <c r="H175" s="95">
        <v>2186</v>
      </c>
      <c r="I175" s="95">
        <v>2054</v>
      </c>
      <c r="J175" s="95">
        <v>3147</v>
      </c>
      <c r="K175" s="95">
        <v>3249</v>
      </c>
      <c r="L175" s="95">
        <v>2891</v>
      </c>
      <c r="M175" s="95">
        <v>6139</v>
      </c>
      <c r="N175" s="95">
        <v>6362</v>
      </c>
      <c r="O175" s="95">
        <v>2346</v>
      </c>
      <c r="P175" s="95">
        <v>2573</v>
      </c>
      <c r="Q175" s="95">
        <v>2878</v>
      </c>
      <c r="R175" s="95">
        <v>1957</v>
      </c>
      <c r="S175" s="95">
        <v>2754</v>
      </c>
      <c r="T175" s="95">
        <v>2745</v>
      </c>
      <c r="U175" s="95">
        <v>12922</v>
      </c>
      <c r="V175" s="95">
        <v>10705</v>
      </c>
      <c r="W175" s="95">
        <v>1149</v>
      </c>
      <c r="X175" s="95">
        <v>1391</v>
      </c>
      <c r="Y175" s="95">
        <v>2366</v>
      </c>
      <c r="Z175" s="95">
        <v>2267</v>
      </c>
      <c r="AA175" s="95">
        <v>25511</v>
      </c>
      <c r="AB175" s="95">
        <v>50234</v>
      </c>
      <c r="AC175" s="95">
        <v>62765</v>
      </c>
      <c r="AF175"/>
      <c r="AG175"/>
      <c r="AH175" s="95">
        <v>24254</v>
      </c>
      <c r="AI175" s="95">
        <v>24327</v>
      </c>
      <c r="AJ175" s="95">
        <v>24703</v>
      </c>
      <c r="AK175" s="95">
        <v>24911</v>
      </c>
      <c r="AL175" s="95">
        <v>25452</v>
      </c>
      <c r="AM175" s="95">
        <v>45769</v>
      </c>
      <c r="AN175" s="95">
        <v>41207</v>
      </c>
      <c r="AO175" s="95">
        <v>47308000</v>
      </c>
      <c r="AP175" s="95">
        <v>50234</v>
      </c>
      <c r="AQ175" s="95">
        <v>62765</v>
      </c>
      <c r="AR175" s="95">
        <v>53917</v>
      </c>
    </row>
    <row r="176" spans="1:44" ht="12.5" x14ac:dyDescent="0.25">
      <c r="A176" s="95" t="s">
        <v>526</v>
      </c>
      <c r="B176" s="95" t="s">
        <v>412</v>
      </c>
      <c r="C176" s="95">
        <f t="shared" si="6"/>
        <v>1690.9</v>
      </c>
      <c r="D176" s="95">
        <f t="shared" si="7"/>
        <v>2091.8000000000002</v>
      </c>
      <c r="E176" s="184">
        <v>4089000</v>
      </c>
      <c r="F176" s="184">
        <f t="shared" si="8"/>
        <v>8788979.3000581656</v>
      </c>
      <c r="G176" s="95">
        <v>0</v>
      </c>
      <c r="H176" s="95">
        <v>-11</v>
      </c>
      <c r="I176" s="95">
        <v>2635</v>
      </c>
      <c r="J176" s="95">
        <v>2725</v>
      </c>
      <c r="K176" s="95">
        <v>1090</v>
      </c>
      <c r="L176" s="95">
        <v>3254</v>
      </c>
      <c r="M176" s="95">
        <v>1449</v>
      </c>
      <c r="N176" s="95">
        <v>1993</v>
      </c>
      <c r="O176" s="95">
        <v>1773</v>
      </c>
      <c r="P176" s="95">
        <v>3138</v>
      </c>
      <c r="Q176" s="95">
        <v>4533</v>
      </c>
      <c r="R176" s="95">
        <v>4683</v>
      </c>
      <c r="S176" s="95">
        <v>1766</v>
      </c>
      <c r="T176" s="95">
        <v>1577</v>
      </c>
      <c r="U176" s="95">
        <v>769</v>
      </c>
      <c r="V176" s="95">
        <v>221</v>
      </c>
      <c r="W176" s="95">
        <v>2092</v>
      </c>
      <c r="X176" s="95">
        <v>2652</v>
      </c>
      <c r="Y176" s="95">
        <v>802</v>
      </c>
      <c r="Z176" s="95">
        <v>686</v>
      </c>
      <c r="AA176" s="95">
        <v>24028</v>
      </c>
      <c r="AB176" s="95">
        <v>68196</v>
      </c>
      <c r="AC176" s="95">
        <v>77256</v>
      </c>
      <c r="AF176"/>
      <c r="AG176"/>
      <c r="AH176" s="95">
        <v>23773</v>
      </c>
      <c r="AI176" s="95">
        <v>23706</v>
      </c>
      <c r="AJ176" s="95">
        <v>23718</v>
      </c>
      <c r="AK176" s="95">
        <v>23937</v>
      </c>
      <c r="AL176" s="95">
        <v>23947</v>
      </c>
      <c r="AM176" s="95">
        <v>57037</v>
      </c>
      <c r="AN176" s="95">
        <v>58909</v>
      </c>
      <c r="AO176" s="95">
        <v>64187000</v>
      </c>
      <c r="AP176" s="95">
        <v>68196</v>
      </c>
      <c r="AQ176" s="95">
        <v>77256</v>
      </c>
      <c r="AR176" s="95">
        <v>80863</v>
      </c>
    </row>
    <row r="177" spans="1:44" ht="12.5" x14ac:dyDescent="0.25">
      <c r="A177" s="95" t="s">
        <v>517</v>
      </c>
      <c r="B177" s="280" t="s">
        <v>869</v>
      </c>
      <c r="C177" s="95">
        <f t="shared" si="6"/>
        <v>10979.9</v>
      </c>
      <c r="D177" s="95">
        <f t="shared" si="7"/>
        <v>7863.7</v>
      </c>
      <c r="E177" s="296">
        <v>7556000</v>
      </c>
      <c r="F177" s="184">
        <f t="shared" si="8"/>
        <v>21355376.164278999</v>
      </c>
      <c r="G177" s="280">
        <v>346</v>
      </c>
      <c r="H177" s="280">
        <v>110</v>
      </c>
      <c r="I177" s="95">
        <v>21023</v>
      </c>
      <c r="J177" s="95">
        <v>22503</v>
      </c>
      <c r="K177" s="95">
        <v>16656</v>
      </c>
      <c r="L177" s="95">
        <v>17564</v>
      </c>
      <c r="M177" s="95">
        <v>15901</v>
      </c>
      <c r="N177" s="95">
        <v>16426</v>
      </c>
      <c r="O177" s="95">
        <v>18148</v>
      </c>
      <c r="P177" s="95">
        <v>9859</v>
      </c>
      <c r="Q177" s="95">
        <v>16861</v>
      </c>
      <c r="R177" s="95">
        <v>9469</v>
      </c>
      <c r="S177" s="95">
        <v>5163</v>
      </c>
      <c r="T177" s="95">
        <v>-330</v>
      </c>
      <c r="U177" s="95">
        <v>8885</v>
      </c>
      <c r="V177" s="95">
        <v>2832</v>
      </c>
      <c r="W177" s="95">
        <v>5513</v>
      </c>
      <c r="X177" s="95">
        <v>-203</v>
      </c>
      <c r="Y177" s="95">
        <v>1303</v>
      </c>
      <c r="Z177" s="95">
        <v>407</v>
      </c>
      <c r="AA177" s="95">
        <v>58383</v>
      </c>
      <c r="AB177" s="95">
        <v>158806</v>
      </c>
      <c r="AC177" s="95">
        <v>168244</v>
      </c>
      <c r="AF177"/>
      <c r="AG177"/>
      <c r="AH177" s="95">
        <v>56704</v>
      </c>
      <c r="AI177" s="95">
        <v>57072</v>
      </c>
      <c r="AJ177" s="95">
        <v>57293</v>
      </c>
      <c r="AK177" s="95">
        <v>57839</v>
      </c>
      <c r="AL177" s="95">
        <v>58108</v>
      </c>
      <c r="AM177" s="95">
        <v>146174</v>
      </c>
      <c r="AN177" s="95">
        <v>148797</v>
      </c>
      <c r="AO177" s="95">
        <v>147059000</v>
      </c>
      <c r="AP177" s="95">
        <v>158806</v>
      </c>
      <c r="AQ177" s="95">
        <v>168244</v>
      </c>
      <c r="AR177" s="95">
        <v>169008</v>
      </c>
    </row>
    <row r="178" spans="1:44" ht="12.5" x14ac:dyDescent="0.25">
      <c r="A178" s="95" t="s">
        <v>521</v>
      </c>
      <c r="B178" s="95" t="s">
        <v>307</v>
      </c>
      <c r="C178" s="95">
        <f t="shared" si="6"/>
        <v>3591.1</v>
      </c>
      <c r="D178" s="95">
        <f t="shared" si="7"/>
        <v>4199.7</v>
      </c>
      <c r="E178" s="184">
        <v>5393000</v>
      </c>
      <c r="F178" s="184">
        <f t="shared" si="8"/>
        <v>12490680.253803322</v>
      </c>
      <c r="G178" s="95">
        <v>4064</v>
      </c>
      <c r="H178" s="95">
        <v>4091</v>
      </c>
      <c r="I178" s="95">
        <v>10823</v>
      </c>
      <c r="J178" s="95">
        <v>12443</v>
      </c>
      <c r="K178" s="95">
        <v>6435</v>
      </c>
      <c r="L178" s="95">
        <v>8919</v>
      </c>
      <c r="M178" s="95">
        <v>3797</v>
      </c>
      <c r="N178" s="95">
        <v>4161</v>
      </c>
      <c r="O178" s="95">
        <v>4188</v>
      </c>
      <c r="P178" s="95">
        <v>4636</v>
      </c>
      <c r="Q178" s="95">
        <v>2793</v>
      </c>
      <c r="R178" s="95">
        <v>2463</v>
      </c>
      <c r="S178" s="95">
        <v>71</v>
      </c>
      <c r="T178" s="95">
        <v>444</v>
      </c>
      <c r="U178" s="95">
        <v>879</v>
      </c>
      <c r="V178" s="95">
        <v>2087</v>
      </c>
      <c r="W178" s="95">
        <v>2364</v>
      </c>
      <c r="X178" s="95">
        <v>2148</v>
      </c>
      <c r="Y178" s="95">
        <v>497</v>
      </c>
      <c r="Z178" s="95">
        <v>605</v>
      </c>
      <c r="AA178" s="95">
        <v>34148</v>
      </c>
      <c r="AB178" s="95">
        <v>82582</v>
      </c>
      <c r="AC178" s="95">
        <v>87908</v>
      </c>
      <c r="AF178"/>
      <c r="AG178"/>
      <c r="AH178" s="95">
        <v>32443</v>
      </c>
      <c r="AI178" s="95">
        <v>32515</v>
      </c>
      <c r="AJ178" s="95">
        <v>32786</v>
      </c>
      <c r="AK178" s="95">
        <v>33168</v>
      </c>
      <c r="AL178" s="95">
        <v>33567</v>
      </c>
      <c r="AM178" s="95">
        <v>77192</v>
      </c>
      <c r="AN178" s="95">
        <v>76892</v>
      </c>
      <c r="AO178" s="95">
        <v>78727000</v>
      </c>
      <c r="AP178" s="95">
        <v>82582</v>
      </c>
      <c r="AQ178" s="95">
        <v>87908</v>
      </c>
      <c r="AR178" s="95">
        <v>91589</v>
      </c>
    </row>
    <row r="179" spans="1:44" ht="12.5" x14ac:dyDescent="0.25">
      <c r="A179" s="95" t="s">
        <v>526</v>
      </c>
      <c r="B179" s="95" t="s">
        <v>413</v>
      </c>
      <c r="C179" s="95">
        <f t="shared" si="6"/>
        <v>27834</v>
      </c>
      <c r="D179" s="95">
        <f t="shared" si="7"/>
        <v>28159.599999999999</v>
      </c>
      <c r="E179" s="184">
        <v>35629000</v>
      </c>
      <c r="F179" s="184">
        <f t="shared" si="8"/>
        <v>44298972.243692532</v>
      </c>
      <c r="G179" s="95">
        <v>9370</v>
      </c>
      <c r="H179" s="95">
        <v>9370</v>
      </c>
      <c r="I179" s="95">
        <v>26611</v>
      </c>
      <c r="J179" s="95">
        <v>26610</v>
      </c>
      <c r="K179" s="95">
        <v>61762</v>
      </c>
      <c r="L179" s="95">
        <v>65322</v>
      </c>
      <c r="M179" s="95">
        <v>112918</v>
      </c>
      <c r="N179" s="95">
        <v>112920</v>
      </c>
      <c r="O179" s="95">
        <v>15402</v>
      </c>
      <c r="P179" s="95">
        <v>15403</v>
      </c>
      <c r="Q179" s="95">
        <v>20952</v>
      </c>
      <c r="R179" s="95">
        <v>20953</v>
      </c>
      <c r="S179" s="95">
        <v>5715</v>
      </c>
      <c r="T179" s="95">
        <v>5715</v>
      </c>
      <c r="U179" s="95">
        <v>0</v>
      </c>
      <c r="V179" s="95">
        <v>0</v>
      </c>
      <c r="W179" s="95">
        <v>24210</v>
      </c>
      <c r="X179" s="95">
        <v>24210</v>
      </c>
      <c r="Y179" s="95">
        <v>1400</v>
      </c>
      <c r="Z179" s="95">
        <v>1093</v>
      </c>
      <c r="AA179" s="95">
        <v>121108</v>
      </c>
      <c r="AB179" s="95">
        <v>466068</v>
      </c>
      <c r="AC179" s="95">
        <v>497690</v>
      </c>
      <c r="AF179"/>
      <c r="AG179"/>
      <c r="AH179" s="95">
        <v>122798</v>
      </c>
      <c r="AI179" s="95">
        <v>122716</v>
      </c>
      <c r="AJ179" s="95">
        <v>121623</v>
      </c>
      <c r="AK179" s="95">
        <v>121898</v>
      </c>
      <c r="AL179" s="95">
        <v>120227</v>
      </c>
      <c r="AM179" s="95">
        <v>381745</v>
      </c>
      <c r="AN179" s="95">
        <v>423515</v>
      </c>
      <c r="AO179" s="95">
        <v>452239000</v>
      </c>
      <c r="AP179" s="95">
        <v>466068</v>
      </c>
      <c r="AQ179" s="95">
        <v>497690</v>
      </c>
      <c r="AR179" s="95">
        <v>523539</v>
      </c>
    </row>
    <row r="180" spans="1:44" ht="12.5" x14ac:dyDescent="0.25">
      <c r="A180" s="95" t="s">
        <v>518</v>
      </c>
      <c r="B180" s="95" t="s">
        <v>266</v>
      </c>
      <c r="C180" s="95">
        <f t="shared" si="6"/>
        <v>4614.6000000000004</v>
      </c>
      <c r="D180" s="95">
        <f t="shared" si="7"/>
        <v>4679.7</v>
      </c>
      <c r="E180" s="184">
        <v>5572000</v>
      </c>
      <c r="F180" s="184">
        <f t="shared" si="8"/>
        <v>16624734.026454287</v>
      </c>
      <c r="G180" s="95">
        <v>466</v>
      </c>
      <c r="H180" s="95">
        <v>466</v>
      </c>
      <c r="I180" s="95">
        <v>5961</v>
      </c>
      <c r="J180" s="95">
        <v>8495</v>
      </c>
      <c r="K180" s="95">
        <v>6155</v>
      </c>
      <c r="L180" s="95">
        <v>4598</v>
      </c>
      <c r="M180" s="95">
        <v>6056</v>
      </c>
      <c r="N180" s="95">
        <v>4690</v>
      </c>
      <c r="O180" s="95">
        <v>8464</v>
      </c>
      <c r="P180" s="95">
        <v>6365</v>
      </c>
      <c r="Q180" s="95">
        <v>6119</v>
      </c>
      <c r="R180" s="95">
        <v>6420</v>
      </c>
      <c r="S180" s="95">
        <v>3633</v>
      </c>
      <c r="T180" s="95">
        <v>5379</v>
      </c>
      <c r="U180" s="95">
        <v>3174</v>
      </c>
      <c r="V180" s="95">
        <v>3383</v>
      </c>
      <c r="W180" s="95">
        <v>2021</v>
      </c>
      <c r="X180" s="95">
        <v>3148</v>
      </c>
      <c r="Y180" s="95">
        <v>4097</v>
      </c>
      <c r="Z180" s="95">
        <v>3853</v>
      </c>
      <c r="AA180" s="95">
        <v>45450</v>
      </c>
      <c r="AB180" s="95">
        <v>72118</v>
      </c>
      <c r="AC180" s="95">
        <v>70414</v>
      </c>
      <c r="AF180"/>
      <c r="AG180"/>
      <c r="AH180" s="95">
        <v>44058</v>
      </c>
      <c r="AI180" s="95">
        <v>44479</v>
      </c>
      <c r="AJ180" s="95">
        <v>44833</v>
      </c>
      <c r="AK180" s="95">
        <v>45107</v>
      </c>
      <c r="AL180" s="95">
        <v>45165</v>
      </c>
      <c r="AM180" s="95">
        <v>74115</v>
      </c>
      <c r="AN180" s="95">
        <v>71756</v>
      </c>
      <c r="AO180" s="95">
        <v>72758470</v>
      </c>
      <c r="AP180" s="95">
        <v>72118</v>
      </c>
      <c r="AQ180" s="95">
        <v>70414</v>
      </c>
      <c r="AR180" s="95">
        <v>71919</v>
      </c>
    </row>
    <row r="181" spans="1:44" ht="12.5" x14ac:dyDescent="0.25">
      <c r="A181" s="95" t="s">
        <v>526</v>
      </c>
      <c r="B181" s="95" t="s">
        <v>414</v>
      </c>
      <c r="C181" s="95">
        <f t="shared" si="6"/>
        <v>362.3</v>
      </c>
      <c r="D181" s="95">
        <f t="shared" si="7"/>
        <v>370.7</v>
      </c>
      <c r="E181" s="184">
        <v>2721000</v>
      </c>
      <c r="F181" s="184">
        <f t="shared" si="8"/>
        <v>6796937.4626968876</v>
      </c>
      <c r="G181" s="95">
        <v>0</v>
      </c>
      <c r="H181" s="95">
        <v>0</v>
      </c>
      <c r="I181" s="95">
        <v>712</v>
      </c>
      <c r="J181" s="95">
        <v>604</v>
      </c>
      <c r="K181" s="95">
        <v>1102</v>
      </c>
      <c r="L181" s="95">
        <v>1436</v>
      </c>
      <c r="M181" s="95">
        <v>617</v>
      </c>
      <c r="N181" s="95">
        <v>434</v>
      </c>
      <c r="O181" s="95">
        <v>735</v>
      </c>
      <c r="P181" s="95">
        <v>894</v>
      </c>
      <c r="Q181" s="95">
        <v>457</v>
      </c>
      <c r="R181" s="95">
        <v>339</v>
      </c>
      <c r="S181" s="95">
        <v>0</v>
      </c>
      <c r="T181" s="95">
        <v>0</v>
      </c>
      <c r="U181" s="95">
        <v>0</v>
      </c>
      <c r="V181" s="95">
        <v>0</v>
      </c>
      <c r="W181" s="95">
        <v>0</v>
      </c>
      <c r="X181" s="95">
        <v>0</v>
      </c>
      <c r="Y181" s="95">
        <v>0</v>
      </c>
      <c r="Z181" s="95">
        <v>0</v>
      </c>
      <c r="AA181" s="95">
        <v>18582</v>
      </c>
      <c r="AB181" s="95">
        <v>45726</v>
      </c>
      <c r="AC181" s="95">
        <v>51730</v>
      </c>
      <c r="AF181"/>
      <c r="AG181"/>
      <c r="AH181" s="95">
        <v>19068</v>
      </c>
      <c r="AI181" s="95">
        <v>19037</v>
      </c>
      <c r="AJ181" s="95">
        <v>18923</v>
      </c>
      <c r="AK181" s="95">
        <v>18837</v>
      </c>
      <c r="AL181" s="95">
        <v>18661</v>
      </c>
      <c r="AM181" s="95">
        <v>42292</v>
      </c>
      <c r="AN181" s="95">
        <v>43923</v>
      </c>
      <c r="AO181" s="95">
        <v>44956000</v>
      </c>
      <c r="AP181" s="95">
        <v>45726</v>
      </c>
      <c r="AQ181" s="95">
        <v>51730</v>
      </c>
      <c r="AR181" s="95">
        <v>53212</v>
      </c>
    </row>
    <row r="182" spans="1:44" ht="12.5" x14ac:dyDescent="0.25">
      <c r="A182" s="95" t="s">
        <v>517</v>
      </c>
      <c r="B182" s="95" t="s">
        <v>587</v>
      </c>
      <c r="C182" s="95">
        <f t="shared" si="6"/>
        <v>19838.8</v>
      </c>
      <c r="D182" s="95">
        <f t="shared" si="7"/>
        <v>25058.799999999999</v>
      </c>
      <c r="E182" s="184">
        <v>10610000</v>
      </c>
      <c r="F182" s="184">
        <f t="shared" si="8"/>
        <v>30216414.267488133</v>
      </c>
      <c r="G182" s="95">
        <v>13997</v>
      </c>
      <c r="H182" s="95">
        <v>13996</v>
      </c>
      <c r="I182" s="95">
        <v>17059</v>
      </c>
      <c r="J182" s="95">
        <v>26530</v>
      </c>
      <c r="K182" s="95">
        <v>38402</v>
      </c>
      <c r="L182" s="95">
        <v>38863</v>
      </c>
      <c r="M182" s="95">
        <v>18678</v>
      </c>
      <c r="N182" s="95">
        <v>55622</v>
      </c>
      <c r="O182" s="95">
        <v>18380</v>
      </c>
      <c r="P182" s="95">
        <v>16448</v>
      </c>
      <c r="Q182" s="95">
        <v>20652</v>
      </c>
      <c r="R182" s="95">
        <v>34333</v>
      </c>
      <c r="S182" s="95">
        <v>22479</v>
      </c>
      <c r="T182" s="95">
        <v>19738</v>
      </c>
      <c r="U182" s="95">
        <v>19496</v>
      </c>
      <c r="V182" s="95">
        <v>17412</v>
      </c>
      <c r="W182" s="95">
        <v>14594</v>
      </c>
      <c r="X182" s="95">
        <v>14312</v>
      </c>
      <c r="Y182" s="95">
        <v>14651</v>
      </c>
      <c r="Z182" s="95">
        <v>13334</v>
      </c>
      <c r="AA182" s="95">
        <v>82608</v>
      </c>
      <c r="AB182" s="95">
        <v>210068</v>
      </c>
      <c r="AC182" s="95">
        <v>213404</v>
      </c>
      <c r="AF182"/>
      <c r="AG182"/>
      <c r="AH182" s="95">
        <v>79835</v>
      </c>
      <c r="AI182" s="95">
        <v>80174</v>
      </c>
      <c r="AJ182" s="95">
        <v>80823</v>
      </c>
      <c r="AK182" s="95">
        <v>81163</v>
      </c>
      <c r="AL182" s="95">
        <v>81647</v>
      </c>
      <c r="AM182" s="95">
        <v>190529</v>
      </c>
      <c r="AN182" s="95">
        <v>196097</v>
      </c>
      <c r="AO182" s="95">
        <v>195018000</v>
      </c>
      <c r="AP182" s="95">
        <v>210068</v>
      </c>
      <c r="AQ182" s="95">
        <v>213404</v>
      </c>
      <c r="AR182" s="95">
        <v>199009</v>
      </c>
    </row>
    <row r="183" spans="1:44" ht="12.5" x14ac:dyDescent="0.25">
      <c r="A183" s="95" t="s">
        <v>516</v>
      </c>
      <c r="B183" s="95" t="s">
        <v>112</v>
      </c>
      <c r="C183" s="95">
        <f t="shared" si="6"/>
        <v>7602.5</v>
      </c>
      <c r="D183" s="95">
        <f t="shared" si="7"/>
        <v>8867</v>
      </c>
      <c r="E183" s="184">
        <v>6061000</v>
      </c>
      <c r="F183" s="184">
        <f t="shared" si="8"/>
        <v>12716001.181422591</v>
      </c>
      <c r="G183" s="95">
        <v>5321</v>
      </c>
      <c r="H183" s="95">
        <v>5416</v>
      </c>
      <c r="I183" s="95">
        <v>11561</v>
      </c>
      <c r="J183" s="95">
        <v>27455</v>
      </c>
      <c r="K183" s="95">
        <v>4061</v>
      </c>
      <c r="L183" s="95">
        <v>4363</v>
      </c>
      <c r="M183" s="95">
        <v>5078</v>
      </c>
      <c r="N183" s="95">
        <v>4816</v>
      </c>
      <c r="O183" s="95">
        <v>4155</v>
      </c>
      <c r="P183" s="95">
        <v>4698</v>
      </c>
      <c r="Q183" s="95">
        <v>7664</v>
      </c>
      <c r="R183" s="95">
        <v>8176</v>
      </c>
      <c r="S183" s="95">
        <v>12631</v>
      </c>
      <c r="T183" s="95">
        <v>9784</v>
      </c>
      <c r="U183" s="95">
        <v>12458</v>
      </c>
      <c r="V183" s="95">
        <v>13260</v>
      </c>
      <c r="W183" s="95">
        <v>9132</v>
      </c>
      <c r="X183" s="95">
        <v>6875</v>
      </c>
      <c r="Y183" s="95">
        <v>3964</v>
      </c>
      <c r="Z183" s="95">
        <v>3827</v>
      </c>
      <c r="AA183" s="95">
        <v>34764</v>
      </c>
      <c r="AB183" s="95">
        <v>99962</v>
      </c>
      <c r="AC183" s="95">
        <v>100130</v>
      </c>
      <c r="AF183"/>
      <c r="AG183"/>
      <c r="AH183" s="95">
        <v>33016</v>
      </c>
      <c r="AI183" s="95">
        <v>33419</v>
      </c>
      <c r="AJ183" s="95">
        <v>33573</v>
      </c>
      <c r="AK183" s="95">
        <v>33888</v>
      </c>
      <c r="AL183" s="95">
        <v>34386</v>
      </c>
      <c r="AM183" s="95">
        <v>104808</v>
      </c>
      <c r="AN183" s="95">
        <v>103310</v>
      </c>
      <c r="AO183" s="95">
        <v>98875000</v>
      </c>
      <c r="AP183" s="95">
        <v>99962</v>
      </c>
      <c r="AQ183" s="95">
        <v>100130</v>
      </c>
      <c r="AR183" s="95">
        <v>98572</v>
      </c>
    </row>
    <row r="184" spans="1:44" ht="12.5" x14ac:dyDescent="0.25">
      <c r="A184" s="95" t="s">
        <v>528</v>
      </c>
      <c r="B184" s="95" t="s">
        <v>334</v>
      </c>
      <c r="C184" s="95">
        <f t="shared" si="6"/>
        <v>13662.9</v>
      </c>
      <c r="D184" s="95">
        <f t="shared" si="7"/>
        <v>14563.8</v>
      </c>
      <c r="E184" s="184">
        <v>8135000</v>
      </c>
      <c r="F184" s="184">
        <f t="shared" si="8"/>
        <v>17987998.794696204</v>
      </c>
      <c r="G184" s="95">
        <v>5356</v>
      </c>
      <c r="H184" s="95">
        <v>5585</v>
      </c>
      <c r="I184" s="95">
        <v>31249</v>
      </c>
      <c r="J184" s="95">
        <v>41305</v>
      </c>
      <c r="K184" s="95">
        <v>10056</v>
      </c>
      <c r="L184" s="95">
        <v>14301</v>
      </c>
      <c r="M184" s="95">
        <v>10967</v>
      </c>
      <c r="N184" s="95">
        <v>11958</v>
      </c>
      <c r="O184" s="95">
        <v>9236</v>
      </c>
      <c r="P184" s="95">
        <v>9081</v>
      </c>
      <c r="Q184" s="95">
        <v>21703</v>
      </c>
      <c r="R184" s="95">
        <v>25404</v>
      </c>
      <c r="S184" s="95">
        <v>12893</v>
      </c>
      <c r="T184" s="95">
        <v>11134</v>
      </c>
      <c r="U184" s="95">
        <v>7960</v>
      </c>
      <c r="V184" s="95">
        <v>3821</v>
      </c>
      <c r="W184" s="95">
        <v>18545</v>
      </c>
      <c r="X184" s="95">
        <v>15103</v>
      </c>
      <c r="Y184" s="95">
        <v>8664</v>
      </c>
      <c r="Z184" s="95">
        <v>7946</v>
      </c>
      <c r="AA184" s="95">
        <v>49177</v>
      </c>
      <c r="AB184" s="95">
        <v>205345</v>
      </c>
      <c r="AC184" s="95">
        <v>192914</v>
      </c>
      <c r="AF184"/>
      <c r="AG184"/>
      <c r="AH184" s="95">
        <v>48025</v>
      </c>
      <c r="AI184" s="95">
        <v>48303</v>
      </c>
      <c r="AJ184" s="95">
        <v>48548</v>
      </c>
      <c r="AK184" s="95">
        <v>48785</v>
      </c>
      <c r="AL184" s="95">
        <v>48964</v>
      </c>
      <c r="AM184" s="95">
        <v>167772</v>
      </c>
      <c r="AN184" s="95">
        <v>164349</v>
      </c>
      <c r="AO184" s="95">
        <v>195693000</v>
      </c>
      <c r="AP184" s="95">
        <v>205345</v>
      </c>
      <c r="AQ184" s="95">
        <v>192914</v>
      </c>
      <c r="AR184" s="95">
        <v>156426</v>
      </c>
    </row>
    <row r="185" spans="1:44" ht="12.5" x14ac:dyDescent="0.25">
      <c r="A185" s="95" t="s">
        <v>516</v>
      </c>
      <c r="B185" s="95" t="s">
        <v>308</v>
      </c>
      <c r="C185" s="95">
        <f t="shared" si="6"/>
        <v>4572.3999999999996</v>
      </c>
      <c r="D185" s="95">
        <f t="shared" si="7"/>
        <v>5780.3</v>
      </c>
      <c r="E185" s="184">
        <v>3193000</v>
      </c>
      <c r="F185" s="184">
        <f t="shared" si="8"/>
        <v>7125408.5552327717</v>
      </c>
      <c r="G185" s="95">
        <v>1995</v>
      </c>
      <c r="H185" s="95">
        <v>2089</v>
      </c>
      <c r="I185" s="95">
        <v>2649</v>
      </c>
      <c r="J185" s="95">
        <v>7889</v>
      </c>
      <c r="K185" s="95">
        <v>14484</v>
      </c>
      <c r="L185" s="95">
        <v>14680</v>
      </c>
      <c r="M185" s="95">
        <v>4912</v>
      </c>
      <c r="N185" s="95">
        <v>10538</v>
      </c>
      <c r="O185" s="95">
        <v>3144</v>
      </c>
      <c r="P185" s="95">
        <v>3982</v>
      </c>
      <c r="Q185" s="95">
        <v>5274</v>
      </c>
      <c r="R185" s="95">
        <v>5566</v>
      </c>
      <c r="S185" s="95">
        <v>3395</v>
      </c>
      <c r="T185" s="95">
        <v>3360</v>
      </c>
      <c r="U185" s="95">
        <v>2577</v>
      </c>
      <c r="V185" s="95">
        <v>2400</v>
      </c>
      <c r="W185" s="95">
        <v>4061</v>
      </c>
      <c r="X185" s="95">
        <v>3439</v>
      </c>
      <c r="Y185" s="95">
        <v>3233</v>
      </c>
      <c r="Z185" s="95">
        <v>3860</v>
      </c>
      <c r="AA185" s="95">
        <v>19480</v>
      </c>
      <c r="AB185" s="95">
        <v>69160</v>
      </c>
      <c r="AC185" s="95">
        <v>96047</v>
      </c>
      <c r="AF185"/>
      <c r="AG185"/>
      <c r="AH185" s="95">
        <v>19034</v>
      </c>
      <c r="AI185" s="95">
        <v>19337</v>
      </c>
      <c r="AJ185" s="95">
        <v>19401</v>
      </c>
      <c r="AK185" s="95">
        <v>19349</v>
      </c>
      <c r="AL185" s="95">
        <v>19414</v>
      </c>
      <c r="AM185" s="95">
        <v>53163</v>
      </c>
      <c r="AN185" s="95">
        <v>55708</v>
      </c>
      <c r="AO185" s="95">
        <v>62731000</v>
      </c>
      <c r="AP185" s="95">
        <v>69160</v>
      </c>
      <c r="AQ185" s="95">
        <v>96047</v>
      </c>
      <c r="AR185" s="95">
        <v>114525</v>
      </c>
    </row>
    <row r="186" spans="1:44" ht="12.5" x14ac:dyDescent="0.25">
      <c r="A186" s="95" t="s">
        <v>521</v>
      </c>
      <c r="B186" s="280" t="s">
        <v>113</v>
      </c>
      <c r="C186" s="95">
        <f t="shared" si="6"/>
        <v>2332.4</v>
      </c>
      <c r="D186" s="95">
        <f t="shared" si="7"/>
        <v>2393.6999999999998</v>
      </c>
      <c r="E186" s="296">
        <v>4501000</v>
      </c>
      <c r="F186" s="184">
        <f t="shared" si="8"/>
        <v>12316568.627915703</v>
      </c>
      <c r="G186" s="280">
        <v>2357</v>
      </c>
      <c r="H186" s="280">
        <v>2368</v>
      </c>
      <c r="I186" s="95">
        <v>3269</v>
      </c>
      <c r="J186" s="95">
        <v>4996</v>
      </c>
      <c r="K186" s="95">
        <v>1449</v>
      </c>
      <c r="L186" s="95">
        <v>1985</v>
      </c>
      <c r="M186" s="95">
        <v>1966</v>
      </c>
      <c r="N186" s="95">
        <v>2008</v>
      </c>
      <c r="O186" s="95">
        <v>2855</v>
      </c>
      <c r="P186" s="95">
        <v>2860</v>
      </c>
      <c r="Q186" s="95">
        <v>1197</v>
      </c>
      <c r="R186" s="95">
        <v>1375</v>
      </c>
      <c r="S186" s="95">
        <v>2173</v>
      </c>
      <c r="T186" s="95">
        <v>1256</v>
      </c>
      <c r="U186" s="95">
        <v>1509</v>
      </c>
      <c r="V186" s="95">
        <v>1177</v>
      </c>
      <c r="W186" s="95">
        <v>1674</v>
      </c>
      <c r="X186" s="95">
        <v>1309</v>
      </c>
      <c r="Y186" s="95">
        <v>4875</v>
      </c>
      <c r="Z186" s="95">
        <v>4603</v>
      </c>
      <c r="AA186" s="95">
        <v>33672</v>
      </c>
      <c r="AB186" s="95">
        <v>63309</v>
      </c>
      <c r="AC186" s="95">
        <v>67169</v>
      </c>
      <c r="AF186"/>
      <c r="AG186"/>
      <c r="AH186" s="95">
        <v>33411</v>
      </c>
      <c r="AI186" s="95">
        <v>33167</v>
      </c>
      <c r="AJ186" s="95">
        <v>33179</v>
      </c>
      <c r="AK186" s="95">
        <v>33127</v>
      </c>
      <c r="AL186" s="95">
        <v>33381</v>
      </c>
      <c r="AM186" s="95">
        <v>70101</v>
      </c>
      <c r="AN186" s="95">
        <v>71311</v>
      </c>
      <c r="AO186" s="95">
        <v>64434000</v>
      </c>
      <c r="AP186" s="95">
        <v>63309</v>
      </c>
      <c r="AQ186" s="95">
        <v>67169</v>
      </c>
      <c r="AR186" s="95">
        <v>65982</v>
      </c>
    </row>
    <row r="187" spans="1:44" ht="12.5" x14ac:dyDescent="0.25">
      <c r="A187" s="95" t="s">
        <v>525</v>
      </c>
      <c r="B187" s="95" t="s">
        <v>602</v>
      </c>
      <c r="C187" s="95">
        <f t="shared" si="6"/>
        <v>5900.8</v>
      </c>
      <c r="D187" s="95">
        <f t="shared" si="7"/>
        <v>7795.1</v>
      </c>
      <c r="E187" s="184">
        <v>11282000</v>
      </c>
      <c r="F187" s="184">
        <f t="shared" si="8"/>
        <v>22272388.446002234</v>
      </c>
      <c r="G187" s="95">
        <v>5548</v>
      </c>
      <c r="H187" s="95">
        <v>5577</v>
      </c>
      <c r="I187" s="95">
        <v>5037</v>
      </c>
      <c r="J187" s="95">
        <v>8296</v>
      </c>
      <c r="K187" s="95">
        <v>7684</v>
      </c>
      <c r="L187" s="95">
        <v>9268</v>
      </c>
      <c r="M187" s="95">
        <v>19164</v>
      </c>
      <c r="N187" s="95">
        <v>23141</v>
      </c>
      <c r="O187" s="95">
        <v>6906</v>
      </c>
      <c r="P187" s="95">
        <v>7497</v>
      </c>
      <c r="Q187" s="95">
        <v>3035</v>
      </c>
      <c r="R187" s="95">
        <v>8265</v>
      </c>
      <c r="S187" s="95">
        <v>2047</v>
      </c>
      <c r="T187" s="95">
        <v>5641</v>
      </c>
      <c r="U187" s="95">
        <v>2228</v>
      </c>
      <c r="V187" s="95">
        <v>2339</v>
      </c>
      <c r="W187" s="95">
        <v>3280</v>
      </c>
      <c r="X187" s="95">
        <v>3199</v>
      </c>
      <c r="Y187" s="95">
        <v>4079</v>
      </c>
      <c r="Z187" s="95">
        <v>4728</v>
      </c>
      <c r="AA187" s="95">
        <v>60890</v>
      </c>
      <c r="AB187" s="95">
        <v>146767</v>
      </c>
      <c r="AC187" s="95">
        <v>152071</v>
      </c>
      <c r="AF187"/>
      <c r="AG187"/>
      <c r="AH187" s="95">
        <v>62168</v>
      </c>
      <c r="AI187" s="95">
        <v>60956</v>
      </c>
      <c r="AJ187" s="95">
        <v>60956</v>
      </c>
      <c r="AK187" s="95">
        <v>60873</v>
      </c>
      <c r="AL187" s="95">
        <v>60726</v>
      </c>
      <c r="AM187" s="95">
        <v>138386</v>
      </c>
      <c r="AN187" s="95">
        <v>146144</v>
      </c>
      <c r="AO187" s="95">
        <v>151378000</v>
      </c>
      <c r="AP187" s="95">
        <v>146767</v>
      </c>
      <c r="AQ187" s="95">
        <v>152071</v>
      </c>
      <c r="AR187" s="95">
        <v>159899</v>
      </c>
    </row>
    <row r="188" spans="1:44" ht="12.5" x14ac:dyDescent="0.25">
      <c r="A188" s="95" t="s">
        <v>517</v>
      </c>
      <c r="B188" s="95" t="s">
        <v>379</v>
      </c>
      <c r="C188" s="95">
        <f t="shared" si="6"/>
        <v>6735.2</v>
      </c>
      <c r="D188" s="95">
        <f t="shared" si="7"/>
        <v>7309.2</v>
      </c>
      <c r="E188" s="184">
        <v>5922000</v>
      </c>
      <c r="F188" s="184">
        <f t="shared" si="8"/>
        <v>13648742.034391975</v>
      </c>
      <c r="G188" s="95">
        <v>5400</v>
      </c>
      <c r="H188" s="95">
        <v>3237</v>
      </c>
      <c r="I188" s="95">
        <v>13804</v>
      </c>
      <c r="J188" s="95">
        <v>13907</v>
      </c>
      <c r="K188" s="95">
        <v>3717</v>
      </c>
      <c r="L188" s="95">
        <v>4811</v>
      </c>
      <c r="M188" s="95">
        <v>1552</v>
      </c>
      <c r="N188" s="95">
        <v>3287</v>
      </c>
      <c r="O188" s="95">
        <v>3622</v>
      </c>
      <c r="P188" s="95">
        <v>10234</v>
      </c>
      <c r="Q188" s="95">
        <v>7504</v>
      </c>
      <c r="R188" s="95">
        <v>7428</v>
      </c>
      <c r="S188" s="95">
        <v>5291</v>
      </c>
      <c r="T188" s="95">
        <v>5079</v>
      </c>
      <c r="U188" s="95">
        <v>7029</v>
      </c>
      <c r="V188" s="95">
        <v>8777</v>
      </c>
      <c r="W188" s="95">
        <v>8018</v>
      </c>
      <c r="X188" s="95">
        <v>6296</v>
      </c>
      <c r="Y188" s="95">
        <v>11415</v>
      </c>
      <c r="Z188" s="95">
        <v>10036</v>
      </c>
      <c r="AA188" s="95">
        <v>37314</v>
      </c>
      <c r="AB188" s="95">
        <v>82587</v>
      </c>
      <c r="AC188" s="95">
        <v>97605</v>
      </c>
      <c r="AF188"/>
      <c r="AG188"/>
      <c r="AH188" s="95">
        <v>36945</v>
      </c>
      <c r="AI188" s="95">
        <v>36966</v>
      </c>
      <c r="AJ188" s="95">
        <v>36963</v>
      </c>
      <c r="AK188" s="95">
        <v>37172</v>
      </c>
      <c r="AL188" s="95">
        <v>37185</v>
      </c>
      <c r="AM188" s="95">
        <v>72841</v>
      </c>
      <c r="AN188" s="95">
        <v>89157</v>
      </c>
      <c r="AO188" s="95">
        <v>68480000</v>
      </c>
      <c r="AP188" s="95">
        <v>82587</v>
      </c>
      <c r="AQ188" s="95">
        <v>97605</v>
      </c>
      <c r="AR188" s="95">
        <v>95897</v>
      </c>
    </row>
    <row r="189" spans="1:44" ht="12.5" x14ac:dyDescent="0.25">
      <c r="A189" s="95" t="s">
        <v>521</v>
      </c>
      <c r="B189" s="95" t="s">
        <v>603</v>
      </c>
      <c r="C189" s="95">
        <f t="shared" si="6"/>
        <v>6340.3</v>
      </c>
      <c r="D189" s="95">
        <f t="shared" si="7"/>
        <v>6916.9</v>
      </c>
      <c r="E189" s="184">
        <v>5496000</v>
      </c>
      <c r="F189" s="184">
        <f t="shared" si="8"/>
        <v>16329914.76077063</v>
      </c>
      <c r="G189" s="95">
        <v>3294</v>
      </c>
      <c r="H189" s="95">
        <v>2943</v>
      </c>
      <c r="I189" s="95">
        <v>8125</v>
      </c>
      <c r="J189" s="95">
        <v>10052</v>
      </c>
      <c r="K189" s="95">
        <v>7139</v>
      </c>
      <c r="L189" s="95">
        <v>10468</v>
      </c>
      <c r="M189" s="95">
        <v>7389</v>
      </c>
      <c r="N189" s="95">
        <v>10666</v>
      </c>
      <c r="O189" s="95">
        <v>8957</v>
      </c>
      <c r="P189" s="95">
        <v>8054</v>
      </c>
      <c r="Q189" s="95">
        <v>9770</v>
      </c>
      <c r="R189" s="95">
        <v>8629</v>
      </c>
      <c r="S189" s="95">
        <v>4444</v>
      </c>
      <c r="T189" s="95">
        <v>4634</v>
      </c>
      <c r="U189" s="95">
        <v>2943</v>
      </c>
      <c r="V189" s="95">
        <v>3253</v>
      </c>
      <c r="W189" s="95">
        <v>6386</v>
      </c>
      <c r="X189" s="95">
        <v>4994</v>
      </c>
      <c r="Y189" s="95">
        <v>4956</v>
      </c>
      <c r="Z189" s="95">
        <v>5476</v>
      </c>
      <c r="AA189" s="95">
        <v>44644</v>
      </c>
      <c r="AB189" s="95">
        <v>92655</v>
      </c>
      <c r="AC189" s="95">
        <v>111135</v>
      </c>
      <c r="AF189"/>
      <c r="AH189" s="95">
        <v>43804</v>
      </c>
      <c r="AI189" s="95">
        <v>43854</v>
      </c>
      <c r="AJ189" s="95">
        <v>43871</v>
      </c>
      <c r="AK189" s="95">
        <v>43901</v>
      </c>
      <c r="AL189" s="95">
        <v>44130</v>
      </c>
      <c r="AM189" s="95">
        <v>89631</v>
      </c>
      <c r="AN189" s="95">
        <v>84478</v>
      </c>
      <c r="AO189" s="95">
        <v>87088000</v>
      </c>
      <c r="AP189" s="95">
        <v>92655</v>
      </c>
      <c r="AQ189" s="95">
        <v>111135</v>
      </c>
      <c r="AR189" s="95">
        <v>121540</v>
      </c>
    </row>
    <row r="190" spans="1:44" ht="12.5" x14ac:dyDescent="0.25">
      <c r="A190" s="95" t="s">
        <v>519</v>
      </c>
      <c r="B190" s="95" t="s">
        <v>190</v>
      </c>
      <c r="C190" s="95">
        <f t="shared" si="6"/>
        <v>6360.5</v>
      </c>
      <c r="D190" s="95">
        <f t="shared" si="7"/>
        <v>6607.7</v>
      </c>
      <c r="E190" s="184">
        <v>4538000</v>
      </c>
      <c r="F190" s="184">
        <f t="shared" si="8"/>
        <v>13295763.633170228</v>
      </c>
      <c r="G190" s="95">
        <v>49</v>
      </c>
      <c r="H190" s="95">
        <v>324</v>
      </c>
      <c r="I190" s="95">
        <v>4473</v>
      </c>
      <c r="J190" s="95">
        <v>4995</v>
      </c>
      <c r="K190" s="95">
        <v>13899</v>
      </c>
      <c r="L190" s="95">
        <v>16086</v>
      </c>
      <c r="M190" s="95">
        <v>6862</v>
      </c>
      <c r="N190" s="95">
        <v>8089</v>
      </c>
      <c r="O190" s="95">
        <v>5356</v>
      </c>
      <c r="P190" s="95">
        <v>4716</v>
      </c>
      <c r="Q190" s="95">
        <v>13821</v>
      </c>
      <c r="R190" s="95">
        <v>13962</v>
      </c>
      <c r="S190" s="95">
        <v>5884</v>
      </c>
      <c r="T190" s="95">
        <v>5280</v>
      </c>
      <c r="U190" s="95">
        <v>4026</v>
      </c>
      <c r="V190" s="95">
        <v>4055</v>
      </c>
      <c r="W190" s="95">
        <v>3075</v>
      </c>
      <c r="X190" s="95">
        <v>2642</v>
      </c>
      <c r="Y190" s="95">
        <v>6160</v>
      </c>
      <c r="Z190" s="95">
        <v>5928</v>
      </c>
      <c r="AA190" s="95">
        <v>36349</v>
      </c>
      <c r="AB190" s="95">
        <v>98323</v>
      </c>
      <c r="AC190" s="95">
        <v>95380</v>
      </c>
      <c r="AF190"/>
      <c r="AG190"/>
      <c r="AH190" s="95">
        <v>35311</v>
      </c>
      <c r="AI190" s="95">
        <v>35608</v>
      </c>
      <c r="AJ190" s="95">
        <v>36028</v>
      </c>
      <c r="AK190" s="95">
        <v>36072</v>
      </c>
      <c r="AL190" s="95">
        <v>36031</v>
      </c>
      <c r="AM190" s="95">
        <v>109778</v>
      </c>
      <c r="AN190" s="95">
        <v>104528</v>
      </c>
      <c r="AO190" s="95">
        <v>100624000</v>
      </c>
      <c r="AP190" s="95">
        <v>98323</v>
      </c>
      <c r="AQ190" s="95">
        <v>95380</v>
      </c>
      <c r="AR190" s="95">
        <v>95541</v>
      </c>
    </row>
    <row r="191" spans="1:44" ht="12.5" x14ac:dyDescent="0.25">
      <c r="A191" s="95" t="s">
        <v>524</v>
      </c>
      <c r="B191" s="95" t="s">
        <v>438</v>
      </c>
      <c r="C191" s="95">
        <f t="shared" si="6"/>
        <v>3719.3</v>
      </c>
      <c r="D191" s="95">
        <f t="shared" si="7"/>
        <v>3046.7</v>
      </c>
      <c r="E191" s="184">
        <v>1370000</v>
      </c>
      <c r="F191" s="184">
        <f t="shared" si="8"/>
        <v>5052894.9580074698</v>
      </c>
      <c r="G191" s="95">
        <v>0</v>
      </c>
      <c r="H191" s="95">
        <v>0</v>
      </c>
      <c r="I191" s="95">
        <v>3082</v>
      </c>
      <c r="J191" s="95">
        <v>3477</v>
      </c>
      <c r="K191" s="95">
        <v>3000</v>
      </c>
      <c r="L191" s="95">
        <v>3125</v>
      </c>
      <c r="M191" s="95">
        <v>8321</v>
      </c>
      <c r="N191" s="95">
        <v>5528</v>
      </c>
      <c r="O191" s="95">
        <v>9781</v>
      </c>
      <c r="P191" s="95">
        <v>9192</v>
      </c>
      <c r="Q191" s="95">
        <v>5824</v>
      </c>
      <c r="R191" s="95">
        <v>4000</v>
      </c>
      <c r="S191" s="95">
        <v>2513</v>
      </c>
      <c r="T191" s="95">
        <v>1515</v>
      </c>
      <c r="U191" s="95">
        <v>3697</v>
      </c>
      <c r="V191" s="95">
        <v>2938</v>
      </c>
      <c r="W191" s="95">
        <v>636</v>
      </c>
      <c r="X191" s="95">
        <v>542</v>
      </c>
      <c r="Y191" s="95">
        <v>339</v>
      </c>
      <c r="Z191" s="95">
        <v>150</v>
      </c>
      <c r="AA191" s="95">
        <v>13814</v>
      </c>
      <c r="AB191" s="95">
        <v>21864</v>
      </c>
      <c r="AC191" s="95">
        <v>22534</v>
      </c>
      <c r="AG191"/>
      <c r="AH191" s="95">
        <v>13867</v>
      </c>
      <c r="AI191" s="95">
        <v>13877</v>
      </c>
      <c r="AJ191" s="95">
        <v>13996</v>
      </c>
      <c r="AK191" s="95">
        <v>13931</v>
      </c>
      <c r="AL191" s="95">
        <v>13896</v>
      </c>
      <c r="AM191" s="95">
        <v>22906</v>
      </c>
      <c r="AN191" s="95">
        <v>22816</v>
      </c>
      <c r="AO191" s="95">
        <v>22383000</v>
      </c>
      <c r="AP191" s="95">
        <v>21864</v>
      </c>
      <c r="AQ191" s="95">
        <v>22534</v>
      </c>
      <c r="AR191" s="95">
        <v>22469</v>
      </c>
    </row>
    <row r="192" spans="1:44" ht="12.5" x14ac:dyDescent="0.25">
      <c r="A192" s="95" t="s">
        <v>526</v>
      </c>
      <c r="B192" s="95" t="s">
        <v>415</v>
      </c>
      <c r="C192" s="95">
        <f t="shared" si="6"/>
        <v>52.2</v>
      </c>
      <c r="D192" s="95">
        <f t="shared" si="7"/>
        <v>71.900000000000006</v>
      </c>
      <c r="E192" s="184">
        <v>585000</v>
      </c>
      <c r="F192" s="184">
        <f t="shared" si="8"/>
        <v>2920759.1023374582</v>
      </c>
      <c r="G192" s="95">
        <v>0</v>
      </c>
      <c r="H192" s="95">
        <v>0</v>
      </c>
      <c r="I192" s="95">
        <v>13</v>
      </c>
      <c r="J192" s="95">
        <v>51</v>
      </c>
      <c r="K192" s="95">
        <v>0</v>
      </c>
      <c r="L192" s="95">
        <v>38</v>
      </c>
      <c r="M192" s="95">
        <v>4</v>
      </c>
      <c r="N192" s="95">
        <v>34</v>
      </c>
      <c r="O192" s="95">
        <v>505</v>
      </c>
      <c r="P192" s="95">
        <v>563</v>
      </c>
      <c r="Q192" s="95">
        <v>0</v>
      </c>
      <c r="R192" s="95">
        <v>33</v>
      </c>
      <c r="S192" s="95">
        <v>0</v>
      </c>
      <c r="T192" s="95">
        <v>0</v>
      </c>
      <c r="U192" s="95">
        <v>0</v>
      </c>
      <c r="V192" s="95">
        <v>0</v>
      </c>
      <c r="W192" s="95">
        <v>0</v>
      </c>
      <c r="X192" s="95">
        <v>0</v>
      </c>
      <c r="Y192" s="95">
        <v>0</v>
      </c>
      <c r="Z192" s="95">
        <v>0</v>
      </c>
      <c r="AA192" s="95">
        <v>7985</v>
      </c>
      <c r="AB192" s="95">
        <v>7386</v>
      </c>
      <c r="AC192" s="95">
        <v>8458</v>
      </c>
      <c r="AF192"/>
      <c r="AG192"/>
      <c r="AH192" s="95">
        <v>7770</v>
      </c>
      <c r="AI192" s="95">
        <v>7772</v>
      </c>
      <c r="AJ192" s="95">
        <v>7808</v>
      </c>
      <c r="AK192" s="95">
        <v>7843</v>
      </c>
      <c r="AL192" s="95">
        <v>7909</v>
      </c>
      <c r="AM192" s="95">
        <v>6550</v>
      </c>
      <c r="AN192" s="95">
        <v>6921</v>
      </c>
      <c r="AO192" s="95">
        <v>7265000</v>
      </c>
      <c r="AP192" s="95">
        <v>7386</v>
      </c>
      <c r="AQ192" s="95">
        <v>8458</v>
      </c>
      <c r="AR192" s="95">
        <v>8493</v>
      </c>
    </row>
    <row r="193" spans="1:44" ht="12.5" x14ac:dyDescent="0.25">
      <c r="A193" s="95" t="s">
        <v>519</v>
      </c>
      <c r="B193" s="95" t="s">
        <v>191</v>
      </c>
      <c r="C193" s="95">
        <f t="shared" si="6"/>
        <v>3799</v>
      </c>
      <c r="D193" s="95">
        <f t="shared" si="7"/>
        <v>4272.8</v>
      </c>
      <c r="E193" s="184">
        <v>2101000</v>
      </c>
      <c r="F193" s="184">
        <f t="shared" si="8"/>
        <v>9156588.9303460978</v>
      </c>
      <c r="G193" s="95">
        <v>1313</v>
      </c>
      <c r="H193" s="95">
        <v>1354</v>
      </c>
      <c r="I193" s="95">
        <v>5843</v>
      </c>
      <c r="J193" s="95">
        <v>6415</v>
      </c>
      <c r="K193" s="95">
        <v>3248</v>
      </c>
      <c r="L193" s="95">
        <v>4329</v>
      </c>
      <c r="M193" s="95">
        <v>7097</v>
      </c>
      <c r="N193" s="95">
        <v>10018</v>
      </c>
      <c r="O193" s="95">
        <v>3946</v>
      </c>
      <c r="P193" s="95">
        <v>5338</v>
      </c>
      <c r="Q193" s="95">
        <v>7701</v>
      </c>
      <c r="R193" s="95">
        <v>7405</v>
      </c>
      <c r="S193" s="95">
        <v>1629</v>
      </c>
      <c r="T193" s="95">
        <v>1947</v>
      </c>
      <c r="U193" s="95">
        <v>2871</v>
      </c>
      <c r="V193" s="95">
        <v>2724</v>
      </c>
      <c r="W193" s="95">
        <v>3249</v>
      </c>
      <c r="X193" s="95">
        <v>2129</v>
      </c>
      <c r="Y193" s="95">
        <v>1093</v>
      </c>
      <c r="Z193" s="95">
        <v>1069</v>
      </c>
      <c r="AA193" s="95">
        <v>25033</v>
      </c>
      <c r="AB193" s="95">
        <v>47218</v>
      </c>
      <c r="AC193" s="95">
        <v>48339</v>
      </c>
      <c r="AF193"/>
      <c r="AG193"/>
      <c r="AH193" s="95">
        <v>23301</v>
      </c>
      <c r="AI193" s="95">
        <v>23614</v>
      </c>
      <c r="AJ193" s="95">
        <v>24039</v>
      </c>
      <c r="AK193" s="95">
        <v>24315</v>
      </c>
      <c r="AL193" s="95">
        <v>24648</v>
      </c>
      <c r="AM193" s="95">
        <v>54074</v>
      </c>
      <c r="AN193" s="95">
        <v>50961</v>
      </c>
      <c r="AO193" s="95">
        <v>46100000</v>
      </c>
      <c r="AP193" s="95">
        <v>47218</v>
      </c>
      <c r="AQ193" s="95">
        <v>48339</v>
      </c>
      <c r="AR193" s="95">
        <v>48248</v>
      </c>
    </row>
    <row r="194" spans="1:44" ht="12.5" x14ac:dyDescent="0.25">
      <c r="A194" s="95" t="s">
        <v>526</v>
      </c>
      <c r="B194" s="95" t="s">
        <v>416</v>
      </c>
      <c r="C194" s="95">
        <f t="shared" ref="C194:C257" si="9">SUM(G194,I194,K194,M194,O194,Q194,S194,U194,W194,Y194)/10</f>
        <v>5051.8999999999996</v>
      </c>
      <c r="D194" s="95">
        <f t="shared" ref="D194:D257" si="10">SUM(H194,J194,L194,N194,P194,R194,T194,V194,X194,Z194)/10</f>
        <v>5036.5</v>
      </c>
      <c r="E194" s="184">
        <v>1142000</v>
      </c>
      <c r="F194" s="184">
        <f t="shared" si="8"/>
        <v>6336053.7471120162</v>
      </c>
      <c r="G194" s="95">
        <v>4746</v>
      </c>
      <c r="H194" s="95">
        <v>4675</v>
      </c>
      <c r="I194" s="95">
        <v>6721</v>
      </c>
      <c r="J194" s="95">
        <v>6523</v>
      </c>
      <c r="K194" s="95">
        <v>3508</v>
      </c>
      <c r="L194" s="95">
        <v>4161</v>
      </c>
      <c r="M194" s="95">
        <v>3380</v>
      </c>
      <c r="N194" s="95">
        <v>5848</v>
      </c>
      <c r="O194" s="95">
        <v>4603</v>
      </c>
      <c r="P194" s="95">
        <v>5054</v>
      </c>
      <c r="Q194" s="95">
        <v>5009</v>
      </c>
      <c r="R194" s="95">
        <v>5105</v>
      </c>
      <c r="S194" s="95">
        <v>8044</v>
      </c>
      <c r="T194" s="95">
        <v>4453</v>
      </c>
      <c r="U194" s="95">
        <v>4581</v>
      </c>
      <c r="V194" s="95">
        <v>4250</v>
      </c>
      <c r="W194" s="95">
        <v>4420</v>
      </c>
      <c r="X194" s="95">
        <v>5287</v>
      </c>
      <c r="Y194" s="95">
        <v>5507</v>
      </c>
      <c r="Z194" s="95">
        <v>5009</v>
      </c>
      <c r="AA194" s="95">
        <v>17322</v>
      </c>
      <c r="AB194" s="95">
        <v>17601</v>
      </c>
      <c r="AC194" s="95">
        <v>17196</v>
      </c>
      <c r="AF194"/>
      <c r="AG194"/>
      <c r="AH194" s="95">
        <v>16857</v>
      </c>
      <c r="AI194" s="95">
        <v>17037</v>
      </c>
      <c r="AJ194" s="95">
        <v>17005</v>
      </c>
      <c r="AK194" s="95">
        <v>17024</v>
      </c>
      <c r="AL194" s="95">
        <v>17171</v>
      </c>
      <c r="AM194" s="95">
        <v>18100</v>
      </c>
      <c r="AN194" s="95">
        <v>19383</v>
      </c>
      <c r="AO194" s="95">
        <v>19300000</v>
      </c>
      <c r="AP194" s="95">
        <v>17601</v>
      </c>
      <c r="AQ194" s="95">
        <v>17196</v>
      </c>
      <c r="AR194" s="95">
        <v>18096</v>
      </c>
    </row>
    <row r="195" spans="1:44" ht="12.5" x14ac:dyDescent="0.25">
      <c r="A195" s="95" t="s">
        <v>524</v>
      </c>
      <c r="B195" s="95" t="s">
        <v>225</v>
      </c>
      <c r="C195" s="95">
        <f t="shared" si="9"/>
        <v>27472.799999999999</v>
      </c>
      <c r="D195" s="95">
        <f t="shared" si="10"/>
        <v>33169.300000000003</v>
      </c>
      <c r="E195" s="184">
        <v>10598000</v>
      </c>
      <c r="F195" s="184">
        <f t="shared" ref="F195:F258" si="11">AA195*$AG$7</f>
        <v>23606756.536838431</v>
      </c>
      <c r="G195" s="95">
        <v>26921</v>
      </c>
      <c r="H195" s="95">
        <v>27390</v>
      </c>
      <c r="I195" s="95">
        <v>49930</v>
      </c>
      <c r="J195" s="95">
        <v>46724</v>
      </c>
      <c r="K195" s="95">
        <v>27718</v>
      </c>
      <c r="L195" s="95">
        <v>24304</v>
      </c>
      <c r="M195" s="95">
        <v>40391</v>
      </c>
      <c r="N195" s="95">
        <v>39526</v>
      </c>
      <c r="O195" s="95">
        <v>20670</v>
      </c>
      <c r="P195" s="95">
        <v>17097</v>
      </c>
      <c r="Q195" s="95">
        <v>31887</v>
      </c>
      <c r="R195" s="95">
        <v>32203</v>
      </c>
      <c r="S195" s="95">
        <v>25047</v>
      </c>
      <c r="T195" s="95">
        <v>39789</v>
      </c>
      <c r="U195" s="95">
        <v>14800</v>
      </c>
      <c r="V195" s="95">
        <v>22233</v>
      </c>
      <c r="W195" s="95">
        <v>12957</v>
      </c>
      <c r="X195" s="95">
        <v>54582</v>
      </c>
      <c r="Y195" s="95">
        <v>24407</v>
      </c>
      <c r="Z195" s="95">
        <v>27845</v>
      </c>
      <c r="AA195" s="95">
        <v>64538</v>
      </c>
      <c r="AB195" s="95">
        <v>234371</v>
      </c>
      <c r="AC195" s="95">
        <v>232822</v>
      </c>
      <c r="AF195"/>
      <c r="AG195"/>
      <c r="AH195" s="95">
        <v>61865</v>
      </c>
      <c r="AI195" s="95">
        <v>62448</v>
      </c>
      <c r="AJ195" s="95">
        <v>63055</v>
      </c>
      <c r="AK195" s="95">
        <v>63499</v>
      </c>
      <c r="AL195" s="95">
        <v>63866</v>
      </c>
      <c r="AM195" s="95">
        <v>261020</v>
      </c>
      <c r="AN195" s="95">
        <v>258419</v>
      </c>
      <c r="AO195" s="95">
        <v>240069000</v>
      </c>
      <c r="AP195" s="95">
        <v>234371</v>
      </c>
      <c r="AQ195" s="95">
        <v>232822</v>
      </c>
      <c r="AR195" s="95">
        <v>233948</v>
      </c>
    </row>
    <row r="196" spans="1:44" ht="12.5" x14ac:dyDescent="0.25">
      <c r="A196" s="95" t="s">
        <v>524</v>
      </c>
      <c r="B196" s="95" t="s">
        <v>309</v>
      </c>
      <c r="C196" s="95">
        <f t="shared" si="9"/>
        <v>26882.3</v>
      </c>
      <c r="D196" s="95">
        <f t="shared" si="10"/>
        <v>31652.400000000001</v>
      </c>
      <c r="E196" s="184">
        <v>3500000</v>
      </c>
      <c r="F196" s="184">
        <f t="shared" si="11"/>
        <v>10718472.633161495</v>
      </c>
      <c r="G196" s="95">
        <v>7640</v>
      </c>
      <c r="H196" s="95">
        <v>7688</v>
      </c>
      <c r="I196" s="95">
        <v>23280</v>
      </c>
      <c r="J196" s="95">
        <v>40608</v>
      </c>
      <c r="K196" s="95">
        <v>40707</v>
      </c>
      <c r="L196" s="95">
        <v>46072</v>
      </c>
      <c r="M196" s="95">
        <v>35927</v>
      </c>
      <c r="N196" s="95">
        <v>34576</v>
      </c>
      <c r="O196" s="95">
        <v>31699</v>
      </c>
      <c r="P196" s="95">
        <v>58033</v>
      </c>
      <c r="Q196" s="95">
        <v>20448</v>
      </c>
      <c r="R196" s="95">
        <v>21570</v>
      </c>
      <c r="S196" s="95">
        <v>18712</v>
      </c>
      <c r="T196" s="95">
        <v>20784</v>
      </c>
      <c r="U196" s="95">
        <v>30132</v>
      </c>
      <c r="V196" s="95">
        <v>28836</v>
      </c>
      <c r="W196" s="95">
        <v>25774</v>
      </c>
      <c r="X196" s="95">
        <v>25449</v>
      </c>
      <c r="Y196" s="95">
        <v>34504</v>
      </c>
      <c r="Z196" s="95">
        <v>32908</v>
      </c>
      <c r="AA196" s="95">
        <v>29303</v>
      </c>
      <c r="AB196" s="95">
        <v>48096</v>
      </c>
      <c r="AC196" s="95">
        <v>48962</v>
      </c>
      <c r="AF196"/>
      <c r="AG196"/>
      <c r="AH196" s="95">
        <v>27914</v>
      </c>
      <c r="AI196" s="95">
        <v>28267</v>
      </c>
      <c r="AJ196" s="95">
        <v>28637</v>
      </c>
      <c r="AK196" s="95">
        <v>28776</v>
      </c>
      <c r="AL196" s="95">
        <v>29151</v>
      </c>
      <c r="AM196" s="95">
        <v>37202</v>
      </c>
      <c r="AN196" s="95">
        <v>36927</v>
      </c>
      <c r="AO196" s="95">
        <v>41330000</v>
      </c>
      <c r="AP196" s="95">
        <v>48096</v>
      </c>
      <c r="AQ196" s="95">
        <v>48962</v>
      </c>
      <c r="AR196" s="95">
        <v>56730</v>
      </c>
    </row>
    <row r="197" spans="1:44" ht="12.5" x14ac:dyDescent="0.25">
      <c r="A197" s="95" t="s">
        <v>519</v>
      </c>
      <c r="B197" s="95" t="s">
        <v>192</v>
      </c>
      <c r="C197" s="95">
        <f t="shared" si="9"/>
        <v>12920.8</v>
      </c>
      <c r="D197" s="95">
        <f t="shared" si="10"/>
        <v>12525.3</v>
      </c>
      <c r="E197" s="184">
        <v>5485000</v>
      </c>
      <c r="F197" s="184">
        <f t="shared" si="11"/>
        <v>16210304.463154556</v>
      </c>
      <c r="G197" s="95">
        <v>6639</v>
      </c>
      <c r="H197" s="95">
        <v>6965</v>
      </c>
      <c r="I197" s="95">
        <v>11890</v>
      </c>
      <c r="J197" s="95">
        <v>26441</v>
      </c>
      <c r="K197" s="95">
        <v>9019</v>
      </c>
      <c r="L197" s="95">
        <v>9626</v>
      </c>
      <c r="M197" s="95">
        <v>14203</v>
      </c>
      <c r="N197" s="95">
        <v>6191</v>
      </c>
      <c r="O197" s="95">
        <v>16635</v>
      </c>
      <c r="P197" s="95">
        <v>11261</v>
      </c>
      <c r="Q197" s="95">
        <v>13829</v>
      </c>
      <c r="R197" s="95">
        <v>14649</v>
      </c>
      <c r="S197" s="95">
        <v>23116</v>
      </c>
      <c r="T197" s="95">
        <v>19567</v>
      </c>
      <c r="U197" s="95">
        <v>6374</v>
      </c>
      <c r="V197" s="95">
        <v>6115</v>
      </c>
      <c r="W197" s="95">
        <v>15496</v>
      </c>
      <c r="X197" s="95">
        <v>12875</v>
      </c>
      <c r="Y197" s="95">
        <v>12007</v>
      </c>
      <c r="Z197" s="95">
        <v>11563</v>
      </c>
      <c r="AA197" s="95">
        <v>44317</v>
      </c>
      <c r="AB197" s="95">
        <v>78501</v>
      </c>
      <c r="AC197" s="95">
        <v>91923</v>
      </c>
      <c r="AF197"/>
      <c r="AG197"/>
      <c r="AH197" s="95">
        <v>41763</v>
      </c>
      <c r="AI197" s="95">
        <v>42323</v>
      </c>
      <c r="AJ197" s="95">
        <v>42947</v>
      </c>
      <c r="AK197" s="95">
        <v>43175</v>
      </c>
      <c r="AL197" s="95">
        <v>43600</v>
      </c>
      <c r="AM197" s="95">
        <v>75330</v>
      </c>
      <c r="AN197" s="95">
        <v>97507</v>
      </c>
      <c r="AO197" s="95">
        <v>73824000</v>
      </c>
      <c r="AP197" s="95">
        <v>78501</v>
      </c>
      <c r="AQ197" s="95">
        <v>91923</v>
      </c>
      <c r="AR197" s="95">
        <v>101937</v>
      </c>
    </row>
    <row r="198" spans="1:44" ht="12.5" x14ac:dyDescent="0.25">
      <c r="A198" s="95" t="s">
        <v>519</v>
      </c>
      <c r="B198" s="95" t="s">
        <v>193</v>
      </c>
      <c r="C198" s="95">
        <f t="shared" si="9"/>
        <v>148022.29999999999</v>
      </c>
      <c r="D198" s="95">
        <f t="shared" si="10"/>
        <v>157328.79999999999</v>
      </c>
      <c r="E198" s="184">
        <v>32797000</v>
      </c>
      <c r="F198" s="184">
        <f t="shared" si="11"/>
        <v>65504378.310043126</v>
      </c>
      <c r="G198" s="95">
        <v>75575</v>
      </c>
      <c r="H198" s="95">
        <v>82519</v>
      </c>
      <c r="I198" s="95">
        <v>169908</v>
      </c>
      <c r="J198" s="95">
        <v>192499</v>
      </c>
      <c r="K198" s="95">
        <v>272592</v>
      </c>
      <c r="L198" s="95">
        <v>305648</v>
      </c>
      <c r="M198" s="95">
        <v>398588</v>
      </c>
      <c r="N198" s="95">
        <v>411949</v>
      </c>
      <c r="O198" s="95">
        <v>138908</v>
      </c>
      <c r="P198" s="95">
        <v>158604</v>
      </c>
      <c r="Q198" s="95">
        <v>116654</v>
      </c>
      <c r="R198" s="95">
        <v>121477</v>
      </c>
      <c r="S198" s="95">
        <v>39804</v>
      </c>
      <c r="T198" s="95">
        <v>23414</v>
      </c>
      <c r="U198" s="95">
        <v>75210</v>
      </c>
      <c r="V198" s="95">
        <v>79150</v>
      </c>
      <c r="W198" s="95">
        <v>98718</v>
      </c>
      <c r="X198" s="95">
        <v>99543</v>
      </c>
      <c r="Y198" s="95">
        <v>94266</v>
      </c>
      <c r="Z198" s="95">
        <v>98485</v>
      </c>
      <c r="AA198" s="95">
        <v>179081</v>
      </c>
      <c r="AB198" s="95">
        <v>409132</v>
      </c>
      <c r="AC198" s="95">
        <v>419492</v>
      </c>
      <c r="AF198"/>
      <c r="AG198"/>
      <c r="AH198" s="95">
        <v>173592</v>
      </c>
      <c r="AI198" s="95">
        <v>175928</v>
      </c>
      <c r="AJ198" s="95">
        <v>176707</v>
      </c>
      <c r="AK198" s="95">
        <v>177824</v>
      </c>
      <c r="AL198" s="95">
        <v>177359</v>
      </c>
      <c r="AM198" s="95">
        <v>416125</v>
      </c>
      <c r="AN198" s="95">
        <v>427823</v>
      </c>
      <c r="AO198" s="95">
        <v>432557000</v>
      </c>
      <c r="AP198" s="95">
        <v>409132</v>
      </c>
      <c r="AQ198" s="95">
        <v>419492</v>
      </c>
      <c r="AR198" s="95">
        <v>432417</v>
      </c>
    </row>
    <row r="199" spans="1:44" ht="12.5" x14ac:dyDescent="0.25">
      <c r="A199" s="95" t="s">
        <v>521</v>
      </c>
      <c r="B199" s="95" t="s">
        <v>479</v>
      </c>
      <c r="C199" s="95">
        <f t="shared" si="9"/>
        <v>23937.7</v>
      </c>
      <c r="D199" s="95">
        <f t="shared" si="10"/>
        <v>29288.7</v>
      </c>
      <c r="E199" s="184">
        <v>11937000</v>
      </c>
      <c r="F199" s="184">
        <f t="shared" si="11"/>
        <v>31581507.939363323</v>
      </c>
      <c r="G199" s="95">
        <v>19128</v>
      </c>
      <c r="H199" s="95">
        <v>18777</v>
      </c>
      <c r="I199" s="95">
        <v>40685</v>
      </c>
      <c r="J199" s="95">
        <v>73872</v>
      </c>
      <c r="K199" s="95">
        <v>67381</v>
      </c>
      <c r="L199" s="95">
        <v>52193</v>
      </c>
      <c r="M199" s="95">
        <v>12832</v>
      </c>
      <c r="N199" s="95">
        <v>22132</v>
      </c>
      <c r="O199" s="95">
        <v>19983</v>
      </c>
      <c r="P199" s="95">
        <v>36707</v>
      </c>
      <c r="Q199" s="95">
        <v>18572</v>
      </c>
      <c r="R199" s="95">
        <v>21876</v>
      </c>
      <c r="S199" s="95">
        <v>15180</v>
      </c>
      <c r="T199" s="95">
        <v>19478</v>
      </c>
      <c r="U199" s="95">
        <v>15682</v>
      </c>
      <c r="V199" s="95">
        <v>16570</v>
      </c>
      <c r="W199" s="95">
        <v>13547</v>
      </c>
      <c r="X199" s="95">
        <v>13385</v>
      </c>
      <c r="Y199" s="95">
        <v>16387</v>
      </c>
      <c r="Z199" s="95">
        <v>17897</v>
      </c>
      <c r="AA199" s="95">
        <v>86340</v>
      </c>
      <c r="AB199" s="95">
        <v>310545</v>
      </c>
      <c r="AC199" s="95">
        <v>304966</v>
      </c>
      <c r="AF199"/>
      <c r="AG199"/>
      <c r="AH199" s="95">
        <v>85398</v>
      </c>
      <c r="AI199" s="95">
        <v>85792</v>
      </c>
      <c r="AJ199" s="95">
        <v>84797</v>
      </c>
      <c r="AK199" s="95">
        <v>85256</v>
      </c>
      <c r="AL199" s="95">
        <v>85440</v>
      </c>
      <c r="AM199" s="95">
        <v>302330</v>
      </c>
      <c r="AN199" s="95">
        <v>332152</v>
      </c>
      <c r="AO199" s="95">
        <v>315980000</v>
      </c>
      <c r="AP199" s="95">
        <v>310545</v>
      </c>
      <c r="AQ199" s="95">
        <v>304966</v>
      </c>
      <c r="AR199" s="95">
        <v>286758</v>
      </c>
    </row>
    <row r="200" spans="1:44" ht="12.5" x14ac:dyDescent="0.25">
      <c r="A200" s="95" t="s">
        <v>520</v>
      </c>
      <c r="B200" s="95" t="s">
        <v>604</v>
      </c>
      <c r="C200" s="95">
        <f t="shared" si="9"/>
        <v>1700.5</v>
      </c>
      <c r="D200" s="95">
        <f t="shared" si="10"/>
        <v>1606.1</v>
      </c>
      <c r="E200" s="184">
        <v>7455000</v>
      </c>
      <c r="F200" s="184">
        <f t="shared" si="11"/>
        <v>16674114.424552666</v>
      </c>
      <c r="G200" s="95">
        <v>35</v>
      </c>
      <c r="H200" s="95">
        <v>35</v>
      </c>
      <c r="I200" s="95">
        <v>3136</v>
      </c>
      <c r="J200" s="95">
        <v>3431</v>
      </c>
      <c r="K200" s="95">
        <v>3201</v>
      </c>
      <c r="L200" s="95">
        <v>3455</v>
      </c>
      <c r="M200" s="95">
        <v>1951</v>
      </c>
      <c r="N200" s="95">
        <v>2183</v>
      </c>
      <c r="O200" s="95">
        <v>498</v>
      </c>
      <c r="P200" s="95">
        <v>316</v>
      </c>
      <c r="Q200" s="95">
        <v>673</v>
      </c>
      <c r="R200" s="95">
        <v>1186</v>
      </c>
      <c r="S200" s="95">
        <v>3403</v>
      </c>
      <c r="T200" s="95">
        <v>2479</v>
      </c>
      <c r="U200" s="95">
        <v>1490</v>
      </c>
      <c r="V200" s="95">
        <v>1121</v>
      </c>
      <c r="W200" s="95">
        <v>1615</v>
      </c>
      <c r="X200" s="95">
        <v>933</v>
      </c>
      <c r="Y200" s="95">
        <v>1003</v>
      </c>
      <c r="Z200" s="95">
        <v>922</v>
      </c>
      <c r="AA200" s="95">
        <v>45585</v>
      </c>
      <c r="AB200" s="95">
        <v>109108</v>
      </c>
      <c r="AC200" s="95">
        <v>111318</v>
      </c>
      <c r="AF200"/>
      <c r="AG200"/>
      <c r="AH200" s="95">
        <v>45514</v>
      </c>
      <c r="AI200" s="95">
        <v>45290</v>
      </c>
      <c r="AJ200" s="95">
        <v>45144</v>
      </c>
      <c r="AK200" s="95">
        <v>45253</v>
      </c>
      <c r="AL200" s="95">
        <v>45481</v>
      </c>
      <c r="AM200" s="95">
        <v>116330</v>
      </c>
      <c r="AN200" s="95">
        <v>103936</v>
      </c>
      <c r="AO200" s="95">
        <v>109705000</v>
      </c>
      <c r="AP200" s="95">
        <v>109108</v>
      </c>
      <c r="AQ200" s="95">
        <v>111318</v>
      </c>
      <c r="AR200" s="95">
        <v>114747</v>
      </c>
    </row>
    <row r="201" spans="1:44" ht="12.5" x14ac:dyDescent="0.25">
      <c r="A201" s="95" t="s">
        <v>528</v>
      </c>
      <c r="B201" s="95" t="s">
        <v>335</v>
      </c>
      <c r="C201" s="95">
        <f t="shared" si="9"/>
        <v>2095</v>
      </c>
      <c r="D201" s="95">
        <f t="shared" si="10"/>
        <v>1665.1</v>
      </c>
      <c r="E201" s="184">
        <v>1753000</v>
      </c>
      <c r="F201" s="184">
        <f t="shared" si="11"/>
        <v>2803343.4890813124</v>
      </c>
      <c r="G201" s="95">
        <v>1529</v>
      </c>
      <c r="H201" s="95">
        <v>1529</v>
      </c>
      <c r="I201" s="95">
        <v>604</v>
      </c>
      <c r="J201" s="95">
        <v>738</v>
      </c>
      <c r="K201" s="95">
        <v>977</v>
      </c>
      <c r="L201" s="95">
        <v>1040</v>
      </c>
      <c r="M201" s="95">
        <v>1240</v>
      </c>
      <c r="N201" s="95">
        <v>1018</v>
      </c>
      <c r="O201" s="95">
        <v>630</v>
      </c>
      <c r="P201" s="95">
        <v>632</v>
      </c>
      <c r="Q201" s="95">
        <v>761</v>
      </c>
      <c r="R201" s="95">
        <v>555</v>
      </c>
      <c r="S201" s="95">
        <v>3406</v>
      </c>
      <c r="T201" s="95">
        <v>2529</v>
      </c>
      <c r="U201" s="95">
        <v>4114</v>
      </c>
      <c r="V201" s="95">
        <v>3189</v>
      </c>
      <c r="W201" s="95">
        <v>3144</v>
      </c>
      <c r="X201" s="95">
        <v>2419</v>
      </c>
      <c r="Y201" s="95">
        <v>4545</v>
      </c>
      <c r="Z201" s="95">
        <v>3002</v>
      </c>
      <c r="AA201" s="95">
        <v>7664</v>
      </c>
      <c r="AB201" s="95">
        <v>26959</v>
      </c>
      <c r="AC201" s="95">
        <v>27226</v>
      </c>
      <c r="AF201"/>
      <c r="AG201"/>
      <c r="AH201" s="95">
        <v>7386</v>
      </c>
      <c r="AI201" s="95">
        <v>7313</v>
      </c>
      <c r="AJ201" s="95">
        <v>7309</v>
      </c>
      <c r="AK201" s="95">
        <v>7401</v>
      </c>
      <c r="AL201" s="95">
        <v>7581</v>
      </c>
      <c r="AM201" s="95">
        <v>18254</v>
      </c>
      <c r="AN201" s="95">
        <v>18542</v>
      </c>
      <c r="AO201" s="95">
        <v>21437000</v>
      </c>
      <c r="AP201" s="95">
        <v>26959</v>
      </c>
      <c r="AQ201" s="95">
        <v>27226</v>
      </c>
      <c r="AR201" s="95">
        <v>28031</v>
      </c>
    </row>
    <row r="202" spans="1:44" ht="12.5" x14ac:dyDescent="0.25">
      <c r="A202" s="95" t="s">
        <v>516</v>
      </c>
      <c r="B202" s="95" t="s">
        <v>114</v>
      </c>
      <c r="C202" s="95">
        <f t="shared" si="9"/>
        <v>5723.2</v>
      </c>
      <c r="D202" s="95">
        <f t="shared" si="10"/>
        <v>5149.3999999999996</v>
      </c>
      <c r="E202" s="184">
        <v>6877000</v>
      </c>
      <c r="F202" s="184">
        <f t="shared" si="11"/>
        <v>11425160.997058298</v>
      </c>
      <c r="G202" s="95">
        <v>3666</v>
      </c>
      <c r="H202" s="95">
        <v>3785</v>
      </c>
      <c r="I202" s="95">
        <v>6341</v>
      </c>
      <c r="J202" s="95">
        <v>7970</v>
      </c>
      <c r="K202" s="95">
        <v>2721</v>
      </c>
      <c r="L202" s="95">
        <v>5269</v>
      </c>
      <c r="M202" s="95">
        <v>5202</v>
      </c>
      <c r="N202" s="95">
        <v>4749</v>
      </c>
      <c r="O202" s="95">
        <v>3874</v>
      </c>
      <c r="P202" s="95">
        <v>1339</v>
      </c>
      <c r="Q202" s="95">
        <v>5254</v>
      </c>
      <c r="R202" s="95">
        <v>3123</v>
      </c>
      <c r="S202" s="95">
        <v>5197</v>
      </c>
      <c r="T202" s="95">
        <v>2032</v>
      </c>
      <c r="U202" s="95">
        <v>4101</v>
      </c>
      <c r="V202" s="95">
        <v>2626</v>
      </c>
      <c r="W202" s="95">
        <v>8617</v>
      </c>
      <c r="X202" s="95">
        <v>8131</v>
      </c>
      <c r="Y202" s="95">
        <v>12259</v>
      </c>
      <c r="Z202" s="95">
        <v>12470</v>
      </c>
      <c r="AA202" s="95">
        <v>31235</v>
      </c>
      <c r="AB202" s="95">
        <v>83849</v>
      </c>
      <c r="AC202" s="95">
        <v>85214</v>
      </c>
      <c r="AF202"/>
      <c r="AG202"/>
      <c r="AH202" s="95">
        <v>33042</v>
      </c>
      <c r="AI202" s="95">
        <v>32445</v>
      </c>
      <c r="AJ202" s="95">
        <v>31270</v>
      </c>
      <c r="AK202" s="95">
        <v>31241</v>
      </c>
      <c r="AL202" s="95">
        <v>31214</v>
      </c>
      <c r="AM202" s="95">
        <v>80714</v>
      </c>
      <c r="AN202" s="95">
        <v>82113</v>
      </c>
      <c r="AO202" s="95">
        <v>81407000</v>
      </c>
      <c r="AP202" s="95">
        <v>83849</v>
      </c>
      <c r="AQ202" s="95">
        <v>85214</v>
      </c>
      <c r="AR202" s="95">
        <v>88176</v>
      </c>
    </row>
    <row r="203" spans="1:44" ht="12.5" x14ac:dyDescent="0.25">
      <c r="A203" s="95" t="s">
        <v>523</v>
      </c>
      <c r="B203" s="95" t="s">
        <v>432</v>
      </c>
      <c r="C203" s="95">
        <f t="shared" si="9"/>
        <v>11831.2</v>
      </c>
      <c r="D203" s="95">
        <f t="shared" si="10"/>
        <v>10877.1</v>
      </c>
      <c r="E203" s="184">
        <v>4683000</v>
      </c>
      <c r="F203" s="184">
        <f t="shared" si="11"/>
        <v>17574666.573576439</v>
      </c>
      <c r="G203" s="95">
        <v>5233</v>
      </c>
      <c r="H203" s="95">
        <v>5232</v>
      </c>
      <c r="I203" s="95">
        <v>8551</v>
      </c>
      <c r="J203" s="95">
        <v>14645</v>
      </c>
      <c r="K203" s="95">
        <v>4397</v>
      </c>
      <c r="L203" s="95">
        <v>3676</v>
      </c>
      <c r="M203" s="95">
        <v>4498</v>
      </c>
      <c r="N203" s="95">
        <v>7576</v>
      </c>
      <c r="O203" s="95">
        <v>20526</v>
      </c>
      <c r="P203" s="95">
        <v>16890</v>
      </c>
      <c r="Q203" s="95">
        <v>16222</v>
      </c>
      <c r="R203" s="95">
        <v>12287</v>
      </c>
      <c r="S203" s="95">
        <v>18296</v>
      </c>
      <c r="T203" s="95">
        <v>20285</v>
      </c>
      <c r="U203" s="95">
        <v>12525</v>
      </c>
      <c r="V203" s="95">
        <v>6345</v>
      </c>
      <c r="W203" s="95">
        <v>8443</v>
      </c>
      <c r="X203" s="95">
        <v>5695</v>
      </c>
      <c r="Y203" s="95">
        <v>19621</v>
      </c>
      <c r="Z203" s="95">
        <v>16140</v>
      </c>
      <c r="AA203" s="95">
        <v>48047</v>
      </c>
      <c r="AB203" s="95">
        <v>70555</v>
      </c>
      <c r="AC203" s="95">
        <v>81494</v>
      </c>
      <c r="AF203"/>
      <c r="AG203"/>
      <c r="AH203" s="95">
        <v>46557</v>
      </c>
      <c r="AI203" s="95">
        <v>46612</v>
      </c>
      <c r="AJ203" s="95">
        <v>46863</v>
      </c>
      <c r="AK203" s="95">
        <v>47232</v>
      </c>
      <c r="AL203" s="95">
        <v>47583</v>
      </c>
      <c r="AM203" s="95">
        <v>71311</v>
      </c>
      <c r="AN203" s="95">
        <v>71425</v>
      </c>
      <c r="AO203" s="95">
        <v>71409000</v>
      </c>
      <c r="AP203" s="95">
        <v>70555</v>
      </c>
      <c r="AQ203" s="95">
        <v>81494</v>
      </c>
      <c r="AR203" s="95">
        <v>84961</v>
      </c>
    </row>
    <row r="204" spans="1:44" ht="12.5" x14ac:dyDescent="0.25">
      <c r="A204" s="95" t="s">
        <v>521</v>
      </c>
      <c r="B204" s="95" t="s">
        <v>310</v>
      </c>
      <c r="C204" s="95">
        <f t="shared" si="9"/>
        <v>16053.1</v>
      </c>
      <c r="D204" s="95">
        <f t="shared" si="10"/>
        <v>13624.6</v>
      </c>
      <c r="E204" s="184">
        <v>9742000</v>
      </c>
      <c r="F204" s="184">
        <f t="shared" si="11"/>
        <v>16226764.595854016</v>
      </c>
      <c r="G204" s="95">
        <v>19475</v>
      </c>
      <c r="H204" s="95">
        <v>17848</v>
      </c>
      <c r="I204" s="95">
        <v>20857</v>
      </c>
      <c r="J204" s="95">
        <v>20129</v>
      </c>
      <c r="K204" s="95">
        <v>29285</v>
      </c>
      <c r="L204" s="95">
        <v>21893</v>
      </c>
      <c r="M204" s="95">
        <v>11348</v>
      </c>
      <c r="N204" s="95">
        <v>12102</v>
      </c>
      <c r="O204" s="95">
        <v>15602</v>
      </c>
      <c r="P204" s="95">
        <v>13792</v>
      </c>
      <c r="Q204" s="95">
        <v>12655</v>
      </c>
      <c r="R204" s="95">
        <v>14089</v>
      </c>
      <c r="S204" s="95">
        <v>31632</v>
      </c>
      <c r="T204" s="95">
        <v>18484</v>
      </c>
      <c r="U204" s="95">
        <v>7745</v>
      </c>
      <c r="V204" s="95">
        <v>9331</v>
      </c>
      <c r="W204" s="95">
        <v>7030</v>
      </c>
      <c r="X204" s="95">
        <v>4135</v>
      </c>
      <c r="Y204" s="95">
        <v>4902</v>
      </c>
      <c r="Z204" s="95">
        <v>4443</v>
      </c>
      <c r="AA204" s="95">
        <v>44362</v>
      </c>
      <c r="AB204" s="95">
        <v>150251</v>
      </c>
      <c r="AC204" s="95">
        <v>158042</v>
      </c>
      <c r="AF204"/>
      <c r="AG204"/>
      <c r="AH204" s="95">
        <v>42191</v>
      </c>
      <c r="AI204" s="95">
        <v>42679</v>
      </c>
      <c r="AJ204" s="95">
        <v>42861</v>
      </c>
      <c r="AK204" s="95">
        <v>43517</v>
      </c>
      <c r="AL204" s="95">
        <v>44062</v>
      </c>
      <c r="AM204" s="95">
        <v>165885</v>
      </c>
      <c r="AN204" s="95">
        <v>167563</v>
      </c>
      <c r="AO204" s="95">
        <v>145931000</v>
      </c>
      <c r="AP204" s="95">
        <v>150251</v>
      </c>
      <c r="AQ204" s="95">
        <v>158042</v>
      </c>
      <c r="AR204" s="95">
        <v>160431</v>
      </c>
    </row>
    <row r="205" spans="1:44" ht="12.5" x14ac:dyDescent="0.25">
      <c r="A205" s="95" t="s">
        <v>517</v>
      </c>
      <c r="B205" s="95" t="s">
        <v>435</v>
      </c>
      <c r="C205" s="95">
        <f t="shared" si="9"/>
        <v>11401.2</v>
      </c>
      <c r="D205" s="95">
        <f t="shared" si="10"/>
        <v>10160</v>
      </c>
      <c r="E205" s="184">
        <v>1954000</v>
      </c>
      <c r="F205" s="184">
        <f t="shared" si="11"/>
        <v>8715457.3740005773</v>
      </c>
      <c r="G205" s="95">
        <v>3765</v>
      </c>
      <c r="H205" s="95">
        <v>4213</v>
      </c>
      <c r="I205" s="95">
        <v>21717</v>
      </c>
      <c r="J205" s="95">
        <v>27776</v>
      </c>
      <c r="K205" s="95">
        <v>9361</v>
      </c>
      <c r="L205" s="95">
        <v>10382</v>
      </c>
      <c r="M205" s="95">
        <v>10919</v>
      </c>
      <c r="N205" s="95">
        <v>13039</v>
      </c>
      <c r="O205" s="95">
        <v>15178</v>
      </c>
      <c r="P205" s="95">
        <v>10414</v>
      </c>
      <c r="Q205" s="95">
        <v>6576</v>
      </c>
      <c r="R205" s="95">
        <v>4499</v>
      </c>
      <c r="S205" s="95">
        <v>17191</v>
      </c>
      <c r="T205" s="95">
        <v>9615</v>
      </c>
      <c r="U205" s="95">
        <v>13978</v>
      </c>
      <c r="V205" s="95">
        <v>10347</v>
      </c>
      <c r="W205" s="95">
        <v>6901</v>
      </c>
      <c r="X205" s="95">
        <v>3457</v>
      </c>
      <c r="Y205" s="95">
        <v>8426</v>
      </c>
      <c r="Z205" s="95">
        <v>7858</v>
      </c>
      <c r="AA205" s="95">
        <v>23827</v>
      </c>
      <c r="AB205" s="95">
        <v>43564</v>
      </c>
      <c r="AC205" s="95">
        <v>44443</v>
      </c>
      <c r="AF205"/>
      <c r="AG205"/>
      <c r="AH205" s="95">
        <v>22869</v>
      </c>
      <c r="AI205" s="95">
        <v>22984</v>
      </c>
      <c r="AJ205" s="95">
        <v>23198</v>
      </c>
      <c r="AK205" s="95">
        <v>23376</v>
      </c>
      <c r="AL205" s="95">
        <v>23702</v>
      </c>
      <c r="AM205" s="95">
        <v>41682</v>
      </c>
      <c r="AN205" s="95">
        <v>36728</v>
      </c>
      <c r="AO205" s="95">
        <v>36195000</v>
      </c>
      <c r="AP205" s="95">
        <v>43564</v>
      </c>
      <c r="AQ205" s="95">
        <v>44443</v>
      </c>
      <c r="AR205" s="95">
        <v>47055</v>
      </c>
    </row>
    <row r="206" spans="1:44" ht="12.5" x14ac:dyDescent="0.25">
      <c r="A206" s="95" t="s">
        <v>519</v>
      </c>
      <c r="B206" s="95" t="s">
        <v>194</v>
      </c>
      <c r="C206" s="95">
        <f t="shared" si="9"/>
        <v>2188.9</v>
      </c>
      <c r="D206" s="95">
        <f t="shared" si="10"/>
        <v>1949.2</v>
      </c>
      <c r="E206" s="184">
        <v>3893000</v>
      </c>
      <c r="F206" s="184">
        <f t="shared" si="11"/>
        <v>10322332.106194498</v>
      </c>
      <c r="G206" s="95">
        <v>605</v>
      </c>
      <c r="H206" s="95">
        <v>390</v>
      </c>
      <c r="I206" s="95">
        <v>274</v>
      </c>
      <c r="J206" s="95">
        <v>1225</v>
      </c>
      <c r="K206" s="95">
        <v>3299</v>
      </c>
      <c r="L206" s="95">
        <v>4683</v>
      </c>
      <c r="M206" s="95">
        <v>6511</v>
      </c>
      <c r="N206" s="95">
        <v>6536</v>
      </c>
      <c r="O206" s="95">
        <v>11</v>
      </c>
      <c r="P206" s="95">
        <v>809</v>
      </c>
      <c r="Q206" s="95">
        <v>116</v>
      </c>
      <c r="R206" s="95">
        <v>2469</v>
      </c>
      <c r="S206" s="95">
        <v>1768</v>
      </c>
      <c r="T206" s="95">
        <v>1271</v>
      </c>
      <c r="U206" s="95">
        <v>2628</v>
      </c>
      <c r="V206" s="95">
        <v>1206</v>
      </c>
      <c r="W206" s="95">
        <v>2445</v>
      </c>
      <c r="X206" s="95">
        <v>535</v>
      </c>
      <c r="Y206" s="95">
        <v>4232</v>
      </c>
      <c r="Z206" s="95">
        <v>368</v>
      </c>
      <c r="AA206" s="95">
        <v>28220</v>
      </c>
      <c r="AB206" s="95">
        <v>38177</v>
      </c>
      <c r="AC206" s="95">
        <v>42026</v>
      </c>
      <c r="AF206"/>
      <c r="AG206"/>
      <c r="AH206" s="95">
        <v>26890</v>
      </c>
      <c r="AI206" s="95">
        <v>27122</v>
      </c>
      <c r="AJ206" s="95">
        <v>27485</v>
      </c>
      <c r="AK206" s="95">
        <v>27799</v>
      </c>
      <c r="AL206" s="95">
        <v>28021</v>
      </c>
      <c r="AM206" s="95">
        <v>42659</v>
      </c>
      <c r="AN206" s="95">
        <v>41697</v>
      </c>
      <c r="AO206" s="95">
        <v>38839000</v>
      </c>
      <c r="AP206" s="95">
        <v>38177</v>
      </c>
      <c r="AQ206" s="95">
        <v>42026</v>
      </c>
      <c r="AR206" s="95">
        <v>45192</v>
      </c>
    </row>
    <row r="207" spans="1:44" ht="12.5" x14ac:dyDescent="0.25">
      <c r="A207" s="95" t="s">
        <v>521</v>
      </c>
      <c r="B207" s="95" t="s">
        <v>311</v>
      </c>
      <c r="C207" s="95">
        <f t="shared" si="9"/>
        <v>11328.9</v>
      </c>
      <c r="D207" s="95">
        <f t="shared" si="10"/>
        <v>11393.5</v>
      </c>
      <c r="E207" s="184">
        <v>3487000</v>
      </c>
      <c r="F207" s="184">
        <f t="shared" si="11"/>
        <v>9326311.1875138599</v>
      </c>
      <c r="G207" s="95">
        <v>2174</v>
      </c>
      <c r="H207" s="95">
        <v>2264</v>
      </c>
      <c r="I207" s="95">
        <v>13149</v>
      </c>
      <c r="J207" s="95">
        <v>17075</v>
      </c>
      <c r="K207" s="95">
        <v>11281</v>
      </c>
      <c r="L207" s="95">
        <v>9818</v>
      </c>
      <c r="M207" s="95">
        <v>2819</v>
      </c>
      <c r="N207" s="95">
        <v>3054</v>
      </c>
      <c r="O207" s="95">
        <v>4843</v>
      </c>
      <c r="P207" s="95">
        <v>2340</v>
      </c>
      <c r="Q207" s="95">
        <v>17288</v>
      </c>
      <c r="R207" s="95">
        <v>19246</v>
      </c>
      <c r="S207" s="95">
        <v>35980</v>
      </c>
      <c r="T207" s="95">
        <v>37038</v>
      </c>
      <c r="U207" s="95">
        <v>4458</v>
      </c>
      <c r="V207" s="95">
        <v>2048</v>
      </c>
      <c r="W207" s="95">
        <v>8807</v>
      </c>
      <c r="X207" s="95">
        <v>8586</v>
      </c>
      <c r="Y207" s="95">
        <v>12490</v>
      </c>
      <c r="Z207" s="95">
        <v>12466</v>
      </c>
      <c r="AA207" s="95">
        <v>25497</v>
      </c>
      <c r="AB207" s="95">
        <v>65078</v>
      </c>
      <c r="AC207" s="95">
        <v>64708</v>
      </c>
      <c r="AF207"/>
      <c r="AG207"/>
      <c r="AH207" s="95">
        <v>23601</v>
      </c>
      <c r="AI207" s="95">
        <v>23889</v>
      </c>
      <c r="AJ207" s="95">
        <v>24432</v>
      </c>
      <c r="AK207" s="95">
        <v>24861</v>
      </c>
      <c r="AL207" s="95">
        <v>25064</v>
      </c>
      <c r="AM207" s="95">
        <v>65196</v>
      </c>
      <c r="AN207" s="95">
        <v>62521</v>
      </c>
      <c r="AO207" s="95">
        <v>65889000</v>
      </c>
      <c r="AP207" s="95">
        <v>65078</v>
      </c>
      <c r="AQ207" s="95">
        <v>64708</v>
      </c>
      <c r="AR207" s="95">
        <v>64787</v>
      </c>
    </row>
    <row r="208" spans="1:44" ht="12.5" x14ac:dyDescent="0.25">
      <c r="A208" s="95" t="s">
        <v>517</v>
      </c>
      <c r="B208" s="95" t="s">
        <v>380</v>
      </c>
      <c r="C208" s="95">
        <f t="shared" si="9"/>
        <v>4568.8</v>
      </c>
      <c r="D208" s="95">
        <f t="shared" si="10"/>
        <v>4499.5</v>
      </c>
      <c r="E208" s="184">
        <v>2325000</v>
      </c>
      <c r="F208" s="184">
        <f t="shared" si="11"/>
        <v>6972146.4307644693</v>
      </c>
      <c r="G208" s="95">
        <v>316</v>
      </c>
      <c r="H208" s="95">
        <v>341</v>
      </c>
      <c r="I208" s="95">
        <v>11071</v>
      </c>
      <c r="J208" s="95">
        <v>13040</v>
      </c>
      <c r="K208" s="95">
        <v>4848</v>
      </c>
      <c r="L208" s="95">
        <v>4726</v>
      </c>
      <c r="M208" s="95">
        <v>5896</v>
      </c>
      <c r="N208" s="95">
        <v>6759</v>
      </c>
      <c r="O208" s="95">
        <v>7367</v>
      </c>
      <c r="P208" s="95">
        <v>6078</v>
      </c>
      <c r="Q208" s="95">
        <v>7204</v>
      </c>
      <c r="R208" s="95">
        <v>7362</v>
      </c>
      <c r="S208" s="95">
        <v>5278</v>
      </c>
      <c r="T208" s="95">
        <v>3740</v>
      </c>
      <c r="U208" s="95">
        <v>1400</v>
      </c>
      <c r="V208" s="95">
        <v>1259</v>
      </c>
      <c r="W208" s="95">
        <v>1543</v>
      </c>
      <c r="X208" s="95">
        <v>1231</v>
      </c>
      <c r="Y208" s="95">
        <v>765</v>
      </c>
      <c r="Z208" s="95">
        <v>459</v>
      </c>
      <c r="AA208" s="95">
        <v>19061</v>
      </c>
      <c r="AB208" s="95">
        <v>47134</v>
      </c>
      <c r="AC208" s="95">
        <v>48545</v>
      </c>
      <c r="AF208"/>
      <c r="AG208"/>
      <c r="AH208" s="95">
        <v>18491</v>
      </c>
      <c r="AI208" s="95">
        <v>18561</v>
      </c>
      <c r="AJ208" s="95">
        <v>18627</v>
      </c>
      <c r="AK208" s="95">
        <v>18738</v>
      </c>
      <c r="AL208" s="95">
        <v>18842</v>
      </c>
      <c r="AM208" s="95">
        <v>48866</v>
      </c>
      <c r="AN208" s="95">
        <v>47236</v>
      </c>
      <c r="AO208" s="95">
        <v>45757000</v>
      </c>
      <c r="AP208" s="95">
        <v>47134</v>
      </c>
      <c r="AQ208" s="95">
        <v>48545</v>
      </c>
      <c r="AR208" s="95">
        <v>51490</v>
      </c>
    </row>
    <row r="209" spans="1:44" x14ac:dyDescent="0.25">
      <c r="A209" s="95" t="s">
        <v>517</v>
      </c>
      <c r="B209" s="95" t="s">
        <v>381</v>
      </c>
      <c r="C209" s="95">
        <f t="shared" si="9"/>
        <v>8827.6448956728746</v>
      </c>
      <c r="D209" s="95">
        <f t="shared" si="10"/>
        <v>8123.375381599215</v>
      </c>
      <c r="E209" s="184">
        <v>2775000</v>
      </c>
      <c r="F209" s="184">
        <f t="shared" si="11"/>
        <v>11892628.765722953</v>
      </c>
      <c r="G209" s="95">
        <v>9434</v>
      </c>
      <c r="H209" s="95">
        <v>7594</v>
      </c>
      <c r="I209" s="95">
        <v>5338.3006581711243</v>
      </c>
      <c r="J209" s="95">
        <v>4966.3409886570507</v>
      </c>
      <c r="K209" s="95">
        <v>8137.3080801008264</v>
      </c>
      <c r="L209" s="95">
        <v>7637.9826354852266</v>
      </c>
      <c r="M209" s="95">
        <v>5629.6013163422485</v>
      </c>
      <c r="N209" s="95">
        <v>5102.0789805349395</v>
      </c>
      <c r="O209" s="95">
        <v>9439.418288755076</v>
      </c>
      <c r="P209" s="95">
        <v>8273.0662372216775</v>
      </c>
      <c r="Q209" s="95">
        <v>14941.776921999721</v>
      </c>
      <c r="R209" s="95">
        <v>14523.054894272511</v>
      </c>
      <c r="S209" s="95">
        <v>16098.988096905196</v>
      </c>
      <c r="T209" s="95">
        <v>13545.233720767399</v>
      </c>
      <c r="U209" s="95">
        <v>7890.6997619381036</v>
      </c>
      <c r="V209" s="95">
        <v>8424.0113429491666</v>
      </c>
      <c r="W209" s="95">
        <v>7737.1952107547959</v>
      </c>
      <c r="X209" s="95">
        <v>7508.3603136815573</v>
      </c>
      <c r="Y209" s="95">
        <v>3629.1606217616581</v>
      </c>
      <c r="Z209" s="95">
        <v>3659.62470242263</v>
      </c>
      <c r="AA209" s="95">
        <v>32513</v>
      </c>
      <c r="AB209" s="95">
        <v>61955.634504971291</v>
      </c>
      <c r="AC209" s="95">
        <v>63193.33538720067</v>
      </c>
      <c r="AH209" s="95">
        <v>31633.607617980677</v>
      </c>
      <c r="AI209" s="95">
        <v>31934.234981095084</v>
      </c>
      <c r="AJ209" s="95">
        <v>31946.412967371514</v>
      </c>
      <c r="AK209" s="95">
        <v>32122.996078980534</v>
      </c>
      <c r="AL209" s="95">
        <v>32405.725668673855</v>
      </c>
      <c r="AM209" s="95">
        <v>62642.883069598094</v>
      </c>
      <c r="AN209" s="95">
        <v>62018.008962330205</v>
      </c>
      <c r="AO209" s="95">
        <v>61954816.412267193</v>
      </c>
      <c r="AP209" s="95">
        <v>61099.81137095645</v>
      </c>
      <c r="AQ209" s="95">
        <v>63193.33538720067</v>
      </c>
      <c r="AR209" s="95">
        <v>72647.625542641093</v>
      </c>
    </row>
    <row r="210" spans="1:44" ht="12.5" x14ac:dyDescent="0.25">
      <c r="A210" s="95" t="s">
        <v>525</v>
      </c>
      <c r="B210" s="95" t="s">
        <v>123</v>
      </c>
      <c r="C210" s="95">
        <f t="shared" si="9"/>
        <v>2028.7</v>
      </c>
      <c r="D210" s="95">
        <f t="shared" si="10"/>
        <v>2370.4</v>
      </c>
      <c r="E210" s="184">
        <v>6379000</v>
      </c>
      <c r="F210" s="184">
        <f t="shared" si="11"/>
        <v>14085118.441290984</v>
      </c>
      <c r="G210" s="95">
        <v>47</v>
      </c>
      <c r="H210" s="95">
        <v>248</v>
      </c>
      <c r="I210" s="95">
        <v>4972</v>
      </c>
      <c r="J210" s="95">
        <v>6403</v>
      </c>
      <c r="K210" s="95">
        <v>3303</v>
      </c>
      <c r="L210" s="95">
        <v>3566</v>
      </c>
      <c r="M210" s="95">
        <v>1678</v>
      </c>
      <c r="N210" s="95">
        <v>2733</v>
      </c>
      <c r="O210" s="95">
        <v>1093</v>
      </c>
      <c r="P210" s="95">
        <v>1353</v>
      </c>
      <c r="Q210" s="95">
        <v>1371</v>
      </c>
      <c r="R210" s="95">
        <v>1277</v>
      </c>
      <c r="S210" s="95">
        <v>4227</v>
      </c>
      <c r="T210" s="95">
        <v>4377</v>
      </c>
      <c r="U210" s="95">
        <v>266</v>
      </c>
      <c r="V210" s="95">
        <v>572</v>
      </c>
      <c r="W210" s="95">
        <v>717</v>
      </c>
      <c r="X210" s="95">
        <v>490</v>
      </c>
      <c r="Y210" s="95">
        <v>2613</v>
      </c>
      <c r="Z210" s="95">
        <v>2685</v>
      </c>
      <c r="AA210" s="95">
        <v>38507</v>
      </c>
      <c r="AB210" s="95">
        <v>122728</v>
      </c>
      <c r="AC210" s="95">
        <v>123773</v>
      </c>
      <c r="AF210"/>
      <c r="AG210"/>
      <c r="AH210" s="95">
        <v>38107</v>
      </c>
      <c r="AI210" s="95">
        <v>38077</v>
      </c>
      <c r="AJ210" s="95">
        <v>38121</v>
      </c>
      <c r="AK210" s="95">
        <v>38185</v>
      </c>
      <c r="AL210" s="95">
        <v>38277</v>
      </c>
      <c r="AM210" s="95">
        <v>131978</v>
      </c>
      <c r="AN210" s="95">
        <v>127671</v>
      </c>
      <c r="AO210" s="95">
        <v>125015000</v>
      </c>
      <c r="AP210" s="95">
        <v>122728</v>
      </c>
      <c r="AQ210" s="95">
        <v>123773</v>
      </c>
      <c r="AR210" s="95">
        <v>124893</v>
      </c>
    </row>
    <row r="211" spans="1:44" ht="12.5" x14ac:dyDescent="0.25">
      <c r="A211" s="95" t="s">
        <v>519</v>
      </c>
      <c r="B211" s="95" t="s">
        <v>195</v>
      </c>
      <c r="C211" s="95">
        <f t="shared" si="9"/>
        <v>4860.3999999999996</v>
      </c>
      <c r="D211" s="95">
        <f t="shared" si="10"/>
        <v>4395.6000000000004</v>
      </c>
      <c r="E211" s="184">
        <v>5414000</v>
      </c>
      <c r="F211" s="184">
        <f t="shared" si="11"/>
        <v>8753498.5695726629</v>
      </c>
      <c r="G211" s="95">
        <v>851</v>
      </c>
      <c r="H211" s="95">
        <v>847</v>
      </c>
      <c r="I211" s="95">
        <v>6070</v>
      </c>
      <c r="J211" s="95">
        <v>7101</v>
      </c>
      <c r="K211" s="95">
        <v>2927</v>
      </c>
      <c r="L211" s="95">
        <v>3194</v>
      </c>
      <c r="M211" s="95">
        <v>1964</v>
      </c>
      <c r="N211" s="95">
        <v>2614</v>
      </c>
      <c r="O211" s="95">
        <v>4432</v>
      </c>
      <c r="P211" s="95">
        <v>5737</v>
      </c>
      <c r="Q211" s="95">
        <v>2820</v>
      </c>
      <c r="R211" s="95">
        <v>3187</v>
      </c>
      <c r="S211" s="95">
        <v>9120</v>
      </c>
      <c r="T211" s="95">
        <v>4401</v>
      </c>
      <c r="U211" s="95">
        <v>9560</v>
      </c>
      <c r="V211" s="95">
        <v>5979</v>
      </c>
      <c r="W211" s="95">
        <v>4494</v>
      </c>
      <c r="X211" s="95">
        <v>4379</v>
      </c>
      <c r="Y211" s="95">
        <v>6366</v>
      </c>
      <c r="Z211" s="95">
        <v>6517</v>
      </c>
      <c r="AA211" s="95">
        <v>23931</v>
      </c>
      <c r="AB211" s="95">
        <v>33933</v>
      </c>
      <c r="AC211" s="95">
        <v>40533</v>
      </c>
      <c r="AG211"/>
      <c r="AH211" s="95">
        <v>23263</v>
      </c>
      <c r="AI211" s="95">
        <v>23503</v>
      </c>
      <c r="AJ211" s="95">
        <v>23594</v>
      </c>
      <c r="AK211" s="95">
        <v>23619</v>
      </c>
      <c r="AL211" s="95">
        <v>23760</v>
      </c>
      <c r="AM211" s="95">
        <v>24071</v>
      </c>
      <c r="AN211" s="95">
        <v>24178</v>
      </c>
      <c r="AO211" s="95">
        <v>32056000</v>
      </c>
      <c r="AP211" s="95">
        <v>33933</v>
      </c>
      <c r="AQ211" s="95">
        <v>40533</v>
      </c>
      <c r="AR211" s="95">
        <v>45703</v>
      </c>
    </row>
    <row r="212" spans="1:44" ht="12.5" x14ac:dyDescent="0.25">
      <c r="A212" s="95" t="s">
        <v>522</v>
      </c>
      <c r="B212" s="95" t="s">
        <v>153</v>
      </c>
      <c r="C212" s="95">
        <f t="shared" si="9"/>
        <v>9312.2000000000007</v>
      </c>
      <c r="D212" s="95">
        <f t="shared" si="10"/>
        <v>9958.7999999999993</v>
      </c>
      <c r="E212" s="184">
        <v>4386000</v>
      </c>
      <c r="F212" s="184">
        <f t="shared" si="11"/>
        <v>11611709.167652175</v>
      </c>
      <c r="G212" s="95">
        <v>1425</v>
      </c>
      <c r="H212" s="95">
        <v>1425</v>
      </c>
      <c r="I212" s="95">
        <v>10466</v>
      </c>
      <c r="J212" s="95">
        <v>11385</v>
      </c>
      <c r="K212" s="95">
        <v>9491</v>
      </c>
      <c r="L212" s="95">
        <v>14011</v>
      </c>
      <c r="M212" s="95">
        <v>11321</v>
      </c>
      <c r="N212" s="95">
        <v>11138</v>
      </c>
      <c r="O212" s="95">
        <v>14997</v>
      </c>
      <c r="P212" s="95">
        <v>11576</v>
      </c>
      <c r="Q212" s="95">
        <v>10811</v>
      </c>
      <c r="R212" s="95">
        <v>9666</v>
      </c>
      <c r="S212" s="95">
        <v>9139</v>
      </c>
      <c r="T212" s="95">
        <v>4118</v>
      </c>
      <c r="U212" s="95">
        <v>8662</v>
      </c>
      <c r="V212" s="95">
        <v>20232</v>
      </c>
      <c r="W212" s="95">
        <v>6644</v>
      </c>
      <c r="X212" s="95">
        <v>5123</v>
      </c>
      <c r="Y212" s="95">
        <v>10166</v>
      </c>
      <c r="Z212" s="95">
        <v>10914</v>
      </c>
      <c r="AA212" s="95">
        <v>31745</v>
      </c>
      <c r="AB212" s="95">
        <v>99510</v>
      </c>
      <c r="AC212" s="95">
        <v>85773</v>
      </c>
      <c r="AF212"/>
      <c r="AG212"/>
      <c r="AH212" s="95">
        <v>32011</v>
      </c>
      <c r="AI212" s="95">
        <v>31924</v>
      </c>
      <c r="AJ212" s="95">
        <v>31855</v>
      </c>
      <c r="AK212" s="95">
        <v>31843</v>
      </c>
      <c r="AL212" s="95">
        <v>31701</v>
      </c>
      <c r="AM212" s="95">
        <v>91822</v>
      </c>
      <c r="AN212" s="95">
        <v>101110</v>
      </c>
      <c r="AO212" s="95">
        <v>87773000</v>
      </c>
      <c r="AP212" s="95">
        <v>99510</v>
      </c>
      <c r="AQ212" s="95">
        <v>85773</v>
      </c>
      <c r="AR212" s="95">
        <v>89206</v>
      </c>
    </row>
    <row r="213" spans="1:44" ht="12.5" x14ac:dyDescent="0.25">
      <c r="A213" s="95" t="s">
        <v>522</v>
      </c>
      <c r="B213" s="95" t="s">
        <v>154</v>
      </c>
      <c r="C213" s="95">
        <f t="shared" si="9"/>
        <v>3689</v>
      </c>
      <c r="D213" s="95">
        <f t="shared" si="10"/>
        <v>3475.8</v>
      </c>
      <c r="E213" s="184">
        <v>1613000</v>
      </c>
      <c r="F213" s="184">
        <f t="shared" si="11"/>
        <v>6766211.8816578966</v>
      </c>
      <c r="G213" s="95">
        <v>2839</v>
      </c>
      <c r="H213" s="95">
        <v>2854</v>
      </c>
      <c r="I213" s="95">
        <v>4899</v>
      </c>
      <c r="J213" s="95">
        <v>4288</v>
      </c>
      <c r="K213" s="95">
        <v>1845</v>
      </c>
      <c r="L213" s="95">
        <v>2347</v>
      </c>
      <c r="M213" s="95">
        <v>2842</v>
      </c>
      <c r="N213" s="95">
        <v>2927</v>
      </c>
      <c r="O213" s="95">
        <v>1177</v>
      </c>
      <c r="P213" s="95">
        <v>1562</v>
      </c>
      <c r="Q213" s="95">
        <v>3089</v>
      </c>
      <c r="R213" s="95">
        <v>3112</v>
      </c>
      <c r="S213" s="95">
        <v>5588</v>
      </c>
      <c r="T213" s="95">
        <v>4432</v>
      </c>
      <c r="U213" s="95">
        <v>4209</v>
      </c>
      <c r="V213" s="95">
        <v>3407</v>
      </c>
      <c r="W213" s="95">
        <v>6052</v>
      </c>
      <c r="X213" s="95">
        <v>5702</v>
      </c>
      <c r="Y213" s="95">
        <v>4350</v>
      </c>
      <c r="Z213" s="95">
        <v>4127</v>
      </c>
      <c r="AA213" s="95">
        <v>18498</v>
      </c>
      <c r="AB213" s="95">
        <v>40278</v>
      </c>
      <c r="AC213" s="95">
        <v>39157</v>
      </c>
      <c r="AF213"/>
      <c r="AG213"/>
      <c r="AH213" s="95">
        <v>17959</v>
      </c>
      <c r="AI213" s="95">
        <v>18023</v>
      </c>
      <c r="AJ213" s="95">
        <v>18069</v>
      </c>
      <c r="AK213" s="95">
        <v>18231</v>
      </c>
      <c r="AL213" s="95">
        <v>18361</v>
      </c>
      <c r="AM213" s="95">
        <v>44028</v>
      </c>
      <c r="AN213" s="95">
        <v>42336</v>
      </c>
      <c r="AO213" s="95">
        <v>41128000</v>
      </c>
      <c r="AP213" s="95">
        <v>40278</v>
      </c>
      <c r="AQ213" s="95">
        <v>39157</v>
      </c>
      <c r="AR213" s="95">
        <v>38590</v>
      </c>
    </row>
    <row r="214" spans="1:44" ht="12.5" x14ac:dyDescent="0.25">
      <c r="A214" s="95" t="s">
        <v>522</v>
      </c>
      <c r="B214" s="95" t="s">
        <v>155</v>
      </c>
      <c r="C214" s="95">
        <f t="shared" si="9"/>
        <v>8954.5</v>
      </c>
      <c r="D214" s="95">
        <f t="shared" si="10"/>
        <v>9179.2999999999993</v>
      </c>
      <c r="E214" s="184">
        <v>2221000</v>
      </c>
      <c r="F214" s="184">
        <f t="shared" si="11"/>
        <v>6755238.4598582564</v>
      </c>
      <c r="G214" s="95">
        <v>3259</v>
      </c>
      <c r="H214" s="95">
        <v>3349</v>
      </c>
      <c r="I214" s="95">
        <v>5084</v>
      </c>
      <c r="J214" s="95">
        <v>7514</v>
      </c>
      <c r="K214" s="95">
        <v>9557</v>
      </c>
      <c r="L214" s="95">
        <v>10895</v>
      </c>
      <c r="M214" s="95">
        <v>27600</v>
      </c>
      <c r="N214" s="95">
        <v>33053</v>
      </c>
      <c r="O214" s="95">
        <v>4339</v>
      </c>
      <c r="P214" s="95">
        <v>4661</v>
      </c>
      <c r="Q214" s="95">
        <v>6984</v>
      </c>
      <c r="R214" s="95">
        <v>7526</v>
      </c>
      <c r="S214" s="95">
        <v>10878</v>
      </c>
      <c r="T214" s="95">
        <v>9973</v>
      </c>
      <c r="U214" s="95">
        <v>6437</v>
      </c>
      <c r="V214" s="95">
        <v>5649</v>
      </c>
      <c r="W214" s="95">
        <v>7402</v>
      </c>
      <c r="X214" s="95">
        <v>4257</v>
      </c>
      <c r="Y214" s="95">
        <v>8005</v>
      </c>
      <c r="Z214" s="95">
        <v>4916</v>
      </c>
      <c r="AA214" s="95">
        <v>18468</v>
      </c>
      <c r="AB214" s="95">
        <v>29017</v>
      </c>
      <c r="AC214" s="95">
        <v>28610</v>
      </c>
      <c r="AF214"/>
      <c r="AG214"/>
      <c r="AH214" s="95">
        <v>17530</v>
      </c>
      <c r="AI214" s="95">
        <v>17605</v>
      </c>
      <c r="AJ214" s="95">
        <v>17817</v>
      </c>
      <c r="AK214" s="95">
        <v>18002</v>
      </c>
      <c r="AL214" s="95">
        <v>18295</v>
      </c>
      <c r="AM214" s="95">
        <v>31256</v>
      </c>
      <c r="AN214" s="95">
        <v>29779</v>
      </c>
      <c r="AO214" s="95">
        <v>32292000</v>
      </c>
      <c r="AP214" s="95">
        <v>29017</v>
      </c>
      <c r="AQ214" s="95">
        <v>28610</v>
      </c>
      <c r="AR214" s="95">
        <v>29767</v>
      </c>
    </row>
    <row r="215" spans="1:44" ht="12.5" x14ac:dyDescent="0.25">
      <c r="A215" s="95" t="s">
        <v>519</v>
      </c>
      <c r="B215" s="95" t="s">
        <v>196</v>
      </c>
      <c r="C215" s="95">
        <f t="shared" si="9"/>
        <v>1345.6</v>
      </c>
      <c r="D215" s="95">
        <f t="shared" si="10"/>
        <v>1483</v>
      </c>
      <c r="E215" s="184">
        <v>5705000</v>
      </c>
      <c r="F215" s="184">
        <f t="shared" si="11"/>
        <v>10829669.974064512</v>
      </c>
      <c r="G215" s="95">
        <v>768</v>
      </c>
      <c r="H215" s="95">
        <v>524</v>
      </c>
      <c r="I215" s="95">
        <v>5989</v>
      </c>
      <c r="J215" s="95">
        <v>5493</v>
      </c>
      <c r="K215" s="95">
        <v>3154</v>
      </c>
      <c r="L215" s="95">
        <v>3484</v>
      </c>
      <c r="M215" s="95">
        <v>1265</v>
      </c>
      <c r="N215" s="95">
        <v>2520</v>
      </c>
      <c r="O215" s="95">
        <v>2095</v>
      </c>
      <c r="P215" s="95">
        <v>3022</v>
      </c>
      <c r="Q215" s="95">
        <v>149</v>
      </c>
      <c r="R215" s="95">
        <v>683</v>
      </c>
      <c r="S215" s="95">
        <v>12</v>
      </c>
      <c r="T215" s="95">
        <v>-708</v>
      </c>
      <c r="U215" s="95">
        <v>8</v>
      </c>
      <c r="V215" s="95">
        <v>381</v>
      </c>
      <c r="W215" s="95">
        <v>8</v>
      </c>
      <c r="X215" s="95">
        <v>-776</v>
      </c>
      <c r="Y215" s="95">
        <v>8</v>
      </c>
      <c r="Z215" s="95">
        <v>207</v>
      </c>
      <c r="AA215" s="95">
        <v>29607</v>
      </c>
      <c r="AB215" s="95">
        <v>98363</v>
      </c>
      <c r="AC215" s="95">
        <v>98306</v>
      </c>
      <c r="AF215"/>
      <c r="AG215"/>
      <c r="AH215" s="95">
        <v>29632</v>
      </c>
      <c r="AI215" s="95">
        <v>29673</v>
      </c>
      <c r="AJ215" s="95">
        <v>29700</v>
      </c>
      <c r="AK215" s="95">
        <v>29595</v>
      </c>
      <c r="AL215" s="95">
        <v>29574</v>
      </c>
      <c r="AM215" s="95">
        <v>87771</v>
      </c>
      <c r="AN215" s="95">
        <v>87163</v>
      </c>
      <c r="AO215" s="95">
        <v>91513000</v>
      </c>
      <c r="AP215" s="95">
        <v>98363</v>
      </c>
      <c r="AQ215" s="95">
        <v>98306</v>
      </c>
      <c r="AR215" s="95">
        <v>96161</v>
      </c>
    </row>
    <row r="216" spans="1:44" ht="12.5" x14ac:dyDescent="0.25">
      <c r="A216" s="95" t="s">
        <v>517</v>
      </c>
      <c r="B216" s="95" t="s">
        <v>382</v>
      </c>
      <c r="C216" s="95">
        <f t="shared" si="9"/>
        <v>12737.6</v>
      </c>
      <c r="D216" s="95">
        <f t="shared" si="10"/>
        <v>12352.5</v>
      </c>
      <c r="E216" s="184">
        <v>14904000</v>
      </c>
      <c r="F216" s="184">
        <f t="shared" si="11"/>
        <v>20677950.258514572</v>
      </c>
      <c r="G216" s="95">
        <v>6475</v>
      </c>
      <c r="H216" s="95">
        <v>6511</v>
      </c>
      <c r="I216" s="95">
        <v>10123</v>
      </c>
      <c r="J216" s="95">
        <v>12038</v>
      </c>
      <c r="K216" s="95">
        <v>23233</v>
      </c>
      <c r="L216" s="95">
        <v>24255</v>
      </c>
      <c r="M216" s="95">
        <v>10003</v>
      </c>
      <c r="N216" s="95">
        <v>10180</v>
      </c>
      <c r="O216" s="95">
        <v>15572</v>
      </c>
      <c r="P216" s="95">
        <v>10398</v>
      </c>
      <c r="Q216" s="95">
        <v>12944</v>
      </c>
      <c r="R216" s="95">
        <v>11894</v>
      </c>
      <c r="S216" s="95">
        <v>17284</v>
      </c>
      <c r="T216" s="95">
        <v>17216</v>
      </c>
      <c r="U216" s="95">
        <v>12744</v>
      </c>
      <c r="V216" s="95">
        <v>13274</v>
      </c>
      <c r="W216" s="95">
        <v>10612</v>
      </c>
      <c r="X216" s="95">
        <v>9426</v>
      </c>
      <c r="Y216" s="95">
        <v>8386</v>
      </c>
      <c r="Z216" s="95">
        <v>8333</v>
      </c>
      <c r="AA216" s="95">
        <v>56531</v>
      </c>
      <c r="AB216" s="95">
        <v>184418</v>
      </c>
      <c r="AC216" s="95">
        <v>194233</v>
      </c>
      <c r="AF216"/>
      <c r="AG216"/>
      <c r="AH216" s="95">
        <v>54604</v>
      </c>
      <c r="AI216" s="95">
        <v>55169</v>
      </c>
      <c r="AJ216" s="95">
        <v>55610</v>
      </c>
      <c r="AK216" s="95">
        <v>55975</v>
      </c>
      <c r="AL216" s="95">
        <v>56206</v>
      </c>
      <c r="AM216" s="95">
        <v>179331</v>
      </c>
      <c r="AN216" s="95">
        <v>189854</v>
      </c>
      <c r="AO216" s="95">
        <v>190663000</v>
      </c>
      <c r="AP216" s="95">
        <v>184418</v>
      </c>
      <c r="AQ216" s="95">
        <v>194233</v>
      </c>
      <c r="AR216" s="95">
        <v>195911</v>
      </c>
    </row>
    <row r="217" spans="1:44" ht="12.5" x14ac:dyDescent="0.25">
      <c r="A217" s="95" t="s">
        <v>520</v>
      </c>
      <c r="B217" s="95" t="s">
        <v>133</v>
      </c>
      <c r="C217" s="95">
        <f t="shared" si="9"/>
        <v>1074</v>
      </c>
      <c r="D217" s="95">
        <f t="shared" si="10"/>
        <v>1532.8</v>
      </c>
      <c r="E217" s="184">
        <v>2607000</v>
      </c>
      <c r="F217" s="184">
        <f t="shared" si="11"/>
        <v>9393614.8412183169</v>
      </c>
      <c r="G217" s="95">
        <v>144</v>
      </c>
      <c r="H217" s="95">
        <v>45</v>
      </c>
      <c r="I217" s="95">
        <v>3766</v>
      </c>
      <c r="J217" s="95">
        <v>4916</v>
      </c>
      <c r="K217" s="95">
        <v>1405</v>
      </c>
      <c r="L217" s="95">
        <v>2555</v>
      </c>
      <c r="M217" s="95">
        <v>822</v>
      </c>
      <c r="N217" s="95">
        <v>1871</v>
      </c>
      <c r="O217" s="95">
        <v>1885</v>
      </c>
      <c r="P217" s="95">
        <v>3834</v>
      </c>
      <c r="Q217" s="95">
        <v>2018</v>
      </c>
      <c r="R217" s="95">
        <v>1870</v>
      </c>
      <c r="S217" s="95">
        <v>203</v>
      </c>
      <c r="T217" s="95">
        <v>140</v>
      </c>
      <c r="U217" s="95">
        <v>154</v>
      </c>
      <c r="V217" s="95">
        <v>40</v>
      </c>
      <c r="W217" s="95">
        <v>235</v>
      </c>
      <c r="X217" s="95">
        <v>30</v>
      </c>
      <c r="Y217" s="95">
        <v>108</v>
      </c>
      <c r="Z217" s="95">
        <v>27</v>
      </c>
      <c r="AA217" s="95">
        <v>25681</v>
      </c>
      <c r="AB217" s="95">
        <v>61697</v>
      </c>
      <c r="AC217" s="95">
        <v>62326</v>
      </c>
      <c r="AF217"/>
      <c r="AG217"/>
      <c r="AH217" s="95">
        <v>25543</v>
      </c>
      <c r="AI217" s="95">
        <v>25458</v>
      </c>
      <c r="AJ217" s="95">
        <v>25498</v>
      </c>
      <c r="AK217" s="95">
        <v>25477</v>
      </c>
      <c r="AL217" s="95">
        <v>25464</v>
      </c>
      <c r="AM217" s="95">
        <v>67325</v>
      </c>
      <c r="AN217" s="95">
        <v>62888</v>
      </c>
      <c r="AO217" s="95">
        <v>62620000</v>
      </c>
      <c r="AP217" s="95">
        <v>61697</v>
      </c>
      <c r="AQ217" s="95">
        <v>62326</v>
      </c>
      <c r="AR217" s="95">
        <v>61318</v>
      </c>
    </row>
    <row r="218" spans="1:44" ht="12.5" x14ac:dyDescent="0.25">
      <c r="A218" s="95" t="s">
        <v>518</v>
      </c>
      <c r="B218" s="95" t="s">
        <v>267</v>
      </c>
      <c r="C218" s="95">
        <f t="shared" si="9"/>
        <v>1949.4</v>
      </c>
      <c r="D218" s="95">
        <f t="shared" si="10"/>
        <v>1558.6</v>
      </c>
      <c r="E218" s="184">
        <v>1445000</v>
      </c>
      <c r="F218" s="184">
        <f t="shared" si="11"/>
        <v>3527589.3278575386</v>
      </c>
      <c r="G218" s="95">
        <v>0</v>
      </c>
      <c r="H218" s="95">
        <v>72</v>
      </c>
      <c r="I218" s="95">
        <v>7320</v>
      </c>
      <c r="J218" s="95">
        <v>5058</v>
      </c>
      <c r="K218" s="95">
        <v>6476</v>
      </c>
      <c r="L218" s="95">
        <v>5038</v>
      </c>
      <c r="M218" s="95">
        <v>1288</v>
      </c>
      <c r="N218" s="95">
        <v>1190</v>
      </c>
      <c r="O218" s="95">
        <v>520</v>
      </c>
      <c r="P218" s="95">
        <v>-85</v>
      </c>
      <c r="Q218" s="95">
        <v>848</v>
      </c>
      <c r="R218" s="95">
        <v>1194</v>
      </c>
      <c r="S218" s="95">
        <v>2678</v>
      </c>
      <c r="T218" s="95">
        <v>2624</v>
      </c>
      <c r="U218" s="95">
        <v>31</v>
      </c>
      <c r="V218" s="95">
        <v>127</v>
      </c>
      <c r="W218" s="95">
        <v>123</v>
      </c>
      <c r="X218" s="95">
        <v>145</v>
      </c>
      <c r="Y218" s="95">
        <v>210</v>
      </c>
      <c r="Z218" s="95">
        <v>223</v>
      </c>
      <c r="AA218" s="95">
        <v>9644</v>
      </c>
      <c r="AB218" s="95">
        <v>33369</v>
      </c>
      <c r="AC218" s="95">
        <v>33216</v>
      </c>
      <c r="AF218"/>
      <c r="AG218"/>
      <c r="AH218" s="95">
        <v>9653</v>
      </c>
      <c r="AI218" s="95">
        <v>9735</v>
      </c>
      <c r="AJ218" s="95">
        <v>9755</v>
      </c>
      <c r="AK218" s="95">
        <v>9742</v>
      </c>
      <c r="AL218" s="95">
        <v>9689</v>
      </c>
      <c r="AM218" s="95">
        <v>33530</v>
      </c>
      <c r="AN218" s="95">
        <v>32215</v>
      </c>
      <c r="AO218" s="95">
        <v>32735000</v>
      </c>
      <c r="AP218" s="95">
        <v>33369</v>
      </c>
      <c r="AQ218" s="95">
        <v>33216</v>
      </c>
      <c r="AR218" s="95">
        <v>33329</v>
      </c>
    </row>
    <row r="219" spans="1:44" ht="12.5" x14ac:dyDescent="0.25">
      <c r="A219" s="95" t="s">
        <v>518</v>
      </c>
      <c r="B219" s="95" t="s">
        <v>268</v>
      </c>
      <c r="C219" s="95">
        <f t="shared" si="9"/>
        <v>3364.6</v>
      </c>
      <c r="D219" s="95">
        <f t="shared" si="10"/>
        <v>2967</v>
      </c>
      <c r="E219" s="184">
        <v>1882000</v>
      </c>
      <c r="F219" s="184">
        <f t="shared" si="11"/>
        <v>4416436.4936283622</v>
      </c>
      <c r="G219" s="95">
        <v>1066</v>
      </c>
      <c r="H219" s="95">
        <v>1066</v>
      </c>
      <c r="I219" s="95">
        <v>6193</v>
      </c>
      <c r="J219" s="95">
        <v>6425</v>
      </c>
      <c r="K219" s="95">
        <v>3006</v>
      </c>
      <c r="L219" s="95">
        <v>2859</v>
      </c>
      <c r="M219" s="95">
        <v>1153</v>
      </c>
      <c r="N219" s="95">
        <v>1474</v>
      </c>
      <c r="O219" s="95">
        <v>1133</v>
      </c>
      <c r="P219" s="95">
        <v>882</v>
      </c>
      <c r="Q219" s="95">
        <v>2231</v>
      </c>
      <c r="R219" s="95">
        <v>2097</v>
      </c>
      <c r="S219" s="95">
        <v>3080</v>
      </c>
      <c r="T219" s="95">
        <v>3090</v>
      </c>
      <c r="U219" s="95">
        <v>5427</v>
      </c>
      <c r="V219" s="95">
        <v>3741</v>
      </c>
      <c r="W219" s="95">
        <v>6322</v>
      </c>
      <c r="X219" s="95">
        <v>4836</v>
      </c>
      <c r="Y219" s="95">
        <v>4035</v>
      </c>
      <c r="Z219" s="95">
        <v>3200</v>
      </c>
      <c r="AA219" s="95">
        <v>12074</v>
      </c>
      <c r="AB219" s="95">
        <v>41203</v>
      </c>
      <c r="AC219" s="95">
        <v>39950</v>
      </c>
      <c r="AF219"/>
      <c r="AG219"/>
      <c r="AH219" s="95">
        <v>11421</v>
      </c>
      <c r="AI219" s="95">
        <v>11527</v>
      </c>
      <c r="AJ219" s="95">
        <v>11779</v>
      </c>
      <c r="AK219" s="95">
        <v>11807</v>
      </c>
      <c r="AL219" s="95">
        <v>12009</v>
      </c>
      <c r="AM219" s="95">
        <v>42749</v>
      </c>
      <c r="AN219" s="95">
        <v>45330</v>
      </c>
      <c r="AO219" s="95">
        <v>42967000</v>
      </c>
      <c r="AP219" s="95">
        <v>41203</v>
      </c>
      <c r="AQ219" s="95">
        <v>39950</v>
      </c>
      <c r="AR219" s="95">
        <v>40666</v>
      </c>
    </row>
    <row r="220" spans="1:44" ht="12.5" x14ac:dyDescent="0.25">
      <c r="A220" s="95" t="s">
        <v>520</v>
      </c>
      <c r="B220" s="95" t="s">
        <v>134</v>
      </c>
      <c r="C220" s="95">
        <f t="shared" si="9"/>
        <v>2007.6</v>
      </c>
      <c r="D220" s="95">
        <f t="shared" si="10"/>
        <v>1739</v>
      </c>
      <c r="E220" s="184">
        <v>3500000</v>
      </c>
      <c r="F220" s="184">
        <f t="shared" si="11"/>
        <v>10895510.504862349</v>
      </c>
      <c r="G220" s="95">
        <v>1989</v>
      </c>
      <c r="H220" s="95">
        <v>1279</v>
      </c>
      <c r="I220" s="95">
        <v>2879</v>
      </c>
      <c r="J220" s="95">
        <v>5542</v>
      </c>
      <c r="K220" s="95">
        <v>2318</v>
      </c>
      <c r="L220" s="95">
        <v>1785</v>
      </c>
      <c r="M220" s="95">
        <v>1061</v>
      </c>
      <c r="N220" s="95">
        <v>879</v>
      </c>
      <c r="O220" s="95">
        <v>820</v>
      </c>
      <c r="P220" s="95">
        <v>563</v>
      </c>
      <c r="Q220" s="95">
        <v>1683</v>
      </c>
      <c r="R220" s="95">
        <v>1261</v>
      </c>
      <c r="S220" s="95">
        <v>1215</v>
      </c>
      <c r="T220" s="95">
        <v>738</v>
      </c>
      <c r="U220" s="95">
        <v>1744</v>
      </c>
      <c r="V220" s="95">
        <v>468</v>
      </c>
      <c r="W220" s="95">
        <v>1369</v>
      </c>
      <c r="X220" s="95">
        <v>1541</v>
      </c>
      <c r="Y220" s="95">
        <v>4998</v>
      </c>
      <c r="Z220" s="95">
        <v>3334</v>
      </c>
      <c r="AA220" s="95">
        <v>29787</v>
      </c>
      <c r="AB220" s="95">
        <v>64638</v>
      </c>
      <c r="AC220" s="95">
        <v>63709</v>
      </c>
      <c r="AF220"/>
      <c r="AG220"/>
      <c r="AH220" s="95">
        <v>29720</v>
      </c>
      <c r="AI220" s="95">
        <v>29762</v>
      </c>
      <c r="AJ220" s="95">
        <v>29715</v>
      </c>
      <c r="AK220" s="95">
        <v>29732</v>
      </c>
      <c r="AL220" s="95">
        <v>29812</v>
      </c>
      <c r="AM220" s="95">
        <v>66223</v>
      </c>
      <c r="AN220" s="95">
        <v>60762</v>
      </c>
      <c r="AO220" s="95">
        <v>65624000</v>
      </c>
      <c r="AP220" s="95">
        <v>64638</v>
      </c>
      <c r="AQ220" s="95">
        <v>63709</v>
      </c>
      <c r="AR220" s="95">
        <v>62626</v>
      </c>
    </row>
    <row r="221" spans="1:44" ht="12.5" x14ac:dyDescent="0.25">
      <c r="A221" s="95" t="s">
        <v>517</v>
      </c>
      <c r="B221" s="95" t="s">
        <v>383</v>
      </c>
      <c r="C221" s="95">
        <f t="shared" si="9"/>
        <v>20522.067545317834</v>
      </c>
      <c r="D221" s="95">
        <f t="shared" si="10"/>
        <v>20193.687728020326</v>
      </c>
      <c r="E221" s="184">
        <v>9846000</v>
      </c>
      <c r="F221" s="184">
        <f t="shared" si="11"/>
        <v>34131365.384872958</v>
      </c>
      <c r="G221" s="95">
        <v>9328</v>
      </c>
      <c r="H221" s="95">
        <v>6748</v>
      </c>
      <c r="I221" s="95">
        <v>48782.825239276848</v>
      </c>
      <c r="J221" s="95">
        <v>50611.221907125131</v>
      </c>
      <c r="K221" s="95">
        <v>27031.292095001772</v>
      </c>
      <c r="L221" s="95">
        <v>27827.138957816376</v>
      </c>
      <c r="M221" s="95">
        <v>21890.558118899735</v>
      </c>
      <c r="N221" s="95">
        <v>23160.516415261758</v>
      </c>
      <c r="O221" s="95">
        <v>18770</v>
      </c>
      <c r="P221" s="95">
        <v>20993</v>
      </c>
      <c r="Q221" s="95">
        <v>26779</v>
      </c>
      <c r="R221" s="95">
        <v>34774</v>
      </c>
      <c r="S221" s="95">
        <v>6705</v>
      </c>
      <c r="T221" s="95">
        <v>4472</v>
      </c>
      <c r="U221" s="95">
        <v>9604</v>
      </c>
      <c r="V221" s="95">
        <v>4948</v>
      </c>
      <c r="W221" s="95">
        <v>14855</v>
      </c>
      <c r="X221" s="95">
        <v>10062</v>
      </c>
      <c r="Y221" s="95">
        <v>21475</v>
      </c>
      <c r="Z221" s="95">
        <v>18341</v>
      </c>
      <c r="AA221" s="95">
        <v>93311</v>
      </c>
      <c r="AB221" s="95">
        <v>201705</v>
      </c>
      <c r="AC221" s="95">
        <v>215737</v>
      </c>
      <c r="AF221"/>
      <c r="AG221"/>
      <c r="AH221" s="95">
        <v>90364</v>
      </c>
      <c r="AI221" s="95">
        <v>90973</v>
      </c>
      <c r="AJ221" s="95">
        <v>91437</v>
      </c>
      <c r="AK221" s="95">
        <v>92021</v>
      </c>
      <c r="AL221" s="95">
        <v>92526</v>
      </c>
      <c r="AM221" s="95">
        <v>207783.03863878056</v>
      </c>
      <c r="AN221" s="95">
        <v>195012</v>
      </c>
      <c r="AO221" s="95">
        <v>201374000</v>
      </c>
      <c r="AP221" s="95">
        <v>201705</v>
      </c>
      <c r="AQ221" s="95">
        <v>215737</v>
      </c>
      <c r="AR221" s="95">
        <v>216501</v>
      </c>
    </row>
    <row r="222" spans="1:44" ht="12.5" x14ac:dyDescent="0.25">
      <c r="A222" s="95" t="s">
        <v>519</v>
      </c>
      <c r="B222" s="95" t="s">
        <v>197</v>
      </c>
      <c r="C222" s="95">
        <f t="shared" si="9"/>
        <v>8062.8</v>
      </c>
      <c r="D222" s="95">
        <f t="shared" si="10"/>
        <v>8663.2999999999993</v>
      </c>
      <c r="E222" s="184">
        <v>6805000</v>
      </c>
      <c r="F222" s="184">
        <f t="shared" si="11"/>
        <v>14406639.700020429</v>
      </c>
      <c r="G222" s="95">
        <v>240</v>
      </c>
      <c r="H222" s="95">
        <v>241</v>
      </c>
      <c r="I222" s="95">
        <v>31440</v>
      </c>
      <c r="J222" s="95">
        <v>33529</v>
      </c>
      <c r="K222" s="95">
        <v>8660</v>
      </c>
      <c r="L222" s="95">
        <v>9749</v>
      </c>
      <c r="M222" s="95">
        <v>11264</v>
      </c>
      <c r="N222" s="95">
        <v>16095</v>
      </c>
      <c r="O222" s="95">
        <v>8628</v>
      </c>
      <c r="P222" s="95">
        <v>13208</v>
      </c>
      <c r="Q222" s="95">
        <v>8138</v>
      </c>
      <c r="R222" s="95">
        <v>8853</v>
      </c>
      <c r="S222" s="95">
        <v>5263</v>
      </c>
      <c r="T222" s="95">
        <v>2190</v>
      </c>
      <c r="U222" s="95">
        <v>3380</v>
      </c>
      <c r="V222" s="95">
        <v>1768</v>
      </c>
      <c r="W222" s="95">
        <v>2483</v>
      </c>
      <c r="X222" s="95">
        <v>749</v>
      </c>
      <c r="Y222" s="95">
        <v>1132</v>
      </c>
      <c r="Z222" s="95">
        <v>251</v>
      </c>
      <c r="AA222" s="95">
        <v>39386</v>
      </c>
      <c r="AB222" s="95">
        <v>143992</v>
      </c>
      <c r="AC222" s="95">
        <v>141674</v>
      </c>
      <c r="AF222"/>
      <c r="AG222"/>
      <c r="AH222" s="95">
        <v>39569</v>
      </c>
      <c r="AI222" s="95">
        <v>39529</v>
      </c>
      <c r="AJ222" s="95">
        <v>39462</v>
      </c>
      <c r="AK222" s="95">
        <v>39391</v>
      </c>
      <c r="AL222" s="95">
        <v>39346</v>
      </c>
      <c r="AM222" s="95">
        <v>124819</v>
      </c>
      <c r="AN222" s="95">
        <v>128483</v>
      </c>
      <c r="AO222" s="95">
        <v>143973000</v>
      </c>
      <c r="AP222" s="95">
        <v>143992</v>
      </c>
      <c r="AQ222" s="95">
        <v>141674</v>
      </c>
      <c r="AR222" s="95">
        <v>140079</v>
      </c>
    </row>
    <row r="223" spans="1:44" ht="12.5" x14ac:dyDescent="0.25">
      <c r="A223" s="95" t="s">
        <v>518</v>
      </c>
      <c r="B223" s="95" t="s">
        <v>269</v>
      </c>
      <c r="C223" s="95">
        <f t="shared" si="9"/>
        <v>164.5</v>
      </c>
      <c r="D223" s="95">
        <f t="shared" si="10"/>
        <v>46.3</v>
      </c>
      <c r="E223" s="184">
        <v>1390000</v>
      </c>
      <c r="F223" s="184">
        <f t="shared" si="11"/>
        <v>5195915.2221294418</v>
      </c>
      <c r="G223" s="95">
        <v>0</v>
      </c>
      <c r="H223" s="95">
        <v>0</v>
      </c>
      <c r="I223" s="95">
        <v>0</v>
      </c>
      <c r="J223" s="95">
        <v>0</v>
      </c>
      <c r="K223" s="95">
        <v>1</v>
      </c>
      <c r="L223" s="95">
        <v>3</v>
      </c>
      <c r="M223" s="95">
        <v>0</v>
      </c>
      <c r="N223" s="95">
        <v>0</v>
      </c>
      <c r="O223" s="95">
        <v>1200</v>
      </c>
      <c r="P223" s="95">
        <v>0</v>
      </c>
      <c r="Q223" s="95">
        <v>444</v>
      </c>
      <c r="R223" s="95">
        <v>460</v>
      </c>
      <c r="S223" s="95">
        <v>0</v>
      </c>
      <c r="T223" s="95">
        <v>0</v>
      </c>
      <c r="U223" s="95">
        <v>0</v>
      </c>
      <c r="V223" s="95">
        <v>0</v>
      </c>
      <c r="W223" s="95">
        <v>0</v>
      </c>
      <c r="X223" s="95">
        <v>0</v>
      </c>
      <c r="Y223" s="95">
        <v>0</v>
      </c>
      <c r="Z223" s="95">
        <v>0</v>
      </c>
      <c r="AA223" s="95">
        <v>14205</v>
      </c>
      <c r="AB223" s="95">
        <v>23247</v>
      </c>
      <c r="AC223" s="95">
        <v>22798</v>
      </c>
      <c r="AF223"/>
      <c r="AG223"/>
      <c r="AH223" s="95">
        <v>13428</v>
      </c>
      <c r="AI223" s="95">
        <v>13489</v>
      </c>
      <c r="AJ223" s="95">
        <v>13915</v>
      </c>
      <c r="AK223" s="95">
        <v>14007</v>
      </c>
      <c r="AL223" s="95">
        <v>14125</v>
      </c>
      <c r="AM223" s="95">
        <v>18380</v>
      </c>
      <c r="AN223" s="95">
        <v>22248</v>
      </c>
      <c r="AO223" s="95">
        <v>19788000</v>
      </c>
      <c r="AP223" s="95">
        <v>23247</v>
      </c>
      <c r="AQ223" s="95">
        <v>22798</v>
      </c>
      <c r="AR223" s="95">
        <v>23498</v>
      </c>
    </row>
    <row r="224" spans="1:44" ht="12.5" x14ac:dyDescent="0.25">
      <c r="A224" s="95" t="s">
        <v>524</v>
      </c>
      <c r="B224" s="95" t="s">
        <v>226</v>
      </c>
      <c r="C224" s="95">
        <f t="shared" si="9"/>
        <v>643.79999999999995</v>
      </c>
      <c r="D224" s="95">
        <f t="shared" si="10"/>
        <v>347.5</v>
      </c>
      <c r="E224" s="184">
        <v>890000</v>
      </c>
      <c r="F224" s="184">
        <f t="shared" si="11"/>
        <v>3716332.1828113431</v>
      </c>
      <c r="G224" s="95">
        <v>0</v>
      </c>
      <c r="H224" s="95">
        <v>0</v>
      </c>
      <c r="I224" s="95">
        <v>1345</v>
      </c>
      <c r="J224" s="95">
        <v>762</v>
      </c>
      <c r="K224" s="95">
        <v>1027</v>
      </c>
      <c r="L224" s="95">
        <v>437</v>
      </c>
      <c r="M224" s="95">
        <v>785</v>
      </c>
      <c r="N224" s="95">
        <v>980</v>
      </c>
      <c r="O224" s="95">
        <v>642</v>
      </c>
      <c r="P224" s="95">
        <v>142</v>
      </c>
      <c r="Q224" s="95">
        <v>273</v>
      </c>
      <c r="R224" s="95">
        <v>273</v>
      </c>
      <c r="S224" s="95">
        <v>1691</v>
      </c>
      <c r="T224" s="95">
        <v>206</v>
      </c>
      <c r="U224" s="95">
        <v>145</v>
      </c>
      <c r="V224" s="95">
        <v>145</v>
      </c>
      <c r="W224" s="95">
        <v>526</v>
      </c>
      <c r="X224" s="95">
        <v>526</v>
      </c>
      <c r="Y224" s="95">
        <v>4</v>
      </c>
      <c r="Z224" s="95">
        <v>4</v>
      </c>
      <c r="AA224" s="95">
        <v>10160</v>
      </c>
      <c r="AB224" s="95">
        <v>12614</v>
      </c>
      <c r="AC224" s="95">
        <v>12989</v>
      </c>
      <c r="AF224"/>
      <c r="AG224"/>
      <c r="AH224" s="95">
        <v>10185</v>
      </c>
      <c r="AI224" s="95">
        <v>10177</v>
      </c>
      <c r="AJ224" s="95">
        <v>10199</v>
      </c>
      <c r="AK224" s="95">
        <v>10231</v>
      </c>
      <c r="AL224" s="95">
        <v>10138</v>
      </c>
      <c r="AM224" s="95">
        <v>12706</v>
      </c>
      <c r="AN224" s="95">
        <v>12656</v>
      </c>
      <c r="AO224" s="95">
        <v>12791000</v>
      </c>
      <c r="AP224" s="95">
        <v>12614</v>
      </c>
      <c r="AQ224" s="95">
        <v>12989</v>
      </c>
      <c r="AR224" s="95">
        <v>14613</v>
      </c>
    </row>
    <row r="225" spans="1:44" ht="12.5" x14ac:dyDescent="0.25">
      <c r="A225" s="95" t="s">
        <v>519</v>
      </c>
      <c r="B225" s="95" t="s">
        <v>198</v>
      </c>
      <c r="C225" s="95">
        <f t="shared" si="9"/>
        <v>11010.4</v>
      </c>
      <c r="D225" s="95">
        <f t="shared" si="10"/>
        <v>11356.4</v>
      </c>
      <c r="E225" s="184">
        <v>6017000</v>
      </c>
      <c r="F225" s="184">
        <f t="shared" si="11"/>
        <v>17654406.771987155</v>
      </c>
      <c r="G225" s="95">
        <v>745</v>
      </c>
      <c r="H225" s="95">
        <v>538</v>
      </c>
      <c r="I225" s="95">
        <v>11908</v>
      </c>
      <c r="J225" s="95">
        <v>17022</v>
      </c>
      <c r="K225" s="95">
        <v>22919</v>
      </c>
      <c r="L225" s="95">
        <v>26042</v>
      </c>
      <c r="M225" s="95">
        <v>8801</v>
      </c>
      <c r="N225" s="95">
        <v>22812</v>
      </c>
      <c r="O225" s="95">
        <v>21414</v>
      </c>
      <c r="P225" s="95">
        <v>20544</v>
      </c>
      <c r="Q225" s="95">
        <v>30537</v>
      </c>
      <c r="R225" s="95">
        <v>19981</v>
      </c>
      <c r="S225" s="95">
        <v>5349</v>
      </c>
      <c r="T225" s="95">
        <v>2253</v>
      </c>
      <c r="U225" s="95">
        <v>330</v>
      </c>
      <c r="V225" s="95">
        <v>799</v>
      </c>
      <c r="W225" s="95">
        <v>5593</v>
      </c>
      <c r="X225" s="95">
        <v>2511</v>
      </c>
      <c r="Y225" s="95">
        <v>2508</v>
      </c>
      <c r="Z225" s="95">
        <v>1062</v>
      </c>
      <c r="AA225" s="95">
        <v>48265</v>
      </c>
      <c r="AB225" s="95">
        <v>125415</v>
      </c>
      <c r="AC225" s="95">
        <v>123437</v>
      </c>
      <c r="AF225"/>
      <c r="AG225"/>
      <c r="AH225" s="95">
        <v>47388</v>
      </c>
      <c r="AI225" s="95">
        <v>47493</v>
      </c>
      <c r="AJ225" s="95">
        <v>47532</v>
      </c>
      <c r="AK225" s="95">
        <v>47886</v>
      </c>
      <c r="AL225" s="95">
        <v>48214</v>
      </c>
      <c r="AM225" s="95">
        <v>108437</v>
      </c>
      <c r="AN225" s="95">
        <v>108844</v>
      </c>
      <c r="AO225" s="95">
        <v>116353000</v>
      </c>
      <c r="AP225" s="95">
        <v>125415</v>
      </c>
      <c r="AQ225" s="95">
        <v>123437</v>
      </c>
      <c r="AR225" s="95">
        <v>130380</v>
      </c>
    </row>
    <row r="226" spans="1:44" ht="12.5" x14ac:dyDescent="0.25">
      <c r="A226" s="95" t="s">
        <v>521</v>
      </c>
      <c r="B226" s="95" t="s">
        <v>312</v>
      </c>
      <c r="C226" s="95">
        <f t="shared" si="9"/>
        <v>10585.5</v>
      </c>
      <c r="D226" s="95">
        <f t="shared" si="10"/>
        <v>11000.9</v>
      </c>
      <c r="E226" s="184">
        <v>3427000</v>
      </c>
      <c r="F226" s="184">
        <f t="shared" si="11"/>
        <v>11779602.521186663</v>
      </c>
      <c r="G226" s="95">
        <v>2064</v>
      </c>
      <c r="H226" s="95">
        <v>3206</v>
      </c>
      <c r="I226" s="95">
        <v>16801</v>
      </c>
      <c r="J226" s="95">
        <v>17915</v>
      </c>
      <c r="K226" s="95">
        <v>8527</v>
      </c>
      <c r="L226" s="95">
        <v>12824</v>
      </c>
      <c r="M226" s="95">
        <v>16933</v>
      </c>
      <c r="N226" s="95">
        <v>17939</v>
      </c>
      <c r="O226" s="95">
        <v>13026</v>
      </c>
      <c r="P226" s="95">
        <v>12240</v>
      </c>
      <c r="Q226" s="95">
        <v>14710</v>
      </c>
      <c r="R226" s="95">
        <v>13733</v>
      </c>
      <c r="S226" s="95">
        <v>4030</v>
      </c>
      <c r="T226" s="95">
        <v>3815</v>
      </c>
      <c r="U226" s="95">
        <v>8376</v>
      </c>
      <c r="V226" s="95">
        <v>8362</v>
      </c>
      <c r="W226" s="95">
        <v>7452</v>
      </c>
      <c r="X226" s="95">
        <v>6900</v>
      </c>
      <c r="Y226" s="95">
        <v>13936</v>
      </c>
      <c r="Z226" s="95">
        <v>13075</v>
      </c>
      <c r="AA226" s="95">
        <v>32204</v>
      </c>
      <c r="AB226" s="95">
        <v>107965</v>
      </c>
      <c r="AC226" s="95">
        <v>113908</v>
      </c>
      <c r="AF226"/>
      <c r="AG226"/>
      <c r="AH226" s="95">
        <v>32286</v>
      </c>
      <c r="AI226" s="95">
        <v>32266</v>
      </c>
      <c r="AJ226" s="95">
        <v>32293</v>
      </c>
      <c r="AK226" s="95">
        <v>32161</v>
      </c>
      <c r="AL226" s="95">
        <v>32171</v>
      </c>
      <c r="AM226" s="95">
        <v>96860</v>
      </c>
      <c r="AN226" s="95">
        <v>97948</v>
      </c>
      <c r="AO226" s="95">
        <v>104743000</v>
      </c>
      <c r="AP226" s="95">
        <v>107965</v>
      </c>
      <c r="AQ226" s="95">
        <v>113908</v>
      </c>
      <c r="AR226" s="95">
        <v>118988</v>
      </c>
    </row>
    <row r="227" spans="1:44" ht="12.5" x14ac:dyDescent="0.25">
      <c r="A227" s="95" t="s">
        <v>526</v>
      </c>
      <c r="B227" s="95" t="s">
        <v>417</v>
      </c>
      <c r="C227" s="95">
        <f t="shared" si="9"/>
        <v>8320.5</v>
      </c>
      <c r="D227" s="95">
        <f t="shared" si="10"/>
        <v>8828.9</v>
      </c>
      <c r="E227" s="184">
        <v>7305000</v>
      </c>
      <c r="F227" s="184">
        <f t="shared" si="11"/>
        <v>16196770.576268334</v>
      </c>
      <c r="G227" s="95">
        <v>367</v>
      </c>
      <c r="H227" s="95">
        <v>1337</v>
      </c>
      <c r="I227" s="95">
        <v>13326</v>
      </c>
      <c r="J227" s="95">
        <v>14624</v>
      </c>
      <c r="K227" s="95">
        <v>14267</v>
      </c>
      <c r="L227" s="95">
        <v>15290</v>
      </c>
      <c r="M227" s="95">
        <v>15165</v>
      </c>
      <c r="N227" s="95">
        <v>15525</v>
      </c>
      <c r="O227" s="95">
        <v>8228</v>
      </c>
      <c r="P227" s="95">
        <v>10920</v>
      </c>
      <c r="Q227" s="95">
        <v>7806</v>
      </c>
      <c r="R227" s="95">
        <v>8498</v>
      </c>
      <c r="S227" s="95">
        <v>4119</v>
      </c>
      <c r="T227" s="95">
        <v>4127</v>
      </c>
      <c r="U227" s="95">
        <v>7699</v>
      </c>
      <c r="V227" s="95">
        <v>7629</v>
      </c>
      <c r="W227" s="95">
        <v>4790</v>
      </c>
      <c r="X227" s="95">
        <v>4602</v>
      </c>
      <c r="Y227" s="95">
        <v>7438</v>
      </c>
      <c r="Z227" s="95">
        <v>5737</v>
      </c>
      <c r="AA227" s="95">
        <v>44280</v>
      </c>
      <c r="AB227" s="95">
        <v>138528</v>
      </c>
      <c r="AC227" s="95">
        <v>139918</v>
      </c>
      <c r="AF227"/>
      <c r="AG227"/>
      <c r="AH227" s="95">
        <v>43354</v>
      </c>
      <c r="AI227" s="95">
        <v>43315</v>
      </c>
      <c r="AJ227" s="95">
        <v>43311</v>
      </c>
      <c r="AK227" s="95">
        <v>43421</v>
      </c>
      <c r="AL227" s="95">
        <v>43660</v>
      </c>
      <c r="AM227" s="95">
        <v>118747</v>
      </c>
      <c r="AN227" s="95">
        <v>126232</v>
      </c>
      <c r="AO227" s="95">
        <v>132236000</v>
      </c>
      <c r="AP227" s="95">
        <v>138528</v>
      </c>
      <c r="AQ227" s="95">
        <v>139918</v>
      </c>
      <c r="AR227" s="95">
        <v>141999</v>
      </c>
    </row>
    <row r="228" spans="1:44" ht="12.5" x14ac:dyDescent="0.25">
      <c r="A228" s="95" t="s">
        <v>525</v>
      </c>
      <c r="B228" s="95" t="s">
        <v>124</v>
      </c>
      <c r="C228" s="95">
        <f t="shared" si="9"/>
        <v>91.6</v>
      </c>
      <c r="D228" s="95">
        <f t="shared" si="10"/>
        <v>119.9</v>
      </c>
      <c r="E228" s="184">
        <v>1211000</v>
      </c>
      <c r="F228" s="184">
        <f t="shared" si="11"/>
        <v>4462890.6459135041</v>
      </c>
      <c r="G228" s="95">
        <v>0</v>
      </c>
      <c r="H228" s="95">
        <v>0</v>
      </c>
      <c r="I228" s="95">
        <v>11</v>
      </c>
      <c r="J228" s="95">
        <v>112</v>
      </c>
      <c r="K228" s="95">
        <v>7</v>
      </c>
      <c r="L228" s="95">
        <v>438</v>
      </c>
      <c r="M228" s="95">
        <v>600</v>
      </c>
      <c r="N228" s="95">
        <v>393</v>
      </c>
      <c r="O228" s="95">
        <v>20</v>
      </c>
      <c r="P228" s="95">
        <v>224</v>
      </c>
      <c r="Q228" s="95">
        <v>278</v>
      </c>
      <c r="R228" s="95">
        <v>32</v>
      </c>
      <c r="S228" s="95">
        <v>0</v>
      </c>
      <c r="T228" s="95">
        <v>0</v>
      </c>
      <c r="U228" s="95">
        <v>0</v>
      </c>
      <c r="V228" s="95">
        <v>0</v>
      </c>
      <c r="W228" s="95">
        <v>0</v>
      </c>
      <c r="X228" s="95">
        <v>0</v>
      </c>
      <c r="Y228" s="95">
        <v>0</v>
      </c>
      <c r="Z228" s="95">
        <v>0</v>
      </c>
      <c r="AA228" s="95">
        <v>12201</v>
      </c>
      <c r="AB228" s="95">
        <v>20064</v>
      </c>
      <c r="AC228" s="95">
        <v>19794</v>
      </c>
      <c r="AF228"/>
      <c r="AG228"/>
      <c r="AH228" s="95">
        <v>12548</v>
      </c>
      <c r="AI228" s="95">
        <v>12253</v>
      </c>
      <c r="AJ228" s="95">
        <v>12207</v>
      </c>
      <c r="AK228" s="95">
        <v>12200</v>
      </c>
      <c r="AL228" s="95">
        <v>12176</v>
      </c>
      <c r="AM228" s="95">
        <v>26450</v>
      </c>
      <c r="AN228" s="95">
        <v>20687</v>
      </c>
      <c r="AO228" s="95">
        <v>20176000</v>
      </c>
      <c r="AP228" s="95">
        <v>20064</v>
      </c>
      <c r="AQ228" s="95">
        <v>19794</v>
      </c>
      <c r="AR228" s="95">
        <v>19848</v>
      </c>
    </row>
    <row r="229" spans="1:44" ht="12.5" x14ac:dyDescent="0.25">
      <c r="A229" s="95" t="s">
        <v>521</v>
      </c>
      <c r="B229" s="95" t="s">
        <v>313</v>
      </c>
      <c r="C229" s="95">
        <f t="shared" si="9"/>
        <v>27579.9</v>
      </c>
      <c r="D229" s="95">
        <f t="shared" si="10"/>
        <v>28908.799999999999</v>
      </c>
      <c r="E229" s="184">
        <v>9950000</v>
      </c>
      <c r="F229" s="184">
        <f t="shared" si="11"/>
        <v>20685265.873047665</v>
      </c>
      <c r="G229" s="95">
        <v>40320</v>
      </c>
      <c r="H229" s="95">
        <v>36632</v>
      </c>
      <c r="I229" s="95">
        <v>21584</v>
      </c>
      <c r="J229" s="95">
        <v>24110</v>
      </c>
      <c r="K229" s="95">
        <v>30020</v>
      </c>
      <c r="L229" s="95">
        <v>41192</v>
      </c>
      <c r="M229" s="95">
        <v>13414</v>
      </c>
      <c r="N229" s="95">
        <v>19038</v>
      </c>
      <c r="O229" s="95">
        <v>21146</v>
      </c>
      <c r="P229" s="95">
        <v>23035</v>
      </c>
      <c r="Q229" s="95">
        <v>32780</v>
      </c>
      <c r="R229" s="95">
        <v>35249</v>
      </c>
      <c r="S229" s="95">
        <v>43292</v>
      </c>
      <c r="T229" s="95">
        <v>37075</v>
      </c>
      <c r="U229" s="95">
        <v>20416</v>
      </c>
      <c r="V229" s="95">
        <v>24027</v>
      </c>
      <c r="W229" s="95">
        <v>16051</v>
      </c>
      <c r="X229" s="95">
        <v>13561</v>
      </c>
      <c r="Y229" s="95">
        <v>36776</v>
      </c>
      <c r="Z229" s="95">
        <v>35169</v>
      </c>
      <c r="AA229" s="95">
        <v>56551</v>
      </c>
      <c r="AB229" s="95">
        <v>143453</v>
      </c>
      <c r="AC229" s="95">
        <v>143094</v>
      </c>
      <c r="AF229"/>
      <c r="AG229"/>
      <c r="AH229" s="95">
        <v>52670</v>
      </c>
      <c r="AI229" s="95">
        <v>53644</v>
      </c>
      <c r="AJ229" s="95">
        <v>54321</v>
      </c>
      <c r="AK229" s="95">
        <v>55293</v>
      </c>
      <c r="AL229" s="95">
        <v>55674</v>
      </c>
      <c r="AM229" s="95">
        <v>148129</v>
      </c>
      <c r="AN229" s="95">
        <v>128096</v>
      </c>
      <c r="AO229" s="95">
        <v>146091000</v>
      </c>
      <c r="AP229" s="95">
        <v>143453</v>
      </c>
      <c r="AQ229" s="95">
        <v>143094</v>
      </c>
      <c r="AR229" s="95">
        <v>144212</v>
      </c>
    </row>
    <row r="230" spans="1:44" x14ac:dyDescent="0.25">
      <c r="A230" s="95" t="s">
        <v>518</v>
      </c>
      <c r="B230" s="95" t="s">
        <v>270</v>
      </c>
      <c r="C230" s="95">
        <f t="shared" si="9"/>
        <v>17069.3</v>
      </c>
      <c r="D230" s="95">
        <f t="shared" si="10"/>
        <v>16378.3</v>
      </c>
      <c r="E230" s="95">
        <v>17679000</v>
      </c>
      <c r="F230" s="184">
        <f t="shared" si="11"/>
        <v>33747295.62188556</v>
      </c>
      <c r="G230" s="95">
        <v>1145</v>
      </c>
      <c r="H230" s="95">
        <v>1085</v>
      </c>
      <c r="I230" s="95">
        <v>15954</v>
      </c>
      <c r="J230" s="95">
        <v>14275</v>
      </c>
      <c r="K230" s="95">
        <v>23015</v>
      </c>
      <c r="L230" s="95">
        <v>22550</v>
      </c>
      <c r="M230" s="95">
        <v>23184</v>
      </c>
      <c r="N230" s="95">
        <v>30128</v>
      </c>
      <c r="O230" s="95">
        <v>24805</v>
      </c>
      <c r="P230" s="95">
        <v>20322</v>
      </c>
      <c r="Q230" s="95">
        <v>24548</v>
      </c>
      <c r="R230" s="95">
        <v>22710</v>
      </c>
      <c r="S230" s="95">
        <v>15037</v>
      </c>
      <c r="T230" s="95">
        <v>15774</v>
      </c>
      <c r="U230" s="95">
        <v>18317</v>
      </c>
      <c r="V230" s="95">
        <v>18498</v>
      </c>
      <c r="W230" s="95">
        <v>15535</v>
      </c>
      <c r="X230" s="95">
        <v>11151</v>
      </c>
      <c r="Y230" s="95">
        <v>9153</v>
      </c>
      <c r="Z230" s="95">
        <v>7290</v>
      </c>
      <c r="AA230" s="95">
        <v>92261</v>
      </c>
      <c r="AB230" s="95">
        <v>250423</v>
      </c>
      <c r="AC230" s="95">
        <v>256897</v>
      </c>
      <c r="AH230" s="95">
        <v>89103</v>
      </c>
      <c r="AI230" s="95">
        <v>89507</v>
      </c>
      <c r="AJ230" s="95">
        <v>89895</v>
      </c>
      <c r="AK230" s="95">
        <v>91141</v>
      </c>
      <c r="AL230" s="95">
        <v>91793</v>
      </c>
      <c r="AM230" s="95">
        <v>232898</v>
      </c>
      <c r="AN230" s="95">
        <v>237151</v>
      </c>
      <c r="AO230" s="95">
        <v>243656000</v>
      </c>
      <c r="AP230" s="95">
        <v>250423</v>
      </c>
      <c r="AQ230" s="95">
        <v>256897</v>
      </c>
      <c r="AR230" s="95">
        <v>257886</v>
      </c>
    </row>
    <row r="231" spans="1:44" ht="12.5" x14ac:dyDescent="0.25">
      <c r="A231" s="95" t="s">
        <v>519</v>
      </c>
      <c r="B231" s="95" t="s">
        <v>199</v>
      </c>
      <c r="C231" s="95">
        <f t="shared" si="9"/>
        <v>3520.3</v>
      </c>
      <c r="D231" s="95">
        <f t="shared" si="10"/>
        <v>2319.5</v>
      </c>
      <c r="E231" s="184">
        <v>4916000</v>
      </c>
      <c r="F231" s="184">
        <f t="shared" si="11"/>
        <v>8997840.0949779749</v>
      </c>
      <c r="G231" s="95">
        <v>3110</v>
      </c>
      <c r="H231" s="95">
        <v>3122</v>
      </c>
      <c r="I231" s="95">
        <v>2142</v>
      </c>
      <c r="J231" s="95">
        <v>2141</v>
      </c>
      <c r="K231" s="95">
        <v>1963</v>
      </c>
      <c r="L231" s="95">
        <v>964</v>
      </c>
      <c r="M231" s="95">
        <v>4162</v>
      </c>
      <c r="N231" s="95">
        <v>1700</v>
      </c>
      <c r="O231" s="95">
        <v>2981</v>
      </c>
      <c r="P231" s="95">
        <v>-1004</v>
      </c>
      <c r="Q231" s="95">
        <v>2343</v>
      </c>
      <c r="R231" s="95">
        <v>42</v>
      </c>
      <c r="S231" s="95">
        <v>250</v>
      </c>
      <c r="T231" s="95">
        <v>327</v>
      </c>
      <c r="U231" s="95">
        <v>2987</v>
      </c>
      <c r="V231" s="95">
        <v>2987</v>
      </c>
      <c r="W231" s="95">
        <v>5787</v>
      </c>
      <c r="X231" s="95">
        <v>4052</v>
      </c>
      <c r="Y231" s="95">
        <v>9478</v>
      </c>
      <c r="Z231" s="95">
        <v>8864</v>
      </c>
      <c r="AA231" s="95">
        <v>24599</v>
      </c>
      <c r="AB231" s="95">
        <v>36736</v>
      </c>
      <c r="AC231" s="95">
        <v>42142</v>
      </c>
      <c r="AF231"/>
      <c r="AG231"/>
      <c r="AH231" s="95">
        <v>24418</v>
      </c>
      <c r="AI231" s="95">
        <v>24322</v>
      </c>
      <c r="AJ231" s="95">
        <v>24200</v>
      </c>
      <c r="AK231" s="95">
        <v>24129</v>
      </c>
      <c r="AL231" s="95">
        <v>24365</v>
      </c>
      <c r="AM231" s="95">
        <v>24410</v>
      </c>
      <c r="AN231" s="95">
        <v>21496</v>
      </c>
      <c r="AO231" s="95">
        <v>30458000</v>
      </c>
      <c r="AP231" s="95">
        <v>36736</v>
      </c>
      <c r="AQ231" s="95">
        <v>42142</v>
      </c>
      <c r="AR231" s="95">
        <v>49378</v>
      </c>
    </row>
    <row r="232" spans="1:44" ht="12.5" x14ac:dyDescent="0.25">
      <c r="A232" s="95" t="s">
        <v>522</v>
      </c>
      <c r="B232" s="95" t="s">
        <v>156</v>
      </c>
      <c r="C232" s="95">
        <f t="shared" si="9"/>
        <v>7067</v>
      </c>
      <c r="D232" s="95">
        <f t="shared" si="10"/>
        <v>5598.3</v>
      </c>
      <c r="E232" s="184">
        <v>4358000</v>
      </c>
      <c r="F232" s="184">
        <f t="shared" si="11"/>
        <v>13951608.476062033</v>
      </c>
      <c r="G232" s="95">
        <v>8476</v>
      </c>
      <c r="H232" s="95">
        <v>6245</v>
      </c>
      <c r="I232" s="95">
        <v>5961</v>
      </c>
      <c r="J232" s="95">
        <v>6972</v>
      </c>
      <c r="K232" s="95">
        <v>4901</v>
      </c>
      <c r="L232" s="95">
        <v>3060</v>
      </c>
      <c r="M232" s="95">
        <v>22695</v>
      </c>
      <c r="N232" s="95">
        <v>22742</v>
      </c>
      <c r="O232" s="95">
        <v>2747</v>
      </c>
      <c r="P232" s="95">
        <v>3797</v>
      </c>
      <c r="Q232" s="95">
        <v>7270</v>
      </c>
      <c r="R232" s="95">
        <v>4482</v>
      </c>
      <c r="S232" s="95">
        <v>7712</v>
      </c>
      <c r="T232" s="95">
        <v>4762</v>
      </c>
      <c r="U232" s="95">
        <v>400</v>
      </c>
      <c r="V232" s="95">
        <v>-2601</v>
      </c>
      <c r="W232" s="95">
        <v>5304</v>
      </c>
      <c r="X232" s="95">
        <v>3397</v>
      </c>
      <c r="Y232" s="95">
        <v>5204</v>
      </c>
      <c r="Z232" s="95">
        <v>3127</v>
      </c>
      <c r="AA232" s="95">
        <v>38142</v>
      </c>
      <c r="AB232" s="95">
        <v>111668</v>
      </c>
      <c r="AC232" s="95">
        <v>109434</v>
      </c>
      <c r="AF232"/>
      <c r="AG232"/>
      <c r="AH232" s="95">
        <v>36905</v>
      </c>
      <c r="AI232" s="95">
        <v>37160</v>
      </c>
      <c r="AJ232" s="95">
        <v>37512</v>
      </c>
      <c r="AK232" s="95">
        <v>37694</v>
      </c>
      <c r="AL232" s="95">
        <v>37911</v>
      </c>
      <c r="AM232" s="95">
        <v>94342</v>
      </c>
      <c r="AN232" s="95">
        <v>94429</v>
      </c>
      <c r="AO232" s="95">
        <v>102457000</v>
      </c>
      <c r="AP232" s="95">
        <v>111668</v>
      </c>
      <c r="AQ232" s="95">
        <v>109434</v>
      </c>
      <c r="AR232" s="95">
        <v>113354</v>
      </c>
    </row>
    <row r="233" spans="1:44" ht="12.5" x14ac:dyDescent="0.25">
      <c r="A233" s="95" t="s">
        <v>528</v>
      </c>
      <c r="B233" s="95" t="s">
        <v>336</v>
      </c>
      <c r="C233" s="95">
        <f t="shared" si="9"/>
        <v>3180</v>
      </c>
      <c r="D233" s="95">
        <f t="shared" si="10"/>
        <v>2083.8000000000002</v>
      </c>
      <c r="E233" s="184">
        <v>2539000</v>
      </c>
      <c r="F233" s="184">
        <f t="shared" si="11"/>
        <v>8384791.5971047655</v>
      </c>
      <c r="G233" s="95">
        <v>463</v>
      </c>
      <c r="H233" s="95">
        <v>589</v>
      </c>
      <c r="I233" s="95">
        <v>5019</v>
      </c>
      <c r="J233" s="95">
        <v>2821</v>
      </c>
      <c r="K233" s="95">
        <v>5358</v>
      </c>
      <c r="L233" s="95">
        <v>3362</v>
      </c>
      <c r="M233" s="95">
        <v>3498</v>
      </c>
      <c r="N233" s="95">
        <v>2562</v>
      </c>
      <c r="O233" s="95">
        <v>3465</v>
      </c>
      <c r="P233" s="95">
        <v>2479</v>
      </c>
      <c r="Q233" s="95">
        <v>5628</v>
      </c>
      <c r="R233" s="95">
        <v>3515</v>
      </c>
      <c r="S233" s="95">
        <v>2886</v>
      </c>
      <c r="T233" s="95">
        <v>1178</v>
      </c>
      <c r="U233" s="95">
        <v>1291</v>
      </c>
      <c r="V233" s="95">
        <v>1094</v>
      </c>
      <c r="W233" s="95">
        <v>1704</v>
      </c>
      <c r="X233" s="95">
        <v>1241</v>
      </c>
      <c r="Y233" s="95">
        <v>2488</v>
      </c>
      <c r="Z233" s="95">
        <v>1997</v>
      </c>
      <c r="AA233" s="95">
        <v>22923</v>
      </c>
      <c r="AB233" s="95">
        <v>61609</v>
      </c>
      <c r="AC233" s="95">
        <v>61021</v>
      </c>
      <c r="AF233"/>
      <c r="AG233"/>
      <c r="AH233" s="95">
        <v>22362</v>
      </c>
      <c r="AI233" s="95">
        <v>22565</v>
      </c>
      <c r="AJ233" s="95">
        <v>22670</v>
      </c>
      <c r="AK233" s="95">
        <v>22724</v>
      </c>
      <c r="AL233" s="95">
        <v>22896</v>
      </c>
      <c r="AM233" s="95">
        <v>61843</v>
      </c>
      <c r="AN233" s="95">
        <v>59652</v>
      </c>
      <c r="AO233" s="95">
        <v>60253000</v>
      </c>
      <c r="AP233" s="95">
        <v>61609</v>
      </c>
      <c r="AQ233" s="95">
        <v>61021</v>
      </c>
      <c r="AR233" s="95">
        <v>67282</v>
      </c>
    </row>
    <row r="234" spans="1:44" ht="12.5" x14ac:dyDescent="0.25">
      <c r="A234" s="95" t="s">
        <v>519</v>
      </c>
      <c r="B234" s="95" t="s">
        <v>200</v>
      </c>
      <c r="C234" s="95">
        <f t="shared" si="9"/>
        <v>1647.6</v>
      </c>
      <c r="D234" s="95">
        <f t="shared" si="10"/>
        <v>2069.6</v>
      </c>
      <c r="E234" s="184">
        <v>2768000</v>
      </c>
      <c r="F234" s="184">
        <f t="shared" si="11"/>
        <v>11470883.58789013</v>
      </c>
      <c r="G234" s="95">
        <v>259</v>
      </c>
      <c r="H234" s="95">
        <v>347</v>
      </c>
      <c r="I234" s="95">
        <v>1373</v>
      </c>
      <c r="J234" s="95">
        <v>2332</v>
      </c>
      <c r="K234" s="95">
        <v>590</v>
      </c>
      <c r="L234" s="95">
        <v>912</v>
      </c>
      <c r="M234" s="95">
        <v>1191</v>
      </c>
      <c r="N234" s="95">
        <v>2291</v>
      </c>
      <c r="O234" s="95">
        <v>1677</v>
      </c>
      <c r="P234" s="95">
        <v>3159</v>
      </c>
      <c r="Q234" s="95">
        <v>3061</v>
      </c>
      <c r="R234" s="95">
        <v>3382</v>
      </c>
      <c r="S234" s="95">
        <v>2235</v>
      </c>
      <c r="T234" s="95">
        <v>2772</v>
      </c>
      <c r="U234" s="95">
        <v>1324</v>
      </c>
      <c r="V234" s="95">
        <v>1365</v>
      </c>
      <c r="W234" s="95">
        <v>3508</v>
      </c>
      <c r="X234" s="95">
        <v>2680</v>
      </c>
      <c r="Y234" s="95">
        <v>1258</v>
      </c>
      <c r="Z234" s="95">
        <v>1456</v>
      </c>
      <c r="AA234" s="95">
        <v>31360</v>
      </c>
      <c r="AB234" s="95">
        <v>53974</v>
      </c>
      <c r="AC234" s="95">
        <v>56455</v>
      </c>
      <c r="AF234"/>
      <c r="AG234"/>
      <c r="AH234" s="95">
        <v>31405</v>
      </c>
      <c r="AI234" s="95">
        <v>31323</v>
      </c>
      <c r="AJ234" s="95">
        <v>31304</v>
      </c>
      <c r="AK234" s="95">
        <v>31408</v>
      </c>
      <c r="AL234" s="95">
        <v>31417</v>
      </c>
      <c r="AM234" s="95">
        <v>39069</v>
      </c>
      <c r="AN234" s="95">
        <v>42865</v>
      </c>
      <c r="AO234" s="95">
        <v>47721000</v>
      </c>
      <c r="AP234" s="95">
        <v>53974</v>
      </c>
      <c r="AQ234" s="95">
        <v>56455</v>
      </c>
      <c r="AR234" s="95">
        <v>59178</v>
      </c>
    </row>
    <row r="235" spans="1:44" ht="12.5" x14ac:dyDescent="0.25">
      <c r="A235" s="95" t="s">
        <v>524</v>
      </c>
      <c r="B235" s="95" t="s">
        <v>227</v>
      </c>
      <c r="C235" s="95">
        <f t="shared" si="9"/>
        <v>3378.6</v>
      </c>
      <c r="D235" s="95">
        <f t="shared" si="10"/>
        <v>2713</v>
      </c>
      <c r="E235" s="184">
        <v>1296000</v>
      </c>
      <c r="F235" s="184">
        <f t="shared" si="11"/>
        <v>2067758.4477787917</v>
      </c>
      <c r="G235" s="95">
        <v>0</v>
      </c>
      <c r="H235" s="95">
        <v>0</v>
      </c>
      <c r="I235" s="95">
        <v>4407</v>
      </c>
      <c r="J235" s="95">
        <v>4412</v>
      </c>
      <c r="K235" s="95">
        <v>1457</v>
      </c>
      <c r="L235" s="95">
        <v>1408</v>
      </c>
      <c r="M235" s="95">
        <v>1415</v>
      </c>
      <c r="N235" s="95">
        <v>1387</v>
      </c>
      <c r="O235" s="95">
        <v>5096</v>
      </c>
      <c r="P235" s="95">
        <v>4013</v>
      </c>
      <c r="Q235" s="95">
        <v>6923</v>
      </c>
      <c r="R235" s="95">
        <v>3632</v>
      </c>
      <c r="S235" s="95">
        <v>4819</v>
      </c>
      <c r="T235" s="95">
        <v>4103</v>
      </c>
      <c r="U235" s="95">
        <v>6941</v>
      </c>
      <c r="V235" s="95">
        <v>5982</v>
      </c>
      <c r="W235" s="95">
        <v>2728</v>
      </c>
      <c r="X235" s="95">
        <v>2193</v>
      </c>
      <c r="Y235" s="95">
        <v>0</v>
      </c>
      <c r="Z235" s="95">
        <v>0</v>
      </c>
      <c r="AA235" s="95">
        <v>5653</v>
      </c>
      <c r="AB235" s="95">
        <v>21575</v>
      </c>
      <c r="AC235" s="95">
        <v>23729</v>
      </c>
      <c r="AF235"/>
      <c r="AG235"/>
      <c r="AH235" s="95">
        <v>5101</v>
      </c>
      <c r="AI235" s="95">
        <v>5181</v>
      </c>
      <c r="AJ235" s="95">
        <v>5258</v>
      </c>
      <c r="AK235" s="95">
        <v>5441</v>
      </c>
      <c r="AL235" s="95">
        <v>5556</v>
      </c>
      <c r="AM235" s="95">
        <v>6765</v>
      </c>
      <c r="AN235" s="95">
        <v>4794</v>
      </c>
      <c r="AO235" s="95">
        <v>19146000</v>
      </c>
      <c r="AP235" s="95">
        <v>21575</v>
      </c>
      <c r="AQ235" s="95">
        <v>23729</v>
      </c>
      <c r="AR235" s="95">
        <v>8287</v>
      </c>
    </row>
    <row r="236" spans="1:44" ht="12.5" x14ac:dyDescent="0.25">
      <c r="A236" s="95" t="s">
        <v>517</v>
      </c>
      <c r="B236" s="95" t="s">
        <v>384</v>
      </c>
      <c r="C236" s="95">
        <f t="shared" si="9"/>
        <v>4037.1</v>
      </c>
      <c r="D236" s="95">
        <f t="shared" si="10"/>
        <v>4094.4</v>
      </c>
      <c r="E236" s="184">
        <v>1527000</v>
      </c>
      <c r="F236" s="184">
        <f t="shared" si="11"/>
        <v>4855007.5848872988</v>
      </c>
      <c r="G236" s="95">
        <v>2353</v>
      </c>
      <c r="H236" s="95">
        <v>2438</v>
      </c>
      <c r="I236" s="95">
        <v>7158</v>
      </c>
      <c r="J236" s="95">
        <v>6797</v>
      </c>
      <c r="K236" s="95">
        <v>3834</v>
      </c>
      <c r="L236" s="95">
        <v>3921</v>
      </c>
      <c r="M236" s="95">
        <v>6870</v>
      </c>
      <c r="N236" s="95">
        <v>4715</v>
      </c>
      <c r="O236" s="95">
        <v>3794</v>
      </c>
      <c r="P236" s="95">
        <v>7961</v>
      </c>
      <c r="Q236" s="95">
        <v>5849</v>
      </c>
      <c r="R236" s="95">
        <v>6189</v>
      </c>
      <c r="S236" s="95">
        <v>3761</v>
      </c>
      <c r="T236" s="95">
        <v>2693</v>
      </c>
      <c r="U236" s="95">
        <v>1288</v>
      </c>
      <c r="V236" s="95">
        <v>1623</v>
      </c>
      <c r="W236" s="95">
        <v>2426</v>
      </c>
      <c r="X236" s="95">
        <v>2396</v>
      </c>
      <c r="Y236" s="95">
        <v>3038</v>
      </c>
      <c r="Z236" s="95">
        <v>2211</v>
      </c>
      <c r="AA236" s="95">
        <v>13273</v>
      </c>
      <c r="AB236" s="95">
        <v>23791</v>
      </c>
      <c r="AC236" s="95">
        <v>24409</v>
      </c>
      <c r="AF236"/>
      <c r="AG236"/>
      <c r="AH236" s="95">
        <v>12908</v>
      </c>
      <c r="AI236" s="95">
        <v>13040</v>
      </c>
      <c r="AJ236" s="95">
        <v>13060</v>
      </c>
      <c r="AK236" s="95">
        <v>13110</v>
      </c>
      <c r="AL236" s="95">
        <v>13127</v>
      </c>
      <c r="AM236" s="95">
        <v>22166</v>
      </c>
      <c r="AN236" s="95">
        <v>23472</v>
      </c>
      <c r="AO236" s="95">
        <v>23883000</v>
      </c>
      <c r="AP236" s="95">
        <v>23791</v>
      </c>
      <c r="AQ236" s="95">
        <v>24409</v>
      </c>
      <c r="AR236" s="95">
        <v>26721</v>
      </c>
    </row>
    <row r="237" spans="1:44" ht="12.5" x14ac:dyDescent="0.25">
      <c r="A237" s="95" t="s">
        <v>519</v>
      </c>
      <c r="B237" s="95" t="s">
        <v>201</v>
      </c>
      <c r="C237" s="95">
        <f t="shared" si="9"/>
        <v>1092.0999999999999</v>
      </c>
      <c r="D237" s="95">
        <f t="shared" si="10"/>
        <v>1209.5999999999999</v>
      </c>
      <c r="E237" s="184">
        <v>4362000</v>
      </c>
      <c r="F237" s="184">
        <f t="shared" si="11"/>
        <v>15885491.177885219</v>
      </c>
      <c r="G237" s="95">
        <v>129</v>
      </c>
      <c r="H237" s="95">
        <v>30</v>
      </c>
      <c r="I237" s="95">
        <v>1840</v>
      </c>
      <c r="J237" s="95">
        <v>1958</v>
      </c>
      <c r="K237" s="95">
        <v>1008</v>
      </c>
      <c r="L237" s="95">
        <v>3370</v>
      </c>
      <c r="M237" s="95">
        <v>1447</v>
      </c>
      <c r="N237" s="95">
        <v>1620</v>
      </c>
      <c r="O237" s="95">
        <v>1216</v>
      </c>
      <c r="P237" s="95">
        <v>660</v>
      </c>
      <c r="Q237" s="95">
        <v>1531</v>
      </c>
      <c r="R237" s="95">
        <v>1848</v>
      </c>
      <c r="S237" s="95">
        <v>862</v>
      </c>
      <c r="T237" s="95">
        <v>766</v>
      </c>
      <c r="U237" s="95">
        <v>1153</v>
      </c>
      <c r="V237" s="95">
        <v>599</v>
      </c>
      <c r="W237" s="95">
        <v>13</v>
      </c>
      <c r="X237" s="95">
        <v>41</v>
      </c>
      <c r="Y237" s="95">
        <v>1722</v>
      </c>
      <c r="Z237" s="95">
        <v>1204</v>
      </c>
      <c r="AA237" s="95">
        <v>43429</v>
      </c>
      <c r="AB237" s="95">
        <v>108564</v>
      </c>
      <c r="AC237" s="95">
        <v>112338</v>
      </c>
      <c r="AF237"/>
      <c r="AG237"/>
      <c r="AH237" s="95">
        <v>43650</v>
      </c>
      <c r="AI237" s="95">
        <v>43495</v>
      </c>
      <c r="AJ237" s="95">
        <v>43686</v>
      </c>
      <c r="AK237" s="95">
        <v>43759</v>
      </c>
      <c r="AL237" s="95">
        <v>43525</v>
      </c>
      <c r="AM237" s="95">
        <v>105461</v>
      </c>
      <c r="AN237" s="95">
        <v>108779</v>
      </c>
      <c r="AO237" s="95">
        <v>107324000</v>
      </c>
      <c r="AP237" s="95">
        <v>108564</v>
      </c>
      <c r="AQ237" s="95">
        <v>112338</v>
      </c>
      <c r="AR237" s="95">
        <v>114812</v>
      </c>
    </row>
    <row r="238" spans="1:44" ht="12.5" x14ac:dyDescent="0.25">
      <c r="A238" s="95" t="s">
        <v>524</v>
      </c>
      <c r="B238" s="95" t="s">
        <v>228</v>
      </c>
      <c r="C238" s="95">
        <f t="shared" si="9"/>
        <v>1869.4</v>
      </c>
      <c r="D238" s="95">
        <f t="shared" si="10"/>
        <v>1319.6</v>
      </c>
      <c r="E238" s="184">
        <v>2135000</v>
      </c>
      <c r="F238" s="184">
        <f t="shared" si="11"/>
        <v>7411449.0834767157</v>
      </c>
      <c r="G238" s="95">
        <v>419</v>
      </c>
      <c r="H238" s="95">
        <v>401</v>
      </c>
      <c r="I238" s="95">
        <v>5737</v>
      </c>
      <c r="J238" s="95">
        <v>2850</v>
      </c>
      <c r="K238" s="95">
        <v>2429</v>
      </c>
      <c r="L238" s="95">
        <v>2073</v>
      </c>
      <c r="M238" s="95">
        <v>1452</v>
      </c>
      <c r="N238" s="95">
        <v>1448</v>
      </c>
      <c r="O238" s="95">
        <v>1453</v>
      </c>
      <c r="P238" s="95">
        <v>1232</v>
      </c>
      <c r="Q238" s="95">
        <v>1235</v>
      </c>
      <c r="R238" s="95">
        <v>831</v>
      </c>
      <c r="S238" s="95">
        <v>3599</v>
      </c>
      <c r="T238" s="95">
        <v>2606</v>
      </c>
      <c r="U238" s="95">
        <v>1384</v>
      </c>
      <c r="V238" s="95">
        <v>1073</v>
      </c>
      <c r="W238" s="95">
        <v>513</v>
      </c>
      <c r="X238" s="95">
        <v>306</v>
      </c>
      <c r="Y238" s="95">
        <v>473</v>
      </c>
      <c r="Z238" s="95">
        <v>376</v>
      </c>
      <c r="AA238" s="95">
        <v>20262</v>
      </c>
      <c r="AB238" s="95">
        <v>52088</v>
      </c>
      <c r="AC238" s="95">
        <v>58021</v>
      </c>
      <c r="AF238"/>
      <c r="AG238"/>
      <c r="AH238" s="95">
        <v>19590</v>
      </c>
      <c r="AI238" s="95">
        <v>19808</v>
      </c>
      <c r="AJ238" s="95">
        <v>20012</v>
      </c>
      <c r="AK238" s="95">
        <v>20115</v>
      </c>
      <c r="AL238" s="95">
        <v>20203</v>
      </c>
      <c r="AM238" s="95">
        <v>47257</v>
      </c>
      <c r="AN238" s="95">
        <v>47315</v>
      </c>
      <c r="AO238" s="95">
        <v>49506000</v>
      </c>
      <c r="AP238" s="95">
        <v>52088</v>
      </c>
      <c r="AQ238" s="95">
        <v>58021</v>
      </c>
      <c r="AR238" s="95">
        <v>58522</v>
      </c>
    </row>
    <row r="239" spans="1:44" ht="12.5" x14ac:dyDescent="0.25">
      <c r="A239" s="95" t="s">
        <v>521</v>
      </c>
      <c r="B239" s="95" t="s">
        <v>314</v>
      </c>
      <c r="C239" s="95">
        <f t="shared" si="9"/>
        <v>5886.5</v>
      </c>
      <c r="D239" s="95">
        <f t="shared" si="10"/>
        <v>5871.9</v>
      </c>
      <c r="E239" s="184">
        <v>5019000</v>
      </c>
      <c r="F239" s="184">
        <f t="shared" si="11"/>
        <v>17230101.129067749</v>
      </c>
      <c r="G239" s="95">
        <v>3384</v>
      </c>
      <c r="H239" s="95">
        <v>3528</v>
      </c>
      <c r="I239" s="95">
        <v>6688</v>
      </c>
      <c r="J239" s="95">
        <v>7581</v>
      </c>
      <c r="K239" s="95">
        <v>4914</v>
      </c>
      <c r="L239" s="95">
        <v>4932</v>
      </c>
      <c r="M239" s="95">
        <v>9147</v>
      </c>
      <c r="N239" s="95">
        <v>9773</v>
      </c>
      <c r="O239" s="95">
        <v>9378</v>
      </c>
      <c r="P239" s="95">
        <v>8984</v>
      </c>
      <c r="Q239" s="95">
        <v>5866</v>
      </c>
      <c r="R239" s="95">
        <v>6491</v>
      </c>
      <c r="S239" s="95">
        <v>7108</v>
      </c>
      <c r="T239" s="95">
        <v>5388</v>
      </c>
      <c r="U239" s="95">
        <v>5016</v>
      </c>
      <c r="V239" s="95">
        <v>4783</v>
      </c>
      <c r="W239" s="95">
        <v>3842</v>
      </c>
      <c r="X239" s="95">
        <v>3954</v>
      </c>
      <c r="Y239" s="95">
        <v>3522</v>
      </c>
      <c r="Z239" s="95">
        <v>3305</v>
      </c>
      <c r="AA239" s="95">
        <v>47105</v>
      </c>
      <c r="AB239" s="95">
        <v>89947</v>
      </c>
      <c r="AC239" s="95">
        <v>92409</v>
      </c>
      <c r="AF239"/>
      <c r="AG239"/>
      <c r="AH239" s="95">
        <v>45411</v>
      </c>
      <c r="AI239" s="95">
        <v>45797</v>
      </c>
      <c r="AJ239" s="95">
        <v>46255</v>
      </c>
      <c r="AK239" s="95">
        <v>46169</v>
      </c>
      <c r="AL239" s="95">
        <v>46671</v>
      </c>
      <c r="AM239" s="95">
        <v>96775</v>
      </c>
      <c r="AN239" s="95">
        <v>92960</v>
      </c>
      <c r="AO239" s="95">
        <v>90516000</v>
      </c>
      <c r="AP239" s="95">
        <v>89947</v>
      </c>
      <c r="AQ239" s="95">
        <v>92409</v>
      </c>
      <c r="AR239" s="95">
        <v>93817</v>
      </c>
    </row>
    <row r="240" spans="1:44" ht="12.5" x14ac:dyDescent="0.25">
      <c r="A240" s="95" t="s">
        <v>522</v>
      </c>
      <c r="B240" s="95" t="s">
        <v>157</v>
      </c>
      <c r="C240" s="95">
        <f t="shared" si="9"/>
        <v>4421.7</v>
      </c>
      <c r="D240" s="95">
        <f t="shared" si="10"/>
        <v>5311.4</v>
      </c>
      <c r="E240" s="184">
        <v>4013000</v>
      </c>
      <c r="F240" s="184">
        <f t="shared" si="11"/>
        <v>13985626.083640916</v>
      </c>
      <c r="G240" s="95">
        <v>739</v>
      </c>
      <c r="H240" s="95">
        <v>626</v>
      </c>
      <c r="I240" s="95">
        <v>1284</v>
      </c>
      <c r="J240" s="95">
        <v>2441</v>
      </c>
      <c r="K240" s="95">
        <v>2362</v>
      </c>
      <c r="L240" s="95">
        <v>2471</v>
      </c>
      <c r="M240" s="95">
        <v>1543</v>
      </c>
      <c r="N240" s="95">
        <v>879</v>
      </c>
      <c r="O240" s="95">
        <v>8412</v>
      </c>
      <c r="P240" s="95">
        <v>8337</v>
      </c>
      <c r="Q240" s="95">
        <v>5969</v>
      </c>
      <c r="R240" s="95">
        <v>5378</v>
      </c>
      <c r="S240" s="95">
        <v>4051</v>
      </c>
      <c r="T240" s="95">
        <v>2732</v>
      </c>
      <c r="U240" s="95">
        <v>8639</v>
      </c>
      <c r="V240" s="95">
        <v>14856</v>
      </c>
      <c r="W240" s="95">
        <v>3513</v>
      </c>
      <c r="X240" s="95">
        <v>7533</v>
      </c>
      <c r="Y240" s="95">
        <v>7705</v>
      </c>
      <c r="Z240" s="95">
        <v>7861</v>
      </c>
      <c r="AA240" s="95">
        <v>38235</v>
      </c>
      <c r="AB240" s="95">
        <v>97198</v>
      </c>
      <c r="AC240" s="95">
        <v>98664</v>
      </c>
      <c r="AF240"/>
      <c r="AG240"/>
      <c r="AH240" s="95">
        <v>37979</v>
      </c>
      <c r="AI240" s="95">
        <v>38102</v>
      </c>
      <c r="AJ240" s="95">
        <v>38296</v>
      </c>
      <c r="AK240" s="95">
        <v>38181</v>
      </c>
      <c r="AL240" s="95">
        <v>38204</v>
      </c>
      <c r="AM240" s="95">
        <v>96930</v>
      </c>
      <c r="AN240" s="95">
        <v>96002</v>
      </c>
      <c r="AO240" s="95">
        <v>96506000</v>
      </c>
      <c r="AP240" s="95">
        <v>97198</v>
      </c>
      <c r="AQ240" s="95">
        <v>98664</v>
      </c>
      <c r="AR240" s="95">
        <v>99818</v>
      </c>
    </row>
    <row r="241" spans="1:44" ht="12.5" x14ac:dyDescent="0.25">
      <c r="A241" s="95" t="s">
        <v>521</v>
      </c>
      <c r="B241" s="95" t="s">
        <v>315</v>
      </c>
      <c r="C241" s="95">
        <f t="shared" si="9"/>
        <v>27471.599999999999</v>
      </c>
      <c r="D241" s="95">
        <f t="shared" si="10"/>
        <v>28144.7</v>
      </c>
      <c r="E241" s="184">
        <v>12324000</v>
      </c>
      <c r="F241" s="184">
        <f t="shared" si="11"/>
        <v>20832675.50588949</v>
      </c>
      <c r="G241" s="95">
        <v>31810</v>
      </c>
      <c r="H241" s="95">
        <v>31787</v>
      </c>
      <c r="I241" s="95">
        <v>16970</v>
      </c>
      <c r="J241" s="95">
        <v>25081</v>
      </c>
      <c r="K241" s="95">
        <v>34869</v>
      </c>
      <c r="L241" s="95">
        <v>36276</v>
      </c>
      <c r="M241" s="95">
        <v>17485</v>
      </c>
      <c r="N241" s="95">
        <v>18162</v>
      </c>
      <c r="O241" s="95">
        <v>26970</v>
      </c>
      <c r="P241" s="95">
        <v>28087</v>
      </c>
      <c r="Q241" s="95">
        <v>28091</v>
      </c>
      <c r="R241" s="95">
        <v>28761</v>
      </c>
      <c r="S241" s="95">
        <v>35908</v>
      </c>
      <c r="T241" s="95">
        <v>34422</v>
      </c>
      <c r="U241" s="95">
        <v>23014</v>
      </c>
      <c r="V241" s="95">
        <v>25313</v>
      </c>
      <c r="W241" s="95">
        <v>19942</v>
      </c>
      <c r="X241" s="95">
        <v>13689</v>
      </c>
      <c r="Y241" s="95">
        <v>39657</v>
      </c>
      <c r="Z241" s="95">
        <v>39869</v>
      </c>
      <c r="AA241" s="95">
        <v>56954</v>
      </c>
      <c r="AB241" s="95">
        <v>148964</v>
      </c>
      <c r="AC241" s="95">
        <v>151526</v>
      </c>
      <c r="AF241"/>
      <c r="AG241"/>
      <c r="AH241" s="95">
        <v>51009</v>
      </c>
      <c r="AI241" s="95">
        <v>52197</v>
      </c>
      <c r="AJ241" s="95">
        <v>53486</v>
      </c>
      <c r="AK241" s="95">
        <v>54271</v>
      </c>
      <c r="AL241" s="95">
        <v>55220</v>
      </c>
      <c r="AM241" s="95">
        <v>133750</v>
      </c>
      <c r="AN241" s="95">
        <v>144682</v>
      </c>
      <c r="AO241" s="95">
        <v>147631000</v>
      </c>
      <c r="AP241" s="95">
        <v>148964</v>
      </c>
      <c r="AQ241" s="95">
        <v>151526</v>
      </c>
      <c r="AR241" s="95">
        <v>157185</v>
      </c>
    </row>
    <row r="242" spans="1:44" ht="12.5" x14ac:dyDescent="0.25">
      <c r="A242" s="95" t="s">
        <v>526</v>
      </c>
      <c r="B242" s="95" t="s">
        <v>418</v>
      </c>
      <c r="C242" s="95">
        <f t="shared" si="9"/>
        <v>828.5</v>
      </c>
      <c r="D242" s="95">
        <f t="shared" si="10"/>
        <v>356.8</v>
      </c>
      <c r="E242" s="184">
        <v>7661000</v>
      </c>
      <c r="F242" s="184">
        <f t="shared" si="11"/>
        <v>7521183.3014731137</v>
      </c>
      <c r="G242" s="95">
        <v>2234</v>
      </c>
      <c r="H242" s="95">
        <v>1551</v>
      </c>
      <c r="I242" s="95">
        <v>2023</v>
      </c>
      <c r="J242" s="95">
        <v>123</v>
      </c>
      <c r="K242" s="95">
        <v>20</v>
      </c>
      <c r="L242" s="95">
        <v>21</v>
      </c>
      <c r="M242" s="95">
        <v>1158</v>
      </c>
      <c r="N242" s="95">
        <v>235</v>
      </c>
      <c r="O242" s="95">
        <v>198</v>
      </c>
      <c r="P242" s="95">
        <v>-3</v>
      </c>
      <c r="Q242" s="95">
        <v>565</v>
      </c>
      <c r="R242" s="95">
        <v>565</v>
      </c>
      <c r="S242" s="95">
        <v>368</v>
      </c>
      <c r="T242" s="95">
        <v>29</v>
      </c>
      <c r="U242" s="95">
        <v>922</v>
      </c>
      <c r="V242" s="95">
        <v>560</v>
      </c>
      <c r="W242" s="95">
        <v>479</v>
      </c>
      <c r="X242" s="95">
        <v>300</v>
      </c>
      <c r="Y242" s="95">
        <v>318</v>
      </c>
      <c r="Z242" s="95">
        <v>187</v>
      </c>
      <c r="AA242" s="95">
        <v>20562</v>
      </c>
      <c r="AB242" s="95">
        <v>38625</v>
      </c>
      <c r="AC242" s="95">
        <v>41414</v>
      </c>
      <c r="AF242"/>
      <c r="AG242"/>
      <c r="AH242" s="95">
        <v>20692</v>
      </c>
      <c r="AI242" s="95">
        <v>20729</v>
      </c>
      <c r="AJ242" s="95">
        <v>20616</v>
      </c>
      <c r="AK242" s="95">
        <v>20589</v>
      </c>
      <c r="AL242" s="95">
        <v>20580</v>
      </c>
      <c r="AM242" s="95">
        <v>39408</v>
      </c>
      <c r="AN242" s="95">
        <v>38560</v>
      </c>
      <c r="AO242" s="95">
        <v>39198000</v>
      </c>
      <c r="AP242" s="95">
        <v>38625</v>
      </c>
      <c r="AQ242" s="95">
        <v>41414</v>
      </c>
      <c r="AR242" s="95">
        <v>43867</v>
      </c>
    </row>
    <row r="243" spans="1:44" ht="12.5" x14ac:dyDescent="0.25">
      <c r="A243" s="95" t="s">
        <v>526</v>
      </c>
      <c r="B243" s="95" t="s">
        <v>419</v>
      </c>
      <c r="C243" s="95">
        <f t="shared" si="9"/>
        <v>3915.8</v>
      </c>
      <c r="D243" s="95">
        <f t="shared" si="10"/>
        <v>4430.2</v>
      </c>
      <c r="E243" s="184">
        <v>8321000</v>
      </c>
      <c r="F243" s="184">
        <f t="shared" si="11"/>
        <v>21631906.393629923</v>
      </c>
      <c r="G243" s="95">
        <v>76</v>
      </c>
      <c r="H243" s="95">
        <v>75</v>
      </c>
      <c r="I243" s="95">
        <v>6538</v>
      </c>
      <c r="J243" s="95">
        <v>6672</v>
      </c>
      <c r="K243" s="95">
        <v>3628</v>
      </c>
      <c r="L243" s="95">
        <v>4460</v>
      </c>
      <c r="M243" s="95">
        <v>2984</v>
      </c>
      <c r="N243" s="95">
        <v>3508</v>
      </c>
      <c r="O243" s="95">
        <v>21667</v>
      </c>
      <c r="P243" s="95">
        <v>23253</v>
      </c>
      <c r="Q243" s="95">
        <v>61</v>
      </c>
      <c r="R243" s="95">
        <v>719</v>
      </c>
      <c r="S243" s="95">
        <v>283</v>
      </c>
      <c r="T243" s="95">
        <v>285</v>
      </c>
      <c r="U243" s="95">
        <v>747</v>
      </c>
      <c r="V243" s="95">
        <v>814</v>
      </c>
      <c r="W243" s="95">
        <v>1088</v>
      </c>
      <c r="X243" s="95">
        <v>2430</v>
      </c>
      <c r="Y243" s="95">
        <v>2086</v>
      </c>
      <c r="Z243" s="95">
        <v>2086</v>
      </c>
      <c r="AA243" s="95">
        <v>59139</v>
      </c>
      <c r="AB243" s="95">
        <v>174134</v>
      </c>
      <c r="AC243" s="95">
        <v>170454</v>
      </c>
      <c r="AF243"/>
      <c r="AG243"/>
      <c r="AH243" s="95">
        <v>57419</v>
      </c>
      <c r="AI243" s="95">
        <v>57805</v>
      </c>
      <c r="AJ243" s="95">
        <v>58194</v>
      </c>
      <c r="AK243" s="95">
        <v>58293</v>
      </c>
      <c r="AL243" s="95">
        <v>58763</v>
      </c>
      <c r="AM243" s="95">
        <v>161397</v>
      </c>
      <c r="AN243" s="95">
        <v>169146</v>
      </c>
      <c r="AO243" s="95">
        <v>169925000</v>
      </c>
      <c r="AP243" s="95">
        <v>174134</v>
      </c>
      <c r="AQ243" s="95">
        <v>170454</v>
      </c>
      <c r="AR243" s="95">
        <v>180025</v>
      </c>
    </row>
    <row r="244" spans="1:44" ht="12.5" x14ac:dyDescent="0.25">
      <c r="A244" s="95" t="s">
        <v>517</v>
      </c>
      <c r="B244" s="95" t="s">
        <v>385</v>
      </c>
      <c r="C244" s="95">
        <f t="shared" si="9"/>
        <v>12603.9</v>
      </c>
      <c r="D244" s="95">
        <f t="shared" si="10"/>
        <v>13475.7</v>
      </c>
      <c r="E244" s="184">
        <v>8604000</v>
      </c>
      <c r="F244" s="184">
        <f t="shared" si="11"/>
        <v>28254732.230439194</v>
      </c>
      <c r="G244" s="95">
        <v>0</v>
      </c>
      <c r="H244" s="95">
        <v>0</v>
      </c>
      <c r="I244" s="95">
        <v>38847</v>
      </c>
      <c r="J244" s="95">
        <v>40522</v>
      </c>
      <c r="K244" s="95">
        <v>53970</v>
      </c>
      <c r="L244" s="95">
        <v>55309</v>
      </c>
      <c r="M244" s="95">
        <v>7804</v>
      </c>
      <c r="N244" s="95">
        <v>9740</v>
      </c>
      <c r="O244" s="95">
        <v>14435</v>
      </c>
      <c r="P244" s="95">
        <v>17669</v>
      </c>
      <c r="Q244" s="95">
        <v>10983</v>
      </c>
      <c r="R244" s="95">
        <v>11517</v>
      </c>
      <c r="S244" s="95">
        <v>0</v>
      </c>
      <c r="T244" s="95">
        <v>0</v>
      </c>
      <c r="U244" s="95">
        <v>0</v>
      </c>
      <c r="V244" s="95">
        <v>0</v>
      </c>
      <c r="W244" s="95">
        <v>0</v>
      </c>
      <c r="X244" s="95">
        <v>0</v>
      </c>
      <c r="Y244" s="95">
        <v>0</v>
      </c>
      <c r="Z244" s="95">
        <v>0</v>
      </c>
      <c r="AA244" s="95">
        <v>77245</v>
      </c>
      <c r="AB244" s="95">
        <v>116084</v>
      </c>
      <c r="AC244" s="95">
        <v>131369</v>
      </c>
      <c r="AF244"/>
      <c r="AG244"/>
      <c r="AH244" s="95">
        <v>77189</v>
      </c>
      <c r="AI244" s="95">
        <v>76972</v>
      </c>
      <c r="AJ244" s="95">
        <v>77072</v>
      </c>
      <c r="AK244" s="95">
        <v>77186</v>
      </c>
      <c r="AL244" s="95">
        <v>77200</v>
      </c>
      <c r="AM244" s="95">
        <v>142373</v>
      </c>
      <c r="AN244" s="95">
        <v>149366</v>
      </c>
      <c r="AO244" s="95">
        <v>145697000</v>
      </c>
      <c r="AP244" s="95">
        <v>116084</v>
      </c>
      <c r="AQ244" s="95">
        <v>131369</v>
      </c>
      <c r="AR244" s="95">
        <v>137922</v>
      </c>
    </row>
    <row r="245" spans="1:44" ht="12.5" x14ac:dyDescent="0.25">
      <c r="A245" s="95" t="s">
        <v>521</v>
      </c>
      <c r="B245" s="95" t="s">
        <v>316</v>
      </c>
      <c r="C245" s="95">
        <f t="shared" si="9"/>
        <v>115417.8</v>
      </c>
      <c r="D245" s="95">
        <f t="shared" si="10"/>
        <v>105691.4</v>
      </c>
      <c r="E245" s="184">
        <v>158669000</v>
      </c>
      <c r="F245" s="184">
        <f t="shared" si="11"/>
        <v>239759390.24250978</v>
      </c>
      <c r="G245" s="95">
        <v>55513</v>
      </c>
      <c r="H245" s="95">
        <v>52741</v>
      </c>
      <c r="I245" s="95">
        <v>283572</v>
      </c>
      <c r="J245" s="95">
        <v>307703</v>
      </c>
      <c r="K245" s="95">
        <v>200258</v>
      </c>
      <c r="L245" s="95">
        <v>203304</v>
      </c>
      <c r="M245" s="95">
        <v>111946</v>
      </c>
      <c r="N245" s="95">
        <v>134192</v>
      </c>
      <c r="O245" s="95">
        <v>75574</v>
      </c>
      <c r="P245" s="95">
        <v>35465</v>
      </c>
      <c r="Q245" s="95">
        <v>135398</v>
      </c>
      <c r="R245" s="95">
        <v>122176</v>
      </c>
      <c r="S245" s="95">
        <v>82722</v>
      </c>
      <c r="T245" s="95">
        <v>50939</v>
      </c>
      <c r="U245" s="95">
        <v>50449</v>
      </c>
      <c r="V245" s="95">
        <v>43194</v>
      </c>
      <c r="W245" s="95">
        <v>79052</v>
      </c>
      <c r="X245" s="95">
        <v>45368</v>
      </c>
      <c r="Y245" s="95">
        <v>79694</v>
      </c>
      <c r="Z245" s="95">
        <v>61832</v>
      </c>
      <c r="AA245" s="95">
        <v>655473</v>
      </c>
      <c r="AB245" s="95">
        <v>2512962</v>
      </c>
      <c r="AC245" s="95">
        <v>2559292</v>
      </c>
      <c r="AF245"/>
      <c r="AG245"/>
      <c r="AH245" s="95">
        <v>638221</v>
      </c>
      <c r="AI245" s="95">
        <v>638751</v>
      </c>
      <c r="AJ245" s="95">
        <v>644527</v>
      </c>
      <c r="AK245" s="95">
        <v>651446</v>
      </c>
      <c r="AL245" s="95">
        <v>651631</v>
      </c>
      <c r="AM245" s="95">
        <v>2550016</v>
      </c>
      <c r="AN245" s="95">
        <v>2526343</v>
      </c>
      <c r="AO245" s="95">
        <v>2533662000</v>
      </c>
      <c r="AP245" s="95">
        <v>2512962</v>
      </c>
      <c r="AQ245" s="95">
        <v>2559292</v>
      </c>
      <c r="AR245" s="95">
        <v>2679709</v>
      </c>
    </row>
    <row r="246" spans="1:44" ht="12.5" x14ac:dyDescent="0.25">
      <c r="A246" s="95" t="s">
        <v>519</v>
      </c>
      <c r="B246" s="95" t="s">
        <v>202</v>
      </c>
      <c r="C246" s="95">
        <f t="shared" si="9"/>
        <v>1184.3</v>
      </c>
      <c r="D246" s="95">
        <f t="shared" si="10"/>
        <v>685.2</v>
      </c>
      <c r="E246" s="184">
        <v>210000</v>
      </c>
      <c r="F246" s="184">
        <f t="shared" si="11"/>
        <v>642310.95600558259</v>
      </c>
      <c r="G246" s="95">
        <v>0</v>
      </c>
      <c r="H246" s="95">
        <v>0</v>
      </c>
      <c r="I246" s="95">
        <v>0</v>
      </c>
      <c r="J246" s="95">
        <v>6</v>
      </c>
      <c r="K246" s="95">
        <v>221</v>
      </c>
      <c r="L246" s="95">
        <v>222</v>
      </c>
      <c r="M246" s="95">
        <v>256</v>
      </c>
      <c r="N246" s="95">
        <v>255</v>
      </c>
      <c r="O246" s="95">
        <v>549</v>
      </c>
      <c r="P246" s="95">
        <v>550</v>
      </c>
      <c r="Q246" s="95">
        <v>1948</v>
      </c>
      <c r="R246" s="95">
        <v>1952</v>
      </c>
      <c r="S246" s="95">
        <v>3223</v>
      </c>
      <c r="T246" s="95">
        <v>1061</v>
      </c>
      <c r="U246" s="95">
        <v>2285</v>
      </c>
      <c r="V246" s="95">
        <v>1103</v>
      </c>
      <c r="W246" s="95">
        <v>2285</v>
      </c>
      <c r="X246" s="95">
        <v>1103</v>
      </c>
      <c r="Y246" s="95">
        <v>1076</v>
      </c>
      <c r="Z246" s="95">
        <v>600</v>
      </c>
      <c r="AA246" s="95">
        <v>1756</v>
      </c>
      <c r="AB246" s="95">
        <v>1754</v>
      </c>
      <c r="AC246" s="95">
        <v>4952</v>
      </c>
      <c r="AF246"/>
      <c r="AG246"/>
      <c r="AH246" s="95">
        <v>1495</v>
      </c>
      <c r="AI246" s="95">
        <v>1577</v>
      </c>
      <c r="AJ246" s="95">
        <v>1654</v>
      </c>
      <c r="AK246" s="95">
        <v>1698</v>
      </c>
      <c r="AL246" s="95">
        <v>1726</v>
      </c>
      <c r="AM246" s="95">
        <v>388</v>
      </c>
      <c r="AN246" s="95">
        <v>349</v>
      </c>
      <c r="AO246" s="95">
        <v>482000</v>
      </c>
      <c r="AP246" s="95">
        <v>1754</v>
      </c>
      <c r="AQ246" s="95">
        <v>4952</v>
      </c>
      <c r="AR246" s="95">
        <v>8156</v>
      </c>
    </row>
    <row r="247" spans="1:44" ht="12.5" x14ac:dyDescent="0.25">
      <c r="A247" s="95" t="s">
        <v>526</v>
      </c>
      <c r="B247" s="95" t="s">
        <v>386</v>
      </c>
      <c r="C247" s="95">
        <f t="shared" si="9"/>
        <v>3709.2</v>
      </c>
      <c r="D247" s="95">
        <f t="shared" si="10"/>
        <v>4053</v>
      </c>
      <c r="E247" s="184">
        <v>4609000</v>
      </c>
      <c r="F247" s="184">
        <f t="shared" si="11"/>
        <v>8541345.7481129598</v>
      </c>
      <c r="G247" s="95">
        <v>9380</v>
      </c>
      <c r="H247" s="95">
        <v>9453</v>
      </c>
      <c r="I247" s="95">
        <v>3040</v>
      </c>
      <c r="J247" s="95">
        <v>2380</v>
      </c>
      <c r="K247" s="95">
        <v>1601</v>
      </c>
      <c r="L247" s="95">
        <v>3010</v>
      </c>
      <c r="M247" s="95">
        <v>1963</v>
      </c>
      <c r="N247" s="95">
        <v>3247</v>
      </c>
      <c r="O247" s="95">
        <v>2051</v>
      </c>
      <c r="P247" s="95">
        <v>1860</v>
      </c>
      <c r="Q247" s="95">
        <v>6287</v>
      </c>
      <c r="R247" s="95">
        <v>6172</v>
      </c>
      <c r="S247" s="95">
        <v>2514</v>
      </c>
      <c r="T247" s="95">
        <v>1899</v>
      </c>
      <c r="U247" s="95">
        <v>2525</v>
      </c>
      <c r="V247" s="95">
        <v>3431</v>
      </c>
      <c r="W247" s="95">
        <v>2549</v>
      </c>
      <c r="X247" s="95">
        <v>3884</v>
      </c>
      <c r="Y247" s="95">
        <v>5182</v>
      </c>
      <c r="Z247" s="95">
        <v>5194</v>
      </c>
      <c r="AA247" s="95">
        <v>23351</v>
      </c>
      <c r="AB247" s="95">
        <v>70401</v>
      </c>
      <c r="AC247" s="95">
        <v>70421</v>
      </c>
      <c r="AF247"/>
      <c r="AG247"/>
      <c r="AH247" s="95">
        <v>22333</v>
      </c>
      <c r="AI247" s="95">
        <v>22404</v>
      </c>
      <c r="AJ247" s="95">
        <v>22585</v>
      </c>
      <c r="AK247" s="95">
        <v>22917</v>
      </c>
      <c r="AL247" s="95">
        <v>23080</v>
      </c>
      <c r="AM247" s="95">
        <v>63753</v>
      </c>
      <c r="AN247" s="95">
        <v>57886</v>
      </c>
      <c r="AO247" s="95">
        <v>65419000</v>
      </c>
      <c r="AP247" s="95">
        <v>70401</v>
      </c>
      <c r="AQ247" s="95">
        <v>70421</v>
      </c>
      <c r="AR247" s="95">
        <v>71574</v>
      </c>
    </row>
    <row r="248" spans="1:44" ht="12.5" x14ac:dyDescent="0.25">
      <c r="A248" s="95" t="s">
        <v>518</v>
      </c>
      <c r="B248" s="95" t="s">
        <v>271</v>
      </c>
      <c r="C248" s="95">
        <f t="shared" si="9"/>
        <v>7132</v>
      </c>
      <c r="D248" s="95">
        <f t="shared" si="10"/>
        <v>7687.5</v>
      </c>
      <c r="E248" s="184">
        <v>6890000</v>
      </c>
      <c r="F248" s="184">
        <f t="shared" si="11"/>
        <v>17129877.209964372</v>
      </c>
      <c r="G248" s="95">
        <v>669</v>
      </c>
      <c r="H248" s="95">
        <v>1018</v>
      </c>
      <c r="I248" s="95">
        <v>7750</v>
      </c>
      <c r="J248" s="95">
        <v>19147</v>
      </c>
      <c r="K248" s="95">
        <v>1765</v>
      </c>
      <c r="L248" s="95">
        <v>2639</v>
      </c>
      <c r="M248" s="95">
        <v>6375</v>
      </c>
      <c r="N248" s="95">
        <v>7924</v>
      </c>
      <c r="O248" s="95">
        <v>15455</v>
      </c>
      <c r="P248" s="95">
        <v>14313</v>
      </c>
      <c r="Q248" s="95">
        <v>6060</v>
      </c>
      <c r="R248" s="95">
        <v>2840</v>
      </c>
      <c r="S248" s="95">
        <v>4323</v>
      </c>
      <c r="T248" s="95">
        <v>3882</v>
      </c>
      <c r="U248" s="95">
        <v>7013</v>
      </c>
      <c r="V248" s="95">
        <v>5727</v>
      </c>
      <c r="W248" s="95">
        <v>17010</v>
      </c>
      <c r="X248" s="95">
        <v>13604</v>
      </c>
      <c r="Y248" s="95">
        <v>4900</v>
      </c>
      <c r="Z248" s="95">
        <v>5781</v>
      </c>
      <c r="AA248" s="95">
        <v>46831</v>
      </c>
      <c r="AB248" s="95">
        <v>98374</v>
      </c>
      <c r="AC248" s="95">
        <v>101866</v>
      </c>
      <c r="AF248"/>
      <c r="AG248"/>
      <c r="AH248" s="95">
        <v>46197</v>
      </c>
      <c r="AI248" s="95">
        <v>46380</v>
      </c>
      <c r="AJ248" s="95">
        <v>46563</v>
      </c>
      <c r="AK248" s="95">
        <v>46523</v>
      </c>
      <c r="AL248" s="95">
        <v>46532</v>
      </c>
      <c r="AM248" s="95">
        <v>112005</v>
      </c>
      <c r="AN248" s="95">
        <v>97587</v>
      </c>
      <c r="AO248" s="95">
        <v>91229000</v>
      </c>
      <c r="AP248" s="95">
        <v>98374</v>
      </c>
      <c r="AQ248" s="95">
        <v>101866</v>
      </c>
      <c r="AR248" s="95">
        <v>107880</v>
      </c>
    </row>
    <row r="249" spans="1:44" ht="12.5" x14ac:dyDescent="0.25">
      <c r="A249" s="95" t="s">
        <v>519</v>
      </c>
      <c r="B249" s="95" t="s">
        <v>203</v>
      </c>
      <c r="C249" s="95">
        <f t="shared" si="9"/>
        <v>2943.4</v>
      </c>
      <c r="D249" s="95">
        <f t="shared" si="10"/>
        <v>2192.3000000000002</v>
      </c>
      <c r="E249" s="184">
        <v>898000</v>
      </c>
      <c r="F249" s="184">
        <f t="shared" si="11"/>
        <v>3775588.6605293979</v>
      </c>
      <c r="G249" s="95">
        <v>1941</v>
      </c>
      <c r="H249" s="95">
        <v>1957</v>
      </c>
      <c r="I249" s="95">
        <v>413</v>
      </c>
      <c r="J249" s="95">
        <v>414</v>
      </c>
      <c r="K249" s="95">
        <v>534</v>
      </c>
      <c r="L249" s="95">
        <v>2598</v>
      </c>
      <c r="M249" s="95">
        <v>2290</v>
      </c>
      <c r="N249" s="95">
        <v>1621</v>
      </c>
      <c r="O249" s="95">
        <v>5302</v>
      </c>
      <c r="P249" s="95">
        <v>4348</v>
      </c>
      <c r="Q249" s="95">
        <v>4274</v>
      </c>
      <c r="R249" s="95">
        <v>3100</v>
      </c>
      <c r="S249" s="95">
        <v>507</v>
      </c>
      <c r="T249" s="95">
        <v>623</v>
      </c>
      <c r="U249" s="95">
        <v>1580</v>
      </c>
      <c r="V249" s="95">
        <v>1540</v>
      </c>
      <c r="W249" s="95">
        <v>1526</v>
      </c>
      <c r="X249" s="95">
        <v>-791</v>
      </c>
      <c r="Y249" s="95">
        <v>11067</v>
      </c>
      <c r="Z249" s="95">
        <v>6513</v>
      </c>
      <c r="AA249" s="95">
        <v>10322</v>
      </c>
      <c r="AB249" s="95">
        <v>21654</v>
      </c>
      <c r="AC249" s="95">
        <v>21503</v>
      </c>
      <c r="AF249"/>
      <c r="AG249"/>
      <c r="AH249" s="95">
        <v>9701</v>
      </c>
      <c r="AI249" s="95">
        <v>9754</v>
      </c>
      <c r="AJ249" s="95">
        <v>9874</v>
      </c>
      <c r="AK249" s="95">
        <v>9866</v>
      </c>
      <c r="AL249" s="95">
        <v>10128</v>
      </c>
      <c r="AM249" s="95">
        <v>17962</v>
      </c>
      <c r="AN249" s="95">
        <v>19453</v>
      </c>
      <c r="AO249" s="95">
        <v>20662000</v>
      </c>
      <c r="AP249" s="95">
        <v>21654</v>
      </c>
      <c r="AQ249" s="95">
        <v>21503</v>
      </c>
      <c r="AR249" s="95">
        <v>21176</v>
      </c>
    </row>
    <row r="250" spans="1:44" ht="12.5" x14ac:dyDescent="0.25">
      <c r="A250" s="95" t="s">
        <v>521</v>
      </c>
      <c r="B250" s="95" t="s">
        <v>317</v>
      </c>
      <c r="C250" s="95">
        <f t="shared" si="9"/>
        <v>26064.9</v>
      </c>
      <c r="D250" s="95">
        <f t="shared" si="10"/>
        <v>22942.1</v>
      </c>
      <c r="E250" s="184">
        <v>12951000</v>
      </c>
      <c r="F250" s="184">
        <f t="shared" si="11"/>
        <v>29180889.030328792</v>
      </c>
      <c r="G250" s="95">
        <v>14041</v>
      </c>
      <c r="H250" s="95">
        <v>14658</v>
      </c>
      <c r="I250" s="95">
        <v>72894</v>
      </c>
      <c r="J250" s="95">
        <v>36744</v>
      </c>
      <c r="K250" s="95">
        <v>29277</v>
      </c>
      <c r="L250" s="95">
        <v>29700</v>
      </c>
      <c r="M250" s="95">
        <v>32407</v>
      </c>
      <c r="N250" s="95">
        <v>28123</v>
      </c>
      <c r="O250" s="95">
        <v>36752</v>
      </c>
      <c r="P250" s="95">
        <v>31059</v>
      </c>
      <c r="Q250" s="95">
        <v>27198</v>
      </c>
      <c r="R250" s="95">
        <v>31139</v>
      </c>
      <c r="S250" s="95">
        <v>9727</v>
      </c>
      <c r="T250" s="95">
        <v>9068</v>
      </c>
      <c r="U250" s="95">
        <v>12727</v>
      </c>
      <c r="V250" s="95">
        <v>25771</v>
      </c>
      <c r="W250" s="95">
        <v>7378</v>
      </c>
      <c r="X250" s="95">
        <v>8021</v>
      </c>
      <c r="Y250" s="95">
        <v>18248</v>
      </c>
      <c r="Z250" s="95">
        <v>15138</v>
      </c>
      <c r="AA250" s="95">
        <v>79777</v>
      </c>
      <c r="AB250" s="95">
        <v>557449</v>
      </c>
      <c r="AC250" s="95">
        <v>577480</v>
      </c>
      <c r="AF250"/>
      <c r="AG250"/>
      <c r="AH250" s="95">
        <v>77859</v>
      </c>
      <c r="AI250" s="95">
        <v>77917</v>
      </c>
      <c r="AJ250" s="95">
        <v>78094</v>
      </c>
      <c r="AK250" s="95">
        <v>78778</v>
      </c>
      <c r="AL250" s="95">
        <v>79279</v>
      </c>
      <c r="AM250" s="95">
        <v>489859</v>
      </c>
      <c r="AN250" s="95">
        <v>500120</v>
      </c>
      <c r="AO250" s="95">
        <v>545711000</v>
      </c>
      <c r="AP250" s="95">
        <v>557449</v>
      </c>
      <c r="AQ250" s="95">
        <v>577480</v>
      </c>
      <c r="AR250" s="95">
        <v>577268</v>
      </c>
    </row>
    <row r="251" spans="1:44" ht="12.5" x14ac:dyDescent="0.25">
      <c r="A251" s="95" t="s">
        <v>520</v>
      </c>
      <c r="B251" s="95" t="s">
        <v>135</v>
      </c>
      <c r="C251" s="95">
        <f t="shared" si="9"/>
        <v>10.1</v>
      </c>
      <c r="D251" s="95">
        <f t="shared" si="10"/>
        <v>17.5</v>
      </c>
      <c r="E251" s="184">
        <v>448000</v>
      </c>
      <c r="F251" s="184">
        <f t="shared" si="11"/>
        <v>345297.00596199883</v>
      </c>
      <c r="G251" s="95">
        <v>0</v>
      </c>
      <c r="H251" s="95">
        <v>0</v>
      </c>
      <c r="I251" s="95">
        <v>0</v>
      </c>
      <c r="J251" s="95">
        <v>0</v>
      </c>
      <c r="K251" s="95">
        <v>20</v>
      </c>
      <c r="L251" s="95">
        <v>38</v>
      </c>
      <c r="M251" s="95">
        <v>0</v>
      </c>
      <c r="N251" s="95">
        <v>0</v>
      </c>
      <c r="O251" s="95">
        <v>3</v>
      </c>
      <c r="P251" s="95">
        <v>12</v>
      </c>
      <c r="Q251" s="95">
        <v>28</v>
      </c>
      <c r="R251" s="95">
        <v>52</v>
      </c>
      <c r="S251" s="95">
        <v>18</v>
      </c>
      <c r="T251" s="95">
        <v>26</v>
      </c>
      <c r="U251" s="95">
        <v>32</v>
      </c>
      <c r="V251" s="95">
        <v>47</v>
      </c>
      <c r="W251" s="95">
        <v>0</v>
      </c>
      <c r="X251" s="95">
        <v>0</v>
      </c>
      <c r="Y251" s="95">
        <v>0</v>
      </c>
      <c r="Z251" s="95">
        <v>0</v>
      </c>
      <c r="AA251" s="95">
        <v>944</v>
      </c>
      <c r="AB251" s="95">
        <v>8500</v>
      </c>
      <c r="AC251" s="95">
        <v>8334</v>
      </c>
      <c r="AF251"/>
      <c r="AG251"/>
      <c r="AH251" s="95">
        <v>941</v>
      </c>
      <c r="AI251" s="95">
        <v>933</v>
      </c>
      <c r="AJ251" s="95">
        <v>936</v>
      </c>
      <c r="AK251" s="95">
        <v>944</v>
      </c>
      <c r="AL251" s="95">
        <v>931</v>
      </c>
      <c r="AM251" s="95">
        <v>6379</v>
      </c>
      <c r="AN251" s="95">
        <v>7991</v>
      </c>
      <c r="AO251" s="95">
        <v>8505000</v>
      </c>
      <c r="AP251" s="95">
        <v>8500</v>
      </c>
      <c r="AQ251" s="95">
        <v>8334</v>
      </c>
      <c r="AR251" s="95">
        <v>8467</v>
      </c>
    </row>
    <row r="252" spans="1:44" ht="12.5" x14ac:dyDescent="0.25">
      <c r="A252" s="95" t="s">
        <v>528</v>
      </c>
      <c r="B252" s="95" t="s">
        <v>337</v>
      </c>
      <c r="C252" s="95">
        <f t="shared" si="9"/>
        <v>2325.6999999999998</v>
      </c>
      <c r="D252" s="95">
        <f t="shared" si="10"/>
        <v>2624.2</v>
      </c>
      <c r="E252" s="184">
        <v>8591000</v>
      </c>
      <c r="F252" s="184">
        <f t="shared" si="11"/>
        <v>12493972.280343214</v>
      </c>
      <c r="G252" s="95">
        <v>843</v>
      </c>
      <c r="H252" s="95">
        <v>586</v>
      </c>
      <c r="I252" s="95">
        <v>972</v>
      </c>
      <c r="J252" s="95">
        <v>4422</v>
      </c>
      <c r="K252" s="95">
        <v>3870</v>
      </c>
      <c r="L252" s="95">
        <v>6640</v>
      </c>
      <c r="M252" s="95">
        <v>6761</v>
      </c>
      <c r="N252" s="95">
        <v>6328</v>
      </c>
      <c r="O252" s="95">
        <v>1927</v>
      </c>
      <c r="P252" s="95">
        <v>1985</v>
      </c>
      <c r="Q252" s="95">
        <v>4625</v>
      </c>
      <c r="R252" s="95">
        <v>3887</v>
      </c>
      <c r="S252" s="95">
        <v>2540</v>
      </c>
      <c r="T252" s="95">
        <v>532</v>
      </c>
      <c r="U252" s="95">
        <v>751</v>
      </c>
      <c r="V252" s="95">
        <v>839</v>
      </c>
      <c r="W252" s="95">
        <v>298</v>
      </c>
      <c r="X252" s="95">
        <v>507</v>
      </c>
      <c r="Y252" s="95">
        <v>670</v>
      </c>
      <c r="Z252" s="95">
        <v>516</v>
      </c>
      <c r="AA252" s="95">
        <v>34157</v>
      </c>
      <c r="AB252" s="95">
        <v>99057</v>
      </c>
      <c r="AC252" s="95">
        <v>102645</v>
      </c>
      <c r="AF252"/>
      <c r="AG252"/>
      <c r="AH252" s="95">
        <v>33759</v>
      </c>
      <c r="AI252" s="95">
        <v>33694</v>
      </c>
      <c r="AJ252" s="95">
        <v>33789</v>
      </c>
      <c r="AK252" s="95">
        <v>33839</v>
      </c>
      <c r="AL252" s="95">
        <v>34065</v>
      </c>
      <c r="AM252" s="95">
        <v>97865</v>
      </c>
      <c r="AN252" s="95">
        <v>96476</v>
      </c>
      <c r="AO252" s="95">
        <v>94315000</v>
      </c>
      <c r="AP252" s="95">
        <v>99057</v>
      </c>
      <c r="AQ252" s="95">
        <v>102645</v>
      </c>
      <c r="AR252" s="95">
        <v>105013</v>
      </c>
    </row>
    <row r="253" spans="1:44" ht="12.5" x14ac:dyDescent="0.25">
      <c r="A253" s="95" t="s">
        <v>521</v>
      </c>
      <c r="B253" s="95" t="s">
        <v>443</v>
      </c>
      <c r="C253" s="95">
        <f t="shared" si="9"/>
        <v>71236.2</v>
      </c>
      <c r="D253" s="95">
        <f t="shared" si="10"/>
        <v>78644.800000000003</v>
      </c>
      <c r="E253" s="184">
        <v>106351000</v>
      </c>
      <c r="F253" s="184">
        <f t="shared" si="11"/>
        <v>202291007.28836638</v>
      </c>
      <c r="G253" s="95">
        <v>59778</v>
      </c>
      <c r="H253" s="95">
        <v>62714</v>
      </c>
      <c r="I253" s="95">
        <v>42070</v>
      </c>
      <c r="J253" s="95">
        <v>49407</v>
      </c>
      <c r="K253" s="95">
        <v>133714</v>
      </c>
      <c r="L253" s="95">
        <v>158354</v>
      </c>
      <c r="M253" s="95">
        <v>73240</v>
      </c>
      <c r="N253" s="95">
        <v>92628</v>
      </c>
      <c r="O253" s="95">
        <v>89095</v>
      </c>
      <c r="P253" s="95">
        <v>90972</v>
      </c>
      <c r="Q253" s="95">
        <v>70740</v>
      </c>
      <c r="R253" s="95">
        <v>81491</v>
      </c>
      <c r="S253" s="95">
        <v>76232</v>
      </c>
      <c r="T253" s="95">
        <v>77224</v>
      </c>
      <c r="U253" s="95">
        <v>61615</v>
      </c>
      <c r="V253" s="95">
        <v>70467</v>
      </c>
      <c r="W253" s="95">
        <v>52457</v>
      </c>
      <c r="X253" s="95">
        <v>46403</v>
      </c>
      <c r="Y253" s="95">
        <v>53421</v>
      </c>
      <c r="Z253" s="95">
        <v>56788</v>
      </c>
      <c r="AA253" s="95">
        <v>553039</v>
      </c>
      <c r="AB253" s="95">
        <v>1575360</v>
      </c>
      <c r="AC253" s="95">
        <v>1673482</v>
      </c>
      <c r="AF253"/>
      <c r="AG253"/>
      <c r="AH253" s="95">
        <v>524305</v>
      </c>
      <c r="AI253" s="95">
        <v>531935</v>
      </c>
      <c r="AJ253" s="95">
        <v>537988</v>
      </c>
      <c r="AK253" s="95">
        <v>545339</v>
      </c>
      <c r="AL253" s="95">
        <v>548320</v>
      </c>
      <c r="AM253" s="95">
        <v>1392705</v>
      </c>
      <c r="AN253" s="95">
        <v>1433078</v>
      </c>
      <c r="AO253" s="95">
        <v>1479884000</v>
      </c>
      <c r="AP253" s="95">
        <v>1575360</v>
      </c>
      <c r="AQ253" s="95">
        <v>1673482</v>
      </c>
      <c r="AR253" s="95">
        <v>1804594</v>
      </c>
    </row>
    <row r="254" spans="1:44" ht="12.5" x14ac:dyDescent="0.25">
      <c r="A254" s="95" t="s">
        <v>517</v>
      </c>
      <c r="B254" s="95" t="s">
        <v>480</v>
      </c>
      <c r="C254" s="95">
        <f t="shared" si="9"/>
        <v>46329.032454682165</v>
      </c>
      <c r="D254" s="95">
        <f t="shared" si="10"/>
        <v>43226.712271979675</v>
      </c>
      <c r="E254" s="184">
        <v>42692000</v>
      </c>
      <c r="F254" s="184">
        <f t="shared" si="11"/>
        <v>57252365.116714001</v>
      </c>
      <c r="G254" s="95">
        <v>46239</v>
      </c>
      <c r="H254" s="95">
        <v>47251</v>
      </c>
      <c r="I254" s="95">
        <v>43110.174760723152</v>
      </c>
      <c r="J254" s="95">
        <v>50800.778092874869</v>
      </c>
      <c r="K254" s="95">
        <v>29602.707904998228</v>
      </c>
      <c r="L254" s="95">
        <v>32071.861042183624</v>
      </c>
      <c r="M254" s="95">
        <v>36619.441881100269</v>
      </c>
      <c r="N254" s="95">
        <v>42891.483584738242</v>
      </c>
      <c r="O254" s="95">
        <v>21650</v>
      </c>
      <c r="P254" s="95">
        <v>21087</v>
      </c>
      <c r="Q254" s="95">
        <v>40628</v>
      </c>
      <c r="R254" s="95">
        <v>38169</v>
      </c>
      <c r="S254" s="95">
        <v>64571</v>
      </c>
      <c r="T254" s="95">
        <v>56719</v>
      </c>
      <c r="U254" s="95">
        <v>46739</v>
      </c>
      <c r="V254" s="95">
        <v>40841</v>
      </c>
      <c r="W254" s="95">
        <v>36001</v>
      </c>
      <c r="X254" s="95">
        <v>31705</v>
      </c>
      <c r="Y254" s="95">
        <v>98130</v>
      </c>
      <c r="Z254" s="95">
        <v>70731</v>
      </c>
      <c r="AA254" s="95">
        <v>156521</v>
      </c>
      <c r="AB254" s="95">
        <v>796473</v>
      </c>
      <c r="AC254" s="95">
        <v>792563</v>
      </c>
      <c r="AF254"/>
      <c r="AG254"/>
      <c r="AH254" s="95">
        <v>152472</v>
      </c>
      <c r="AI254" s="95">
        <v>153429</v>
      </c>
      <c r="AJ254" s="95">
        <v>154231</v>
      </c>
      <c r="AK254" s="95">
        <v>155081</v>
      </c>
      <c r="AL254" s="95">
        <v>155490</v>
      </c>
      <c r="AM254" s="95">
        <v>740248.96136121941</v>
      </c>
      <c r="AN254" s="95">
        <v>765270</v>
      </c>
      <c r="AO254" s="95">
        <v>779000000</v>
      </c>
      <c r="AP254" s="95">
        <v>796473</v>
      </c>
      <c r="AQ254" s="95">
        <v>792563</v>
      </c>
      <c r="AR254" s="95">
        <v>808466</v>
      </c>
    </row>
    <row r="255" spans="1:44" ht="12.5" x14ac:dyDescent="0.25">
      <c r="A255" s="95" t="s">
        <v>526</v>
      </c>
      <c r="B255" s="95" t="s">
        <v>420</v>
      </c>
      <c r="C255" s="95">
        <f t="shared" si="9"/>
        <v>101.8</v>
      </c>
      <c r="D255" s="95">
        <f t="shared" si="10"/>
        <v>64.8</v>
      </c>
      <c r="E255" s="184">
        <v>955000</v>
      </c>
      <c r="F255" s="184">
        <f t="shared" si="11"/>
        <v>3813264.0753748282</v>
      </c>
      <c r="G255" s="95">
        <v>75</v>
      </c>
      <c r="H255" s="95">
        <v>61</v>
      </c>
      <c r="I255" s="95">
        <v>21</v>
      </c>
      <c r="J255" s="95">
        <v>74</v>
      </c>
      <c r="K255" s="95">
        <v>54</v>
      </c>
      <c r="L255" s="95">
        <v>129</v>
      </c>
      <c r="M255" s="95">
        <v>580</v>
      </c>
      <c r="N255" s="95">
        <v>64</v>
      </c>
      <c r="O255" s="95">
        <v>98</v>
      </c>
      <c r="P255" s="95">
        <v>97</v>
      </c>
      <c r="Q255" s="95">
        <v>45</v>
      </c>
      <c r="R255" s="95">
        <v>77</v>
      </c>
      <c r="S255" s="95">
        <v>39</v>
      </c>
      <c r="T255" s="95">
        <v>31</v>
      </c>
      <c r="U255" s="95">
        <v>35</v>
      </c>
      <c r="V255" s="95">
        <v>45</v>
      </c>
      <c r="W255" s="95">
        <v>32</v>
      </c>
      <c r="X255" s="95">
        <v>35</v>
      </c>
      <c r="Y255" s="95">
        <v>39</v>
      </c>
      <c r="Z255" s="95">
        <v>35</v>
      </c>
      <c r="AA255" s="95">
        <v>10425</v>
      </c>
      <c r="AB255" s="95">
        <v>21146</v>
      </c>
      <c r="AC255" s="95">
        <v>22452</v>
      </c>
      <c r="AF255"/>
      <c r="AG255"/>
      <c r="AH255" s="95">
        <v>10569</v>
      </c>
      <c r="AI255" s="95">
        <v>10560</v>
      </c>
      <c r="AJ255" s="95">
        <v>10505</v>
      </c>
      <c r="AK255" s="95">
        <v>10546</v>
      </c>
      <c r="AL255" s="95">
        <v>10477</v>
      </c>
      <c r="AM255" s="95">
        <v>20525</v>
      </c>
      <c r="AN255" s="95">
        <v>20676</v>
      </c>
      <c r="AO255" s="95">
        <v>20364000</v>
      </c>
      <c r="AP255" s="95">
        <v>21146</v>
      </c>
      <c r="AQ255" s="95">
        <v>22452</v>
      </c>
      <c r="AR255" s="95">
        <v>22346</v>
      </c>
    </row>
    <row r="256" spans="1:44" ht="12.5" x14ac:dyDescent="0.25">
      <c r="A256" s="95" t="s">
        <v>517</v>
      </c>
      <c r="B256" s="95" t="s">
        <v>387</v>
      </c>
      <c r="C256" s="95">
        <f t="shared" si="9"/>
        <v>4262.7</v>
      </c>
      <c r="D256" s="95">
        <f t="shared" si="10"/>
        <v>4144</v>
      </c>
      <c r="E256" s="184">
        <v>3272000</v>
      </c>
      <c r="F256" s="184">
        <f t="shared" si="11"/>
        <v>10871734.757629797</v>
      </c>
      <c r="G256" s="95">
        <v>1268</v>
      </c>
      <c r="H256" s="95">
        <v>1891</v>
      </c>
      <c r="I256" s="95">
        <v>7288</v>
      </c>
      <c r="J256" s="95">
        <v>4692</v>
      </c>
      <c r="K256" s="95">
        <v>3016</v>
      </c>
      <c r="L256" s="95">
        <v>3823</v>
      </c>
      <c r="M256" s="95">
        <v>3639</v>
      </c>
      <c r="N256" s="95">
        <v>3643</v>
      </c>
      <c r="O256" s="95">
        <v>3930</v>
      </c>
      <c r="P256" s="95">
        <v>2803</v>
      </c>
      <c r="Q256" s="95">
        <v>5090</v>
      </c>
      <c r="R256" s="95">
        <v>5101</v>
      </c>
      <c r="S256" s="95">
        <v>7476</v>
      </c>
      <c r="T256" s="95">
        <v>6299</v>
      </c>
      <c r="U256" s="95">
        <v>2410</v>
      </c>
      <c r="V256" s="95">
        <v>2934</v>
      </c>
      <c r="W256" s="95">
        <v>3339</v>
      </c>
      <c r="X256" s="95">
        <v>4124</v>
      </c>
      <c r="Y256" s="95">
        <v>5171</v>
      </c>
      <c r="Z256" s="95">
        <v>6130</v>
      </c>
      <c r="AA256" s="95">
        <v>29722</v>
      </c>
      <c r="AB256" s="95">
        <v>27988</v>
      </c>
      <c r="AC256" s="95">
        <v>27443</v>
      </c>
      <c r="AF256"/>
      <c r="AG256"/>
      <c r="AH256" s="95">
        <v>28585</v>
      </c>
      <c r="AI256" s="95">
        <v>28670</v>
      </c>
      <c r="AJ256" s="95">
        <v>28982</v>
      </c>
      <c r="AK256" s="95">
        <v>29202</v>
      </c>
      <c r="AL256" s="95">
        <v>29498</v>
      </c>
      <c r="AM256" s="95">
        <v>30885</v>
      </c>
      <c r="AN256" s="95">
        <v>30522</v>
      </c>
      <c r="AO256" s="95">
        <v>28566000</v>
      </c>
      <c r="AP256" s="95">
        <v>27988</v>
      </c>
      <c r="AQ256" s="95">
        <v>27443</v>
      </c>
      <c r="AR256" s="95">
        <v>30739</v>
      </c>
    </row>
    <row r="257" spans="1:44" ht="12.5" x14ac:dyDescent="0.25">
      <c r="A257" s="95" t="s">
        <v>526</v>
      </c>
      <c r="B257" s="95" t="s">
        <v>421</v>
      </c>
      <c r="C257" s="95">
        <f t="shared" si="9"/>
        <v>9789.4</v>
      </c>
      <c r="D257" s="95">
        <f t="shared" si="10"/>
        <v>10958.4</v>
      </c>
      <c r="E257" s="184">
        <v>17251000</v>
      </c>
      <c r="F257" s="184">
        <f t="shared" si="11"/>
        <v>33552334.49457863</v>
      </c>
      <c r="G257" s="95">
        <v>14</v>
      </c>
      <c r="H257" s="95">
        <v>894</v>
      </c>
      <c r="I257" s="95">
        <v>23364</v>
      </c>
      <c r="J257" s="95">
        <v>29576</v>
      </c>
      <c r="K257" s="95">
        <v>20141</v>
      </c>
      <c r="L257" s="95">
        <v>21268</v>
      </c>
      <c r="M257" s="95">
        <v>29062</v>
      </c>
      <c r="N257" s="95">
        <v>31221</v>
      </c>
      <c r="O257" s="95">
        <v>11796</v>
      </c>
      <c r="P257" s="95">
        <v>8430</v>
      </c>
      <c r="Q257" s="95">
        <v>1821</v>
      </c>
      <c r="R257" s="95">
        <v>6274</v>
      </c>
      <c r="S257" s="95">
        <v>3501</v>
      </c>
      <c r="T257" s="95">
        <v>3206</v>
      </c>
      <c r="U257" s="95">
        <v>6367</v>
      </c>
      <c r="V257" s="95">
        <v>8397</v>
      </c>
      <c r="W257" s="95">
        <v>1355</v>
      </c>
      <c r="X257" s="95">
        <v>-785</v>
      </c>
      <c r="Y257" s="95">
        <v>473</v>
      </c>
      <c r="Z257" s="95">
        <v>1103</v>
      </c>
      <c r="AA257" s="95">
        <v>91728</v>
      </c>
      <c r="AB257" s="95">
        <v>381223</v>
      </c>
      <c r="AC257" s="95">
        <v>375361</v>
      </c>
      <c r="AF257"/>
      <c r="AG257"/>
      <c r="AH257" s="95">
        <v>93315</v>
      </c>
      <c r="AI257" s="95">
        <v>92962</v>
      </c>
      <c r="AJ257" s="95">
        <v>92627</v>
      </c>
      <c r="AK257" s="95">
        <v>92487</v>
      </c>
      <c r="AL257" s="95">
        <v>91743</v>
      </c>
      <c r="AM257" s="95">
        <v>357392</v>
      </c>
      <c r="AN257" s="95">
        <v>337430</v>
      </c>
      <c r="AO257" s="95">
        <v>371317000</v>
      </c>
      <c r="AP257" s="95">
        <v>381223</v>
      </c>
      <c r="AQ257" s="95">
        <v>375361</v>
      </c>
      <c r="AR257" s="95">
        <v>373995</v>
      </c>
    </row>
    <row r="258" spans="1:44" ht="12.5" x14ac:dyDescent="0.25">
      <c r="A258" s="95" t="s">
        <v>521</v>
      </c>
      <c r="B258" s="95" t="s">
        <v>318</v>
      </c>
      <c r="C258" s="95">
        <f t="shared" ref="C258:C321" si="12">SUM(G258,I258,K258,M258,O258,Q258,S258,U258,W258,Y258)/10</f>
        <v>1383.6</v>
      </c>
      <c r="D258" s="95">
        <f t="shared" ref="D258:D321" si="13">SUM(H258,J258,L258,N258,P258,R258,T258,V258,X258,Z258)/10</f>
        <v>1593.1</v>
      </c>
      <c r="E258" s="184">
        <v>2693000</v>
      </c>
      <c r="F258" s="184">
        <f t="shared" si="11"/>
        <v>9470063.0130891409</v>
      </c>
      <c r="G258" s="95">
        <v>0</v>
      </c>
      <c r="H258" s="95">
        <v>0</v>
      </c>
      <c r="I258" s="95">
        <v>4198</v>
      </c>
      <c r="J258" s="95">
        <v>4338</v>
      </c>
      <c r="K258" s="95">
        <v>2787</v>
      </c>
      <c r="L258" s="95">
        <v>4051</v>
      </c>
      <c r="M258" s="95">
        <v>597</v>
      </c>
      <c r="N258" s="95">
        <v>1612</v>
      </c>
      <c r="O258" s="95">
        <v>3865</v>
      </c>
      <c r="P258" s="95">
        <v>3080</v>
      </c>
      <c r="Q258" s="95">
        <v>1608</v>
      </c>
      <c r="R258" s="95">
        <v>2571</v>
      </c>
      <c r="S258" s="95">
        <v>451</v>
      </c>
      <c r="T258" s="95">
        <v>19</v>
      </c>
      <c r="U258" s="95">
        <v>54</v>
      </c>
      <c r="V258" s="95">
        <v>25</v>
      </c>
      <c r="W258" s="95">
        <v>216</v>
      </c>
      <c r="X258" s="95">
        <v>175</v>
      </c>
      <c r="Y258" s="95">
        <v>60</v>
      </c>
      <c r="Z258" s="95">
        <v>60</v>
      </c>
      <c r="AA258" s="95">
        <v>25890</v>
      </c>
      <c r="AB258" s="95">
        <v>60335</v>
      </c>
      <c r="AC258" s="95">
        <v>64280</v>
      </c>
      <c r="AF258"/>
      <c r="AG258"/>
      <c r="AH258" s="95">
        <v>24999</v>
      </c>
      <c r="AI258" s="95">
        <v>25017</v>
      </c>
      <c r="AJ258" s="95">
        <v>25018</v>
      </c>
      <c r="AK258" s="95">
        <v>25214</v>
      </c>
      <c r="AL258" s="95">
        <v>25597</v>
      </c>
      <c r="AM258" s="95">
        <v>52522</v>
      </c>
      <c r="AN258" s="95">
        <v>56388</v>
      </c>
      <c r="AO258" s="95">
        <v>59116000</v>
      </c>
      <c r="AP258" s="95">
        <v>60335</v>
      </c>
      <c r="AQ258" s="95">
        <v>64280</v>
      </c>
      <c r="AR258" s="95">
        <v>66809</v>
      </c>
    </row>
    <row r="259" spans="1:44" ht="12.5" x14ac:dyDescent="0.25">
      <c r="A259" s="95" t="s">
        <v>528</v>
      </c>
      <c r="B259" s="95" t="s">
        <v>338</v>
      </c>
      <c r="C259" s="95">
        <f t="shared" si="12"/>
        <v>1353.9</v>
      </c>
      <c r="D259" s="95">
        <f t="shared" si="13"/>
        <v>1614.1</v>
      </c>
      <c r="E259" s="184">
        <v>5406000</v>
      </c>
      <c r="F259" s="184">
        <f t="shared" ref="F259:F322" si="14">AA259*$AG$7</f>
        <v>8462702.8918822091</v>
      </c>
      <c r="G259" s="95">
        <v>341</v>
      </c>
      <c r="H259" s="95">
        <v>690</v>
      </c>
      <c r="I259" s="95">
        <v>901</v>
      </c>
      <c r="J259" s="95">
        <v>2284</v>
      </c>
      <c r="K259" s="95">
        <v>1433</v>
      </c>
      <c r="L259" s="95">
        <v>1107</v>
      </c>
      <c r="M259" s="95">
        <v>1969</v>
      </c>
      <c r="N259" s="95">
        <v>2745</v>
      </c>
      <c r="O259" s="95">
        <v>300</v>
      </c>
      <c r="P259" s="95">
        <v>1383</v>
      </c>
      <c r="Q259" s="95">
        <v>1128</v>
      </c>
      <c r="R259" s="95">
        <v>1751</v>
      </c>
      <c r="S259" s="95">
        <v>1904</v>
      </c>
      <c r="T259" s="95">
        <v>2032</v>
      </c>
      <c r="U259" s="95">
        <v>2645</v>
      </c>
      <c r="V259" s="95">
        <v>1801</v>
      </c>
      <c r="W259" s="95">
        <v>1581</v>
      </c>
      <c r="X259" s="95">
        <v>1547</v>
      </c>
      <c r="Y259" s="95">
        <v>1337</v>
      </c>
      <c r="Z259" s="95">
        <v>801</v>
      </c>
      <c r="AA259" s="95">
        <v>23136</v>
      </c>
      <c r="AB259" s="95">
        <v>97636</v>
      </c>
      <c r="AC259" s="95">
        <v>96931</v>
      </c>
      <c r="AF259"/>
      <c r="AG259"/>
      <c r="AH259" s="95">
        <v>23654</v>
      </c>
      <c r="AI259" s="95">
        <v>23527</v>
      </c>
      <c r="AJ259" s="95">
        <v>23391</v>
      </c>
      <c r="AK259" s="95">
        <v>23230</v>
      </c>
      <c r="AL259" s="95">
        <v>23166</v>
      </c>
      <c r="AM259" s="95">
        <v>90674</v>
      </c>
      <c r="AN259" s="95">
        <v>95620</v>
      </c>
      <c r="AO259" s="95">
        <v>96070000</v>
      </c>
      <c r="AP259" s="95">
        <v>97636</v>
      </c>
      <c r="AQ259" s="95">
        <v>96931</v>
      </c>
      <c r="AR259" s="95">
        <v>99184</v>
      </c>
    </row>
    <row r="260" spans="1:44" ht="12.5" x14ac:dyDescent="0.25">
      <c r="A260" s="95" t="s">
        <v>520</v>
      </c>
      <c r="B260" s="95" t="s">
        <v>136</v>
      </c>
      <c r="C260" s="95">
        <f t="shared" si="12"/>
        <v>3016.2</v>
      </c>
      <c r="D260" s="95">
        <f t="shared" si="13"/>
        <v>3637</v>
      </c>
      <c r="E260" s="184">
        <v>7285000</v>
      </c>
      <c r="F260" s="184">
        <f t="shared" si="14"/>
        <v>20447874.181448791</v>
      </c>
      <c r="G260" s="95">
        <v>1033</v>
      </c>
      <c r="H260" s="95">
        <v>1033</v>
      </c>
      <c r="I260" s="95">
        <v>2814</v>
      </c>
      <c r="J260" s="95">
        <v>2693</v>
      </c>
      <c r="K260" s="95">
        <v>1921</v>
      </c>
      <c r="L260" s="95">
        <v>5609</v>
      </c>
      <c r="M260" s="95">
        <v>3953</v>
      </c>
      <c r="N260" s="95">
        <v>4394</v>
      </c>
      <c r="O260" s="95">
        <v>848</v>
      </c>
      <c r="P260" s="95">
        <v>3199</v>
      </c>
      <c r="Q260" s="95">
        <v>1076</v>
      </c>
      <c r="R260" s="95">
        <v>2938</v>
      </c>
      <c r="S260" s="95">
        <v>2498</v>
      </c>
      <c r="T260" s="95">
        <v>2056</v>
      </c>
      <c r="U260" s="95">
        <v>6577</v>
      </c>
      <c r="V260" s="95">
        <v>6274</v>
      </c>
      <c r="W260" s="95">
        <v>4989</v>
      </c>
      <c r="X260" s="95">
        <v>4817</v>
      </c>
      <c r="Y260" s="95">
        <v>4453</v>
      </c>
      <c r="Z260" s="95">
        <v>3357</v>
      </c>
      <c r="AA260" s="95">
        <v>55902</v>
      </c>
      <c r="AB260" s="95">
        <v>178787</v>
      </c>
      <c r="AC260" s="95">
        <v>185609</v>
      </c>
      <c r="AF260"/>
      <c r="AG260"/>
      <c r="AH260" s="95">
        <v>55697</v>
      </c>
      <c r="AI260" s="95">
        <v>55898</v>
      </c>
      <c r="AJ260" s="95">
        <v>55939</v>
      </c>
      <c r="AK260" s="95">
        <v>56214</v>
      </c>
      <c r="AL260" s="95">
        <v>56040</v>
      </c>
      <c r="AM260" s="95">
        <v>170756</v>
      </c>
      <c r="AN260" s="95">
        <v>176959</v>
      </c>
      <c r="AO260" s="95">
        <v>181447000</v>
      </c>
      <c r="AP260" s="95">
        <v>178787</v>
      </c>
      <c r="AQ260" s="95">
        <v>185609</v>
      </c>
      <c r="AR260" s="95">
        <v>184053</v>
      </c>
    </row>
    <row r="261" spans="1:44" ht="12.5" x14ac:dyDescent="0.25">
      <c r="A261" s="95" t="s">
        <v>524</v>
      </c>
      <c r="B261" s="95" t="s">
        <v>229</v>
      </c>
      <c r="C261" s="95">
        <f t="shared" si="12"/>
        <v>6760.4</v>
      </c>
      <c r="D261" s="95">
        <f t="shared" si="13"/>
        <v>8472.9</v>
      </c>
      <c r="E261" s="184">
        <v>9827000</v>
      </c>
      <c r="F261" s="184">
        <f t="shared" si="14"/>
        <v>17232295.813427676</v>
      </c>
      <c r="G261" s="95">
        <v>16009</v>
      </c>
      <c r="H261" s="95">
        <v>16231</v>
      </c>
      <c r="I261" s="95">
        <v>6938</v>
      </c>
      <c r="J261" s="95">
        <v>20584</v>
      </c>
      <c r="K261" s="95">
        <v>4530</v>
      </c>
      <c r="L261" s="95">
        <v>6121</v>
      </c>
      <c r="M261" s="95">
        <v>1552</v>
      </c>
      <c r="N261" s="95">
        <v>1707</v>
      </c>
      <c r="O261" s="95">
        <v>1529</v>
      </c>
      <c r="P261" s="95">
        <v>1365</v>
      </c>
      <c r="Q261" s="95">
        <v>10466</v>
      </c>
      <c r="R261" s="95">
        <v>10480</v>
      </c>
      <c r="S261" s="95">
        <v>5705</v>
      </c>
      <c r="T261" s="95">
        <v>5889</v>
      </c>
      <c r="U261" s="95">
        <v>7275</v>
      </c>
      <c r="V261" s="95">
        <v>7535</v>
      </c>
      <c r="W261" s="95">
        <v>3821</v>
      </c>
      <c r="X261" s="95">
        <v>4399</v>
      </c>
      <c r="Y261" s="95">
        <v>9779</v>
      </c>
      <c r="Z261" s="95">
        <v>10418</v>
      </c>
      <c r="AA261" s="95">
        <v>47111</v>
      </c>
      <c r="AB261" s="95">
        <v>82584</v>
      </c>
      <c r="AC261" s="95">
        <v>80730</v>
      </c>
      <c r="AF261"/>
      <c r="AG261"/>
      <c r="AH261" s="95">
        <v>45855</v>
      </c>
      <c r="AI261" s="95">
        <v>46094</v>
      </c>
      <c r="AJ261" s="95">
        <v>46194</v>
      </c>
      <c r="AK261" s="95">
        <v>46620</v>
      </c>
      <c r="AL261" s="95">
        <v>46906</v>
      </c>
      <c r="AM261" s="95">
        <v>76333</v>
      </c>
      <c r="AN261" s="95">
        <v>76712</v>
      </c>
      <c r="AO261" s="95">
        <v>78376000</v>
      </c>
      <c r="AP261" s="95">
        <v>82584</v>
      </c>
      <c r="AQ261" s="95">
        <v>80730</v>
      </c>
      <c r="AR261" s="95">
        <v>82405</v>
      </c>
    </row>
    <row r="262" spans="1:44" ht="12.5" x14ac:dyDescent="0.25">
      <c r="A262" s="95" t="s">
        <v>517</v>
      </c>
      <c r="B262" s="95" t="s">
        <v>388</v>
      </c>
      <c r="C262" s="95">
        <f t="shared" si="12"/>
        <v>6207.9</v>
      </c>
      <c r="D262" s="95">
        <f t="shared" si="13"/>
        <v>5122.8999999999996</v>
      </c>
      <c r="E262" s="184">
        <v>2118000</v>
      </c>
      <c r="F262" s="184">
        <f t="shared" si="14"/>
        <v>7206246.0958234519</v>
      </c>
      <c r="G262" s="95">
        <v>4745</v>
      </c>
      <c r="H262" s="95">
        <v>4580</v>
      </c>
      <c r="I262" s="95">
        <v>4564</v>
      </c>
      <c r="J262" s="95">
        <v>5220</v>
      </c>
      <c r="K262" s="95">
        <v>7757</v>
      </c>
      <c r="L262" s="95">
        <v>3454</v>
      </c>
      <c r="M262" s="95">
        <v>9248</v>
      </c>
      <c r="N262" s="95">
        <v>9301</v>
      </c>
      <c r="O262" s="95">
        <v>7834</v>
      </c>
      <c r="P262" s="95">
        <v>3932</v>
      </c>
      <c r="Q262" s="95">
        <v>5241</v>
      </c>
      <c r="R262" s="95">
        <v>3282</v>
      </c>
      <c r="S262" s="95">
        <v>6428</v>
      </c>
      <c r="T262" s="95">
        <v>5296</v>
      </c>
      <c r="U262" s="95">
        <v>5408</v>
      </c>
      <c r="V262" s="95">
        <v>5421</v>
      </c>
      <c r="W262" s="95">
        <v>4466</v>
      </c>
      <c r="X262" s="95">
        <v>4695</v>
      </c>
      <c r="Y262" s="95">
        <v>6388</v>
      </c>
      <c r="Z262" s="95">
        <v>6048</v>
      </c>
      <c r="AA262" s="95">
        <v>19701</v>
      </c>
      <c r="AB262" s="95">
        <v>32469</v>
      </c>
      <c r="AC262" s="95">
        <v>34951</v>
      </c>
      <c r="AF262"/>
      <c r="AG262"/>
      <c r="AH262" s="95">
        <v>19035</v>
      </c>
      <c r="AI262" s="95">
        <v>19134</v>
      </c>
      <c r="AJ262" s="95">
        <v>19321</v>
      </c>
      <c r="AK262" s="95">
        <v>19395</v>
      </c>
      <c r="AL262" s="95">
        <v>19428</v>
      </c>
      <c r="AM262" s="95">
        <v>47776</v>
      </c>
      <c r="AN262" s="95">
        <v>45068</v>
      </c>
      <c r="AO262" s="95">
        <v>34755000</v>
      </c>
      <c r="AP262" s="95">
        <v>32469</v>
      </c>
      <c r="AQ262" s="95">
        <v>34951</v>
      </c>
      <c r="AR262" s="95">
        <v>38306</v>
      </c>
    </row>
    <row r="263" spans="1:44" ht="12.5" x14ac:dyDescent="0.25">
      <c r="A263" s="95" t="s">
        <v>517</v>
      </c>
      <c r="B263" s="95" t="s">
        <v>389</v>
      </c>
      <c r="C263" s="95">
        <f t="shared" si="12"/>
        <v>7398.9</v>
      </c>
      <c r="D263" s="95">
        <f t="shared" si="13"/>
        <v>6649.6</v>
      </c>
      <c r="E263" s="184">
        <v>1871000</v>
      </c>
      <c r="F263" s="184">
        <f t="shared" si="14"/>
        <v>6501752.4162865775</v>
      </c>
      <c r="G263" s="95">
        <v>3548</v>
      </c>
      <c r="H263" s="95">
        <v>3548</v>
      </c>
      <c r="I263" s="95">
        <v>4284</v>
      </c>
      <c r="J263" s="95">
        <v>4290</v>
      </c>
      <c r="K263" s="95">
        <v>5765</v>
      </c>
      <c r="L263" s="95">
        <v>4221</v>
      </c>
      <c r="M263" s="95">
        <v>2895</v>
      </c>
      <c r="N263" s="95">
        <v>2714</v>
      </c>
      <c r="O263" s="95">
        <v>5763</v>
      </c>
      <c r="P263" s="95">
        <v>5871</v>
      </c>
      <c r="Q263" s="95">
        <v>5392</v>
      </c>
      <c r="R263" s="95">
        <v>5430</v>
      </c>
      <c r="S263" s="95">
        <v>10668</v>
      </c>
      <c r="T263" s="95">
        <v>7561</v>
      </c>
      <c r="U263" s="95">
        <v>13940</v>
      </c>
      <c r="V263" s="95">
        <v>12744</v>
      </c>
      <c r="W263" s="95">
        <v>7821</v>
      </c>
      <c r="X263" s="95">
        <v>7191</v>
      </c>
      <c r="Y263" s="95">
        <v>13913</v>
      </c>
      <c r="Z263" s="95">
        <v>12926</v>
      </c>
      <c r="AA263" s="95">
        <v>17775</v>
      </c>
      <c r="AB263" s="95">
        <v>34197</v>
      </c>
      <c r="AC263" s="95">
        <v>39690</v>
      </c>
      <c r="AF263"/>
      <c r="AG263"/>
      <c r="AH263" s="95">
        <v>16628</v>
      </c>
      <c r="AI263" s="95">
        <v>16745</v>
      </c>
      <c r="AJ263" s="95">
        <v>16911</v>
      </c>
      <c r="AK263" s="95">
        <v>17279</v>
      </c>
      <c r="AL263" s="95">
        <v>17552</v>
      </c>
      <c r="AM263" s="95">
        <v>27815</v>
      </c>
      <c r="AN263" s="95">
        <v>31268</v>
      </c>
      <c r="AO263" s="95">
        <v>31110000</v>
      </c>
      <c r="AP263" s="95">
        <v>34197</v>
      </c>
      <c r="AQ263" s="95">
        <v>39690</v>
      </c>
      <c r="AR263" s="95">
        <v>43494</v>
      </c>
    </row>
    <row r="264" spans="1:44" ht="12.5" x14ac:dyDescent="0.25">
      <c r="A264" s="95" t="s">
        <v>525</v>
      </c>
      <c r="B264" s="95" t="s">
        <v>125</v>
      </c>
      <c r="C264" s="95">
        <f t="shared" si="12"/>
        <v>1263.0999999999999</v>
      </c>
      <c r="D264" s="95">
        <f t="shared" si="13"/>
        <v>1722.5</v>
      </c>
      <c r="E264" s="184">
        <v>3559000</v>
      </c>
      <c r="F264" s="184">
        <f t="shared" si="14"/>
        <v>11647555.67886433</v>
      </c>
      <c r="G264" s="95">
        <v>569</v>
      </c>
      <c r="H264" s="95">
        <v>568</v>
      </c>
      <c r="I264" s="95">
        <v>2278</v>
      </c>
      <c r="J264" s="95">
        <v>2545</v>
      </c>
      <c r="K264" s="95">
        <v>521</v>
      </c>
      <c r="L264" s="95">
        <v>2301</v>
      </c>
      <c r="M264" s="95">
        <v>2624</v>
      </c>
      <c r="N264" s="95">
        <v>3681</v>
      </c>
      <c r="O264" s="95">
        <v>2015</v>
      </c>
      <c r="P264" s="95">
        <v>3339</v>
      </c>
      <c r="Q264" s="95">
        <v>1459</v>
      </c>
      <c r="R264" s="95">
        <v>2045</v>
      </c>
      <c r="S264" s="95">
        <v>661</v>
      </c>
      <c r="T264" s="95">
        <v>689</v>
      </c>
      <c r="U264" s="95">
        <v>571</v>
      </c>
      <c r="V264" s="95">
        <v>644</v>
      </c>
      <c r="W264" s="95">
        <v>760</v>
      </c>
      <c r="X264" s="95">
        <v>740</v>
      </c>
      <c r="Y264" s="95">
        <v>1173</v>
      </c>
      <c r="Z264" s="95">
        <v>673</v>
      </c>
      <c r="AA264" s="95">
        <v>31843</v>
      </c>
      <c r="AB264" s="95">
        <v>87174</v>
      </c>
      <c r="AC264" s="95">
        <v>88268</v>
      </c>
      <c r="AF264"/>
      <c r="AG264"/>
      <c r="AH264" s="95">
        <v>32255</v>
      </c>
      <c r="AI264" s="95">
        <v>32283</v>
      </c>
      <c r="AJ264" s="95">
        <v>31801</v>
      </c>
      <c r="AK264" s="95">
        <v>31708</v>
      </c>
      <c r="AL264" s="95">
        <v>31754</v>
      </c>
      <c r="AM264" s="95">
        <v>75563</v>
      </c>
      <c r="AN264" s="95">
        <v>73595</v>
      </c>
      <c r="AO264" s="95">
        <v>84325000</v>
      </c>
      <c r="AP264" s="95">
        <v>87174</v>
      </c>
      <c r="AQ264" s="95">
        <v>88268</v>
      </c>
      <c r="AR264" s="95">
        <v>89492</v>
      </c>
    </row>
    <row r="265" spans="1:44" ht="12.5" x14ac:dyDescent="0.25">
      <c r="A265" s="95" t="s">
        <v>522</v>
      </c>
      <c r="B265" s="95" t="s">
        <v>158</v>
      </c>
      <c r="C265" s="95">
        <f t="shared" si="12"/>
        <v>4342.2</v>
      </c>
      <c r="D265" s="95">
        <f t="shared" si="13"/>
        <v>3006.4</v>
      </c>
      <c r="E265" s="184">
        <v>1797000</v>
      </c>
      <c r="F265" s="184">
        <f t="shared" si="14"/>
        <v>6321056.7373191752</v>
      </c>
      <c r="G265" s="95">
        <v>942</v>
      </c>
      <c r="H265" s="95">
        <v>929</v>
      </c>
      <c r="I265" s="95">
        <v>7013</v>
      </c>
      <c r="J265" s="95">
        <v>6963</v>
      </c>
      <c r="K265" s="95">
        <v>5850</v>
      </c>
      <c r="L265" s="95">
        <v>6000</v>
      </c>
      <c r="M265" s="95">
        <v>7496</v>
      </c>
      <c r="N265" s="95">
        <v>3841</v>
      </c>
      <c r="O265" s="95">
        <v>7741</v>
      </c>
      <c r="P265" s="95">
        <v>3933</v>
      </c>
      <c r="Q265" s="95">
        <v>5116</v>
      </c>
      <c r="R265" s="95">
        <v>2565</v>
      </c>
      <c r="S265" s="95">
        <v>3576</v>
      </c>
      <c r="T265" s="95">
        <v>1138</v>
      </c>
      <c r="U265" s="95">
        <v>2069</v>
      </c>
      <c r="V265" s="95">
        <v>1154</v>
      </c>
      <c r="W265" s="95">
        <v>2093</v>
      </c>
      <c r="X265" s="95">
        <v>2628</v>
      </c>
      <c r="Y265" s="95">
        <v>1526</v>
      </c>
      <c r="Z265" s="95">
        <v>913</v>
      </c>
      <c r="AA265" s="95">
        <v>17281</v>
      </c>
      <c r="AB265" s="95">
        <v>28650</v>
      </c>
      <c r="AC265" s="95">
        <v>30097</v>
      </c>
      <c r="AF265"/>
      <c r="AG265"/>
      <c r="AH265" s="95">
        <v>16694</v>
      </c>
      <c r="AI265" s="95">
        <v>16796</v>
      </c>
      <c r="AJ265" s="95">
        <v>17005</v>
      </c>
      <c r="AK265" s="95">
        <v>17123</v>
      </c>
      <c r="AL265" s="95">
        <v>17261</v>
      </c>
      <c r="AM265" s="95">
        <v>31748</v>
      </c>
      <c r="AN265" s="95">
        <v>32342</v>
      </c>
      <c r="AO265" s="95">
        <v>29209000</v>
      </c>
      <c r="AP265" s="95">
        <v>28650</v>
      </c>
      <c r="AQ265" s="95">
        <v>30097</v>
      </c>
      <c r="AR265" s="95">
        <v>29020</v>
      </c>
    </row>
    <row r="266" spans="1:44" ht="12.5" x14ac:dyDescent="0.25">
      <c r="A266" s="95" t="s">
        <v>518</v>
      </c>
      <c r="B266" s="95" t="s">
        <v>272</v>
      </c>
      <c r="C266" s="95">
        <f t="shared" si="12"/>
        <v>2420</v>
      </c>
      <c r="D266" s="95">
        <f t="shared" si="13"/>
        <v>3195.3</v>
      </c>
      <c r="E266" s="184">
        <v>2453000</v>
      </c>
      <c r="F266" s="184">
        <f t="shared" si="14"/>
        <v>8029618.5115230912</v>
      </c>
      <c r="G266" s="95">
        <v>0</v>
      </c>
      <c r="H266" s="95">
        <v>75</v>
      </c>
      <c r="I266" s="95">
        <v>2767</v>
      </c>
      <c r="J266" s="95">
        <v>5260</v>
      </c>
      <c r="K266" s="95">
        <v>5244</v>
      </c>
      <c r="L266" s="95">
        <v>4278</v>
      </c>
      <c r="M266" s="95">
        <v>1891</v>
      </c>
      <c r="N266" s="95">
        <v>2351</v>
      </c>
      <c r="O266" s="95">
        <v>919</v>
      </c>
      <c r="P266" s="95">
        <v>106</v>
      </c>
      <c r="Q266" s="95">
        <v>2896</v>
      </c>
      <c r="R266" s="95">
        <v>4893</v>
      </c>
      <c r="S266" s="95">
        <v>1164</v>
      </c>
      <c r="T266" s="95">
        <v>5135</v>
      </c>
      <c r="U266" s="95">
        <v>1205</v>
      </c>
      <c r="V266" s="95">
        <v>1345</v>
      </c>
      <c r="W266" s="95">
        <v>284</v>
      </c>
      <c r="X266" s="95">
        <v>545</v>
      </c>
      <c r="Y266" s="95">
        <v>7830</v>
      </c>
      <c r="Z266" s="95">
        <v>7965</v>
      </c>
      <c r="AA266" s="95">
        <v>21952</v>
      </c>
      <c r="AB266" s="95">
        <v>48590</v>
      </c>
      <c r="AC266" s="95">
        <v>47589</v>
      </c>
      <c r="AF266"/>
      <c r="AG266"/>
      <c r="AH266" s="95">
        <v>21553</v>
      </c>
      <c r="AI266" s="95">
        <v>21670</v>
      </c>
      <c r="AJ266" s="95">
        <v>21702</v>
      </c>
      <c r="AK266" s="95">
        <v>21718</v>
      </c>
      <c r="AL266" s="95">
        <v>21743</v>
      </c>
      <c r="AM266" s="95">
        <v>44907</v>
      </c>
      <c r="AN266" s="95">
        <v>0</v>
      </c>
      <c r="AO266" s="95">
        <v>45925000</v>
      </c>
      <c r="AP266" s="95">
        <v>48590</v>
      </c>
      <c r="AQ266" s="95">
        <v>47589</v>
      </c>
      <c r="AR266" s="95">
        <v>50253</v>
      </c>
    </row>
    <row r="267" spans="1:44" ht="12.5" x14ac:dyDescent="0.25">
      <c r="A267" s="95" t="s">
        <v>517</v>
      </c>
      <c r="B267" s="95" t="s">
        <v>390</v>
      </c>
      <c r="C267" s="95">
        <f t="shared" si="12"/>
        <v>2652.9</v>
      </c>
      <c r="D267" s="95">
        <f t="shared" si="13"/>
        <v>2759.7</v>
      </c>
      <c r="E267" s="184">
        <v>3505000</v>
      </c>
      <c r="F267" s="184">
        <f t="shared" si="14"/>
        <v>8904200.2289543822</v>
      </c>
      <c r="G267" s="95">
        <v>2819</v>
      </c>
      <c r="H267" s="95">
        <v>2818</v>
      </c>
      <c r="I267" s="95">
        <v>4163</v>
      </c>
      <c r="J267" s="95">
        <v>6113</v>
      </c>
      <c r="K267" s="95">
        <v>2653</v>
      </c>
      <c r="L267" s="95">
        <v>2784</v>
      </c>
      <c r="M267" s="95">
        <v>3553</v>
      </c>
      <c r="N267" s="95">
        <v>2403</v>
      </c>
      <c r="O267" s="95">
        <v>1875</v>
      </c>
      <c r="P267" s="95">
        <v>1980</v>
      </c>
      <c r="Q267" s="95">
        <v>2726</v>
      </c>
      <c r="R267" s="95">
        <v>2941</v>
      </c>
      <c r="S267" s="95">
        <v>1353</v>
      </c>
      <c r="T267" s="95">
        <v>1326</v>
      </c>
      <c r="U267" s="95">
        <v>3551</v>
      </c>
      <c r="V267" s="95">
        <v>3554</v>
      </c>
      <c r="W267" s="95">
        <v>2397</v>
      </c>
      <c r="X267" s="95">
        <v>2330</v>
      </c>
      <c r="Y267" s="95">
        <v>1439</v>
      </c>
      <c r="Z267" s="95">
        <v>1348</v>
      </c>
      <c r="AA267" s="95">
        <v>24343</v>
      </c>
      <c r="AB267" s="95">
        <v>43628</v>
      </c>
      <c r="AC267" s="95">
        <v>47700</v>
      </c>
      <c r="AF267"/>
      <c r="AG267"/>
      <c r="AH267" s="95">
        <v>23971</v>
      </c>
      <c r="AI267" s="95">
        <v>24814</v>
      </c>
      <c r="AJ267" s="95">
        <v>25053</v>
      </c>
      <c r="AK267" s="95">
        <v>24626</v>
      </c>
      <c r="AL267" s="95">
        <v>24310</v>
      </c>
      <c r="AM267" s="95">
        <v>42234</v>
      </c>
      <c r="AN267" s="95">
        <v>42318</v>
      </c>
      <c r="AO267" s="95">
        <v>40271000</v>
      </c>
      <c r="AP267" s="95">
        <v>43628</v>
      </c>
      <c r="AQ267" s="95">
        <v>47700</v>
      </c>
      <c r="AR267" s="95">
        <v>47804</v>
      </c>
    </row>
    <row r="268" spans="1:44" ht="12.5" x14ac:dyDescent="0.25">
      <c r="A268" s="95" t="s">
        <v>522</v>
      </c>
      <c r="B268" s="95" t="s">
        <v>159</v>
      </c>
      <c r="C268" s="95">
        <f t="shared" si="12"/>
        <v>5855.9</v>
      </c>
      <c r="D268" s="95">
        <f t="shared" si="13"/>
        <v>6154.3</v>
      </c>
      <c r="E268" s="184">
        <v>5694000</v>
      </c>
      <c r="F268" s="184">
        <f t="shared" si="14"/>
        <v>16365761.271982787</v>
      </c>
      <c r="G268" s="95">
        <v>3354</v>
      </c>
      <c r="H268" s="95">
        <v>2409</v>
      </c>
      <c r="I268" s="95">
        <v>5813</v>
      </c>
      <c r="J268" s="95">
        <v>7449</v>
      </c>
      <c r="K268" s="95">
        <v>6111</v>
      </c>
      <c r="L268" s="95">
        <v>8579</v>
      </c>
      <c r="M268" s="95">
        <v>5289</v>
      </c>
      <c r="N268" s="95">
        <v>4968</v>
      </c>
      <c r="O268" s="95">
        <v>9163</v>
      </c>
      <c r="P268" s="95">
        <v>9282</v>
      </c>
      <c r="Q268" s="95">
        <v>6439</v>
      </c>
      <c r="R268" s="95">
        <v>8410</v>
      </c>
      <c r="S268" s="95">
        <v>6459</v>
      </c>
      <c r="T268" s="95">
        <v>4134</v>
      </c>
      <c r="U268" s="95">
        <v>7291</v>
      </c>
      <c r="V268" s="95">
        <v>8505</v>
      </c>
      <c r="W268" s="95">
        <v>4618</v>
      </c>
      <c r="X268" s="95">
        <v>4314</v>
      </c>
      <c r="Y268" s="95">
        <v>4022</v>
      </c>
      <c r="Z268" s="95">
        <v>3493</v>
      </c>
      <c r="AA268" s="95">
        <v>44742</v>
      </c>
      <c r="AB268" s="95">
        <v>93360</v>
      </c>
      <c r="AC268" s="95">
        <v>95936</v>
      </c>
      <c r="AF268"/>
      <c r="AG268"/>
      <c r="AH268" s="95">
        <v>43446</v>
      </c>
      <c r="AI268" s="95">
        <v>43772</v>
      </c>
      <c r="AJ268" s="95">
        <v>43931</v>
      </c>
      <c r="AK268" s="95">
        <v>44156</v>
      </c>
      <c r="AL268" s="95">
        <v>44341</v>
      </c>
      <c r="AM268" s="95">
        <v>93849</v>
      </c>
      <c r="AN268" s="95">
        <v>92166</v>
      </c>
      <c r="AO268" s="95">
        <v>91341000</v>
      </c>
      <c r="AP268" s="95">
        <v>93360</v>
      </c>
      <c r="AQ268" s="95">
        <v>95936</v>
      </c>
      <c r="AR268" s="95">
        <v>99250</v>
      </c>
    </row>
    <row r="269" spans="1:44" ht="12.5" x14ac:dyDescent="0.25">
      <c r="A269" s="95" t="s">
        <v>526</v>
      </c>
      <c r="B269" s="95" t="s">
        <v>422</v>
      </c>
      <c r="C269" s="95">
        <f t="shared" si="12"/>
        <v>2412</v>
      </c>
      <c r="D269" s="95">
        <f t="shared" si="13"/>
        <v>2415</v>
      </c>
      <c r="E269" s="184">
        <v>4061000</v>
      </c>
      <c r="F269" s="184">
        <f t="shared" si="14"/>
        <v>9074654.0475754533</v>
      </c>
      <c r="G269" s="95">
        <v>751</v>
      </c>
      <c r="H269" s="95">
        <v>753</v>
      </c>
      <c r="I269" s="95">
        <v>4401</v>
      </c>
      <c r="J269" s="95">
        <v>3930</v>
      </c>
      <c r="K269" s="95">
        <v>3530</v>
      </c>
      <c r="L269" s="95">
        <v>4333</v>
      </c>
      <c r="M269" s="95">
        <v>2839</v>
      </c>
      <c r="N269" s="95">
        <v>3104</v>
      </c>
      <c r="O269" s="95">
        <v>4667</v>
      </c>
      <c r="P269" s="95">
        <v>4894</v>
      </c>
      <c r="Q269" s="95">
        <v>3354</v>
      </c>
      <c r="R269" s="95">
        <v>3529</v>
      </c>
      <c r="S269" s="95">
        <v>2984</v>
      </c>
      <c r="T269" s="95">
        <v>1803</v>
      </c>
      <c r="U269" s="95">
        <v>93</v>
      </c>
      <c r="V269" s="95">
        <v>538</v>
      </c>
      <c r="W269" s="95">
        <v>1169</v>
      </c>
      <c r="X269" s="95">
        <v>930</v>
      </c>
      <c r="Y269" s="95">
        <v>332</v>
      </c>
      <c r="Z269" s="95">
        <v>336</v>
      </c>
      <c r="AA269" s="95">
        <v>24809</v>
      </c>
      <c r="AB269" s="95">
        <v>75531</v>
      </c>
      <c r="AC269" s="95">
        <v>80669</v>
      </c>
      <c r="AF269"/>
      <c r="AG269"/>
      <c r="AH269" s="95">
        <v>25065</v>
      </c>
      <c r="AI269" s="95">
        <v>24987</v>
      </c>
      <c r="AJ269" s="95">
        <v>24956</v>
      </c>
      <c r="AK269" s="95">
        <v>24990</v>
      </c>
      <c r="AL269" s="95">
        <v>24875</v>
      </c>
      <c r="AM269" s="95">
        <v>67853</v>
      </c>
      <c r="AN269" s="95">
        <v>70637</v>
      </c>
      <c r="AO269" s="95">
        <v>73731000</v>
      </c>
      <c r="AP269" s="95">
        <v>75531</v>
      </c>
      <c r="AQ269" s="95">
        <v>80669</v>
      </c>
      <c r="AR269" s="95">
        <v>84002</v>
      </c>
    </row>
    <row r="270" spans="1:44" ht="12.5" x14ac:dyDescent="0.25">
      <c r="A270" s="95" t="s">
        <v>524</v>
      </c>
      <c r="B270" s="95" t="s">
        <v>230</v>
      </c>
      <c r="C270" s="95">
        <f t="shared" si="12"/>
        <v>1131.5999999999999</v>
      </c>
      <c r="D270" s="95">
        <f t="shared" si="13"/>
        <v>1105.5</v>
      </c>
      <c r="E270" s="184">
        <v>8854000</v>
      </c>
      <c r="F270" s="184">
        <f t="shared" si="14"/>
        <v>23862437.264770038</v>
      </c>
      <c r="G270" s="95">
        <v>2038</v>
      </c>
      <c r="H270" s="95">
        <v>2177</v>
      </c>
      <c r="I270" s="95">
        <v>49</v>
      </c>
      <c r="J270" s="95">
        <v>431</v>
      </c>
      <c r="K270" s="95">
        <v>383</v>
      </c>
      <c r="L270" s="95">
        <v>394</v>
      </c>
      <c r="M270" s="95">
        <v>1040</v>
      </c>
      <c r="N270" s="95">
        <v>1172</v>
      </c>
      <c r="O270" s="95">
        <v>1294</v>
      </c>
      <c r="P270" s="95">
        <v>1324</v>
      </c>
      <c r="Q270" s="95">
        <v>81</v>
      </c>
      <c r="R270" s="95">
        <v>689</v>
      </c>
      <c r="S270" s="95">
        <v>611</v>
      </c>
      <c r="T270" s="95">
        <v>905</v>
      </c>
      <c r="U270" s="95">
        <v>3425</v>
      </c>
      <c r="V270" s="95">
        <v>932</v>
      </c>
      <c r="W270" s="95">
        <v>427</v>
      </c>
      <c r="X270" s="95">
        <v>1115</v>
      </c>
      <c r="Y270" s="95">
        <v>1968</v>
      </c>
      <c r="Z270" s="95">
        <v>1916</v>
      </c>
      <c r="AA270" s="95">
        <v>65237</v>
      </c>
      <c r="AB270" s="95">
        <v>148062</v>
      </c>
      <c r="AC270" s="95">
        <v>160287</v>
      </c>
      <c r="AF270"/>
      <c r="AG270"/>
      <c r="AH270" s="95">
        <v>64437</v>
      </c>
      <c r="AI270" s="95">
        <v>64525</v>
      </c>
      <c r="AJ270" s="95">
        <v>64372</v>
      </c>
      <c r="AK270" s="95">
        <v>64857</v>
      </c>
      <c r="AL270" s="95">
        <v>65108</v>
      </c>
      <c r="AM270" s="95">
        <v>134681</v>
      </c>
      <c r="AN270" s="95">
        <v>136619</v>
      </c>
      <c r="AO270" s="95">
        <v>141312000</v>
      </c>
      <c r="AP270" s="95">
        <v>148062</v>
      </c>
      <c r="AQ270" s="95">
        <v>160287</v>
      </c>
      <c r="AR270" s="95">
        <v>162773</v>
      </c>
    </row>
    <row r="271" spans="1:44" ht="12.5" x14ac:dyDescent="0.25">
      <c r="A271" s="95" t="s">
        <v>520</v>
      </c>
      <c r="B271" s="95" t="s">
        <v>440</v>
      </c>
      <c r="C271" s="95">
        <f t="shared" si="12"/>
        <v>8404.6140072202161</v>
      </c>
      <c r="D271" s="95">
        <f t="shared" si="13"/>
        <v>10839.368922124806</v>
      </c>
      <c r="E271" s="184">
        <v>13273000</v>
      </c>
      <c r="F271" s="184">
        <f t="shared" si="14"/>
        <v>33031096.959095739</v>
      </c>
      <c r="G271" s="95">
        <v>0</v>
      </c>
      <c r="H271" s="95">
        <v>121</v>
      </c>
      <c r="I271" s="95">
        <v>11581.595925734915</v>
      </c>
      <c r="J271" s="95">
        <v>13461.099948427025</v>
      </c>
      <c r="K271" s="95">
        <v>7305.5441464672513</v>
      </c>
      <c r="L271" s="95">
        <v>14879.589272821042</v>
      </c>
      <c r="M271" s="95">
        <v>4330</v>
      </c>
      <c r="N271" s="95">
        <v>10408</v>
      </c>
      <c r="O271" s="95">
        <v>7988</v>
      </c>
      <c r="P271" s="95">
        <v>14690</v>
      </c>
      <c r="Q271" s="95">
        <v>6410</v>
      </c>
      <c r="R271" s="95">
        <v>10941</v>
      </c>
      <c r="S271" s="95">
        <v>19628</v>
      </c>
      <c r="T271" s="95">
        <v>20295</v>
      </c>
      <c r="U271" s="95">
        <v>8559</v>
      </c>
      <c r="V271" s="95">
        <v>9717</v>
      </c>
      <c r="W271" s="95">
        <v>10709</v>
      </c>
      <c r="X271" s="95">
        <v>9160</v>
      </c>
      <c r="Y271" s="95">
        <v>7535</v>
      </c>
      <c r="Z271" s="95">
        <v>4721</v>
      </c>
      <c r="AA271" s="95">
        <v>90303</v>
      </c>
      <c r="AB271" s="95">
        <v>211892.27357970216</v>
      </c>
      <c r="AC271" s="95">
        <v>215528</v>
      </c>
      <c r="AF271"/>
      <c r="AG271"/>
      <c r="AH271" s="95">
        <v>89537</v>
      </c>
      <c r="AI271" s="95">
        <v>89570.5</v>
      </c>
      <c r="AJ271" s="95">
        <v>89705</v>
      </c>
      <c r="AK271" s="95">
        <v>89951</v>
      </c>
      <c r="AL271" s="95">
        <v>89999</v>
      </c>
      <c r="AM271" s="95">
        <v>239047</v>
      </c>
      <c r="AN271" s="95">
        <v>214250</v>
      </c>
      <c r="AO271" s="95">
        <v>218718600</v>
      </c>
      <c r="AP271" s="95">
        <v>211892.27357970216</v>
      </c>
      <c r="AQ271" s="95">
        <v>215528</v>
      </c>
      <c r="AR271" s="95">
        <v>211975</v>
      </c>
    </row>
    <row r="272" spans="1:44" ht="12.5" x14ac:dyDescent="0.25">
      <c r="A272" s="95" t="s">
        <v>528</v>
      </c>
      <c r="B272" s="95" t="s">
        <v>339</v>
      </c>
      <c r="C272" s="95">
        <f t="shared" si="12"/>
        <v>2091.8000000000002</v>
      </c>
      <c r="D272" s="95">
        <f t="shared" si="13"/>
        <v>2352.1</v>
      </c>
      <c r="E272" s="184">
        <v>10502000</v>
      </c>
      <c r="F272" s="184">
        <f t="shared" si="14"/>
        <v>19934318.041225646</v>
      </c>
      <c r="G272" s="95">
        <v>135</v>
      </c>
      <c r="H272" s="95">
        <v>42</v>
      </c>
      <c r="I272" s="95">
        <v>2151</v>
      </c>
      <c r="J272" s="95">
        <v>5883</v>
      </c>
      <c r="K272" s="95">
        <v>7885</v>
      </c>
      <c r="L272" s="95">
        <v>7742</v>
      </c>
      <c r="M272" s="95">
        <v>2852</v>
      </c>
      <c r="N272" s="95">
        <v>2557</v>
      </c>
      <c r="O272" s="95">
        <v>2911</v>
      </c>
      <c r="P272" s="95">
        <v>2205</v>
      </c>
      <c r="Q272" s="95">
        <v>910</v>
      </c>
      <c r="R272" s="95">
        <v>961</v>
      </c>
      <c r="S272" s="95">
        <v>832</v>
      </c>
      <c r="T272" s="95">
        <v>631</v>
      </c>
      <c r="U272" s="95">
        <v>391</v>
      </c>
      <c r="V272" s="95">
        <v>140</v>
      </c>
      <c r="W272" s="95">
        <v>330</v>
      </c>
      <c r="X272" s="95">
        <v>620</v>
      </c>
      <c r="Y272" s="95">
        <v>2521</v>
      </c>
      <c r="Z272" s="95">
        <v>2740</v>
      </c>
      <c r="AA272" s="95">
        <v>54498</v>
      </c>
      <c r="AB272" s="95">
        <v>198971</v>
      </c>
      <c r="AC272" s="95">
        <v>197970</v>
      </c>
      <c r="AF272"/>
      <c r="AG272"/>
      <c r="AH272" s="95">
        <v>54592</v>
      </c>
      <c r="AI272" s="95">
        <v>54440</v>
      </c>
      <c r="AJ272" s="95">
        <v>54579</v>
      </c>
      <c r="AK272" s="95">
        <v>54434</v>
      </c>
      <c r="AL272" s="95">
        <v>54463</v>
      </c>
      <c r="AM272" s="95">
        <v>204190</v>
      </c>
      <c r="AN272" s="95">
        <v>203595</v>
      </c>
      <c r="AO272" s="95">
        <v>201329000</v>
      </c>
      <c r="AP272" s="95">
        <v>198971</v>
      </c>
      <c r="AQ272" s="95">
        <v>197970</v>
      </c>
      <c r="AR272" s="95">
        <v>195428</v>
      </c>
    </row>
    <row r="273" spans="1:44" ht="12.5" x14ac:dyDescent="0.25">
      <c r="A273" s="95" t="s">
        <v>520</v>
      </c>
      <c r="B273" s="95" t="s">
        <v>137</v>
      </c>
      <c r="C273" s="95">
        <f t="shared" si="12"/>
        <v>494</v>
      </c>
      <c r="D273" s="95">
        <f t="shared" si="13"/>
        <v>429</v>
      </c>
      <c r="E273" s="184">
        <v>913000</v>
      </c>
      <c r="F273" s="184">
        <f t="shared" si="14"/>
        <v>1815735.527113731</v>
      </c>
      <c r="G273" s="95">
        <v>0</v>
      </c>
      <c r="H273" s="95">
        <v>8</v>
      </c>
      <c r="I273" s="95">
        <v>0</v>
      </c>
      <c r="J273" s="95">
        <v>25</v>
      </c>
      <c r="K273" s="95">
        <v>0</v>
      </c>
      <c r="L273" s="95">
        <v>0</v>
      </c>
      <c r="M273" s="95">
        <v>1071</v>
      </c>
      <c r="N273" s="95">
        <v>1072</v>
      </c>
      <c r="O273" s="95">
        <v>978</v>
      </c>
      <c r="P273" s="95">
        <v>978</v>
      </c>
      <c r="Q273" s="95">
        <v>2250</v>
      </c>
      <c r="R273" s="95">
        <v>2250</v>
      </c>
      <c r="S273" s="95">
        <v>-59</v>
      </c>
      <c r="T273" s="95">
        <v>-60</v>
      </c>
      <c r="U273" s="95">
        <v>407</v>
      </c>
      <c r="V273" s="95">
        <v>9</v>
      </c>
      <c r="W273" s="95">
        <v>79</v>
      </c>
      <c r="X273" s="95">
        <v>0</v>
      </c>
      <c r="Y273" s="95">
        <v>214</v>
      </c>
      <c r="Z273" s="95">
        <v>8</v>
      </c>
      <c r="AA273" s="95">
        <v>4964</v>
      </c>
      <c r="AB273" s="95">
        <v>23228</v>
      </c>
      <c r="AC273" s="95">
        <v>19303</v>
      </c>
      <c r="AF273"/>
      <c r="AG273"/>
      <c r="AH273" s="95">
        <v>4858</v>
      </c>
      <c r="AI273" s="95">
        <v>4908</v>
      </c>
      <c r="AJ273" s="95">
        <v>4889</v>
      </c>
      <c r="AK273" s="95">
        <v>4898</v>
      </c>
      <c r="AL273" s="95">
        <v>4870</v>
      </c>
      <c r="AM273" s="95">
        <v>19606</v>
      </c>
      <c r="AN273" s="95">
        <v>20344</v>
      </c>
      <c r="AO273" s="95">
        <v>19853000</v>
      </c>
      <c r="AP273" s="95">
        <v>23228</v>
      </c>
      <c r="AQ273" s="95">
        <v>19303</v>
      </c>
      <c r="AR273" s="95">
        <v>18902</v>
      </c>
    </row>
    <row r="274" spans="1:44" ht="12.5" x14ac:dyDescent="0.25">
      <c r="A274" s="95" t="s">
        <v>518</v>
      </c>
      <c r="B274" s="95" t="s">
        <v>273</v>
      </c>
      <c r="C274" s="95">
        <f t="shared" si="12"/>
        <v>909.7</v>
      </c>
      <c r="D274" s="95">
        <f t="shared" si="13"/>
        <v>912.4</v>
      </c>
      <c r="E274" s="184">
        <v>3630000</v>
      </c>
      <c r="F274" s="184">
        <f t="shared" si="14"/>
        <v>5007538.1479022922</v>
      </c>
      <c r="G274" s="95">
        <v>0</v>
      </c>
      <c r="H274" s="95">
        <v>0</v>
      </c>
      <c r="I274" s="95">
        <v>471</v>
      </c>
      <c r="J274" s="95">
        <v>1003</v>
      </c>
      <c r="K274" s="95">
        <v>1486</v>
      </c>
      <c r="L274" s="95">
        <v>946</v>
      </c>
      <c r="M274" s="95">
        <v>1757</v>
      </c>
      <c r="N274" s="95">
        <v>760</v>
      </c>
      <c r="O274" s="95">
        <v>354</v>
      </c>
      <c r="P274" s="95">
        <v>1135</v>
      </c>
      <c r="Q274" s="95">
        <v>891</v>
      </c>
      <c r="R274" s="95">
        <v>1059</v>
      </c>
      <c r="S274" s="95">
        <v>879</v>
      </c>
      <c r="T274" s="95">
        <v>865</v>
      </c>
      <c r="U274" s="95">
        <v>1624</v>
      </c>
      <c r="V274" s="95">
        <v>1463</v>
      </c>
      <c r="W274" s="95">
        <v>427</v>
      </c>
      <c r="X274" s="95">
        <v>1219</v>
      </c>
      <c r="Y274" s="95">
        <v>1208</v>
      </c>
      <c r="Z274" s="95">
        <v>674</v>
      </c>
      <c r="AA274" s="95">
        <v>13690</v>
      </c>
      <c r="AB274" s="95">
        <v>46411</v>
      </c>
      <c r="AC274" s="95">
        <v>48103</v>
      </c>
      <c r="AF274"/>
      <c r="AG274"/>
      <c r="AH274" s="95">
        <v>13544</v>
      </c>
      <c r="AI274" s="95">
        <v>13583</v>
      </c>
      <c r="AJ274" s="95">
        <v>13551</v>
      </c>
      <c r="AK274" s="95">
        <v>13583</v>
      </c>
      <c r="AL274" s="95">
        <v>13656</v>
      </c>
      <c r="AM274" s="95">
        <v>41297</v>
      </c>
      <c r="AN274" s="95">
        <v>46306</v>
      </c>
      <c r="AO274" s="95">
        <v>48001000</v>
      </c>
      <c r="AP274" s="95">
        <v>46411</v>
      </c>
      <c r="AQ274" s="95">
        <v>48103</v>
      </c>
      <c r="AR274" s="95">
        <v>55533</v>
      </c>
    </row>
    <row r="275" spans="1:44" ht="12.5" x14ac:dyDescent="0.25">
      <c r="A275" s="95" t="s">
        <v>521</v>
      </c>
      <c r="B275" s="95" t="s">
        <v>319</v>
      </c>
      <c r="C275" s="95">
        <f t="shared" si="12"/>
        <v>6559.2</v>
      </c>
      <c r="D275" s="95">
        <f t="shared" si="13"/>
        <v>6702.8</v>
      </c>
      <c r="E275" s="184">
        <v>4016000</v>
      </c>
      <c r="F275" s="184">
        <f t="shared" si="14"/>
        <v>13877720.769277791</v>
      </c>
      <c r="G275" s="95">
        <v>7241</v>
      </c>
      <c r="H275" s="95">
        <v>5845</v>
      </c>
      <c r="I275" s="95">
        <v>4551</v>
      </c>
      <c r="J275" s="95">
        <v>5605</v>
      </c>
      <c r="K275" s="95">
        <v>4920</v>
      </c>
      <c r="L275" s="95">
        <v>6308</v>
      </c>
      <c r="M275" s="95">
        <v>3878</v>
      </c>
      <c r="N275" s="95">
        <v>3950</v>
      </c>
      <c r="O275" s="95">
        <v>6793</v>
      </c>
      <c r="P275" s="95">
        <v>6359</v>
      </c>
      <c r="Q275" s="95">
        <v>6425</v>
      </c>
      <c r="R275" s="95">
        <v>7211</v>
      </c>
      <c r="S275" s="95">
        <v>9293</v>
      </c>
      <c r="T275" s="95">
        <v>9180</v>
      </c>
      <c r="U275" s="95">
        <v>14742</v>
      </c>
      <c r="V275" s="95">
        <v>14773</v>
      </c>
      <c r="W275" s="95">
        <v>3740</v>
      </c>
      <c r="X275" s="95">
        <v>3789</v>
      </c>
      <c r="Y275" s="95">
        <v>4009</v>
      </c>
      <c r="Z275" s="95">
        <v>4008</v>
      </c>
      <c r="AA275" s="95">
        <v>37940</v>
      </c>
      <c r="AB275" s="95">
        <v>79428</v>
      </c>
      <c r="AC275" s="95">
        <v>76205</v>
      </c>
      <c r="AF275"/>
      <c r="AG275"/>
      <c r="AH275" s="95">
        <v>36092</v>
      </c>
      <c r="AI275" s="95">
        <v>36598</v>
      </c>
      <c r="AJ275" s="95">
        <v>37061</v>
      </c>
      <c r="AK275" s="95">
        <v>37391</v>
      </c>
      <c r="AL275" s="95">
        <v>37791</v>
      </c>
      <c r="AM275" s="95">
        <v>68277</v>
      </c>
      <c r="AN275" s="95">
        <v>72446</v>
      </c>
      <c r="AO275" s="95">
        <v>75749000</v>
      </c>
      <c r="AP275" s="95">
        <v>79428</v>
      </c>
      <c r="AQ275" s="95">
        <v>76205</v>
      </c>
      <c r="AR275" s="95">
        <v>75632</v>
      </c>
    </row>
    <row r="276" spans="1:44" ht="12.5" x14ac:dyDescent="0.25">
      <c r="A276" s="95" t="s">
        <v>528</v>
      </c>
      <c r="B276" s="95" t="s">
        <v>340</v>
      </c>
      <c r="C276" s="95">
        <f t="shared" si="12"/>
        <v>7351.4</v>
      </c>
      <c r="D276" s="95">
        <f t="shared" si="13"/>
        <v>7883.3</v>
      </c>
      <c r="E276" s="184">
        <v>2298000</v>
      </c>
      <c r="F276" s="184">
        <f t="shared" si="14"/>
        <v>9653319.1571431253</v>
      </c>
      <c r="G276" s="95">
        <v>3589</v>
      </c>
      <c r="H276" s="95">
        <v>3465</v>
      </c>
      <c r="I276" s="95">
        <v>5518</v>
      </c>
      <c r="J276" s="95">
        <v>8265</v>
      </c>
      <c r="K276" s="95">
        <v>7924</v>
      </c>
      <c r="L276" s="95">
        <v>9009</v>
      </c>
      <c r="M276" s="95">
        <v>12709</v>
      </c>
      <c r="N276" s="95">
        <v>12940</v>
      </c>
      <c r="O276" s="95">
        <v>16868</v>
      </c>
      <c r="P276" s="95">
        <v>20530</v>
      </c>
      <c r="Q276" s="95">
        <v>1761</v>
      </c>
      <c r="R276" s="95">
        <v>3056</v>
      </c>
      <c r="S276" s="95">
        <v>11363</v>
      </c>
      <c r="T276" s="95">
        <v>8760</v>
      </c>
      <c r="U276" s="95">
        <v>3879</v>
      </c>
      <c r="V276" s="95">
        <v>3353</v>
      </c>
      <c r="W276" s="95">
        <v>3767</v>
      </c>
      <c r="X276" s="95">
        <v>2015</v>
      </c>
      <c r="Y276" s="95">
        <v>6136</v>
      </c>
      <c r="Z276" s="95">
        <v>7440</v>
      </c>
      <c r="AA276" s="95">
        <v>26391</v>
      </c>
      <c r="AB276" s="95">
        <v>44114</v>
      </c>
      <c r="AC276" s="95">
        <v>43349</v>
      </c>
      <c r="AF276"/>
      <c r="AG276"/>
      <c r="AH276" s="95">
        <v>25526</v>
      </c>
      <c r="AI276" s="95">
        <v>25588</v>
      </c>
      <c r="AJ276" s="95">
        <v>25794</v>
      </c>
      <c r="AK276" s="95">
        <v>25722</v>
      </c>
      <c r="AL276" s="95">
        <v>26085</v>
      </c>
      <c r="AM276" s="95">
        <v>40686</v>
      </c>
      <c r="AN276" s="95">
        <v>41229</v>
      </c>
      <c r="AO276" s="95">
        <v>43541000</v>
      </c>
      <c r="AP276" s="95">
        <v>44114</v>
      </c>
      <c r="AQ276" s="95">
        <v>43349</v>
      </c>
      <c r="AR276" s="95">
        <v>42677</v>
      </c>
    </row>
    <row r="277" spans="1:44" ht="12.5" x14ac:dyDescent="0.25">
      <c r="A277" s="95" t="s">
        <v>519</v>
      </c>
      <c r="B277" s="95" t="s">
        <v>204</v>
      </c>
      <c r="C277" s="95">
        <f t="shared" si="12"/>
        <v>6730.3</v>
      </c>
      <c r="D277" s="95">
        <f t="shared" si="13"/>
        <v>7139.6</v>
      </c>
      <c r="E277" s="184">
        <v>5656000</v>
      </c>
      <c r="F277" s="184">
        <f t="shared" si="14"/>
        <v>15461917.096419122</v>
      </c>
      <c r="G277" s="95">
        <v>1833</v>
      </c>
      <c r="H277" s="95">
        <v>1863</v>
      </c>
      <c r="I277" s="95">
        <v>2817</v>
      </c>
      <c r="J277" s="95">
        <v>4389</v>
      </c>
      <c r="K277" s="95">
        <v>10580</v>
      </c>
      <c r="L277" s="95">
        <v>12134</v>
      </c>
      <c r="M277" s="95">
        <v>6586</v>
      </c>
      <c r="N277" s="95">
        <v>6907</v>
      </c>
      <c r="O277" s="95">
        <v>9641</v>
      </c>
      <c r="P277" s="95">
        <v>11590</v>
      </c>
      <c r="Q277" s="95">
        <v>14221</v>
      </c>
      <c r="R277" s="95">
        <v>14964</v>
      </c>
      <c r="S277" s="95">
        <v>19276</v>
      </c>
      <c r="T277" s="95">
        <v>16366</v>
      </c>
      <c r="U277" s="95">
        <v>1352</v>
      </c>
      <c r="V277" s="95">
        <v>862</v>
      </c>
      <c r="W277" s="95">
        <v>195</v>
      </c>
      <c r="X277" s="95">
        <v>1391</v>
      </c>
      <c r="Y277" s="95">
        <v>802</v>
      </c>
      <c r="Z277" s="95">
        <v>930</v>
      </c>
      <c r="AA277" s="95">
        <v>42271</v>
      </c>
      <c r="AB277" s="95">
        <v>131261</v>
      </c>
      <c r="AC277" s="95">
        <v>135033</v>
      </c>
      <c r="AF277"/>
      <c r="AG277"/>
      <c r="AH277" s="95">
        <v>41491</v>
      </c>
      <c r="AI277" s="95">
        <v>41469</v>
      </c>
      <c r="AJ277" s="95">
        <v>41995</v>
      </c>
      <c r="AK277" s="95">
        <v>42216</v>
      </c>
      <c r="AL277" s="95">
        <v>41920</v>
      </c>
      <c r="AM277" s="95">
        <v>97196</v>
      </c>
      <c r="AN277" s="95">
        <v>99300</v>
      </c>
      <c r="AO277" s="95">
        <v>119077000</v>
      </c>
      <c r="AP277" s="95">
        <v>131261</v>
      </c>
      <c r="AQ277" s="95">
        <v>135033</v>
      </c>
      <c r="AR277" s="95">
        <v>137460</v>
      </c>
    </row>
    <row r="278" spans="1:44" x14ac:dyDescent="0.25">
      <c r="A278" s="95" t="s">
        <v>517</v>
      </c>
      <c r="B278" s="95" t="s">
        <v>391</v>
      </c>
      <c r="C278" s="95">
        <f t="shared" si="12"/>
        <v>35460.010257666996</v>
      </c>
      <c r="D278" s="95">
        <f t="shared" si="13"/>
        <v>38746.76449376838</v>
      </c>
      <c r="E278" s="184">
        <v>54358000</v>
      </c>
      <c r="F278" s="184">
        <f t="shared" si="14"/>
        <v>82101313.00127165</v>
      </c>
      <c r="G278" s="95">
        <v>24810</v>
      </c>
      <c r="H278" s="95">
        <v>14897</v>
      </c>
      <c r="I278" s="95">
        <v>-40567.984175885729</v>
      </c>
      <c r="J278" s="95">
        <v>99218.570578350365</v>
      </c>
      <c r="K278" s="95">
        <v>96630.779372636884</v>
      </c>
      <c r="L278" s="95">
        <v>60191.156980815009</v>
      </c>
      <c r="M278" s="95">
        <v>62488.531648228542</v>
      </c>
      <c r="N278" s="95">
        <v>66318.898893712365</v>
      </c>
      <c r="O278" s="95">
        <v>62637.758857302899</v>
      </c>
      <c r="P278" s="95">
        <v>43066.635065116927</v>
      </c>
      <c r="Q278" s="95">
        <v>75840.540890631557</v>
      </c>
      <c r="R278" s="95">
        <v>51032.713415488026</v>
      </c>
      <c r="S278" s="95">
        <v>6300.841478784484</v>
      </c>
      <c r="T278" s="95">
        <v>14559.959669514074</v>
      </c>
      <c r="U278" s="95">
        <v>15384.036829575689</v>
      </c>
      <c r="V278" s="95">
        <v>11347.421649628903</v>
      </c>
      <c r="W278" s="95">
        <v>27707.799747934463</v>
      </c>
      <c r="X278" s="95">
        <v>15134.992648088502</v>
      </c>
      <c r="Y278" s="95">
        <v>23367.797927461139</v>
      </c>
      <c r="Z278" s="95">
        <v>11700.296036969612</v>
      </c>
      <c r="AA278" s="95">
        <v>224455</v>
      </c>
      <c r="AB278" s="95">
        <v>786402.69128973538</v>
      </c>
      <c r="AC278" s="95">
        <v>100927.20186248425</v>
      </c>
      <c r="AH278" s="95">
        <v>215237.32145357793</v>
      </c>
      <c r="AI278" s="95">
        <v>217048.61763058396</v>
      </c>
      <c r="AJ278" s="95">
        <v>218685.25857723007</v>
      </c>
      <c r="AK278" s="95">
        <v>221232.8418988937</v>
      </c>
      <c r="AL278" s="95">
        <v>221943.61714045651</v>
      </c>
      <c r="AM278" s="95">
        <v>754122.67805629468</v>
      </c>
      <c r="AN278" s="95">
        <v>832009.78994538577</v>
      </c>
      <c r="AO278" s="95">
        <v>786461490.3374877</v>
      </c>
      <c r="AP278" s="95">
        <v>92763.35849320823</v>
      </c>
      <c r="AQ278" s="95">
        <v>100927.20186248425</v>
      </c>
      <c r="AR278" s="95">
        <v>101419.40134434954</v>
      </c>
    </row>
    <row r="279" spans="1:44" ht="12.5" x14ac:dyDescent="0.25">
      <c r="A279" s="95" t="s">
        <v>522</v>
      </c>
      <c r="B279" s="95" t="s">
        <v>160</v>
      </c>
      <c r="C279" s="95">
        <f t="shared" si="12"/>
        <v>3967.6</v>
      </c>
      <c r="D279" s="95">
        <f t="shared" si="13"/>
        <v>3649.3</v>
      </c>
      <c r="E279" s="184">
        <v>1836000</v>
      </c>
      <c r="F279" s="184">
        <f t="shared" si="14"/>
        <v>7814173.6635234961</v>
      </c>
      <c r="G279" s="95">
        <v>663</v>
      </c>
      <c r="H279" s="95">
        <v>520</v>
      </c>
      <c r="I279" s="95">
        <v>3274</v>
      </c>
      <c r="J279" s="95">
        <v>4952</v>
      </c>
      <c r="K279" s="95">
        <v>2249</v>
      </c>
      <c r="L279" s="95">
        <v>2551</v>
      </c>
      <c r="M279" s="95">
        <v>5161</v>
      </c>
      <c r="N279" s="95">
        <v>5402</v>
      </c>
      <c r="O279" s="95">
        <v>3606</v>
      </c>
      <c r="P279" s="95">
        <v>3438</v>
      </c>
      <c r="Q279" s="95">
        <v>9491</v>
      </c>
      <c r="R279" s="95">
        <v>7042</v>
      </c>
      <c r="S279" s="95">
        <v>6488</v>
      </c>
      <c r="T279" s="95">
        <v>4347</v>
      </c>
      <c r="U279" s="95">
        <v>3191</v>
      </c>
      <c r="V279" s="95">
        <v>3011</v>
      </c>
      <c r="W279" s="95">
        <v>2603</v>
      </c>
      <c r="X279" s="95">
        <v>2441</v>
      </c>
      <c r="Y279" s="95">
        <v>2950</v>
      </c>
      <c r="Z279" s="95">
        <v>2789</v>
      </c>
      <c r="AA279" s="95">
        <v>21363</v>
      </c>
      <c r="AB279" s="95">
        <v>27445</v>
      </c>
      <c r="AC279" s="95">
        <v>28745</v>
      </c>
      <c r="AF279"/>
      <c r="AG279"/>
      <c r="AH279" s="95">
        <v>21152</v>
      </c>
      <c r="AI279" s="95">
        <v>21216</v>
      </c>
      <c r="AJ279" s="95">
        <v>21275</v>
      </c>
      <c r="AK279" s="95">
        <v>21265</v>
      </c>
      <c r="AL279" s="95">
        <v>21315</v>
      </c>
      <c r="AM279" s="95">
        <v>33101</v>
      </c>
      <c r="AN279" s="95">
        <v>31679</v>
      </c>
      <c r="AO279" s="95">
        <v>28937000</v>
      </c>
      <c r="AP279" s="95">
        <v>27445</v>
      </c>
      <c r="AQ279" s="95">
        <v>28745</v>
      </c>
      <c r="AR279" s="95">
        <v>28923</v>
      </c>
    </row>
    <row r="280" spans="1:44" ht="12.5" x14ac:dyDescent="0.25">
      <c r="A280" s="95" t="s">
        <v>522</v>
      </c>
      <c r="B280" s="95" t="s">
        <v>161</v>
      </c>
      <c r="C280" s="95">
        <f t="shared" si="12"/>
        <v>4290.3999999999996</v>
      </c>
      <c r="D280" s="95">
        <f t="shared" si="13"/>
        <v>4664.3999999999996</v>
      </c>
      <c r="E280" s="184">
        <v>5949000</v>
      </c>
      <c r="F280" s="184">
        <f t="shared" si="14"/>
        <v>12333028.760615163</v>
      </c>
      <c r="G280" s="95">
        <v>1829</v>
      </c>
      <c r="H280" s="95">
        <v>1848</v>
      </c>
      <c r="I280" s="95">
        <v>7331</v>
      </c>
      <c r="J280" s="95">
        <v>10354</v>
      </c>
      <c r="K280" s="95">
        <v>4109</v>
      </c>
      <c r="L280" s="95">
        <v>5315</v>
      </c>
      <c r="M280" s="95">
        <v>6589</v>
      </c>
      <c r="N280" s="95">
        <v>6750</v>
      </c>
      <c r="O280" s="95">
        <v>8275</v>
      </c>
      <c r="P280" s="95">
        <v>9173</v>
      </c>
      <c r="Q280" s="95">
        <v>3292</v>
      </c>
      <c r="R280" s="95">
        <v>3199</v>
      </c>
      <c r="S280" s="95">
        <v>1803</v>
      </c>
      <c r="T280" s="95">
        <v>616</v>
      </c>
      <c r="U280" s="95">
        <v>3061</v>
      </c>
      <c r="V280" s="95">
        <v>2722</v>
      </c>
      <c r="W280" s="95">
        <v>1962</v>
      </c>
      <c r="X280" s="95">
        <v>2329</v>
      </c>
      <c r="Y280" s="95">
        <v>4653</v>
      </c>
      <c r="Z280" s="95">
        <v>4338</v>
      </c>
      <c r="AA280" s="95">
        <v>33717</v>
      </c>
      <c r="AB280" s="95">
        <v>65871</v>
      </c>
      <c r="AC280" s="95">
        <v>69529</v>
      </c>
      <c r="AG280"/>
      <c r="AH280" s="95">
        <v>33843</v>
      </c>
      <c r="AI280" s="95">
        <v>33905</v>
      </c>
      <c r="AJ280" s="95">
        <v>33785</v>
      </c>
      <c r="AK280" s="95">
        <v>33768</v>
      </c>
      <c r="AL280" s="95">
        <v>33699</v>
      </c>
      <c r="AM280" s="95">
        <v>74339</v>
      </c>
      <c r="AN280" s="95">
        <v>66135</v>
      </c>
      <c r="AO280" s="95">
        <v>62885000</v>
      </c>
      <c r="AP280" s="95">
        <v>65871</v>
      </c>
      <c r="AQ280" s="95">
        <v>69529</v>
      </c>
      <c r="AR280" s="95">
        <v>67945</v>
      </c>
    </row>
    <row r="281" spans="1:44" ht="12.5" x14ac:dyDescent="0.25">
      <c r="A281" s="95" t="s">
        <v>516</v>
      </c>
      <c r="B281" s="95" t="s">
        <v>115</v>
      </c>
      <c r="C281" s="95">
        <f t="shared" si="12"/>
        <v>13530.4</v>
      </c>
      <c r="D281" s="95">
        <f t="shared" si="13"/>
        <v>13097.5</v>
      </c>
      <c r="E281" s="184">
        <v>4604000</v>
      </c>
      <c r="F281" s="184">
        <f t="shared" si="14"/>
        <v>12507871.947956091</v>
      </c>
      <c r="G281" s="95">
        <v>5153</v>
      </c>
      <c r="H281" s="95">
        <v>5264</v>
      </c>
      <c r="I281" s="95">
        <v>16804</v>
      </c>
      <c r="J281" s="95">
        <v>19551</v>
      </c>
      <c r="K281" s="95">
        <v>8651</v>
      </c>
      <c r="L281" s="95">
        <v>14114</v>
      </c>
      <c r="M281" s="95">
        <v>17922</v>
      </c>
      <c r="N281" s="95">
        <v>17881</v>
      </c>
      <c r="O281" s="95">
        <v>16379</v>
      </c>
      <c r="P281" s="95">
        <v>15897</v>
      </c>
      <c r="Q281" s="95">
        <v>11908</v>
      </c>
      <c r="R281" s="95">
        <v>11333</v>
      </c>
      <c r="S281" s="95">
        <v>25926</v>
      </c>
      <c r="T281" s="95">
        <v>15162</v>
      </c>
      <c r="U281" s="95">
        <v>9158</v>
      </c>
      <c r="V281" s="95">
        <v>11130</v>
      </c>
      <c r="W281" s="95">
        <v>12236</v>
      </c>
      <c r="X281" s="95">
        <v>11120</v>
      </c>
      <c r="Y281" s="95">
        <v>11167</v>
      </c>
      <c r="Z281" s="95">
        <v>9523</v>
      </c>
      <c r="AA281" s="95">
        <v>34195</v>
      </c>
      <c r="AB281" s="95">
        <v>86964</v>
      </c>
      <c r="AC281" s="95">
        <v>97412</v>
      </c>
      <c r="AF281"/>
      <c r="AG281"/>
      <c r="AH281" s="95">
        <v>33280</v>
      </c>
      <c r="AI281" s="95">
        <v>33465</v>
      </c>
      <c r="AJ281" s="95">
        <v>33695</v>
      </c>
      <c r="AK281" s="95">
        <v>33829</v>
      </c>
      <c r="AL281" s="95">
        <v>33978</v>
      </c>
      <c r="AM281" s="95">
        <v>82933</v>
      </c>
      <c r="AN281" s="95">
        <v>81593</v>
      </c>
      <c r="AO281" s="95">
        <v>70305000</v>
      </c>
      <c r="AP281" s="95">
        <v>86964</v>
      </c>
      <c r="AQ281" s="95">
        <v>97412</v>
      </c>
      <c r="AR281" s="95">
        <v>115607</v>
      </c>
    </row>
    <row r="282" spans="1:44" ht="12.5" x14ac:dyDescent="0.25">
      <c r="A282" s="95" t="s">
        <v>520</v>
      </c>
      <c r="B282" s="95" t="s">
        <v>138</v>
      </c>
      <c r="C282" s="95">
        <f t="shared" si="12"/>
        <v>1460.4</v>
      </c>
      <c r="D282" s="95">
        <f t="shared" si="13"/>
        <v>2062.5</v>
      </c>
      <c r="E282" s="184">
        <v>3738000</v>
      </c>
      <c r="F282" s="184">
        <f t="shared" si="14"/>
        <v>11810328.102225654</v>
      </c>
      <c r="G282" s="95">
        <v>0</v>
      </c>
      <c r="H282" s="95">
        <v>239</v>
      </c>
      <c r="I282" s="95">
        <v>4640</v>
      </c>
      <c r="J282" s="95">
        <v>8548</v>
      </c>
      <c r="K282" s="95">
        <v>37</v>
      </c>
      <c r="L282" s="95">
        <v>1707</v>
      </c>
      <c r="M282" s="95">
        <v>140</v>
      </c>
      <c r="N282" s="95">
        <v>1974</v>
      </c>
      <c r="O282" s="95">
        <v>685</v>
      </c>
      <c r="P282" s="95">
        <v>2142</v>
      </c>
      <c r="Q282" s="95">
        <v>363</v>
      </c>
      <c r="R282" s="95">
        <v>401</v>
      </c>
      <c r="S282" s="95">
        <v>5412</v>
      </c>
      <c r="T282" s="95">
        <v>4454</v>
      </c>
      <c r="U282" s="95">
        <v>1960</v>
      </c>
      <c r="V282" s="95">
        <v>741</v>
      </c>
      <c r="W282" s="95">
        <v>985</v>
      </c>
      <c r="X282" s="95">
        <v>252</v>
      </c>
      <c r="Y282" s="95">
        <v>382</v>
      </c>
      <c r="Z282" s="95">
        <v>167</v>
      </c>
      <c r="AA282" s="95">
        <v>32288</v>
      </c>
      <c r="AB282" s="95">
        <v>56950</v>
      </c>
      <c r="AC282" s="95">
        <v>54833</v>
      </c>
      <c r="AF282"/>
      <c r="AG282"/>
      <c r="AH282" s="95">
        <v>31980</v>
      </c>
      <c r="AI282" s="95">
        <v>31879</v>
      </c>
      <c r="AJ282" s="95">
        <v>31764</v>
      </c>
      <c r="AK282" s="95">
        <v>32016</v>
      </c>
      <c r="AL282" s="95">
        <v>32060</v>
      </c>
      <c r="AM282" s="95">
        <v>51766</v>
      </c>
      <c r="AN282" s="95">
        <v>57813</v>
      </c>
      <c r="AO282" s="95">
        <v>57488000</v>
      </c>
      <c r="AP282" s="95">
        <v>56950</v>
      </c>
      <c r="AQ282" s="95">
        <v>54833</v>
      </c>
      <c r="AR282" s="95">
        <v>58258</v>
      </c>
    </row>
    <row r="283" spans="1:44" ht="12.5" x14ac:dyDescent="0.25">
      <c r="A283" s="95" t="s">
        <v>518</v>
      </c>
      <c r="B283" s="95" t="s">
        <v>274</v>
      </c>
      <c r="C283" s="95">
        <f t="shared" si="12"/>
        <v>797.2</v>
      </c>
      <c r="D283" s="95">
        <f t="shared" si="13"/>
        <v>905.6</v>
      </c>
      <c r="E283" s="184">
        <v>1034000</v>
      </c>
      <c r="F283" s="184">
        <f t="shared" si="14"/>
        <v>4960718.2148904959</v>
      </c>
      <c r="G283" s="95">
        <v>0</v>
      </c>
      <c r="H283" s="95">
        <v>-16</v>
      </c>
      <c r="I283" s="95">
        <v>979</v>
      </c>
      <c r="J283" s="95">
        <v>4231</v>
      </c>
      <c r="K283" s="95">
        <v>802</v>
      </c>
      <c r="L283" s="95">
        <v>880</v>
      </c>
      <c r="M283" s="95">
        <v>1013</v>
      </c>
      <c r="N283" s="95">
        <v>1025</v>
      </c>
      <c r="O283" s="95">
        <v>2140</v>
      </c>
      <c r="P283" s="95">
        <v>762</v>
      </c>
      <c r="Q283" s="95">
        <v>2718</v>
      </c>
      <c r="R283" s="95">
        <v>1515</v>
      </c>
      <c r="S283" s="95">
        <v>8</v>
      </c>
      <c r="T283" s="95">
        <v>69</v>
      </c>
      <c r="U283" s="95">
        <v>79</v>
      </c>
      <c r="V283" s="95">
        <v>127</v>
      </c>
      <c r="W283" s="95">
        <v>0</v>
      </c>
      <c r="X283" s="95">
        <v>236</v>
      </c>
      <c r="Y283" s="95">
        <v>233</v>
      </c>
      <c r="Z283" s="95">
        <v>227</v>
      </c>
      <c r="AA283" s="95">
        <v>13562</v>
      </c>
      <c r="AB283" s="95">
        <v>15668</v>
      </c>
      <c r="AC283" s="95">
        <v>16302</v>
      </c>
      <c r="AF283"/>
      <c r="AG283"/>
      <c r="AH283" s="95">
        <v>13470</v>
      </c>
      <c r="AI283" s="95">
        <v>13526</v>
      </c>
      <c r="AJ283" s="95">
        <v>13536</v>
      </c>
      <c r="AK283" s="95">
        <v>13654</v>
      </c>
      <c r="AL283" s="95">
        <v>13632</v>
      </c>
      <c r="AM283" s="95">
        <v>14519</v>
      </c>
      <c r="AN283" s="95">
        <v>16307</v>
      </c>
      <c r="AO283" s="95">
        <v>16659000</v>
      </c>
      <c r="AP283" s="95">
        <v>15668</v>
      </c>
      <c r="AQ283" s="95">
        <v>16302</v>
      </c>
      <c r="AR283" s="95">
        <v>17359</v>
      </c>
    </row>
    <row r="284" spans="1:44" ht="12.5" x14ac:dyDescent="0.25">
      <c r="A284" s="95" t="s">
        <v>518</v>
      </c>
      <c r="B284" s="95" t="s">
        <v>275</v>
      </c>
      <c r="C284" s="95">
        <f t="shared" si="12"/>
        <v>7935.3</v>
      </c>
      <c r="D284" s="95">
        <f t="shared" si="13"/>
        <v>9556.2999999999993</v>
      </c>
      <c r="E284" s="184">
        <v>4163000</v>
      </c>
      <c r="F284" s="184">
        <f t="shared" si="14"/>
        <v>11346518.140827546</v>
      </c>
      <c r="G284" s="95">
        <v>2562</v>
      </c>
      <c r="H284" s="95">
        <v>2787</v>
      </c>
      <c r="I284" s="95">
        <v>5586</v>
      </c>
      <c r="J284" s="95">
        <v>13418</v>
      </c>
      <c r="K284" s="95">
        <v>8332</v>
      </c>
      <c r="L284" s="95">
        <v>11045</v>
      </c>
      <c r="M284" s="95">
        <v>9515</v>
      </c>
      <c r="N284" s="95">
        <v>10552</v>
      </c>
      <c r="O284" s="95">
        <v>8092</v>
      </c>
      <c r="P284" s="95">
        <v>8911</v>
      </c>
      <c r="Q284" s="95">
        <v>6766</v>
      </c>
      <c r="R284" s="95">
        <v>8381</v>
      </c>
      <c r="S284" s="95">
        <v>7565</v>
      </c>
      <c r="T284" s="95">
        <v>8239</v>
      </c>
      <c r="U284" s="95">
        <v>10464</v>
      </c>
      <c r="V284" s="95">
        <v>11082</v>
      </c>
      <c r="W284" s="95">
        <v>17322</v>
      </c>
      <c r="X284" s="95">
        <v>17490</v>
      </c>
      <c r="Y284" s="95">
        <v>3149</v>
      </c>
      <c r="Z284" s="95">
        <v>3658</v>
      </c>
      <c r="AA284" s="95">
        <v>31020</v>
      </c>
      <c r="AB284" s="95">
        <v>88739</v>
      </c>
      <c r="AC284" s="95">
        <v>86783</v>
      </c>
      <c r="AF284"/>
      <c r="AG284"/>
      <c r="AH284" s="95">
        <v>29201</v>
      </c>
      <c r="AI284" s="95">
        <v>29425</v>
      </c>
      <c r="AJ284" s="95">
        <v>29450</v>
      </c>
      <c r="AK284" s="95">
        <v>29469</v>
      </c>
      <c r="AL284" s="95">
        <v>30206</v>
      </c>
      <c r="AM284" s="95">
        <v>90874</v>
      </c>
      <c r="AN284" s="95">
        <v>95454</v>
      </c>
      <c r="AO284" s="95">
        <v>90706000</v>
      </c>
      <c r="AP284" s="95">
        <v>88739</v>
      </c>
      <c r="AQ284" s="95">
        <v>86783</v>
      </c>
      <c r="AR284" s="95">
        <v>84950</v>
      </c>
    </row>
    <row r="285" spans="1:44" ht="12.5" x14ac:dyDescent="0.25">
      <c r="A285" s="95" t="s">
        <v>523</v>
      </c>
      <c r="B285" s="95" t="s">
        <v>433</v>
      </c>
      <c r="C285" s="95">
        <f t="shared" si="12"/>
        <v>9833.7000000000007</v>
      </c>
      <c r="D285" s="95">
        <f t="shared" si="13"/>
        <v>9591.2999999999993</v>
      </c>
      <c r="E285" s="184">
        <v>2127000</v>
      </c>
      <c r="F285" s="184">
        <f t="shared" si="14"/>
        <v>7850385.9554623077</v>
      </c>
      <c r="G285" s="95">
        <v>14975</v>
      </c>
      <c r="H285" s="95">
        <v>13594</v>
      </c>
      <c r="I285" s="95">
        <v>6038</v>
      </c>
      <c r="J285" s="95">
        <v>5659</v>
      </c>
      <c r="K285" s="95">
        <v>3021</v>
      </c>
      <c r="L285" s="95">
        <v>3359</v>
      </c>
      <c r="M285" s="95">
        <v>8124</v>
      </c>
      <c r="N285" s="95">
        <v>5990</v>
      </c>
      <c r="O285" s="95">
        <v>3642</v>
      </c>
      <c r="P285" s="95">
        <v>3701</v>
      </c>
      <c r="Q285" s="95">
        <v>4790</v>
      </c>
      <c r="R285" s="95">
        <v>3840</v>
      </c>
      <c r="S285" s="95">
        <v>18314</v>
      </c>
      <c r="T285" s="95">
        <v>18317</v>
      </c>
      <c r="U285" s="95">
        <v>13164</v>
      </c>
      <c r="V285" s="95">
        <v>13206</v>
      </c>
      <c r="W285" s="95">
        <v>13080</v>
      </c>
      <c r="X285" s="95">
        <v>15049</v>
      </c>
      <c r="Y285" s="95">
        <v>13189</v>
      </c>
      <c r="Z285" s="95">
        <v>13198</v>
      </c>
      <c r="AA285" s="95">
        <v>21462</v>
      </c>
      <c r="AB285" s="95">
        <v>56352</v>
      </c>
      <c r="AC285" s="95">
        <v>59006</v>
      </c>
      <c r="AF285"/>
      <c r="AG285"/>
      <c r="AH285" s="95">
        <v>20220</v>
      </c>
      <c r="AI285" s="95">
        <v>20523</v>
      </c>
      <c r="AJ285" s="95">
        <v>20768</v>
      </c>
      <c r="AK285" s="95">
        <v>21018</v>
      </c>
      <c r="AL285" s="95">
        <v>21227</v>
      </c>
      <c r="AM285" s="95">
        <v>50349</v>
      </c>
      <c r="AN285" s="95">
        <v>63718</v>
      </c>
      <c r="AO285" s="95">
        <v>57824000</v>
      </c>
      <c r="AP285" s="95">
        <v>56352</v>
      </c>
      <c r="AQ285" s="95">
        <v>59006</v>
      </c>
      <c r="AR285" s="95">
        <v>58409</v>
      </c>
    </row>
    <row r="286" spans="1:44" ht="12.5" x14ac:dyDescent="0.25">
      <c r="A286" s="95" t="s">
        <v>524</v>
      </c>
      <c r="B286" s="95" t="s">
        <v>231</v>
      </c>
      <c r="C286" s="95">
        <f t="shared" si="12"/>
        <v>262226.8</v>
      </c>
      <c r="D286" s="95">
        <f t="shared" si="13"/>
        <v>204017.2</v>
      </c>
      <c r="E286" s="184">
        <v>69042000</v>
      </c>
      <c r="F286" s="184">
        <f t="shared" si="14"/>
        <v>132297767.90081728</v>
      </c>
      <c r="G286" s="95">
        <v>68476</v>
      </c>
      <c r="H286" s="95">
        <v>55889</v>
      </c>
      <c r="I286" s="95">
        <v>279850</v>
      </c>
      <c r="J286" s="95">
        <v>206831</v>
      </c>
      <c r="K286" s="95">
        <v>189077</v>
      </c>
      <c r="L286" s="95">
        <v>163332</v>
      </c>
      <c r="M286" s="95">
        <v>244806</v>
      </c>
      <c r="N286" s="95">
        <v>222717</v>
      </c>
      <c r="O286" s="95">
        <v>874455</v>
      </c>
      <c r="P286" s="95">
        <v>842813</v>
      </c>
      <c r="Q286" s="95">
        <v>266195</v>
      </c>
      <c r="R286" s="95">
        <v>205570</v>
      </c>
      <c r="S286" s="95">
        <v>135051</v>
      </c>
      <c r="T286" s="95">
        <v>90834</v>
      </c>
      <c r="U286" s="95">
        <v>162236</v>
      </c>
      <c r="V286" s="95">
        <v>130427</v>
      </c>
      <c r="W286" s="95">
        <v>184995</v>
      </c>
      <c r="X286" s="95">
        <v>106713</v>
      </c>
      <c r="Y286" s="95">
        <v>217127</v>
      </c>
      <c r="Z286" s="95">
        <v>15046</v>
      </c>
      <c r="AA286" s="95">
        <v>361686</v>
      </c>
      <c r="AB286" s="95">
        <v>1568376</v>
      </c>
      <c r="AC286" s="95">
        <v>1598329</v>
      </c>
      <c r="AF286"/>
      <c r="AG286"/>
      <c r="AH286" s="95">
        <v>343086</v>
      </c>
      <c r="AI286" s="95">
        <v>347526</v>
      </c>
      <c r="AJ286" s="95">
        <v>352795</v>
      </c>
      <c r="AK286" s="95">
        <v>357669</v>
      </c>
      <c r="AL286" s="95">
        <v>359370</v>
      </c>
      <c r="AM286" s="95">
        <v>1458934</v>
      </c>
      <c r="AN286" s="95">
        <v>1454234</v>
      </c>
      <c r="AO286" s="95">
        <v>1559920000</v>
      </c>
      <c r="AP286" s="95">
        <v>1568376</v>
      </c>
      <c r="AQ286" s="95">
        <v>1598329</v>
      </c>
      <c r="AR286" s="95">
        <v>1636771</v>
      </c>
    </row>
    <row r="287" spans="1:44" ht="12.5" x14ac:dyDescent="0.25">
      <c r="A287" s="95" t="s">
        <v>524</v>
      </c>
      <c r="B287" s="95" t="s">
        <v>232</v>
      </c>
      <c r="C287" s="95">
        <f t="shared" si="12"/>
        <v>2977.8</v>
      </c>
      <c r="D287" s="95">
        <f t="shared" si="13"/>
        <v>2960.8</v>
      </c>
      <c r="E287" s="184">
        <v>7035000</v>
      </c>
      <c r="F287" s="184">
        <f t="shared" si="14"/>
        <v>18284646.964013133</v>
      </c>
      <c r="G287" s="95">
        <v>10474</v>
      </c>
      <c r="H287" s="95">
        <v>7822</v>
      </c>
      <c r="I287" s="95">
        <v>2028</v>
      </c>
      <c r="J287" s="95">
        <v>2314</v>
      </c>
      <c r="K287" s="95">
        <v>1656</v>
      </c>
      <c r="L287" s="95">
        <v>2459</v>
      </c>
      <c r="M287" s="95">
        <v>1033</v>
      </c>
      <c r="N287" s="95">
        <v>2658</v>
      </c>
      <c r="O287" s="95">
        <v>2458</v>
      </c>
      <c r="P287" s="95">
        <v>4739</v>
      </c>
      <c r="Q287" s="95">
        <v>6325</v>
      </c>
      <c r="R287" s="95">
        <v>4150</v>
      </c>
      <c r="S287" s="95">
        <v>982</v>
      </c>
      <c r="T287" s="95">
        <v>898</v>
      </c>
      <c r="U287" s="95">
        <v>777</v>
      </c>
      <c r="V287" s="95">
        <v>447</v>
      </c>
      <c r="W287" s="95">
        <v>733</v>
      </c>
      <c r="X287" s="95">
        <v>557</v>
      </c>
      <c r="Y287" s="95">
        <v>3312</v>
      </c>
      <c r="Z287" s="95">
        <v>3564</v>
      </c>
      <c r="AA287" s="95">
        <v>49988</v>
      </c>
      <c r="AB287" s="95">
        <v>152843</v>
      </c>
      <c r="AC287" s="95">
        <v>153524</v>
      </c>
      <c r="AF287"/>
      <c r="AG287"/>
      <c r="AH287" s="95">
        <v>49013</v>
      </c>
      <c r="AI287" s="95">
        <v>49340</v>
      </c>
      <c r="AJ287" s="95">
        <v>49526</v>
      </c>
      <c r="AK287" s="95">
        <v>49644</v>
      </c>
      <c r="AL287" s="95">
        <v>49946</v>
      </c>
      <c r="AM287" s="95">
        <v>143241</v>
      </c>
      <c r="AN287" s="95">
        <v>137245</v>
      </c>
      <c r="AO287" s="95">
        <v>147758000</v>
      </c>
      <c r="AP287" s="95">
        <v>152843</v>
      </c>
      <c r="AQ287" s="95">
        <v>153524</v>
      </c>
      <c r="AR287" s="95">
        <v>151787</v>
      </c>
    </row>
    <row r="288" spans="1:44" ht="12.5" x14ac:dyDescent="0.25">
      <c r="A288" s="95" t="s">
        <v>526</v>
      </c>
      <c r="B288" s="95" t="s">
        <v>423</v>
      </c>
      <c r="C288" s="95">
        <f t="shared" si="12"/>
        <v>0</v>
      </c>
      <c r="D288" s="95">
        <f t="shared" si="13"/>
        <v>0</v>
      </c>
      <c r="E288" s="184">
        <v>1655000</v>
      </c>
      <c r="F288" s="184">
        <f t="shared" si="14"/>
        <v>3703164.0766517753</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0</v>
      </c>
      <c r="Z288" s="95">
        <v>0</v>
      </c>
      <c r="AA288" s="95">
        <v>10124</v>
      </c>
      <c r="AB288" s="95">
        <v>41593</v>
      </c>
      <c r="AC288" s="95">
        <v>29471</v>
      </c>
      <c r="AF288"/>
      <c r="AG288"/>
      <c r="AH288" s="95">
        <v>9703</v>
      </c>
      <c r="AI288" s="95">
        <v>9874</v>
      </c>
      <c r="AJ288" s="95">
        <v>10094</v>
      </c>
      <c r="AK288" s="95">
        <v>10119</v>
      </c>
      <c r="AL288" s="95">
        <v>10084</v>
      </c>
      <c r="AM288" s="95">
        <v>30324</v>
      </c>
      <c r="AN288" s="95">
        <v>28892</v>
      </c>
      <c r="AO288" s="95">
        <v>26281000</v>
      </c>
      <c r="AP288" s="95">
        <v>41593</v>
      </c>
      <c r="AQ288" s="95">
        <v>29471</v>
      </c>
      <c r="AR288" s="95">
        <v>28625</v>
      </c>
    </row>
    <row r="289" spans="1:44" ht="12.5" x14ac:dyDescent="0.25">
      <c r="A289" s="95" t="s">
        <v>526</v>
      </c>
      <c r="B289" s="95" t="s">
        <v>424</v>
      </c>
      <c r="C289" s="95">
        <f t="shared" si="12"/>
        <v>1839.8</v>
      </c>
      <c r="D289" s="95">
        <f t="shared" si="13"/>
        <v>2825</v>
      </c>
      <c r="E289" s="184">
        <v>4597000</v>
      </c>
      <c r="F289" s="184">
        <f t="shared" si="14"/>
        <v>5915405.9114591572</v>
      </c>
      <c r="G289" s="95">
        <v>0</v>
      </c>
      <c r="H289" s="95">
        <v>166</v>
      </c>
      <c r="I289" s="95">
        <v>1708</v>
      </c>
      <c r="J289" s="95">
        <v>3576</v>
      </c>
      <c r="K289" s="95">
        <v>1405</v>
      </c>
      <c r="L289" s="95">
        <v>2290</v>
      </c>
      <c r="M289" s="95">
        <v>8179</v>
      </c>
      <c r="N289" s="95">
        <v>8443</v>
      </c>
      <c r="O289" s="95">
        <v>143</v>
      </c>
      <c r="P289" s="95">
        <v>-29</v>
      </c>
      <c r="Q289" s="95">
        <v>351</v>
      </c>
      <c r="R289" s="95">
        <v>6724</v>
      </c>
      <c r="S289" s="95">
        <v>574</v>
      </c>
      <c r="T289" s="95">
        <v>1317</v>
      </c>
      <c r="U289" s="95">
        <v>6036</v>
      </c>
      <c r="V289" s="95">
        <v>6618</v>
      </c>
      <c r="W289" s="95">
        <v>2</v>
      </c>
      <c r="X289" s="95">
        <v>-1226</v>
      </c>
      <c r="Y289" s="95">
        <v>0</v>
      </c>
      <c r="Z289" s="95">
        <v>371</v>
      </c>
      <c r="AA289" s="95">
        <v>16172</v>
      </c>
      <c r="AB289" s="95">
        <v>53195</v>
      </c>
      <c r="AC289" s="95">
        <v>51641</v>
      </c>
      <c r="AF289"/>
      <c r="AG289"/>
      <c r="AH289" s="95">
        <v>16440</v>
      </c>
      <c r="AI289" s="95">
        <v>16428</v>
      </c>
      <c r="AJ289" s="95">
        <v>16475</v>
      </c>
      <c r="AK289" s="95">
        <v>16356</v>
      </c>
      <c r="AL289" s="95">
        <v>16365</v>
      </c>
      <c r="AM289" s="95">
        <v>56221</v>
      </c>
      <c r="AN289" s="95">
        <v>56802</v>
      </c>
      <c r="AO289" s="95">
        <v>54467000</v>
      </c>
      <c r="AP289" s="95">
        <v>53195</v>
      </c>
      <c r="AQ289" s="95">
        <v>51641</v>
      </c>
      <c r="AR289" s="95">
        <v>52393</v>
      </c>
    </row>
    <row r="290" spans="1:44" ht="12.5" x14ac:dyDescent="0.25">
      <c r="A290" s="95" t="s">
        <v>517</v>
      </c>
      <c r="B290" s="95" t="s">
        <v>393</v>
      </c>
      <c r="C290" s="95">
        <f t="shared" si="12"/>
        <v>3540.7</v>
      </c>
      <c r="D290" s="95">
        <f t="shared" si="13"/>
        <v>4156.6000000000004</v>
      </c>
      <c r="E290" s="184">
        <v>4387000</v>
      </c>
      <c r="F290" s="184">
        <f t="shared" si="14"/>
        <v>11423697.874151679</v>
      </c>
      <c r="G290" s="95">
        <v>2138</v>
      </c>
      <c r="H290" s="95">
        <v>2030</v>
      </c>
      <c r="I290" s="95">
        <v>5767</v>
      </c>
      <c r="J290" s="95">
        <v>9187</v>
      </c>
      <c r="K290" s="95">
        <v>4816</v>
      </c>
      <c r="L290" s="95">
        <v>7264</v>
      </c>
      <c r="M290" s="95">
        <v>4593</v>
      </c>
      <c r="N290" s="95">
        <v>4964</v>
      </c>
      <c r="O290" s="95">
        <v>3533</v>
      </c>
      <c r="P290" s="95">
        <v>3966</v>
      </c>
      <c r="Q290" s="95">
        <v>2963</v>
      </c>
      <c r="R290" s="95">
        <v>3150</v>
      </c>
      <c r="S290" s="95">
        <v>2947</v>
      </c>
      <c r="T290" s="95">
        <v>3468</v>
      </c>
      <c r="U290" s="95">
        <v>2460</v>
      </c>
      <c r="V290" s="95">
        <v>2377</v>
      </c>
      <c r="W290" s="95">
        <v>1791</v>
      </c>
      <c r="X290" s="95">
        <v>1581</v>
      </c>
      <c r="Y290" s="95">
        <v>4399</v>
      </c>
      <c r="Z290" s="95">
        <v>3579</v>
      </c>
      <c r="AA290" s="95">
        <v>31231</v>
      </c>
      <c r="AB290" s="95">
        <v>77474</v>
      </c>
      <c r="AC290" s="95">
        <v>84799</v>
      </c>
      <c r="AF290"/>
      <c r="AG290"/>
      <c r="AH290" s="95">
        <v>30515</v>
      </c>
      <c r="AI290" s="95">
        <v>30658</v>
      </c>
      <c r="AJ290" s="95">
        <v>30892</v>
      </c>
      <c r="AK290" s="95">
        <v>31152</v>
      </c>
      <c r="AL290" s="95">
        <v>31221</v>
      </c>
      <c r="AM290" s="95">
        <v>79000</v>
      </c>
      <c r="AN290" s="95">
        <v>76633</v>
      </c>
      <c r="AO290" s="95">
        <v>76902000</v>
      </c>
      <c r="AP290" s="95">
        <v>77474</v>
      </c>
      <c r="AQ290" s="95">
        <v>84799</v>
      </c>
      <c r="AR290" s="95">
        <v>88332</v>
      </c>
    </row>
    <row r="291" spans="1:44" ht="12.5" x14ac:dyDescent="0.25">
      <c r="A291" s="95" t="s">
        <v>525</v>
      </c>
      <c r="B291" s="95" t="s">
        <v>126</v>
      </c>
      <c r="C291" s="95">
        <f t="shared" si="12"/>
        <v>7605.9</v>
      </c>
      <c r="D291" s="95">
        <f t="shared" si="13"/>
        <v>5526.4</v>
      </c>
      <c r="E291" s="184">
        <v>3196000</v>
      </c>
      <c r="F291" s="184">
        <f t="shared" si="14"/>
        <v>10048728.122656813</v>
      </c>
      <c r="G291" s="95">
        <v>1986</v>
      </c>
      <c r="H291" s="95">
        <v>1986</v>
      </c>
      <c r="I291" s="95">
        <v>53087</v>
      </c>
      <c r="J291" s="95">
        <v>24950</v>
      </c>
      <c r="K291" s="95">
        <v>1380</v>
      </c>
      <c r="L291" s="95">
        <v>6960</v>
      </c>
      <c r="M291" s="95">
        <v>2516</v>
      </c>
      <c r="N291" s="95">
        <v>3237</v>
      </c>
      <c r="O291" s="95">
        <v>4658</v>
      </c>
      <c r="P291" s="95">
        <v>4426</v>
      </c>
      <c r="Q291" s="95">
        <v>5769</v>
      </c>
      <c r="R291" s="95">
        <v>7192</v>
      </c>
      <c r="S291" s="95">
        <v>2961</v>
      </c>
      <c r="T291" s="95">
        <v>2961</v>
      </c>
      <c r="U291" s="95">
        <v>1342</v>
      </c>
      <c r="V291" s="95">
        <v>1343</v>
      </c>
      <c r="W291" s="95">
        <v>966</v>
      </c>
      <c r="X291" s="95">
        <v>566</v>
      </c>
      <c r="Y291" s="95">
        <v>1394</v>
      </c>
      <c r="Z291" s="95">
        <v>1643</v>
      </c>
      <c r="AA291" s="95">
        <v>27472</v>
      </c>
      <c r="AB291" s="95">
        <v>42729</v>
      </c>
      <c r="AC291" s="95">
        <v>42246</v>
      </c>
      <c r="AF291"/>
      <c r="AG291"/>
      <c r="AH291" s="95">
        <v>27526</v>
      </c>
      <c r="AI291" s="95">
        <v>27521</v>
      </c>
      <c r="AJ291" s="95">
        <v>27474</v>
      </c>
      <c r="AK291" s="95">
        <v>27397</v>
      </c>
      <c r="AL291" s="95">
        <v>27417</v>
      </c>
      <c r="AM291" s="95">
        <v>50938</v>
      </c>
      <c r="AN291" s="95">
        <v>48567</v>
      </c>
      <c r="AO291" s="95">
        <v>45532000</v>
      </c>
      <c r="AP291" s="95">
        <v>42729</v>
      </c>
      <c r="AQ291" s="95">
        <v>42246</v>
      </c>
      <c r="AR291" s="95">
        <v>42742</v>
      </c>
    </row>
    <row r="292" spans="1:44" ht="12.5" x14ac:dyDescent="0.25">
      <c r="A292" s="95" t="s">
        <v>524</v>
      </c>
      <c r="B292" s="95" t="s">
        <v>233</v>
      </c>
      <c r="C292" s="95">
        <f t="shared" si="12"/>
        <v>14155.6</v>
      </c>
      <c r="D292" s="95">
        <f t="shared" si="13"/>
        <v>13903.9</v>
      </c>
      <c r="E292" s="184">
        <v>9678000</v>
      </c>
      <c r="F292" s="184">
        <f t="shared" si="14"/>
        <v>24750918.649814207</v>
      </c>
      <c r="G292" s="95">
        <v>8784</v>
      </c>
      <c r="H292" s="95">
        <v>8784</v>
      </c>
      <c r="I292" s="95">
        <v>22887</v>
      </c>
      <c r="J292" s="95">
        <v>27095</v>
      </c>
      <c r="K292" s="95">
        <v>20881</v>
      </c>
      <c r="L292" s="95">
        <v>20637</v>
      </c>
      <c r="M292" s="95">
        <v>8859</v>
      </c>
      <c r="N292" s="95">
        <v>9341</v>
      </c>
      <c r="O292" s="95">
        <v>6968</v>
      </c>
      <c r="P292" s="95">
        <v>7706</v>
      </c>
      <c r="Q292" s="95">
        <v>14017</v>
      </c>
      <c r="R292" s="95">
        <v>12061</v>
      </c>
      <c r="S292" s="95">
        <v>15987</v>
      </c>
      <c r="T292" s="95">
        <v>16089</v>
      </c>
      <c r="U292" s="95">
        <v>14521</v>
      </c>
      <c r="V292" s="95">
        <v>11626</v>
      </c>
      <c r="W292" s="95">
        <v>16539</v>
      </c>
      <c r="X292" s="95">
        <v>14615</v>
      </c>
      <c r="Y292" s="95">
        <v>12113</v>
      </c>
      <c r="Z292" s="95">
        <v>11085</v>
      </c>
      <c r="AA292" s="95">
        <v>67666</v>
      </c>
      <c r="AB292" s="95">
        <v>227871</v>
      </c>
      <c r="AC292" s="95">
        <v>229069</v>
      </c>
      <c r="AF292"/>
      <c r="AG292"/>
      <c r="AH292" s="95">
        <v>64284</v>
      </c>
      <c r="AI292" s="95">
        <v>64918</v>
      </c>
      <c r="AJ292" s="95">
        <v>65599</v>
      </c>
      <c r="AK292" s="95">
        <v>66424</v>
      </c>
      <c r="AL292" s="95">
        <v>66912</v>
      </c>
      <c r="AM292" s="95">
        <v>229974</v>
      </c>
      <c r="AN292" s="95">
        <v>229186</v>
      </c>
      <c r="AO292" s="95">
        <v>228122000</v>
      </c>
      <c r="AP292" s="95">
        <v>227871</v>
      </c>
      <c r="AQ292" s="95">
        <v>229069</v>
      </c>
      <c r="AR292" s="95">
        <v>229288</v>
      </c>
    </row>
    <row r="293" spans="1:44" ht="12.5" x14ac:dyDescent="0.25">
      <c r="A293" s="95" t="s">
        <v>528</v>
      </c>
      <c r="B293" s="95" t="s">
        <v>341</v>
      </c>
      <c r="C293" s="95">
        <f t="shared" si="12"/>
        <v>6057.6</v>
      </c>
      <c r="D293" s="95">
        <f t="shared" si="13"/>
        <v>6187.3</v>
      </c>
      <c r="E293" s="184">
        <v>3164000</v>
      </c>
      <c r="F293" s="184">
        <f t="shared" si="14"/>
        <v>7992308.8774043154</v>
      </c>
      <c r="G293" s="95">
        <v>5801</v>
      </c>
      <c r="H293" s="95">
        <v>5403</v>
      </c>
      <c r="I293" s="95">
        <v>4202</v>
      </c>
      <c r="J293" s="95">
        <v>5752</v>
      </c>
      <c r="K293" s="95">
        <v>8462</v>
      </c>
      <c r="L293" s="95">
        <v>7551</v>
      </c>
      <c r="M293" s="95">
        <v>4691</v>
      </c>
      <c r="N293" s="95">
        <v>4215</v>
      </c>
      <c r="O293" s="95">
        <v>5891</v>
      </c>
      <c r="P293" s="95">
        <v>5519</v>
      </c>
      <c r="Q293" s="95">
        <v>3800</v>
      </c>
      <c r="R293" s="95">
        <v>3983</v>
      </c>
      <c r="S293" s="95">
        <v>3494</v>
      </c>
      <c r="T293" s="95">
        <v>3443</v>
      </c>
      <c r="U293" s="95">
        <v>10891</v>
      </c>
      <c r="V293" s="95">
        <v>10773</v>
      </c>
      <c r="W293" s="95">
        <v>8551</v>
      </c>
      <c r="X293" s="95">
        <v>9776</v>
      </c>
      <c r="Y293" s="95">
        <v>4793</v>
      </c>
      <c r="Z293" s="95">
        <v>5458</v>
      </c>
      <c r="AA293" s="95">
        <v>21850</v>
      </c>
      <c r="AB293" s="95">
        <v>58889</v>
      </c>
      <c r="AC293" s="95">
        <v>63567</v>
      </c>
      <c r="AF293"/>
      <c r="AG293"/>
      <c r="AH293" s="95">
        <v>21900</v>
      </c>
      <c r="AI293" s="95">
        <v>21863</v>
      </c>
      <c r="AJ293" s="95">
        <v>21839</v>
      </c>
      <c r="AK293" s="95">
        <v>21901</v>
      </c>
      <c r="AL293" s="95">
        <v>21953</v>
      </c>
      <c r="AM293" s="95">
        <v>40766</v>
      </c>
      <c r="AN293" s="95">
        <v>44156</v>
      </c>
      <c r="AO293" s="95">
        <v>55474000</v>
      </c>
      <c r="AP293" s="95">
        <v>58889</v>
      </c>
      <c r="AQ293" s="95">
        <v>63567</v>
      </c>
      <c r="AR293" s="95">
        <v>64657</v>
      </c>
    </row>
    <row r="294" spans="1:44" ht="12.5" x14ac:dyDescent="0.25">
      <c r="A294" s="95" t="s">
        <v>517</v>
      </c>
      <c r="B294" s="95" t="s">
        <v>394</v>
      </c>
      <c r="C294" s="95">
        <f t="shared" si="12"/>
        <v>9915.2999999999993</v>
      </c>
      <c r="D294" s="95">
        <f t="shared" si="13"/>
        <v>10313.5</v>
      </c>
      <c r="E294" s="184">
        <v>5478000</v>
      </c>
      <c r="F294" s="184">
        <f t="shared" si="14"/>
        <v>16757512.430229928</v>
      </c>
      <c r="G294" s="95">
        <v>19356</v>
      </c>
      <c r="H294" s="95">
        <v>17607</v>
      </c>
      <c r="I294" s="95">
        <v>12667</v>
      </c>
      <c r="J294" s="95">
        <v>21209</v>
      </c>
      <c r="K294" s="95">
        <v>10357</v>
      </c>
      <c r="L294" s="95">
        <v>2734</v>
      </c>
      <c r="M294" s="95">
        <v>-8612</v>
      </c>
      <c r="N294" s="95">
        <v>17425</v>
      </c>
      <c r="O294" s="95">
        <v>0</v>
      </c>
      <c r="P294" s="95">
        <v>-4074</v>
      </c>
      <c r="Q294" s="95">
        <v>13610</v>
      </c>
      <c r="R294" s="95">
        <v>2386</v>
      </c>
      <c r="S294" s="95">
        <v>9874</v>
      </c>
      <c r="T294" s="95">
        <v>8158</v>
      </c>
      <c r="U294" s="95">
        <v>12886</v>
      </c>
      <c r="V294" s="95">
        <v>12283</v>
      </c>
      <c r="W294" s="95">
        <v>14911</v>
      </c>
      <c r="X294" s="95">
        <v>13392</v>
      </c>
      <c r="Y294" s="95">
        <v>14104</v>
      </c>
      <c r="Z294" s="95">
        <v>12015</v>
      </c>
      <c r="AA294" s="95">
        <v>45813</v>
      </c>
      <c r="AB294" s="95">
        <v>126609</v>
      </c>
      <c r="AC294" s="95">
        <v>130543</v>
      </c>
      <c r="AF294"/>
      <c r="AG294"/>
      <c r="AH294" s="95">
        <v>44720</v>
      </c>
      <c r="AI294" s="95">
        <v>44922</v>
      </c>
      <c r="AJ294" s="95">
        <v>45358</v>
      </c>
      <c r="AK294" s="95">
        <v>45481</v>
      </c>
      <c r="AL294" s="95">
        <v>45500</v>
      </c>
      <c r="AM294" s="95">
        <v>122275</v>
      </c>
      <c r="AN294" s="95">
        <v>123478</v>
      </c>
      <c r="AO294" s="95">
        <v>123599000</v>
      </c>
      <c r="AP294" s="95">
        <v>126609</v>
      </c>
      <c r="AQ294" s="95">
        <v>130543</v>
      </c>
      <c r="AR294" s="95">
        <v>131592</v>
      </c>
    </row>
    <row r="295" spans="1:44" ht="12.5" x14ac:dyDescent="0.25">
      <c r="A295" s="95" t="s">
        <v>518</v>
      </c>
      <c r="B295" s="95" t="s">
        <v>276</v>
      </c>
      <c r="C295" s="95">
        <f t="shared" si="12"/>
        <v>6670.5</v>
      </c>
      <c r="D295" s="95">
        <f t="shared" si="13"/>
        <v>6964.2</v>
      </c>
      <c r="E295" s="184">
        <v>11704000</v>
      </c>
      <c r="F295" s="184">
        <f t="shared" si="14"/>
        <v>25046103.696224518</v>
      </c>
      <c r="G295" s="95">
        <v>2302</v>
      </c>
      <c r="H295" s="95">
        <v>2289</v>
      </c>
      <c r="I295" s="95">
        <v>8708</v>
      </c>
      <c r="J295" s="95">
        <v>10040</v>
      </c>
      <c r="K295" s="95">
        <v>6582</v>
      </c>
      <c r="L295" s="95">
        <v>6342</v>
      </c>
      <c r="M295" s="95">
        <v>13389</v>
      </c>
      <c r="N295" s="95">
        <v>16004</v>
      </c>
      <c r="O295" s="95">
        <v>9118</v>
      </c>
      <c r="P295" s="95">
        <v>8198</v>
      </c>
      <c r="Q295" s="95">
        <v>5471</v>
      </c>
      <c r="R295" s="95">
        <v>5519</v>
      </c>
      <c r="S295" s="95">
        <v>2431</v>
      </c>
      <c r="T295" s="95">
        <v>1248</v>
      </c>
      <c r="U295" s="95">
        <v>2946</v>
      </c>
      <c r="V295" s="95">
        <v>3166</v>
      </c>
      <c r="W295" s="95">
        <v>3236</v>
      </c>
      <c r="X295" s="95">
        <v>5044</v>
      </c>
      <c r="Y295" s="95">
        <v>12522</v>
      </c>
      <c r="Z295" s="95">
        <v>11792</v>
      </c>
      <c r="AA295" s="95">
        <v>68473</v>
      </c>
      <c r="AB295" s="95">
        <v>192789</v>
      </c>
      <c r="AC295" s="95">
        <v>201018</v>
      </c>
      <c r="AF295"/>
      <c r="AG295"/>
      <c r="AH295" s="95">
        <v>67604</v>
      </c>
      <c r="AI295" s="95">
        <v>67810</v>
      </c>
      <c r="AJ295" s="95">
        <v>68356</v>
      </c>
      <c r="AK295" s="95">
        <v>68590</v>
      </c>
      <c r="AL295" s="95">
        <v>68617</v>
      </c>
      <c r="AM295" s="95">
        <v>171703</v>
      </c>
      <c r="AN295" s="95">
        <v>184822</v>
      </c>
      <c r="AO295" s="95">
        <v>194427000</v>
      </c>
      <c r="AP295" s="95">
        <v>192789</v>
      </c>
      <c r="AQ295" s="95">
        <v>201018</v>
      </c>
      <c r="AR295" s="95">
        <v>200156</v>
      </c>
    </row>
    <row r="296" spans="1:44" ht="12.5" x14ac:dyDescent="0.25">
      <c r="A296" s="95" t="s">
        <v>526</v>
      </c>
      <c r="B296" s="95" t="s">
        <v>425</v>
      </c>
      <c r="C296" s="95">
        <f t="shared" si="12"/>
        <v>29487.4</v>
      </c>
      <c r="D296" s="95">
        <f t="shared" si="13"/>
        <v>32940.300000000003</v>
      </c>
      <c r="E296" s="184">
        <v>13380000</v>
      </c>
      <c r="F296" s="184">
        <f t="shared" si="14"/>
        <v>37356454.051787093</v>
      </c>
      <c r="G296" s="95">
        <v>35007</v>
      </c>
      <c r="H296" s="95">
        <v>35496</v>
      </c>
      <c r="I296" s="95">
        <v>123420</v>
      </c>
      <c r="J296" s="95">
        <v>142287</v>
      </c>
      <c r="K296" s="95">
        <v>16263</v>
      </c>
      <c r="L296" s="95">
        <v>17799</v>
      </c>
      <c r="M296" s="95">
        <v>17774</v>
      </c>
      <c r="N296" s="95">
        <v>20217</v>
      </c>
      <c r="O296" s="95">
        <v>45801</v>
      </c>
      <c r="P296" s="95">
        <v>47149</v>
      </c>
      <c r="Q296" s="95">
        <v>21975</v>
      </c>
      <c r="R296" s="95">
        <v>23847</v>
      </c>
      <c r="S296" s="95">
        <v>11879</v>
      </c>
      <c r="T296" s="95">
        <v>13331</v>
      </c>
      <c r="U296" s="95">
        <v>9680</v>
      </c>
      <c r="V296" s="95">
        <v>19683</v>
      </c>
      <c r="W296" s="95">
        <v>4729</v>
      </c>
      <c r="X296" s="95">
        <v>3716</v>
      </c>
      <c r="Y296" s="95">
        <v>8346</v>
      </c>
      <c r="Z296" s="95">
        <v>5878</v>
      </c>
      <c r="AA296" s="95">
        <v>102128</v>
      </c>
      <c r="AB296" s="95">
        <v>318263</v>
      </c>
      <c r="AC296" s="95">
        <v>291322</v>
      </c>
      <c r="AF296"/>
      <c r="AG296"/>
      <c r="AH296" s="95">
        <v>101023</v>
      </c>
      <c r="AI296" s="95">
        <v>101228</v>
      </c>
      <c r="AJ296" s="95">
        <v>101578</v>
      </c>
      <c r="AK296" s="95">
        <v>101869</v>
      </c>
      <c r="AL296" s="95">
        <v>101988</v>
      </c>
      <c r="AM296" s="95">
        <v>309042</v>
      </c>
      <c r="AN296" s="95">
        <v>297289</v>
      </c>
      <c r="AO296" s="95">
        <v>325673000</v>
      </c>
      <c r="AP296" s="95">
        <v>318263</v>
      </c>
      <c r="AQ296" s="95">
        <v>291322</v>
      </c>
      <c r="AR296" s="95">
        <v>286434</v>
      </c>
    </row>
    <row r="297" spans="1:44" ht="12.5" x14ac:dyDescent="0.25">
      <c r="A297" s="95" t="s">
        <v>526</v>
      </c>
      <c r="B297" s="95" t="s">
        <v>426</v>
      </c>
      <c r="C297" s="95">
        <f t="shared" si="12"/>
        <v>7292.9</v>
      </c>
      <c r="D297" s="95">
        <f t="shared" si="13"/>
        <v>7135.8</v>
      </c>
      <c r="E297" s="184">
        <v>7257000</v>
      </c>
      <c r="F297" s="184">
        <f t="shared" si="14"/>
        <v>16084110.112458698</v>
      </c>
      <c r="G297" s="95">
        <v>-2913</v>
      </c>
      <c r="H297" s="95">
        <v>-4842</v>
      </c>
      <c r="I297" s="95">
        <v>20896</v>
      </c>
      <c r="J297" s="95">
        <v>19965</v>
      </c>
      <c r="K297" s="95">
        <v>25184</v>
      </c>
      <c r="L297" s="95">
        <v>25202</v>
      </c>
      <c r="M297" s="95">
        <v>12016</v>
      </c>
      <c r="N297" s="95">
        <v>13422</v>
      </c>
      <c r="O297" s="95">
        <v>19099</v>
      </c>
      <c r="P297" s="95">
        <v>22625</v>
      </c>
      <c r="Q297" s="95">
        <v>111</v>
      </c>
      <c r="R297" s="95">
        <v>-73</v>
      </c>
      <c r="S297" s="95">
        <v>-541</v>
      </c>
      <c r="T297" s="95">
        <v>-1207</v>
      </c>
      <c r="U297" s="95">
        <v>-599</v>
      </c>
      <c r="V297" s="95">
        <v>-1749</v>
      </c>
      <c r="W297" s="95">
        <v>-123</v>
      </c>
      <c r="X297" s="95">
        <v>-885</v>
      </c>
      <c r="Y297" s="95">
        <v>-201</v>
      </c>
      <c r="Z297" s="95">
        <v>-1100</v>
      </c>
      <c r="AA297" s="95">
        <v>43972</v>
      </c>
      <c r="AB297" s="95">
        <v>101651</v>
      </c>
      <c r="AC297" s="95">
        <v>112953</v>
      </c>
      <c r="AF297"/>
      <c r="AG297"/>
      <c r="AH297" s="95">
        <v>43566</v>
      </c>
      <c r="AI297" s="95">
        <v>43346</v>
      </c>
      <c r="AJ297" s="95">
        <v>43312</v>
      </c>
      <c r="AK297" s="95">
        <v>43596</v>
      </c>
      <c r="AL297" s="95">
        <v>43713</v>
      </c>
      <c r="AM297" s="95">
        <v>102958</v>
      </c>
      <c r="AN297" s="95">
        <v>98547</v>
      </c>
      <c r="AO297" s="95">
        <v>100384000</v>
      </c>
      <c r="AP297" s="95">
        <v>101651</v>
      </c>
      <c r="AQ297" s="95">
        <v>112953</v>
      </c>
      <c r="AR297" s="95">
        <v>123779</v>
      </c>
    </row>
    <row r="298" spans="1:44" ht="12.5" x14ac:dyDescent="0.25">
      <c r="A298" s="95" t="s">
        <v>524</v>
      </c>
      <c r="B298" s="95" t="s">
        <v>605</v>
      </c>
      <c r="C298" s="95">
        <f t="shared" si="12"/>
        <v>7796.8</v>
      </c>
      <c r="D298" s="95">
        <f t="shared" si="13"/>
        <v>8143.1</v>
      </c>
      <c r="E298" s="184">
        <v>7878000</v>
      </c>
      <c r="F298" s="184">
        <f t="shared" si="14"/>
        <v>21504614.700754102</v>
      </c>
      <c r="G298" s="95">
        <v>18143</v>
      </c>
      <c r="H298" s="95">
        <v>18143</v>
      </c>
      <c r="I298" s="95">
        <v>5869</v>
      </c>
      <c r="J298" s="95">
        <v>7874</v>
      </c>
      <c r="K298" s="95">
        <v>12908</v>
      </c>
      <c r="L298" s="95">
        <v>13452</v>
      </c>
      <c r="M298" s="95">
        <v>6130</v>
      </c>
      <c r="N298" s="95">
        <v>7475</v>
      </c>
      <c r="O298" s="95">
        <v>6536</v>
      </c>
      <c r="P298" s="95">
        <v>5708</v>
      </c>
      <c r="Q298" s="95">
        <v>5241</v>
      </c>
      <c r="R298" s="95">
        <v>5578</v>
      </c>
      <c r="S298" s="95">
        <v>4650</v>
      </c>
      <c r="T298" s="95">
        <v>4909</v>
      </c>
      <c r="U298" s="95">
        <v>0</v>
      </c>
      <c r="V298" s="95" t="s">
        <v>623</v>
      </c>
      <c r="W298" s="95">
        <v>4650</v>
      </c>
      <c r="X298" s="95">
        <v>4909</v>
      </c>
      <c r="Y298" s="95">
        <v>13841</v>
      </c>
      <c r="Z298" s="95">
        <v>13383</v>
      </c>
      <c r="AA298" s="95">
        <v>58791</v>
      </c>
      <c r="AB298" s="95">
        <v>140192</v>
      </c>
      <c r="AC298" s="95">
        <v>140192</v>
      </c>
      <c r="AF298"/>
      <c r="AH298" s="95">
        <v>54455</v>
      </c>
      <c r="AI298" s="95">
        <v>54990</v>
      </c>
      <c r="AJ298" s="95">
        <v>55703</v>
      </c>
      <c r="AK298" s="95">
        <v>56740</v>
      </c>
      <c r="AL298" s="95">
        <v>57829</v>
      </c>
      <c r="AM298" s="95">
        <v>139568</v>
      </c>
      <c r="AN298" s="95">
        <v>152173</v>
      </c>
      <c r="AO298" s="95">
        <v>138001000</v>
      </c>
      <c r="AP298" s="95">
        <v>140192</v>
      </c>
      <c r="AQ298" s="280">
        <v>140192</v>
      </c>
      <c r="AR298" s="95">
        <v>0</v>
      </c>
    </row>
    <row r="299" spans="1:44" ht="12.5" x14ac:dyDescent="0.25">
      <c r="A299" s="95" t="s">
        <v>521</v>
      </c>
      <c r="B299" s="95" t="s">
        <v>320</v>
      </c>
      <c r="C299" s="95">
        <f t="shared" si="12"/>
        <v>17175</v>
      </c>
      <c r="D299" s="95">
        <f t="shared" si="13"/>
        <v>19481.8</v>
      </c>
      <c r="E299" s="184">
        <v>11942000</v>
      </c>
      <c r="F299" s="184">
        <f t="shared" si="14"/>
        <v>27125932.907982912</v>
      </c>
      <c r="G299" s="95">
        <v>3578</v>
      </c>
      <c r="H299" s="95">
        <v>3293</v>
      </c>
      <c r="I299" s="95">
        <v>31948</v>
      </c>
      <c r="J299" s="95">
        <v>51939</v>
      </c>
      <c r="K299" s="95">
        <v>22894</v>
      </c>
      <c r="L299" s="95">
        <v>34719</v>
      </c>
      <c r="M299" s="95">
        <v>34912</v>
      </c>
      <c r="N299" s="95">
        <v>36943</v>
      </c>
      <c r="O299" s="95">
        <v>30091</v>
      </c>
      <c r="P299" s="95">
        <v>29582</v>
      </c>
      <c r="Q299" s="95">
        <v>16284</v>
      </c>
      <c r="R299" s="95">
        <v>10539</v>
      </c>
      <c r="S299" s="95">
        <v>7996</v>
      </c>
      <c r="T299" s="95">
        <v>5113</v>
      </c>
      <c r="U299" s="95">
        <v>13149</v>
      </c>
      <c r="V299" s="95">
        <v>8674</v>
      </c>
      <c r="W299" s="95">
        <v>4589</v>
      </c>
      <c r="X299" s="95">
        <v>6822</v>
      </c>
      <c r="Y299" s="95">
        <v>6309</v>
      </c>
      <c r="Z299" s="95">
        <v>7194</v>
      </c>
      <c r="AA299" s="95">
        <v>74159</v>
      </c>
      <c r="AB299" s="95">
        <v>315240</v>
      </c>
      <c r="AC299" s="95">
        <v>310651</v>
      </c>
      <c r="AF299"/>
      <c r="AG299"/>
      <c r="AH299" s="95">
        <v>72062</v>
      </c>
      <c r="AI299" s="95">
        <v>72051</v>
      </c>
      <c r="AJ299" s="95">
        <v>72455</v>
      </c>
      <c r="AK299" s="95">
        <v>73403</v>
      </c>
      <c r="AL299" s="95">
        <v>73924</v>
      </c>
      <c r="AM299" s="95">
        <v>327796</v>
      </c>
      <c r="AN299" s="95">
        <v>312995</v>
      </c>
      <c r="AO299" s="95">
        <v>317777000</v>
      </c>
      <c r="AP299" s="95">
        <v>315240</v>
      </c>
      <c r="AQ299" s="95">
        <v>310651</v>
      </c>
      <c r="AR299" s="95">
        <v>301124</v>
      </c>
    </row>
    <row r="300" spans="1:44" ht="12.5" x14ac:dyDescent="0.25">
      <c r="A300" s="95" t="s">
        <v>520</v>
      </c>
      <c r="B300" s="95" t="s">
        <v>139</v>
      </c>
      <c r="C300" s="95">
        <f t="shared" si="12"/>
        <v>39.9</v>
      </c>
      <c r="D300" s="95">
        <f t="shared" si="13"/>
        <v>35.299999999999997</v>
      </c>
      <c r="E300" s="184">
        <v>812000</v>
      </c>
      <c r="F300" s="184">
        <f t="shared" si="14"/>
        <v>437473.74907897308</v>
      </c>
      <c r="G300" s="95">
        <v>0</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399</v>
      </c>
      <c r="X300" s="95">
        <v>139</v>
      </c>
      <c r="Y300" s="95">
        <v>0</v>
      </c>
      <c r="Z300" s="95">
        <v>214</v>
      </c>
      <c r="AA300" s="95">
        <v>1196</v>
      </c>
      <c r="AB300" s="95">
        <v>11173</v>
      </c>
      <c r="AC300" s="95">
        <v>10734</v>
      </c>
      <c r="AG300"/>
      <c r="AH300" s="95">
        <v>1088</v>
      </c>
      <c r="AI300" s="95">
        <v>1133</v>
      </c>
      <c r="AJ300" s="95">
        <v>1139</v>
      </c>
      <c r="AK300" s="95">
        <v>1161</v>
      </c>
      <c r="AL300" s="95">
        <v>1194</v>
      </c>
      <c r="AM300" s="95">
        <v>7825</v>
      </c>
      <c r="AN300" s="95">
        <v>12085</v>
      </c>
      <c r="AO300" s="95">
        <v>11744000</v>
      </c>
      <c r="AP300" s="95">
        <v>11173</v>
      </c>
      <c r="AQ300" s="95">
        <v>10734</v>
      </c>
      <c r="AR300" s="95">
        <v>10657</v>
      </c>
    </row>
    <row r="301" spans="1:44" ht="12.5" x14ac:dyDescent="0.25">
      <c r="A301" s="95" t="s">
        <v>528</v>
      </c>
      <c r="B301" s="95" t="s">
        <v>342</v>
      </c>
      <c r="C301" s="95">
        <f t="shared" si="12"/>
        <v>18114.900000000001</v>
      </c>
      <c r="D301" s="95">
        <f t="shared" si="13"/>
        <v>32869.699999999997</v>
      </c>
      <c r="E301" s="184">
        <v>8011000</v>
      </c>
      <c r="F301" s="184">
        <f t="shared" si="14"/>
        <v>16301018.083364911</v>
      </c>
      <c r="G301" s="95">
        <v>20465</v>
      </c>
      <c r="H301" s="95">
        <v>22232</v>
      </c>
      <c r="I301" s="95">
        <v>15845</v>
      </c>
      <c r="J301" s="95">
        <v>17167</v>
      </c>
      <c r="K301" s="95">
        <v>10545</v>
      </c>
      <c r="L301" s="95">
        <v>12967</v>
      </c>
      <c r="M301" s="95">
        <v>12151</v>
      </c>
      <c r="N301" s="95">
        <v>27937</v>
      </c>
      <c r="O301" s="95">
        <v>21174</v>
      </c>
      <c r="P301" s="95">
        <v>104169</v>
      </c>
      <c r="Q301" s="95">
        <v>9484</v>
      </c>
      <c r="R301" s="95">
        <v>82553</v>
      </c>
      <c r="S301" s="95">
        <v>9401</v>
      </c>
      <c r="T301" s="95">
        <v>7713</v>
      </c>
      <c r="U301" s="95">
        <v>46684</v>
      </c>
      <c r="V301" s="95">
        <v>25239</v>
      </c>
      <c r="W301" s="95">
        <v>16091</v>
      </c>
      <c r="X301" s="95">
        <v>16090</v>
      </c>
      <c r="Y301" s="95">
        <v>19309</v>
      </c>
      <c r="Z301" s="95">
        <v>12630</v>
      </c>
      <c r="AA301" s="95">
        <v>44565</v>
      </c>
      <c r="AB301" s="95">
        <v>144669</v>
      </c>
      <c r="AC301" s="95">
        <v>141873</v>
      </c>
      <c r="AF301"/>
      <c r="AG301"/>
      <c r="AH301" s="95">
        <v>44399</v>
      </c>
      <c r="AI301" s="95">
        <v>44489</v>
      </c>
      <c r="AJ301" s="95">
        <v>44372</v>
      </c>
      <c r="AK301" s="95">
        <v>44466</v>
      </c>
      <c r="AL301" s="95">
        <v>44358</v>
      </c>
      <c r="AM301" s="95">
        <v>147622</v>
      </c>
      <c r="AN301" s="95">
        <v>134494</v>
      </c>
      <c r="AO301" s="95">
        <v>147698000</v>
      </c>
      <c r="AP301" s="95">
        <v>144669</v>
      </c>
      <c r="AQ301" s="95">
        <v>141873</v>
      </c>
      <c r="AR301" s="95">
        <v>0</v>
      </c>
    </row>
    <row r="302" spans="1:44" ht="12.5" x14ac:dyDescent="0.25">
      <c r="A302" s="95" t="s">
        <v>526</v>
      </c>
      <c r="B302" s="95" t="s">
        <v>427</v>
      </c>
      <c r="C302" s="95">
        <f t="shared" si="12"/>
        <v>610.9</v>
      </c>
      <c r="D302" s="95">
        <f t="shared" si="13"/>
        <v>513.79999999999995</v>
      </c>
      <c r="E302" s="184">
        <v>1405000</v>
      </c>
      <c r="F302" s="184">
        <f t="shared" si="14"/>
        <v>4544825.5286841476</v>
      </c>
      <c r="G302" s="95">
        <v>0</v>
      </c>
      <c r="H302" s="95">
        <v>0</v>
      </c>
      <c r="I302" s="95">
        <v>1273</v>
      </c>
      <c r="J302" s="95">
        <v>815</v>
      </c>
      <c r="K302" s="95">
        <v>1740</v>
      </c>
      <c r="L302" s="95">
        <v>795</v>
      </c>
      <c r="M302" s="95">
        <v>2066</v>
      </c>
      <c r="N302" s="95">
        <v>2304</v>
      </c>
      <c r="O302" s="95">
        <v>864</v>
      </c>
      <c r="P302" s="95">
        <v>864</v>
      </c>
      <c r="Q302" s="95">
        <v>166</v>
      </c>
      <c r="R302" s="95">
        <v>219</v>
      </c>
      <c r="S302" s="95">
        <v>0</v>
      </c>
      <c r="T302" s="95">
        <v>0</v>
      </c>
      <c r="U302" s="95">
        <v>0</v>
      </c>
      <c r="V302" s="95">
        <v>0</v>
      </c>
      <c r="W302" s="95">
        <v>0</v>
      </c>
      <c r="X302" s="95">
        <v>141</v>
      </c>
      <c r="Y302" s="95">
        <v>0</v>
      </c>
      <c r="Z302" s="95">
        <v>0</v>
      </c>
      <c r="AA302" s="95">
        <v>12425</v>
      </c>
      <c r="AB302" s="95">
        <v>34717</v>
      </c>
      <c r="AC302" s="95">
        <v>38220</v>
      </c>
      <c r="AF302"/>
      <c r="AG302"/>
      <c r="AH302" s="95">
        <v>12464</v>
      </c>
      <c r="AI302" s="95">
        <v>12391</v>
      </c>
      <c r="AJ302" s="95">
        <v>12452</v>
      </c>
      <c r="AK302" s="95">
        <v>12487</v>
      </c>
      <c r="AL302" s="95">
        <v>12466</v>
      </c>
      <c r="AM302" s="95">
        <v>28364</v>
      </c>
      <c r="AN302" s="95">
        <v>28620</v>
      </c>
      <c r="AO302" s="95">
        <v>30692000</v>
      </c>
      <c r="AP302" s="95">
        <v>34717</v>
      </c>
      <c r="AQ302" s="95">
        <v>38220</v>
      </c>
      <c r="AR302" s="95">
        <v>38410</v>
      </c>
    </row>
    <row r="303" spans="1:44" ht="12.5" x14ac:dyDescent="0.25">
      <c r="A303" s="95" t="s">
        <v>521</v>
      </c>
      <c r="B303" s="95" t="s">
        <v>321</v>
      </c>
      <c r="C303" s="95">
        <f t="shared" si="12"/>
        <v>3713.6</v>
      </c>
      <c r="D303" s="95">
        <f t="shared" si="13"/>
        <v>3656</v>
      </c>
      <c r="E303" s="184">
        <v>2588000</v>
      </c>
      <c r="F303" s="184">
        <f t="shared" si="14"/>
        <v>9373496.9012523107</v>
      </c>
      <c r="G303" s="95">
        <v>2578</v>
      </c>
      <c r="H303" s="95">
        <v>2641</v>
      </c>
      <c r="I303" s="95">
        <v>8763</v>
      </c>
      <c r="J303" s="95">
        <v>11495</v>
      </c>
      <c r="K303" s="95">
        <v>8641</v>
      </c>
      <c r="L303" s="95">
        <v>5312</v>
      </c>
      <c r="M303" s="95">
        <v>2688</v>
      </c>
      <c r="N303" s="95">
        <v>3303</v>
      </c>
      <c r="O303" s="95">
        <v>10409</v>
      </c>
      <c r="P303" s="95">
        <v>9935</v>
      </c>
      <c r="Q303" s="95">
        <v>1150</v>
      </c>
      <c r="R303" s="95">
        <v>1233</v>
      </c>
      <c r="S303" s="95">
        <v>1055</v>
      </c>
      <c r="T303" s="95">
        <v>920</v>
      </c>
      <c r="U303" s="95">
        <v>547</v>
      </c>
      <c r="V303" s="95">
        <v>1029</v>
      </c>
      <c r="W303" s="95">
        <v>1068</v>
      </c>
      <c r="X303" s="95">
        <v>429</v>
      </c>
      <c r="Y303" s="95">
        <v>237</v>
      </c>
      <c r="Z303" s="95">
        <v>263</v>
      </c>
      <c r="AA303" s="95">
        <v>25626</v>
      </c>
      <c r="AB303" s="95">
        <v>65566</v>
      </c>
      <c r="AC303" s="95">
        <v>65159</v>
      </c>
      <c r="AF303"/>
      <c r="AG303"/>
      <c r="AH303" s="95">
        <v>25319</v>
      </c>
      <c r="AI303" s="95">
        <v>25455</v>
      </c>
      <c r="AJ303" s="95">
        <v>25476</v>
      </c>
      <c r="AK303" s="95">
        <v>25598</v>
      </c>
      <c r="AL303" s="95">
        <v>25650</v>
      </c>
      <c r="AM303" s="95">
        <v>47303</v>
      </c>
      <c r="AN303" s="95">
        <v>47603</v>
      </c>
      <c r="AO303" s="95">
        <v>58326000</v>
      </c>
      <c r="AP303" s="95">
        <v>65566</v>
      </c>
      <c r="AQ303" s="95">
        <v>65159</v>
      </c>
      <c r="AR303" s="95">
        <v>64854</v>
      </c>
    </row>
    <row r="304" spans="1:44" ht="12.5" x14ac:dyDescent="0.25">
      <c r="A304" s="95" t="s">
        <v>519</v>
      </c>
      <c r="B304" s="95" t="s">
        <v>205</v>
      </c>
      <c r="C304" s="95">
        <f t="shared" si="12"/>
        <v>7903.4</v>
      </c>
      <c r="D304" s="95">
        <f t="shared" si="13"/>
        <v>7664.1</v>
      </c>
      <c r="E304" s="184">
        <v>3088000</v>
      </c>
      <c r="F304" s="184">
        <f t="shared" si="14"/>
        <v>9143055.0434598755</v>
      </c>
      <c r="G304" s="95">
        <v>3322</v>
      </c>
      <c r="H304" s="95">
        <v>3323</v>
      </c>
      <c r="I304" s="95">
        <v>14307</v>
      </c>
      <c r="J304" s="95">
        <v>13882</v>
      </c>
      <c r="K304" s="95">
        <v>6016</v>
      </c>
      <c r="L304" s="95">
        <v>7338</v>
      </c>
      <c r="M304" s="95">
        <v>8404</v>
      </c>
      <c r="N304" s="95">
        <v>8818</v>
      </c>
      <c r="O304" s="95">
        <v>8027</v>
      </c>
      <c r="P304" s="95">
        <v>8147</v>
      </c>
      <c r="Q304" s="95">
        <v>6452</v>
      </c>
      <c r="R304" s="95">
        <v>6628</v>
      </c>
      <c r="S304" s="95">
        <v>11146</v>
      </c>
      <c r="T304" s="95">
        <v>9858</v>
      </c>
      <c r="U304" s="95">
        <v>7970</v>
      </c>
      <c r="V304" s="95">
        <v>7590</v>
      </c>
      <c r="W304" s="95">
        <v>6357</v>
      </c>
      <c r="X304" s="95">
        <v>4968</v>
      </c>
      <c r="Y304" s="95">
        <v>7033</v>
      </c>
      <c r="Z304" s="95">
        <v>6089</v>
      </c>
      <c r="AA304" s="95">
        <v>24996</v>
      </c>
      <c r="AB304" s="95">
        <v>62044</v>
      </c>
      <c r="AC304" s="95">
        <v>62412</v>
      </c>
      <c r="AF304"/>
      <c r="AG304"/>
      <c r="AH304" s="95">
        <v>24200</v>
      </c>
      <c r="AI304" s="95">
        <v>24308</v>
      </c>
      <c r="AJ304" s="95">
        <v>24401</v>
      </c>
      <c r="AK304" s="95">
        <v>24562</v>
      </c>
      <c r="AL304" s="95">
        <v>24790</v>
      </c>
      <c r="AM304" s="95">
        <v>55125</v>
      </c>
      <c r="AN304" s="95">
        <v>47536</v>
      </c>
      <c r="AO304" s="95">
        <v>61170000</v>
      </c>
      <c r="AP304" s="95">
        <v>62044</v>
      </c>
      <c r="AQ304" s="95">
        <v>62412</v>
      </c>
      <c r="AR304" s="95">
        <v>64855</v>
      </c>
    </row>
    <row r="305" spans="1:44" ht="12.5" x14ac:dyDescent="0.25">
      <c r="A305" s="95" t="s">
        <v>517</v>
      </c>
      <c r="B305" s="95" t="s">
        <v>395</v>
      </c>
      <c r="C305" s="95">
        <f t="shared" si="12"/>
        <v>7882.2390911637021</v>
      </c>
      <c r="D305" s="95">
        <f t="shared" si="13"/>
        <v>6617.2113779582678</v>
      </c>
      <c r="E305" s="184">
        <v>5272000</v>
      </c>
      <c r="F305" s="184">
        <f t="shared" si="14"/>
        <v>11619390.562911922</v>
      </c>
      <c r="G305" s="95">
        <v>175</v>
      </c>
      <c r="H305" s="95">
        <v>174</v>
      </c>
      <c r="I305" s="95">
        <v>11230.927881249125</v>
      </c>
      <c r="J305" s="95">
        <v>11770.859753535919</v>
      </c>
      <c r="K305" s="95">
        <v>6016.4656910796803</v>
      </c>
      <c r="L305" s="95">
        <v>6652.6473883209637</v>
      </c>
      <c r="M305" s="95">
        <v>11933.35576249825</v>
      </c>
      <c r="N305" s="95">
        <v>9518.345749894972</v>
      </c>
      <c r="O305" s="95">
        <v>6573.1875087522758</v>
      </c>
      <c r="P305" s="95">
        <v>6612.1676235821315</v>
      </c>
      <c r="Q305" s="95">
        <v>7600.9862064136669</v>
      </c>
      <c r="R305" s="95">
        <v>6394.4211595014704</v>
      </c>
      <c r="S305" s="95">
        <v>14349.580871026466</v>
      </c>
      <c r="T305" s="95">
        <v>9056.7944265509032</v>
      </c>
      <c r="U305" s="95">
        <v>3660.4516174205291</v>
      </c>
      <c r="V305" s="95">
        <v>2652.2464640806611</v>
      </c>
      <c r="W305" s="95">
        <v>12278.673715165944</v>
      </c>
      <c r="X305" s="95">
        <v>10058.316692340008</v>
      </c>
      <c r="Y305" s="95">
        <v>5003.7616580310878</v>
      </c>
      <c r="Z305" s="95">
        <v>3282.3145217756619</v>
      </c>
      <c r="AA305" s="95">
        <v>31766</v>
      </c>
      <c r="AB305" s="95">
        <v>96016.336157400918</v>
      </c>
      <c r="AC305" s="95">
        <v>883162.13310460723</v>
      </c>
      <c r="AF305"/>
      <c r="AG305"/>
      <c r="AH305" s="95">
        <v>30899.04824254306</v>
      </c>
      <c r="AI305" s="95">
        <v>31211.432922559863</v>
      </c>
      <c r="AJ305" s="95">
        <v>31201.547192269991</v>
      </c>
      <c r="AK305" s="95">
        <v>31422.791345749894</v>
      </c>
      <c r="AL305" s="95">
        <v>31613.187368715866</v>
      </c>
      <c r="AM305" s="95">
        <v>84513.706203612935</v>
      </c>
      <c r="AN305" s="95">
        <v>91699.76263828596</v>
      </c>
      <c r="AO305" s="95">
        <v>96016659.08136116</v>
      </c>
      <c r="AP305" s="95">
        <v>833191.60509732529</v>
      </c>
      <c r="AQ305" s="95">
        <v>883162.13310460723</v>
      </c>
      <c r="AR305" s="95">
        <v>922401.07351911499</v>
      </c>
    </row>
    <row r="306" spans="1:44" ht="12.5" x14ac:dyDescent="0.25">
      <c r="A306" s="95" t="s">
        <v>520</v>
      </c>
      <c r="B306" s="95" t="s">
        <v>606</v>
      </c>
      <c r="C306" s="95">
        <f t="shared" si="12"/>
        <v>3480.7</v>
      </c>
      <c r="D306" s="95">
        <f t="shared" si="13"/>
        <v>3840.2599999999998</v>
      </c>
      <c r="E306" s="184">
        <v>3737000</v>
      </c>
      <c r="F306" s="184">
        <f t="shared" si="14"/>
        <v>16943329.039370496</v>
      </c>
      <c r="G306" s="95">
        <v>351</v>
      </c>
      <c r="H306" s="95">
        <v>508</v>
      </c>
      <c r="I306" s="95">
        <v>4766</v>
      </c>
      <c r="J306" s="95">
        <v>5168.2</v>
      </c>
      <c r="K306" s="95">
        <v>4803.3999999999996</v>
      </c>
      <c r="L306" s="95">
        <v>8841.6</v>
      </c>
      <c r="M306" s="95">
        <v>1786.6</v>
      </c>
      <c r="N306" s="95">
        <v>2797.8</v>
      </c>
      <c r="O306" s="95">
        <v>4653</v>
      </c>
      <c r="P306" s="95">
        <v>4421</v>
      </c>
      <c r="Q306" s="95">
        <v>11429</v>
      </c>
      <c r="R306" s="95">
        <v>9520</v>
      </c>
      <c r="S306" s="95">
        <v>3913</v>
      </c>
      <c r="T306" s="95">
        <v>3295</v>
      </c>
      <c r="U306" s="95">
        <v>751</v>
      </c>
      <c r="V306" s="95">
        <v>1338</v>
      </c>
      <c r="W306" s="237">
        <v>1145</v>
      </c>
      <c r="X306" s="237">
        <v>1142</v>
      </c>
      <c r="Y306" s="95">
        <v>1209</v>
      </c>
      <c r="Z306" s="95">
        <v>1371</v>
      </c>
      <c r="AA306" s="95">
        <v>46321</v>
      </c>
      <c r="AB306" s="95">
        <v>85184.991174848314</v>
      </c>
      <c r="AC306" s="95">
        <v>84908</v>
      </c>
      <c r="AF306"/>
      <c r="AG306"/>
      <c r="AH306" s="95">
        <v>46301</v>
      </c>
      <c r="AI306" s="95">
        <v>46323.199999999997</v>
      </c>
      <c r="AJ306" s="95">
        <v>46133</v>
      </c>
      <c r="AK306" s="95">
        <v>46062</v>
      </c>
      <c r="AL306" s="95">
        <v>46149</v>
      </c>
      <c r="AM306" s="95">
        <v>80946.399999999994</v>
      </c>
      <c r="AN306" s="95">
        <v>79135</v>
      </c>
      <c r="AO306" s="95">
        <v>85728600</v>
      </c>
      <c r="AP306" s="95">
        <v>85184.991174848314</v>
      </c>
      <c r="AQ306" s="95">
        <v>84908</v>
      </c>
      <c r="AR306" s="95">
        <v>80486</v>
      </c>
    </row>
    <row r="307" spans="1:44" ht="12.5" x14ac:dyDescent="0.25">
      <c r="A307" s="95" t="s">
        <v>517</v>
      </c>
      <c r="B307" s="95" t="s">
        <v>396</v>
      </c>
      <c r="C307" s="95">
        <f t="shared" si="12"/>
        <v>2940</v>
      </c>
      <c r="D307" s="95">
        <f t="shared" si="13"/>
        <v>2781.7</v>
      </c>
      <c r="E307" s="184">
        <v>1659000</v>
      </c>
      <c r="F307" s="184">
        <f t="shared" si="14"/>
        <v>6449079.9916483061</v>
      </c>
      <c r="G307" s="95">
        <v>531</v>
      </c>
      <c r="H307" s="95">
        <v>531</v>
      </c>
      <c r="I307" s="95">
        <v>3176</v>
      </c>
      <c r="J307" s="95">
        <v>3265</v>
      </c>
      <c r="K307" s="95">
        <v>1545</v>
      </c>
      <c r="L307" s="95">
        <v>1584</v>
      </c>
      <c r="M307" s="95">
        <v>3057</v>
      </c>
      <c r="N307" s="95">
        <v>3674</v>
      </c>
      <c r="O307" s="95">
        <v>2583</v>
      </c>
      <c r="P307" s="95">
        <v>2596</v>
      </c>
      <c r="Q307" s="95">
        <v>1485</v>
      </c>
      <c r="R307" s="95">
        <v>1455</v>
      </c>
      <c r="S307" s="95">
        <v>4238</v>
      </c>
      <c r="T307" s="95">
        <v>3298</v>
      </c>
      <c r="U307" s="95">
        <v>5907</v>
      </c>
      <c r="V307" s="95">
        <v>4673</v>
      </c>
      <c r="W307" s="95">
        <v>3580</v>
      </c>
      <c r="X307" s="95">
        <v>3838</v>
      </c>
      <c r="Y307" s="95">
        <v>3298</v>
      </c>
      <c r="Z307" s="95">
        <v>2903</v>
      </c>
      <c r="AA307" s="95">
        <v>17631</v>
      </c>
      <c r="AB307" s="95">
        <v>30753</v>
      </c>
      <c r="AC307" s="95">
        <v>33325</v>
      </c>
      <c r="AG307"/>
      <c r="AH307" s="95">
        <v>16898</v>
      </c>
      <c r="AI307" s="95">
        <v>17077</v>
      </c>
      <c r="AJ307" s="95">
        <v>17253</v>
      </c>
      <c r="AK307" s="95">
        <v>17455</v>
      </c>
      <c r="AL307" s="95">
        <v>17544</v>
      </c>
      <c r="AM307" s="95">
        <v>19804</v>
      </c>
      <c r="AN307" s="95">
        <v>20604</v>
      </c>
      <c r="AO307" s="95">
        <v>23503000</v>
      </c>
      <c r="AP307" s="95">
        <v>30753</v>
      </c>
      <c r="AQ307" s="95">
        <v>33325</v>
      </c>
      <c r="AR307" s="95">
        <v>31768</v>
      </c>
    </row>
    <row r="308" spans="1:44" ht="12.5" x14ac:dyDescent="0.25">
      <c r="A308" s="95" t="s">
        <v>517</v>
      </c>
      <c r="B308" s="95" t="s">
        <v>397</v>
      </c>
      <c r="C308" s="95">
        <f t="shared" si="12"/>
        <v>13827.8</v>
      </c>
      <c r="D308" s="95">
        <f t="shared" si="13"/>
        <v>13214</v>
      </c>
      <c r="E308" s="184">
        <v>8375000</v>
      </c>
      <c r="F308" s="184">
        <f t="shared" si="14"/>
        <v>18051644.641134113</v>
      </c>
      <c r="G308" s="95">
        <v>7275</v>
      </c>
      <c r="H308" s="95">
        <v>7780</v>
      </c>
      <c r="I308" s="95">
        <v>31084</v>
      </c>
      <c r="J308" s="95">
        <v>25344</v>
      </c>
      <c r="K308" s="95">
        <v>13714</v>
      </c>
      <c r="L308" s="95">
        <v>17679</v>
      </c>
      <c r="M308" s="95">
        <v>8162</v>
      </c>
      <c r="N308" s="95">
        <v>8292</v>
      </c>
      <c r="O308" s="95">
        <v>20263</v>
      </c>
      <c r="P308" s="95">
        <v>17821</v>
      </c>
      <c r="Q308" s="95">
        <v>15066</v>
      </c>
      <c r="R308" s="95">
        <v>13891</v>
      </c>
      <c r="S308" s="95">
        <v>15027</v>
      </c>
      <c r="T308" s="95">
        <v>13639</v>
      </c>
      <c r="U308" s="95">
        <v>6124</v>
      </c>
      <c r="V308" s="95">
        <v>6639</v>
      </c>
      <c r="W308" s="95">
        <v>8419</v>
      </c>
      <c r="X308" s="95">
        <v>7456</v>
      </c>
      <c r="Y308" s="95">
        <v>13144</v>
      </c>
      <c r="Z308" s="95">
        <v>13599</v>
      </c>
      <c r="AA308" s="95">
        <v>49351</v>
      </c>
      <c r="AB308" s="95">
        <v>216584</v>
      </c>
      <c r="AC308" s="95">
        <v>207050</v>
      </c>
      <c r="AF308"/>
      <c r="AG308"/>
      <c r="AH308" s="95">
        <v>47417</v>
      </c>
      <c r="AI308" s="95">
        <v>47726</v>
      </c>
      <c r="AJ308" s="95">
        <v>48256</v>
      </c>
      <c r="AK308" s="95">
        <v>48653</v>
      </c>
      <c r="AL308" s="95">
        <v>48815</v>
      </c>
      <c r="AM308" s="95">
        <v>190395</v>
      </c>
      <c r="AN308" s="95">
        <v>190112</v>
      </c>
      <c r="AO308" s="95">
        <v>206329000</v>
      </c>
      <c r="AP308" s="95">
        <v>216584</v>
      </c>
      <c r="AQ308" s="95">
        <v>207050</v>
      </c>
      <c r="AR308" s="95">
        <v>222121</v>
      </c>
    </row>
    <row r="309" spans="1:44" ht="12.5" x14ac:dyDescent="0.25">
      <c r="A309" s="95" t="s">
        <v>521</v>
      </c>
      <c r="B309" s="95" t="s">
        <v>322</v>
      </c>
      <c r="C309" s="95">
        <f t="shared" si="12"/>
        <v>23632.400000000001</v>
      </c>
      <c r="D309" s="95">
        <f t="shared" si="13"/>
        <v>24694.3</v>
      </c>
      <c r="E309" s="184">
        <v>4439000</v>
      </c>
      <c r="F309" s="184">
        <f t="shared" si="14"/>
        <v>11462836.411903728</v>
      </c>
      <c r="G309" s="95">
        <v>22126</v>
      </c>
      <c r="H309" s="95">
        <v>22200</v>
      </c>
      <c r="I309" s="95">
        <v>72771</v>
      </c>
      <c r="J309" s="95">
        <v>76617</v>
      </c>
      <c r="K309" s="95">
        <v>29135</v>
      </c>
      <c r="L309" s="95">
        <v>31518</v>
      </c>
      <c r="M309" s="95">
        <v>16866</v>
      </c>
      <c r="N309" s="95">
        <v>18020</v>
      </c>
      <c r="O309" s="95">
        <v>15387</v>
      </c>
      <c r="P309" s="95">
        <v>16008</v>
      </c>
      <c r="Q309" s="95">
        <v>19480</v>
      </c>
      <c r="R309" s="95">
        <v>17702</v>
      </c>
      <c r="S309" s="95">
        <v>10429</v>
      </c>
      <c r="T309" s="95">
        <v>10664</v>
      </c>
      <c r="U309" s="95">
        <v>27465</v>
      </c>
      <c r="V309" s="95">
        <v>27398</v>
      </c>
      <c r="W309" s="95">
        <v>8828</v>
      </c>
      <c r="X309" s="95">
        <v>12821</v>
      </c>
      <c r="Y309" s="95">
        <v>13837</v>
      </c>
      <c r="Z309" s="95">
        <v>13995</v>
      </c>
      <c r="AA309" s="95">
        <v>31338</v>
      </c>
      <c r="AB309" s="95">
        <v>80526</v>
      </c>
      <c r="AC309" s="95">
        <v>80526</v>
      </c>
      <c r="AF309"/>
      <c r="AG309"/>
      <c r="AH309" s="95">
        <v>26536</v>
      </c>
      <c r="AI309" s="95">
        <v>27557</v>
      </c>
      <c r="AJ309" s="95">
        <v>28311</v>
      </c>
      <c r="AK309" s="95">
        <v>29122</v>
      </c>
      <c r="AL309" s="95">
        <v>30479</v>
      </c>
      <c r="AM309" s="95">
        <v>54309</v>
      </c>
      <c r="AN309" s="95">
        <v>55152</v>
      </c>
      <c r="AO309" s="95">
        <v>62274000</v>
      </c>
      <c r="AP309" s="280">
        <v>80526</v>
      </c>
      <c r="AQ309" s="95">
        <v>80526</v>
      </c>
      <c r="AR309" s="95">
        <v>92474</v>
      </c>
    </row>
    <row r="310" spans="1:44" ht="12.5" x14ac:dyDescent="0.25">
      <c r="A310" s="95" t="s">
        <v>519</v>
      </c>
      <c r="B310" s="95" t="s">
        <v>206</v>
      </c>
      <c r="C310" s="95">
        <f t="shared" si="12"/>
        <v>3041.8</v>
      </c>
      <c r="D310" s="95">
        <f t="shared" si="13"/>
        <v>2803.7</v>
      </c>
      <c r="E310" s="184">
        <v>4905000</v>
      </c>
      <c r="F310" s="184">
        <f t="shared" si="14"/>
        <v>14603429.730960635</v>
      </c>
      <c r="G310" s="95">
        <v>335</v>
      </c>
      <c r="H310" s="95">
        <v>280</v>
      </c>
      <c r="I310" s="95">
        <v>5603</v>
      </c>
      <c r="J310" s="95">
        <v>6025</v>
      </c>
      <c r="K310" s="95">
        <v>5069</v>
      </c>
      <c r="L310" s="95">
        <v>3579</v>
      </c>
      <c r="M310" s="95">
        <v>2648</v>
      </c>
      <c r="N310" s="95">
        <v>3926</v>
      </c>
      <c r="O310" s="95">
        <v>6981</v>
      </c>
      <c r="P310" s="95">
        <v>6175</v>
      </c>
      <c r="Q310" s="95">
        <v>1202</v>
      </c>
      <c r="R310" s="95">
        <v>1661</v>
      </c>
      <c r="S310" s="95">
        <v>6068</v>
      </c>
      <c r="T310" s="95">
        <v>4560</v>
      </c>
      <c r="U310" s="95">
        <v>236</v>
      </c>
      <c r="V310" s="95">
        <v>186</v>
      </c>
      <c r="W310" s="95">
        <v>2178</v>
      </c>
      <c r="X310" s="95">
        <v>1370</v>
      </c>
      <c r="Y310" s="95">
        <v>98</v>
      </c>
      <c r="Z310" s="95">
        <v>275</v>
      </c>
      <c r="AA310" s="95">
        <v>39924</v>
      </c>
      <c r="AB310" s="95">
        <v>85230</v>
      </c>
      <c r="AC310" s="95">
        <v>89860</v>
      </c>
      <c r="AF310"/>
      <c r="AG310"/>
      <c r="AH310" s="95">
        <v>38497</v>
      </c>
      <c r="AI310" s="95">
        <v>38380</v>
      </c>
      <c r="AJ310" s="95">
        <v>38781</v>
      </c>
      <c r="AK310" s="95">
        <v>39607</v>
      </c>
      <c r="AL310" s="95">
        <v>39635</v>
      </c>
      <c r="AM310" s="95">
        <v>85652</v>
      </c>
      <c r="AN310" s="95">
        <v>71176</v>
      </c>
      <c r="AO310" s="95">
        <v>87964000</v>
      </c>
      <c r="AP310" s="95">
        <v>85230</v>
      </c>
      <c r="AQ310" s="95">
        <v>89860</v>
      </c>
      <c r="AR310" s="95">
        <v>83182</v>
      </c>
    </row>
    <row r="311" spans="1:44" ht="12.5" x14ac:dyDescent="0.25">
      <c r="A311" s="95" t="s">
        <v>521</v>
      </c>
      <c r="B311" s="95" t="s">
        <v>323</v>
      </c>
      <c r="C311" s="95">
        <f t="shared" si="12"/>
        <v>250.2</v>
      </c>
      <c r="D311" s="95">
        <f t="shared" si="13"/>
        <v>275.5</v>
      </c>
      <c r="E311" s="184">
        <v>2383000</v>
      </c>
      <c r="F311" s="184">
        <f t="shared" si="14"/>
        <v>9914486.5959745534</v>
      </c>
      <c r="G311" s="95">
        <v>0</v>
      </c>
      <c r="H311" s="95">
        <v>8</v>
      </c>
      <c r="I311" s="95">
        <v>2447</v>
      </c>
      <c r="J311" s="95">
        <v>223</v>
      </c>
      <c r="K311" s="95">
        <v>23</v>
      </c>
      <c r="L311" s="95">
        <v>685</v>
      </c>
      <c r="M311" s="95">
        <v>0</v>
      </c>
      <c r="N311" s="95">
        <v>857</v>
      </c>
      <c r="O311" s="95">
        <v>13</v>
      </c>
      <c r="P311" s="95">
        <v>441</v>
      </c>
      <c r="Q311" s="95">
        <v>0</v>
      </c>
      <c r="R311" s="95">
        <v>440</v>
      </c>
      <c r="S311" s="95">
        <v>19</v>
      </c>
      <c r="T311" s="95">
        <v>15</v>
      </c>
      <c r="U311" s="95">
        <v>0</v>
      </c>
      <c r="V311" s="95">
        <v>28</v>
      </c>
      <c r="W311" s="95">
        <v>0</v>
      </c>
      <c r="X311" s="95">
        <v>38</v>
      </c>
      <c r="Y311" s="95">
        <v>0</v>
      </c>
      <c r="Z311" s="95">
        <v>20</v>
      </c>
      <c r="AA311" s="95">
        <v>27105</v>
      </c>
      <c r="AB311" s="95">
        <v>37238</v>
      </c>
      <c r="AC311" s="95">
        <v>37231</v>
      </c>
      <c r="AF311"/>
      <c r="AG311"/>
      <c r="AH311" s="95">
        <v>26051</v>
      </c>
      <c r="AI311" s="95">
        <v>26102</v>
      </c>
      <c r="AJ311" s="95">
        <v>26189</v>
      </c>
      <c r="AK311" s="95">
        <v>26187</v>
      </c>
      <c r="AL311" s="95">
        <v>26949</v>
      </c>
      <c r="AM311" s="95">
        <v>40515</v>
      </c>
      <c r="AN311" s="95">
        <v>38431</v>
      </c>
      <c r="AO311" s="95">
        <v>37291000</v>
      </c>
      <c r="AP311" s="95">
        <v>37238</v>
      </c>
      <c r="AQ311" s="95">
        <v>37231</v>
      </c>
      <c r="AR311" s="95">
        <v>36989</v>
      </c>
    </row>
    <row r="312" spans="1:44" ht="12.5" x14ac:dyDescent="0.25">
      <c r="A312" s="95" t="s">
        <v>518</v>
      </c>
      <c r="B312" s="95" t="s">
        <v>277</v>
      </c>
      <c r="C312" s="95">
        <f t="shared" si="12"/>
        <v>17.899999999999999</v>
      </c>
      <c r="D312" s="95">
        <f t="shared" si="13"/>
        <v>22.3</v>
      </c>
      <c r="E312" s="184">
        <v>2329000</v>
      </c>
      <c r="F312" s="184">
        <f t="shared" si="14"/>
        <v>6341540.4580118358</v>
      </c>
      <c r="G312" s="95">
        <v>0</v>
      </c>
      <c r="H312" s="95">
        <v>0</v>
      </c>
      <c r="I312" s="95">
        <v>106</v>
      </c>
      <c r="J312" s="95">
        <v>162</v>
      </c>
      <c r="K312" s="95">
        <v>73</v>
      </c>
      <c r="L312" s="95">
        <v>46</v>
      </c>
      <c r="M312" s="95">
        <v>0</v>
      </c>
      <c r="N312" s="95">
        <v>9</v>
      </c>
      <c r="O312" s="95">
        <v>0</v>
      </c>
      <c r="P312" s="95">
        <v>3</v>
      </c>
      <c r="Q312" s="95">
        <v>0</v>
      </c>
      <c r="R312" s="95">
        <v>3</v>
      </c>
      <c r="S312" s="95">
        <v>0</v>
      </c>
      <c r="T312" s="95">
        <v>0</v>
      </c>
      <c r="U312" s="95">
        <v>0</v>
      </c>
      <c r="V312" s="95">
        <v>0</v>
      </c>
      <c r="W312" s="95">
        <v>0</v>
      </c>
      <c r="X312" s="95">
        <v>0</v>
      </c>
      <c r="Y312" s="95">
        <v>0</v>
      </c>
      <c r="Z312" s="95">
        <v>0</v>
      </c>
      <c r="AA312" s="95">
        <v>17337</v>
      </c>
      <c r="AB312" s="95">
        <v>25903</v>
      </c>
      <c r="AC312" s="95">
        <v>29576</v>
      </c>
      <c r="AF312"/>
      <c r="AG312"/>
      <c r="AH312" s="95">
        <v>17291</v>
      </c>
      <c r="AI312" s="95">
        <v>17260</v>
      </c>
      <c r="AJ312" s="95">
        <v>17306</v>
      </c>
      <c r="AK312" s="95">
        <v>17430</v>
      </c>
      <c r="AL312" s="95">
        <v>17312</v>
      </c>
      <c r="AM312" s="95">
        <v>26122</v>
      </c>
      <c r="AN312" s="95">
        <v>24887</v>
      </c>
      <c r="AO312" s="95">
        <v>24695000</v>
      </c>
      <c r="AP312" s="95">
        <v>25903</v>
      </c>
      <c r="AQ312" s="95">
        <v>29576</v>
      </c>
      <c r="AR312" s="95">
        <v>34081</v>
      </c>
    </row>
    <row r="313" spans="1:44" ht="12.5" x14ac:dyDescent="0.25">
      <c r="A313" s="95" t="s">
        <v>526</v>
      </c>
      <c r="B313" s="95" t="s">
        <v>428</v>
      </c>
      <c r="C313" s="95">
        <f t="shared" si="12"/>
        <v>16370.7</v>
      </c>
      <c r="D313" s="95">
        <f t="shared" si="13"/>
        <v>16548.8</v>
      </c>
      <c r="E313" s="184">
        <v>6955000</v>
      </c>
      <c r="F313" s="184">
        <f t="shared" si="14"/>
        <v>18414864.90270219</v>
      </c>
      <c r="G313" s="95">
        <v>3664</v>
      </c>
      <c r="H313" s="95">
        <v>3725</v>
      </c>
      <c r="I313" s="95">
        <v>58588</v>
      </c>
      <c r="J313" s="95">
        <v>65707</v>
      </c>
      <c r="K313" s="95">
        <v>62436</v>
      </c>
      <c r="L313" s="95">
        <v>62506</v>
      </c>
      <c r="M313" s="95">
        <v>6564</v>
      </c>
      <c r="N313" s="95">
        <v>5855</v>
      </c>
      <c r="O313" s="95">
        <v>5746</v>
      </c>
      <c r="P313" s="95">
        <v>5572</v>
      </c>
      <c r="Q313" s="95">
        <v>7504</v>
      </c>
      <c r="R313" s="95">
        <v>7536</v>
      </c>
      <c r="S313" s="95">
        <v>4247</v>
      </c>
      <c r="T313" s="95">
        <v>4934</v>
      </c>
      <c r="U313" s="95">
        <v>4321</v>
      </c>
      <c r="V313" s="95">
        <v>3221</v>
      </c>
      <c r="W313" s="95">
        <v>9791</v>
      </c>
      <c r="X313" s="95">
        <v>3115</v>
      </c>
      <c r="Y313" s="95">
        <v>846</v>
      </c>
      <c r="Z313" s="95">
        <v>3317</v>
      </c>
      <c r="AA313" s="95">
        <v>50344</v>
      </c>
      <c r="AB313" s="95">
        <v>174795</v>
      </c>
      <c r="AC313" s="95">
        <v>175344</v>
      </c>
      <c r="AF313"/>
      <c r="AG313"/>
      <c r="AH313" s="95">
        <v>49576</v>
      </c>
      <c r="AI313" s="95">
        <v>49874</v>
      </c>
      <c r="AJ313" s="95">
        <v>49841</v>
      </c>
      <c r="AK313" s="95">
        <v>50138</v>
      </c>
      <c r="AL313" s="95">
        <v>50011</v>
      </c>
      <c r="AM313" s="95">
        <v>249921</v>
      </c>
      <c r="AN313" s="95">
        <v>189668</v>
      </c>
      <c r="AO313" s="95">
        <v>193048000</v>
      </c>
      <c r="AP313" s="95">
        <v>174795</v>
      </c>
      <c r="AQ313" s="95">
        <v>175344</v>
      </c>
      <c r="AR313" s="95">
        <v>184897</v>
      </c>
    </row>
    <row r="314" spans="1:44" ht="12.5" x14ac:dyDescent="0.25">
      <c r="A314" s="95" t="s">
        <v>518</v>
      </c>
      <c r="B314" s="95" t="s">
        <v>278</v>
      </c>
      <c r="C314" s="95">
        <f t="shared" si="12"/>
        <v>1008.2</v>
      </c>
      <c r="D314" s="95">
        <f t="shared" si="13"/>
        <v>1611.3</v>
      </c>
      <c r="E314" s="184">
        <v>2557000</v>
      </c>
      <c r="F314" s="184">
        <f t="shared" si="14"/>
        <v>7595436.78898401</v>
      </c>
      <c r="G314" s="95">
        <v>0</v>
      </c>
      <c r="H314" s="95">
        <v>0</v>
      </c>
      <c r="I314" s="95">
        <v>451</v>
      </c>
      <c r="J314" s="95">
        <v>1337</v>
      </c>
      <c r="K314" s="95">
        <v>1075</v>
      </c>
      <c r="L314" s="95">
        <v>1922</v>
      </c>
      <c r="M314" s="95">
        <v>490</v>
      </c>
      <c r="N314" s="95">
        <v>501</v>
      </c>
      <c r="O314" s="95">
        <v>235</v>
      </c>
      <c r="P314" s="95">
        <v>3221</v>
      </c>
      <c r="Q314" s="95">
        <v>276</v>
      </c>
      <c r="R314" s="95">
        <v>751</v>
      </c>
      <c r="S314" s="95">
        <v>7555</v>
      </c>
      <c r="T314" s="95">
        <v>8381</v>
      </c>
      <c r="U314" s="95">
        <v>0</v>
      </c>
      <c r="V314" s="95">
        <v>0</v>
      </c>
      <c r="W314" s="95">
        <v>0</v>
      </c>
      <c r="X314" s="95">
        <v>0</v>
      </c>
      <c r="Y314" s="95">
        <v>0</v>
      </c>
      <c r="Z314" s="95">
        <v>0</v>
      </c>
      <c r="AA314" s="95">
        <v>20765</v>
      </c>
      <c r="AB314" s="95">
        <v>46475</v>
      </c>
      <c r="AC314" s="95">
        <v>50380</v>
      </c>
      <c r="AF314"/>
      <c r="AG314"/>
      <c r="AH314" s="95">
        <v>18729</v>
      </c>
      <c r="AI314" s="95">
        <v>19162</v>
      </c>
      <c r="AJ314" s="95">
        <v>19331</v>
      </c>
      <c r="AK314" s="95">
        <v>19651</v>
      </c>
      <c r="AL314" s="95">
        <v>20445</v>
      </c>
      <c r="AM314" s="95">
        <v>48659</v>
      </c>
      <c r="AN314" s="95">
        <v>60566</v>
      </c>
      <c r="AO314" s="95">
        <v>45825000</v>
      </c>
      <c r="AP314" s="95">
        <v>46475</v>
      </c>
      <c r="AQ314" s="95">
        <v>50380</v>
      </c>
      <c r="AR314" s="95">
        <v>52895</v>
      </c>
    </row>
    <row r="315" spans="1:44" ht="12.5" x14ac:dyDescent="0.25">
      <c r="A315" s="95" t="s">
        <v>519</v>
      </c>
      <c r="B315" s="95" t="s">
        <v>607</v>
      </c>
      <c r="C315" s="95">
        <f t="shared" si="12"/>
        <v>13485.4</v>
      </c>
      <c r="D315" s="95">
        <f t="shared" si="13"/>
        <v>15040.3</v>
      </c>
      <c r="E315" s="184">
        <v>3559000</v>
      </c>
      <c r="F315" s="184">
        <f t="shared" si="14"/>
        <v>19008892.802789357</v>
      </c>
      <c r="G315" s="95">
        <v>13658</v>
      </c>
      <c r="H315" s="95">
        <v>13805</v>
      </c>
      <c r="I315" s="95">
        <v>19401</v>
      </c>
      <c r="J315" s="95">
        <v>43419</v>
      </c>
      <c r="K315" s="95">
        <v>8261</v>
      </c>
      <c r="L315" s="95">
        <v>13714</v>
      </c>
      <c r="M315" s="95">
        <v>6694</v>
      </c>
      <c r="N315" s="95">
        <v>6836</v>
      </c>
      <c r="O315" s="95">
        <v>20772</v>
      </c>
      <c r="P315" s="95">
        <v>19804</v>
      </c>
      <c r="Q315" s="95">
        <v>15453</v>
      </c>
      <c r="R315" s="95">
        <v>9021</v>
      </c>
      <c r="S315" s="95">
        <v>14084</v>
      </c>
      <c r="T315" s="95">
        <v>10875</v>
      </c>
      <c r="U315" s="95">
        <v>13477</v>
      </c>
      <c r="V315" s="95">
        <v>12071</v>
      </c>
      <c r="W315" s="95">
        <v>10563</v>
      </c>
      <c r="X315" s="95">
        <v>9430</v>
      </c>
      <c r="Y315" s="95">
        <v>12491</v>
      </c>
      <c r="Z315" s="95">
        <v>11428</v>
      </c>
      <c r="AA315" s="95">
        <v>51968</v>
      </c>
      <c r="AB315" s="95">
        <v>29959</v>
      </c>
      <c r="AC315" s="95">
        <v>33545</v>
      </c>
      <c r="AF315"/>
      <c r="AG315"/>
      <c r="AH315" s="95">
        <v>50105</v>
      </c>
      <c r="AI315" s="95">
        <v>50361</v>
      </c>
      <c r="AJ315" s="95">
        <v>50661</v>
      </c>
      <c r="AK315" s="95">
        <v>51156</v>
      </c>
      <c r="AL315" s="95">
        <v>51496</v>
      </c>
      <c r="AM315" s="95">
        <v>98339</v>
      </c>
      <c r="AN315" s="95">
        <v>103121</v>
      </c>
      <c r="AO315" s="95">
        <v>106456000</v>
      </c>
      <c r="AP315" s="95">
        <v>29959</v>
      </c>
      <c r="AQ315" s="95">
        <v>33545</v>
      </c>
      <c r="AR315" s="95">
        <v>35078</v>
      </c>
    </row>
    <row r="316" spans="1:44" ht="12.5" x14ac:dyDescent="0.25">
      <c r="A316" s="95" t="s">
        <v>519</v>
      </c>
      <c r="B316" s="95" t="s">
        <v>207</v>
      </c>
      <c r="C316" s="95">
        <f t="shared" si="12"/>
        <v>5130.2</v>
      </c>
      <c r="D316" s="95">
        <f t="shared" si="13"/>
        <v>5160.5</v>
      </c>
      <c r="E316" s="184">
        <v>1991000</v>
      </c>
      <c r="F316" s="184">
        <f t="shared" si="14"/>
        <v>7200393.6041969778</v>
      </c>
      <c r="G316" s="95">
        <v>1881</v>
      </c>
      <c r="H316" s="95">
        <v>2064</v>
      </c>
      <c r="I316" s="95">
        <v>11185</v>
      </c>
      <c r="J316" s="95">
        <v>12868</v>
      </c>
      <c r="K316" s="95">
        <v>10491</v>
      </c>
      <c r="L316" s="95">
        <v>10117</v>
      </c>
      <c r="M316" s="95">
        <v>7369</v>
      </c>
      <c r="N316" s="95">
        <v>7599</v>
      </c>
      <c r="O316" s="95">
        <v>7603</v>
      </c>
      <c r="P316" s="95">
        <v>6586</v>
      </c>
      <c r="Q316" s="95">
        <v>1732</v>
      </c>
      <c r="R316" s="95">
        <v>1628</v>
      </c>
      <c r="S316" s="95">
        <v>5082</v>
      </c>
      <c r="T316" s="95">
        <v>4569</v>
      </c>
      <c r="U316" s="95">
        <v>1705</v>
      </c>
      <c r="V316" s="95">
        <v>1853</v>
      </c>
      <c r="W316" s="95">
        <v>2818</v>
      </c>
      <c r="X316" s="95">
        <v>2664</v>
      </c>
      <c r="Y316" s="95">
        <v>1436</v>
      </c>
      <c r="Z316" s="95">
        <v>1657</v>
      </c>
      <c r="AA316" s="95">
        <v>19685</v>
      </c>
      <c r="AB316" s="95">
        <v>115690</v>
      </c>
      <c r="AC316" s="95">
        <v>124549</v>
      </c>
      <c r="AF316"/>
      <c r="AG316"/>
      <c r="AH316" s="95">
        <v>18816</v>
      </c>
      <c r="AI316" s="95">
        <v>18907</v>
      </c>
      <c r="AJ316" s="95">
        <v>19073</v>
      </c>
      <c r="AK316" s="95">
        <v>19318</v>
      </c>
      <c r="AL316" s="95">
        <v>19581</v>
      </c>
      <c r="AM316" s="95">
        <v>29728</v>
      </c>
      <c r="AN316" s="95">
        <v>31001</v>
      </c>
      <c r="AO316" s="95">
        <v>29949000</v>
      </c>
      <c r="AP316" s="95">
        <v>115690</v>
      </c>
      <c r="AQ316" s="95">
        <v>124549</v>
      </c>
      <c r="AR316" s="95">
        <v>110128</v>
      </c>
    </row>
    <row r="317" spans="1:44" ht="12.5" x14ac:dyDescent="0.25">
      <c r="A317" s="95" t="s">
        <v>525</v>
      </c>
      <c r="B317" s="95" t="s">
        <v>608</v>
      </c>
      <c r="C317" s="95">
        <f t="shared" si="12"/>
        <v>7744.1</v>
      </c>
      <c r="D317" s="95">
        <f t="shared" si="13"/>
        <v>7468.1</v>
      </c>
      <c r="E317" s="184">
        <v>10124000</v>
      </c>
      <c r="F317" s="184">
        <f t="shared" si="14"/>
        <v>23521529.627527896</v>
      </c>
      <c r="G317" s="95">
        <v>151</v>
      </c>
      <c r="H317" s="95">
        <v>351</v>
      </c>
      <c r="I317" s="95">
        <v>12589</v>
      </c>
      <c r="J317" s="95">
        <v>13807</v>
      </c>
      <c r="K317" s="95">
        <v>7478</v>
      </c>
      <c r="L317" s="95">
        <v>6859</v>
      </c>
      <c r="M317" s="95">
        <v>10521</v>
      </c>
      <c r="N317" s="95">
        <v>10906</v>
      </c>
      <c r="O317" s="95">
        <v>7337</v>
      </c>
      <c r="P317" s="95">
        <v>7061</v>
      </c>
      <c r="Q317" s="95">
        <v>14300</v>
      </c>
      <c r="R317" s="95">
        <v>12949</v>
      </c>
      <c r="S317" s="95">
        <v>10919</v>
      </c>
      <c r="T317" s="95">
        <v>10207</v>
      </c>
      <c r="U317" s="95">
        <v>13506</v>
      </c>
      <c r="V317" s="95">
        <v>13132</v>
      </c>
      <c r="W317" s="95">
        <v>244</v>
      </c>
      <c r="X317" s="95">
        <v>-668</v>
      </c>
      <c r="Y317" s="95">
        <v>396</v>
      </c>
      <c r="Z317" s="95">
        <v>77</v>
      </c>
      <c r="AA317" s="95">
        <v>64305</v>
      </c>
      <c r="AB317" s="95">
        <v>172335</v>
      </c>
      <c r="AC317" s="95">
        <v>175625</v>
      </c>
      <c r="AF317"/>
      <c r="AG317"/>
      <c r="AH317" s="95">
        <v>61067</v>
      </c>
      <c r="AI317" s="95">
        <v>61233</v>
      </c>
      <c r="AJ317" s="95">
        <v>61464</v>
      </c>
      <c r="AK317" s="95">
        <v>63359</v>
      </c>
      <c r="AL317" s="95">
        <v>63678</v>
      </c>
      <c r="AM317" s="95">
        <v>174708</v>
      </c>
      <c r="AN317" s="95">
        <v>172710</v>
      </c>
      <c r="AO317" s="95">
        <v>173331000</v>
      </c>
      <c r="AP317" s="95">
        <v>172335</v>
      </c>
      <c r="AQ317" s="95">
        <v>175625</v>
      </c>
      <c r="AR317" s="95">
        <v>174124</v>
      </c>
    </row>
    <row r="318" spans="1:44" ht="12.5" x14ac:dyDescent="0.25">
      <c r="A318" s="95" t="s">
        <v>516</v>
      </c>
      <c r="B318" s="95" t="s">
        <v>116</v>
      </c>
      <c r="C318" s="95">
        <f t="shared" si="12"/>
        <v>2280.4</v>
      </c>
      <c r="D318" s="95">
        <f t="shared" si="13"/>
        <v>2060.3000000000002</v>
      </c>
      <c r="E318" s="184">
        <v>2165000</v>
      </c>
      <c r="F318" s="184">
        <f t="shared" si="14"/>
        <v>7261113.2048216509</v>
      </c>
      <c r="G318" s="95">
        <v>2289</v>
      </c>
      <c r="H318" s="95">
        <v>2289</v>
      </c>
      <c r="I318" s="95">
        <v>1170</v>
      </c>
      <c r="J318" s="95">
        <v>1336</v>
      </c>
      <c r="K318" s="95">
        <v>3224</v>
      </c>
      <c r="L318" s="95">
        <v>2950</v>
      </c>
      <c r="M318" s="95">
        <v>1511</v>
      </c>
      <c r="N318" s="95">
        <v>1607</v>
      </c>
      <c r="O318" s="95">
        <v>1975</v>
      </c>
      <c r="P318" s="95">
        <v>1690</v>
      </c>
      <c r="Q318" s="95">
        <v>3677</v>
      </c>
      <c r="R318" s="95">
        <v>3640</v>
      </c>
      <c r="S318" s="95">
        <v>239</v>
      </c>
      <c r="T318" s="95">
        <v>199</v>
      </c>
      <c r="U318" s="95">
        <v>2249</v>
      </c>
      <c r="V318" s="95">
        <v>1841</v>
      </c>
      <c r="W318" s="95">
        <v>2679</v>
      </c>
      <c r="X318" s="95">
        <v>2335</v>
      </c>
      <c r="Y318" s="95">
        <v>3791</v>
      </c>
      <c r="Z318" s="95">
        <v>2716</v>
      </c>
      <c r="AA318" s="95">
        <v>19851</v>
      </c>
      <c r="AB318" s="95">
        <v>35293</v>
      </c>
      <c r="AC318" s="95">
        <v>37595</v>
      </c>
      <c r="AF318"/>
      <c r="AG318"/>
      <c r="AH318" s="95">
        <v>19088</v>
      </c>
      <c r="AI318" s="95">
        <v>19161</v>
      </c>
      <c r="AJ318" s="95">
        <v>19345</v>
      </c>
      <c r="AK318" s="95">
        <v>19480</v>
      </c>
      <c r="AL318" s="95">
        <v>19661</v>
      </c>
      <c r="AM318" s="95">
        <v>39596</v>
      </c>
      <c r="AN318" s="95">
        <v>34123</v>
      </c>
      <c r="AO318" s="95">
        <v>36140000</v>
      </c>
      <c r="AP318" s="95">
        <v>35293</v>
      </c>
      <c r="AQ318" s="95">
        <v>37595</v>
      </c>
      <c r="AR318" s="95">
        <v>40457</v>
      </c>
    </row>
    <row r="319" spans="1:44" ht="12.5" x14ac:dyDescent="0.25">
      <c r="A319" s="95" t="s">
        <v>519</v>
      </c>
      <c r="B319" s="95" t="s">
        <v>208</v>
      </c>
      <c r="C319" s="95">
        <f t="shared" si="12"/>
        <v>588.70000000000005</v>
      </c>
      <c r="D319" s="95">
        <f t="shared" si="13"/>
        <v>657.4</v>
      </c>
      <c r="E319" s="184">
        <v>1240000</v>
      </c>
      <c r="F319" s="184">
        <f t="shared" si="14"/>
        <v>5466592.9598538904</v>
      </c>
      <c r="G319" s="95">
        <v>11</v>
      </c>
      <c r="H319" s="95">
        <v>11</v>
      </c>
      <c r="I319" s="95">
        <v>543</v>
      </c>
      <c r="J319" s="95">
        <v>693</v>
      </c>
      <c r="K319" s="95">
        <v>896</v>
      </c>
      <c r="L319" s="95">
        <v>1111</v>
      </c>
      <c r="M319" s="95">
        <v>2346</v>
      </c>
      <c r="N319" s="95">
        <v>2172</v>
      </c>
      <c r="O319" s="95">
        <v>389</v>
      </c>
      <c r="P319" s="95">
        <v>389</v>
      </c>
      <c r="Q319" s="95">
        <v>419</v>
      </c>
      <c r="R319" s="95">
        <v>418</v>
      </c>
      <c r="S319" s="95">
        <v>222</v>
      </c>
      <c r="T319" s="95">
        <v>231</v>
      </c>
      <c r="U319" s="95">
        <v>706</v>
      </c>
      <c r="V319" s="95">
        <v>1043</v>
      </c>
      <c r="W319" s="95">
        <v>174</v>
      </c>
      <c r="X319" s="95">
        <v>190</v>
      </c>
      <c r="Y319" s="95">
        <v>181</v>
      </c>
      <c r="Z319" s="95">
        <v>316</v>
      </c>
      <c r="AA319" s="95">
        <v>14945</v>
      </c>
      <c r="AB319" s="95">
        <v>29964</v>
      </c>
      <c r="AC319" s="95">
        <v>28926</v>
      </c>
      <c r="AF319"/>
      <c r="AG319"/>
      <c r="AH319" s="95">
        <v>14985</v>
      </c>
      <c r="AI319" s="95">
        <v>15022</v>
      </c>
      <c r="AJ319" s="95">
        <v>14937</v>
      </c>
      <c r="AK319" s="95">
        <v>14953</v>
      </c>
      <c r="AL319" s="95">
        <v>15014</v>
      </c>
      <c r="AM319" s="95">
        <v>25897</v>
      </c>
      <c r="AN319" s="95">
        <v>28646</v>
      </c>
      <c r="AO319" s="95">
        <v>28140000</v>
      </c>
      <c r="AP319" s="95">
        <v>29964</v>
      </c>
      <c r="AQ319" s="95">
        <v>28926</v>
      </c>
      <c r="AR319" s="95">
        <v>29017</v>
      </c>
    </row>
    <row r="320" spans="1:44" ht="12.5" x14ac:dyDescent="0.25">
      <c r="A320" s="95" t="s">
        <v>525</v>
      </c>
      <c r="B320" s="95" t="s">
        <v>609</v>
      </c>
      <c r="C320" s="95">
        <f t="shared" si="12"/>
        <v>206.6</v>
      </c>
      <c r="D320" s="95">
        <f t="shared" si="13"/>
        <v>307.2</v>
      </c>
      <c r="E320" s="184">
        <v>2633000</v>
      </c>
      <c r="F320" s="184">
        <f t="shared" si="14"/>
        <v>9725743.7410207484</v>
      </c>
      <c r="G320" s="95">
        <v>0</v>
      </c>
      <c r="H320" s="95">
        <v>0</v>
      </c>
      <c r="I320" s="95">
        <v>907</v>
      </c>
      <c r="J320" s="95">
        <v>1670</v>
      </c>
      <c r="K320" s="95">
        <v>470</v>
      </c>
      <c r="L320" s="95">
        <v>670</v>
      </c>
      <c r="M320" s="95">
        <v>310</v>
      </c>
      <c r="N320" s="95">
        <v>258</v>
      </c>
      <c r="O320" s="95">
        <v>183</v>
      </c>
      <c r="P320" s="95">
        <v>262</v>
      </c>
      <c r="Q320" s="95">
        <v>145</v>
      </c>
      <c r="R320" s="95">
        <v>143</v>
      </c>
      <c r="S320" s="95">
        <v>51</v>
      </c>
      <c r="T320" s="95">
        <v>69</v>
      </c>
      <c r="U320" s="95">
        <v>0</v>
      </c>
      <c r="V320" s="95">
        <v>0</v>
      </c>
      <c r="W320" s="95">
        <v>0</v>
      </c>
      <c r="X320" s="95">
        <v>0</v>
      </c>
      <c r="Y320" s="95">
        <v>0</v>
      </c>
      <c r="Z320" s="95">
        <v>0</v>
      </c>
      <c r="AA320" s="95">
        <v>26589</v>
      </c>
      <c r="AB320" s="95">
        <v>53831</v>
      </c>
      <c r="AC320" s="95">
        <v>56037</v>
      </c>
      <c r="AF320"/>
      <c r="AG320"/>
      <c r="AH320" s="95">
        <v>24857</v>
      </c>
      <c r="AI320" s="95">
        <v>24654</v>
      </c>
      <c r="AJ320" s="95">
        <v>25244</v>
      </c>
      <c r="AK320" s="95">
        <v>25663</v>
      </c>
      <c r="AL320" s="95">
        <v>26215</v>
      </c>
      <c r="AM320" s="95">
        <v>50488</v>
      </c>
      <c r="AN320" s="95">
        <v>52893</v>
      </c>
      <c r="AO320" s="95">
        <v>53005000</v>
      </c>
      <c r="AP320" s="95">
        <v>53831</v>
      </c>
      <c r="AQ320" s="95">
        <v>56037</v>
      </c>
      <c r="AR320" s="95">
        <v>60570</v>
      </c>
    </row>
    <row r="321" spans="1:44" ht="12.5" x14ac:dyDescent="0.25">
      <c r="A321" s="95" t="s">
        <v>521</v>
      </c>
      <c r="B321" s="95" t="s">
        <v>324</v>
      </c>
      <c r="C321" s="95">
        <f t="shared" si="12"/>
        <v>34895.300000000003</v>
      </c>
      <c r="D321" s="95">
        <f t="shared" si="13"/>
        <v>34839</v>
      </c>
      <c r="E321" s="184">
        <v>22532000</v>
      </c>
      <c r="F321" s="184">
        <f t="shared" si="14"/>
        <v>41145576.599202715</v>
      </c>
      <c r="G321" s="95">
        <v>55038</v>
      </c>
      <c r="H321" s="95">
        <v>55918</v>
      </c>
      <c r="I321" s="95">
        <v>28395</v>
      </c>
      <c r="J321" s="95">
        <v>38145</v>
      </c>
      <c r="K321" s="95">
        <v>26523</v>
      </c>
      <c r="L321" s="95">
        <v>30954</v>
      </c>
      <c r="M321" s="95">
        <v>28652</v>
      </c>
      <c r="N321" s="95">
        <v>31738</v>
      </c>
      <c r="O321" s="95">
        <v>46790</v>
      </c>
      <c r="P321" s="95">
        <v>47629</v>
      </c>
      <c r="Q321" s="95">
        <v>40957</v>
      </c>
      <c r="R321" s="95">
        <v>32157</v>
      </c>
      <c r="S321" s="95">
        <v>20238</v>
      </c>
      <c r="T321" s="95">
        <v>16311</v>
      </c>
      <c r="U321" s="95">
        <v>41698</v>
      </c>
      <c r="V321" s="95">
        <v>39506</v>
      </c>
      <c r="W321" s="95">
        <v>26146</v>
      </c>
      <c r="X321" s="95">
        <v>20578</v>
      </c>
      <c r="Y321" s="95">
        <v>34516</v>
      </c>
      <c r="Z321" s="95">
        <v>35454</v>
      </c>
      <c r="AA321" s="95">
        <v>112487</v>
      </c>
      <c r="AB321" s="95">
        <v>437995</v>
      </c>
      <c r="AC321" s="95">
        <v>451234</v>
      </c>
      <c r="AF321"/>
      <c r="AG321"/>
      <c r="AH321" s="95">
        <v>105636</v>
      </c>
      <c r="AI321" s="95">
        <v>107488</v>
      </c>
      <c r="AJ321" s="95">
        <v>108576</v>
      </c>
      <c r="AK321" s="95">
        <v>110252</v>
      </c>
      <c r="AL321" s="95">
        <v>111382</v>
      </c>
      <c r="AM321" s="95">
        <v>391274</v>
      </c>
      <c r="AN321" s="95">
        <v>399460</v>
      </c>
      <c r="AO321" s="95">
        <v>403808000</v>
      </c>
      <c r="AP321" s="95">
        <v>437995</v>
      </c>
      <c r="AQ321" s="95">
        <v>451234</v>
      </c>
      <c r="AR321" s="95">
        <v>455475</v>
      </c>
    </row>
    <row r="322" spans="1:44" ht="12.5" x14ac:dyDescent="0.25">
      <c r="A322" s="95" t="s">
        <v>520</v>
      </c>
      <c r="B322" s="95" t="s">
        <v>140</v>
      </c>
      <c r="C322" s="95">
        <f t="shared" ref="C322:C346" si="15">SUM(G322,I322,K322,M322,O322,Q322,S322,U322,W322,Y322)/10</f>
        <v>2050.3000000000002</v>
      </c>
      <c r="D322" s="95">
        <f t="shared" ref="D322:D346" si="16">SUM(H322,J322,L322,N322,P322,R322,T322,V322,X322,Z322)/10</f>
        <v>2118.6999999999998</v>
      </c>
      <c r="E322" s="184">
        <v>4691000</v>
      </c>
      <c r="F322" s="184">
        <f t="shared" si="14"/>
        <v>9612717.4964844584</v>
      </c>
      <c r="G322" s="95">
        <v>1689</v>
      </c>
      <c r="H322" s="95">
        <v>1689</v>
      </c>
      <c r="I322" s="95">
        <v>2878</v>
      </c>
      <c r="J322" s="95">
        <v>3559</v>
      </c>
      <c r="K322" s="95">
        <v>2177</v>
      </c>
      <c r="L322" s="95">
        <v>2076</v>
      </c>
      <c r="M322" s="95">
        <v>2643</v>
      </c>
      <c r="N322" s="95">
        <v>2414</v>
      </c>
      <c r="O322" s="95">
        <v>2095</v>
      </c>
      <c r="P322" s="95">
        <v>1985</v>
      </c>
      <c r="Q322" s="95">
        <v>2273</v>
      </c>
      <c r="R322" s="95">
        <v>3176</v>
      </c>
      <c r="S322" s="95">
        <v>1346</v>
      </c>
      <c r="T322" s="95">
        <v>1345</v>
      </c>
      <c r="U322" s="95">
        <v>1818</v>
      </c>
      <c r="V322" s="95">
        <v>1682</v>
      </c>
      <c r="W322" s="95">
        <v>2007</v>
      </c>
      <c r="X322" s="95">
        <v>1723</v>
      </c>
      <c r="Y322" s="95">
        <v>1577</v>
      </c>
      <c r="Z322" s="95">
        <v>1538</v>
      </c>
      <c r="AA322" s="95">
        <v>26280</v>
      </c>
      <c r="AB322" s="95">
        <v>73088</v>
      </c>
      <c r="AC322" s="95">
        <v>74147</v>
      </c>
      <c r="AF322"/>
      <c r="AG322"/>
      <c r="AH322" s="95">
        <v>25611</v>
      </c>
      <c r="AI322" s="95">
        <v>25720</v>
      </c>
      <c r="AJ322" s="95">
        <v>25837</v>
      </c>
      <c r="AK322" s="95">
        <v>25899</v>
      </c>
      <c r="AL322" s="95">
        <v>26130</v>
      </c>
      <c r="AM322" s="95">
        <v>68248</v>
      </c>
      <c r="AN322" s="95">
        <v>67432</v>
      </c>
      <c r="AO322" s="95">
        <v>74683000</v>
      </c>
      <c r="AP322" s="95">
        <v>73088</v>
      </c>
      <c r="AQ322" s="95">
        <v>74147</v>
      </c>
      <c r="AR322" s="95">
        <v>64229</v>
      </c>
    </row>
    <row r="323" spans="1:44" ht="12.5" x14ac:dyDescent="0.25">
      <c r="A323" s="95" t="s">
        <v>521</v>
      </c>
      <c r="B323" s="95" t="s">
        <v>325</v>
      </c>
      <c r="C323" s="95">
        <f t="shared" si="15"/>
        <v>4276.3</v>
      </c>
      <c r="D323" s="95">
        <f t="shared" si="16"/>
        <v>4661.7</v>
      </c>
      <c r="E323" s="184">
        <v>4336000</v>
      </c>
      <c r="F323" s="184">
        <f t="shared" ref="F323:F346" si="17">AA323*$AG$7</f>
        <v>5471348.1093004011</v>
      </c>
      <c r="G323" s="95">
        <v>4685</v>
      </c>
      <c r="H323" s="95">
        <v>5405</v>
      </c>
      <c r="I323" s="95">
        <v>6320</v>
      </c>
      <c r="J323" s="95">
        <v>7779</v>
      </c>
      <c r="K323" s="95">
        <v>10348</v>
      </c>
      <c r="L323" s="95">
        <v>9486</v>
      </c>
      <c r="M323" s="95">
        <v>1950</v>
      </c>
      <c r="N323" s="95">
        <v>2722</v>
      </c>
      <c r="O323" s="95">
        <v>1524</v>
      </c>
      <c r="P323" s="95">
        <v>3061</v>
      </c>
      <c r="Q323" s="95">
        <v>5186</v>
      </c>
      <c r="R323" s="95">
        <v>6976</v>
      </c>
      <c r="S323" s="95">
        <v>1297</v>
      </c>
      <c r="T323" s="95">
        <v>855</v>
      </c>
      <c r="U323" s="95">
        <v>5058</v>
      </c>
      <c r="V323" s="95">
        <v>4409</v>
      </c>
      <c r="W323" s="95">
        <v>4341</v>
      </c>
      <c r="X323" s="95">
        <v>3724</v>
      </c>
      <c r="Y323" s="95">
        <v>2054</v>
      </c>
      <c r="Z323" s="95">
        <v>2200</v>
      </c>
      <c r="AA323" s="95">
        <v>14958</v>
      </c>
      <c r="AB323" s="95">
        <v>90968</v>
      </c>
      <c r="AC323" s="95">
        <v>83971</v>
      </c>
      <c r="AF323"/>
      <c r="AG323"/>
      <c r="AH323" s="95">
        <v>14258</v>
      </c>
      <c r="AI323" s="95">
        <v>14515</v>
      </c>
      <c r="AJ323" s="95">
        <v>14628</v>
      </c>
      <c r="AK323" s="95">
        <v>14734</v>
      </c>
      <c r="AL323" s="95">
        <v>14900</v>
      </c>
      <c r="AM323" s="95">
        <v>93760</v>
      </c>
      <c r="AN323" s="95">
        <v>79280</v>
      </c>
      <c r="AO323" s="95">
        <v>79714000</v>
      </c>
      <c r="AP323" s="95">
        <v>90968</v>
      </c>
      <c r="AQ323" s="95">
        <v>83971</v>
      </c>
      <c r="AR323" s="95">
        <v>93352</v>
      </c>
    </row>
    <row r="324" spans="1:44" ht="12.5" x14ac:dyDescent="0.25">
      <c r="A324" s="95" t="s">
        <v>522</v>
      </c>
      <c r="B324" s="95" t="s">
        <v>162</v>
      </c>
      <c r="C324" s="95">
        <f t="shared" si="15"/>
        <v>4486.3</v>
      </c>
      <c r="D324" s="95">
        <f t="shared" si="16"/>
        <v>5417.6</v>
      </c>
      <c r="E324" s="184">
        <v>1928000</v>
      </c>
      <c r="F324" s="184">
        <f t="shared" si="17"/>
        <v>9013934.4469507802</v>
      </c>
      <c r="G324" s="95">
        <v>5538</v>
      </c>
      <c r="H324" s="95">
        <v>5538</v>
      </c>
      <c r="I324" s="95">
        <v>5597</v>
      </c>
      <c r="J324" s="95">
        <v>6529</v>
      </c>
      <c r="K324" s="95">
        <v>3941</v>
      </c>
      <c r="L324" s="95">
        <v>9675</v>
      </c>
      <c r="M324" s="95">
        <v>5406</v>
      </c>
      <c r="N324" s="95">
        <v>6175</v>
      </c>
      <c r="O324" s="95">
        <v>3130</v>
      </c>
      <c r="P324" s="95">
        <v>3791</v>
      </c>
      <c r="Q324" s="95">
        <v>8412</v>
      </c>
      <c r="R324" s="95">
        <v>10594</v>
      </c>
      <c r="S324" s="95">
        <v>3292</v>
      </c>
      <c r="T324" s="95">
        <v>2542</v>
      </c>
      <c r="U324" s="95">
        <v>4716</v>
      </c>
      <c r="V324" s="95">
        <v>4227</v>
      </c>
      <c r="W324" s="95">
        <v>2823</v>
      </c>
      <c r="X324" s="95">
        <v>2285</v>
      </c>
      <c r="Y324" s="95">
        <v>2008</v>
      </c>
      <c r="Z324" s="95">
        <v>2820</v>
      </c>
      <c r="AA324" s="95">
        <v>24643</v>
      </c>
      <c r="AB324" s="95">
        <v>34799</v>
      </c>
      <c r="AC324" s="95">
        <v>37173</v>
      </c>
      <c r="AF324"/>
      <c r="AG324"/>
      <c r="AH324" s="95">
        <v>24219</v>
      </c>
      <c r="AI324" s="95">
        <v>24269</v>
      </c>
      <c r="AJ324" s="95">
        <v>24345</v>
      </c>
      <c r="AK324" s="95">
        <v>24413</v>
      </c>
      <c r="AL324" s="95">
        <v>24538</v>
      </c>
      <c r="AM324" s="95">
        <v>34006</v>
      </c>
      <c r="AN324" s="95">
        <v>30746</v>
      </c>
      <c r="AO324" s="95">
        <v>33891000</v>
      </c>
      <c r="AP324" s="95">
        <v>34799</v>
      </c>
      <c r="AQ324" s="95">
        <v>37173</v>
      </c>
      <c r="AR324" s="95">
        <v>36346</v>
      </c>
    </row>
    <row r="325" spans="1:44" ht="12.5" x14ac:dyDescent="0.25">
      <c r="A325" s="95" t="s">
        <v>519</v>
      </c>
      <c r="B325" s="95" t="s">
        <v>209</v>
      </c>
      <c r="C325" s="95">
        <f t="shared" si="15"/>
        <v>1989.5</v>
      </c>
      <c r="D325" s="95">
        <f t="shared" si="16"/>
        <v>2301.3000000000002</v>
      </c>
      <c r="E325" s="184">
        <v>3374000</v>
      </c>
      <c r="F325" s="184">
        <f t="shared" si="17"/>
        <v>15122472.582083598</v>
      </c>
      <c r="G325" s="95">
        <v>455</v>
      </c>
      <c r="H325" s="95">
        <v>63</v>
      </c>
      <c r="I325" s="95">
        <v>1575</v>
      </c>
      <c r="J325" s="95">
        <v>3711</v>
      </c>
      <c r="K325" s="95">
        <v>1820</v>
      </c>
      <c r="L325" s="95">
        <v>1403</v>
      </c>
      <c r="M325" s="95">
        <v>2594</v>
      </c>
      <c r="N325" s="95">
        <v>2594</v>
      </c>
      <c r="O325" s="95">
        <v>1370</v>
      </c>
      <c r="P325" s="95">
        <v>983</v>
      </c>
      <c r="Q325" s="95">
        <v>5670</v>
      </c>
      <c r="R325" s="95">
        <v>6936</v>
      </c>
      <c r="S325" s="95">
        <v>4724</v>
      </c>
      <c r="T325" s="95">
        <v>3253</v>
      </c>
      <c r="U325" s="95">
        <v>2356</v>
      </c>
      <c r="V325" s="95">
        <v>1912</v>
      </c>
      <c r="W325" s="95">
        <v>1012</v>
      </c>
      <c r="X325" s="95">
        <v>971</v>
      </c>
      <c r="Y325" s="95">
        <v>-1681</v>
      </c>
      <c r="Z325" s="95">
        <v>1187</v>
      </c>
      <c r="AA325" s="95">
        <v>41343</v>
      </c>
      <c r="AB325" s="95">
        <v>72128</v>
      </c>
      <c r="AC325" s="95">
        <v>67145</v>
      </c>
      <c r="AF325"/>
      <c r="AG325"/>
      <c r="AH325" s="95">
        <v>40878</v>
      </c>
      <c r="AI325" s="95">
        <v>40842</v>
      </c>
      <c r="AJ325" s="95">
        <v>40937</v>
      </c>
      <c r="AK325" s="95">
        <v>41080</v>
      </c>
      <c r="AL325" s="95">
        <v>41261</v>
      </c>
      <c r="AM325" s="95">
        <v>65766</v>
      </c>
      <c r="AN325" s="95">
        <v>67263</v>
      </c>
      <c r="AO325" s="95">
        <v>67295000</v>
      </c>
      <c r="AP325" s="95">
        <v>72128</v>
      </c>
      <c r="AQ325" s="95">
        <v>67145</v>
      </c>
      <c r="AR325" s="95">
        <v>66195</v>
      </c>
    </row>
    <row r="326" spans="1:44" ht="12.5" x14ac:dyDescent="0.25">
      <c r="A326" s="95" t="s">
        <v>518</v>
      </c>
      <c r="B326" s="95" t="s">
        <v>279</v>
      </c>
      <c r="C326" s="95">
        <f t="shared" si="15"/>
        <v>1621.2</v>
      </c>
      <c r="D326" s="95">
        <f t="shared" si="16"/>
        <v>2060.1</v>
      </c>
      <c r="E326" s="184">
        <v>3099000</v>
      </c>
      <c r="F326" s="184">
        <f t="shared" si="17"/>
        <v>8962725.1452191286</v>
      </c>
      <c r="G326" s="95">
        <v>1418</v>
      </c>
      <c r="H326" s="95">
        <v>1418</v>
      </c>
      <c r="I326" s="95">
        <v>2210</v>
      </c>
      <c r="J326" s="95">
        <v>5437</v>
      </c>
      <c r="K326" s="95">
        <v>700</v>
      </c>
      <c r="L326" s="95">
        <v>1744</v>
      </c>
      <c r="M326" s="95">
        <v>2872</v>
      </c>
      <c r="N326" s="95">
        <v>2641</v>
      </c>
      <c r="O326" s="95">
        <v>1989</v>
      </c>
      <c r="P326" s="95">
        <v>1996</v>
      </c>
      <c r="Q326" s="95">
        <v>3873</v>
      </c>
      <c r="R326" s="95">
        <v>4346</v>
      </c>
      <c r="S326" s="95">
        <v>0</v>
      </c>
      <c r="T326" s="95">
        <v>0</v>
      </c>
      <c r="U326" s="95">
        <v>252</v>
      </c>
      <c r="V326" s="95">
        <v>0</v>
      </c>
      <c r="W326" s="95">
        <v>780</v>
      </c>
      <c r="X326" s="95">
        <v>780</v>
      </c>
      <c r="Y326" s="95">
        <v>2118</v>
      </c>
      <c r="Z326" s="95">
        <v>2239</v>
      </c>
      <c r="AA326" s="95">
        <v>24503</v>
      </c>
      <c r="AB326" s="95">
        <v>44516</v>
      </c>
      <c r="AC326" s="95">
        <v>46406</v>
      </c>
      <c r="AF326"/>
      <c r="AG326"/>
      <c r="AH326" s="95">
        <v>23442</v>
      </c>
      <c r="AI326" s="95">
        <v>23664</v>
      </c>
      <c r="AJ326" s="95">
        <v>24018</v>
      </c>
      <c r="AK326" s="95">
        <v>24321</v>
      </c>
      <c r="AL326" s="95">
        <v>24463</v>
      </c>
      <c r="AM326" s="95">
        <v>38756</v>
      </c>
      <c r="AN326" s="95">
        <v>38033</v>
      </c>
      <c r="AO326" s="95">
        <v>39952000</v>
      </c>
      <c r="AP326" s="95">
        <v>44516</v>
      </c>
      <c r="AQ326" s="95">
        <v>46406</v>
      </c>
      <c r="AR326" s="95">
        <v>49437</v>
      </c>
    </row>
    <row r="327" spans="1:44" ht="12.5" x14ac:dyDescent="0.25">
      <c r="A327" s="95" t="s">
        <v>524</v>
      </c>
      <c r="B327" s="95" t="s">
        <v>234</v>
      </c>
      <c r="C327" s="95">
        <f t="shared" si="15"/>
        <v>3175.5</v>
      </c>
      <c r="D327" s="95">
        <f t="shared" si="16"/>
        <v>3204.7</v>
      </c>
      <c r="E327" s="184">
        <v>2980000</v>
      </c>
      <c r="F327" s="184">
        <f t="shared" si="17"/>
        <v>8750206.543032771</v>
      </c>
      <c r="G327" s="95">
        <v>392</v>
      </c>
      <c r="H327" s="95">
        <v>674</v>
      </c>
      <c r="I327" s="95">
        <v>6683</v>
      </c>
      <c r="J327" s="95">
        <v>6985</v>
      </c>
      <c r="K327" s="95">
        <v>4349</v>
      </c>
      <c r="L327" s="95">
        <v>4342</v>
      </c>
      <c r="M327" s="95">
        <v>4391</v>
      </c>
      <c r="N327" s="95">
        <v>4545</v>
      </c>
      <c r="O327" s="95">
        <v>5467</v>
      </c>
      <c r="P327" s="95">
        <v>5140</v>
      </c>
      <c r="Q327" s="95">
        <v>2491</v>
      </c>
      <c r="R327" s="95">
        <v>2987</v>
      </c>
      <c r="S327" s="95">
        <v>1395</v>
      </c>
      <c r="T327" s="95">
        <v>1278</v>
      </c>
      <c r="U327" s="95">
        <v>3579</v>
      </c>
      <c r="V327" s="95">
        <v>2361</v>
      </c>
      <c r="W327" s="95">
        <v>1795</v>
      </c>
      <c r="X327" s="95">
        <v>1806</v>
      </c>
      <c r="Y327" s="95">
        <v>1213</v>
      </c>
      <c r="Z327" s="95">
        <v>1929</v>
      </c>
      <c r="AA327" s="95">
        <v>23922</v>
      </c>
      <c r="AB327" s="95">
        <v>55452</v>
      </c>
      <c r="AC327" s="95">
        <v>54181</v>
      </c>
      <c r="AF327"/>
      <c r="AG327"/>
      <c r="AH327" s="95">
        <v>23504</v>
      </c>
      <c r="AI327" s="95">
        <v>23692</v>
      </c>
      <c r="AJ327" s="95">
        <v>23763</v>
      </c>
      <c r="AK327" s="95">
        <v>23897</v>
      </c>
      <c r="AL327" s="95">
        <v>23925</v>
      </c>
      <c r="AM327" s="95">
        <v>44224</v>
      </c>
      <c r="AN327" s="95">
        <v>42526</v>
      </c>
      <c r="AO327" s="95">
        <v>51760000</v>
      </c>
      <c r="AP327" s="95">
        <v>55452</v>
      </c>
      <c r="AQ327" s="95">
        <v>54181</v>
      </c>
      <c r="AR327" s="95">
        <v>53222</v>
      </c>
    </row>
    <row r="328" spans="1:44" ht="12.5" x14ac:dyDescent="0.25">
      <c r="A328" s="95" t="s">
        <v>519</v>
      </c>
      <c r="B328" s="95" t="s">
        <v>210</v>
      </c>
      <c r="C328" s="95">
        <f t="shared" si="15"/>
        <v>2829.3</v>
      </c>
      <c r="D328" s="95">
        <f t="shared" si="16"/>
        <v>2635.3</v>
      </c>
      <c r="E328" s="184">
        <v>5561000</v>
      </c>
      <c r="F328" s="184">
        <f t="shared" si="17"/>
        <v>10672384.261603007</v>
      </c>
      <c r="G328" s="95">
        <v>227</v>
      </c>
      <c r="H328" s="95">
        <v>365</v>
      </c>
      <c r="I328" s="95">
        <v>4184</v>
      </c>
      <c r="J328" s="95">
        <v>3250</v>
      </c>
      <c r="K328" s="95">
        <v>1565</v>
      </c>
      <c r="L328" s="95">
        <v>1755</v>
      </c>
      <c r="M328" s="95">
        <v>2089</v>
      </c>
      <c r="N328" s="95">
        <v>2476</v>
      </c>
      <c r="O328" s="95">
        <v>3315</v>
      </c>
      <c r="P328" s="95">
        <v>3285</v>
      </c>
      <c r="Q328" s="95">
        <v>4748</v>
      </c>
      <c r="R328" s="95">
        <v>4381</v>
      </c>
      <c r="S328" s="95">
        <v>2605</v>
      </c>
      <c r="T328" s="95">
        <v>2795</v>
      </c>
      <c r="U328" s="95">
        <v>3891</v>
      </c>
      <c r="V328" s="95">
        <v>3328</v>
      </c>
      <c r="W328" s="95">
        <v>2959</v>
      </c>
      <c r="X328" s="95">
        <v>2187</v>
      </c>
      <c r="Y328" s="95">
        <v>2710</v>
      </c>
      <c r="Z328" s="95">
        <v>2531</v>
      </c>
      <c r="AA328" s="95">
        <v>29177</v>
      </c>
      <c r="AB328" s="95">
        <v>130488</v>
      </c>
      <c r="AC328" s="95">
        <v>129757</v>
      </c>
      <c r="AF328"/>
      <c r="AG328"/>
      <c r="AH328" s="95">
        <v>28904</v>
      </c>
      <c r="AI328" s="95">
        <v>29005</v>
      </c>
      <c r="AJ328" s="95">
        <v>28907</v>
      </c>
      <c r="AK328" s="95">
        <v>28851</v>
      </c>
      <c r="AL328" s="95">
        <v>29022</v>
      </c>
      <c r="AM328" s="95">
        <v>127461</v>
      </c>
      <c r="AN328" s="95">
        <v>123026</v>
      </c>
      <c r="AO328" s="95">
        <v>129007000</v>
      </c>
      <c r="AP328" s="95">
        <v>130488</v>
      </c>
      <c r="AQ328" s="95">
        <v>129757</v>
      </c>
      <c r="AR328" s="95">
        <v>129293</v>
      </c>
    </row>
    <row r="329" spans="1:44" ht="12.5" x14ac:dyDescent="0.25">
      <c r="A329" s="95" t="s">
        <v>517</v>
      </c>
      <c r="B329" s="95" t="s">
        <v>398</v>
      </c>
      <c r="C329" s="95">
        <f t="shared" si="15"/>
        <v>1203.0999999999999</v>
      </c>
      <c r="D329" s="95">
        <f t="shared" si="16"/>
        <v>767.8</v>
      </c>
      <c r="E329" s="184">
        <v>2356000</v>
      </c>
      <c r="F329" s="184">
        <f t="shared" si="17"/>
        <v>8092898.5772343474</v>
      </c>
      <c r="G329" s="95">
        <v>216</v>
      </c>
      <c r="H329" s="95">
        <v>95</v>
      </c>
      <c r="I329" s="95">
        <v>1076</v>
      </c>
      <c r="J329" s="95">
        <v>400</v>
      </c>
      <c r="K329" s="95">
        <v>4180</v>
      </c>
      <c r="L329" s="95">
        <v>2627</v>
      </c>
      <c r="M329" s="95">
        <v>673</v>
      </c>
      <c r="N329" s="95">
        <v>602</v>
      </c>
      <c r="O329" s="95">
        <v>1873</v>
      </c>
      <c r="P329" s="95">
        <v>1435</v>
      </c>
      <c r="Q329" s="95">
        <v>1625</v>
      </c>
      <c r="R329" s="95">
        <v>1240</v>
      </c>
      <c r="S329" s="95">
        <v>0</v>
      </c>
      <c r="T329" s="95">
        <v>0</v>
      </c>
      <c r="U329" s="95">
        <v>0</v>
      </c>
      <c r="V329" s="95">
        <v>0</v>
      </c>
      <c r="W329" s="95">
        <v>1649</v>
      </c>
      <c r="X329" s="95">
        <v>1033</v>
      </c>
      <c r="Y329" s="95">
        <v>739</v>
      </c>
      <c r="Z329" s="95">
        <v>246</v>
      </c>
      <c r="AA329" s="95">
        <v>22125</v>
      </c>
      <c r="AB329" s="95">
        <v>36282</v>
      </c>
      <c r="AC329" s="95">
        <v>37262</v>
      </c>
      <c r="AF329"/>
      <c r="AG329"/>
      <c r="AH329" s="95">
        <v>21833</v>
      </c>
      <c r="AI329" s="95">
        <v>21807</v>
      </c>
      <c r="AJ329" s="95">
        <v>21861</v>
      </c>
      <c r="AK329" s="95">
        <v>21879</v>
      </c>
      <c r="AL329" s="95">
        <v>22028</v>
      </c>
      <c r="AM329" s="95">
        <v>40660</v>
      </c>
      <c r="AN329" s="95">
        <v>37652</v>
      </c>
      <c r="AO329" s="95">
        <v>36602000</v>
      </c>
      <c r="AP329" s="95">
        <v>36282</v>
      </c>
      <c r="AQ329" s="95">
        <v>37262</v>
      </c>
      <c r="AR329" s="95">
        <v>38593</v>
      </c>
    </row>
    <row r="330" spans="1:44" ht="12.5" x14ac:dyDescent="0.25">
      <c r="A330" s="95" t="s">
        <v>524</v>
      </c>
      <c r="B330" s="95" t="s">
        <v>235</v>
      </c>
      <c r="C330" s="95">
        <f t="shared" si="15"/>
        <v>9788.5</v>
      </c>
      <c r="D330" s="95">
        <f t="shared" si="16"/>
        <v>8955.9</v>
      </c>
      <c r="E330" s="184">
        <v>11388000</v>
      </c>
      <c r="F330" s="184">
        <f t="shared" si="17"/>
        <v>19342119.044771753</v>
      </c>
      <c r="G330" s="95">
        <v>8742</v>
      </c>
      <c r="H330" s="95">
        <v>8742</v>
      </c>
      <c r="I330" s="95">
        <v>8319</v>
      </c>
      <c r="J330" s="95">
        <v>8210</v>
      </c>
      <c r="K330" s="95">
        <v>4770</v>
      </c>
      <c r="L330" s="95">
        <v>7686</v>
      </c>
      <c r="M330" s="95">
        <v>4718</v>
      </c>
      <c r="N330" s="95">
        <v>4970</v>
      </c>
      <c r="O330" s="95">
        <v>21374</v>
      </c>
      <c r="P330" s="95">
        <v>19210</v>
      </c>
      <c r="Q330" s="95">
        <v>9226</v>
      </c>
      <c r="R330" s="95">
        <v>9460</v>
      </c>
      <c r="S330" s="95">
        <v>21414</v>
      </c>
      <c r="T330" s="95">
        <v>14572</v>
      </c>
      <c r="U330" s="95">
        <v>10403</v>
      </c>
      <c r="V330" s="95">
        <v>8507</v>
      </c>
      <c r="W330" s="95">
        <v>893</v>
      </c>
      <c r="X330" s="95">
        <v>776</v>
      </c>
      <c r="Y330" s="95">
        <v>8026</v>
      </c>
      <c r="Z330" s="95">
        <v>7426</v>
      </c>
      <c r="AA330" s="95">
        <v>52879</v>
      </c>
      <c r="AB330" s="95">
        <v>191295</v>
      </c>
      <c r="AC330" s="95">
        <v>224157</v>
      </c>
      <c r="AF330"/>
      <c r="AG330"/>
      <c r="AH330" s="95">
        <v>51522</v>
      </c>
      <c r="AI330" s="95">
        <v>51765</v>
      </c>
      <c r="AJ330" s="95">
        <v>52204</v>
      </c>
      <c r="AK330" s="95">
        <v>52320</v>
      </c>
      <c r="AL330" s="95">
        <v>52694</v>
      </c>
      <c r="AM330" s="95">
        <v>192055</v>
      </c>
      <c r="AN330" s="95">
        <v>196759</v>
      </c>
      <c r="AO330" s="95">
        <v>195326000</v>
      </c>
      <c r="AP330" s="95">
        <v>191295</v>
      </c>
      <c r="AQ330" s="95">
        <v>224157</v>
      </c>
      <c r="AR330" s="95">
        <v>249264</v>
      </c>
    </row>
    <row r="331" spans="1:44" ht="12.5" x14ac:dyDescent="0.25">
      <c r="A331" s="95" t="s">
        <v>518</v>
      </c>
      <c r="B331" s="95" t="s">
        <v>280</v>
      </c>
      <c r="C331" s="95">
        <f t="shared" si="15"/>
        <v>305.10000000000002</v>
      </c>
      <c r="D331" s="95">
        <f t="shared" si="16"/>
        <v>407.7</v>
      </c>
      <c r="E331" s="184">
        <v>1029000</v>
      </c>
      <c r="F331" s="184">
        <f t="shared" si="17"/>
        <v>5991122.5218766723</v>
      </c>
      <c r="G331" s="95">
        <v>0</v>
      </c>
      <c r="H331" s="95">
        <v>0</v>
      </c>
      <c r="I331" s="95">
        <v>664</v>
      </c>
      <c r="J331" s="95">
        <v>686</v>
      </c>
      <c r="K331" s="95">
        <v>983</v>
      </c>
      <c r="L331" s="95">
        <v>671</v>
      </c>
      <c r="M331" s="95">
        <v>34</v>
      </c>
      <c r="N331" s="95">
        <v>206</v>
      </c>
      <c r="O331" s="95">
        <v>111</v>
      </c>
      <c r="P331" s="95">
        <v>408</v>
      </c>
      <c r="Q331" s="95">
        <v>73</v>
      </c>
      <c r="R331" s="95">
        <v>1368</v>
      </c>
      <c r="S331" s="95">
        <v>245</v>
      </c>
      <c r="T331" s="95">
        <v>75</v>
      </c>
      <c r="U331" s="95">
        <v>941</v>
      </c>
      <c r="V331" s="95">
        <v>559</v>
      </c>
      <c r="W331" s="95">
        <v>0</v>
      </c>
      <c r="X331" s="95">
        <v>104</v>
      </c>
      <c r="Y331" s="95">
        <v>0</v>
      </c>
      <c r="Z331" s="95">
        <v>0</v>
      </c>
      <c r="AA331" s="95">
        <v>16379</v>
      </c>
      <c r="AB331" s="95">
        <v>29875</v>
      </c>
      <c r="AC331" s="95">
        <v>31188</v>
      </c>
      <c r="AF331"/>
      <c r="AG331"/>
      <c r="AH331" s="95">
        <v>15804</v>
      </c>
      <c r="AI331" s="95">
        <v>16003</v>
      </c>
      <c r="AJ331" s="95">
        <v>16332</v>
      </c>
      <c r="AK331" s="95">
        <v>16293</v>
      </c>
      <c r="AL331" s="95">
        <v>16333</v>
      </c>
      <c r="AM331" s="95">
        <v>30433</v>
      </c>
      <c r="AN331" s="95">
        <v>30030</v>
      </c>
      <c r="AO331" s="95">
        <v>29737000</v>
      </c>
      <c r="AP331" s="95">
        <v>29875</v>
      </c>
      <c r="AQ331" s="95">
        <v>31188</v>
      </c>
      <c r="AR331" s="95">
        <v>31425</v>
      </c>
    </row>
    <row r="332" spans="1:44" ht="12.5" x14ac:dyDescent="0.25">
      <c r="A332" s="95" t="s">
        <v>524</v>
      </c>
      <c r="B332" s="95" t="s">
        <v>236</v>
      </c>
      <c r="C332" s="95">
        <f t="shared" si="15"/>
        <v>7922.9</v>
      </c>
      <c r="D332" s="95">
        <f t="shared" si="16"/>
        <v>7623.8</v>
      </c>
      <c r="E332" s="184">
        <v>1343000</v>
      </c>
      <c r="F332" s="184">
        <f t="shared" si="17"/>
        <v>5075939.1437867135</v>
      </c>
      <c r="G332" s="95">
        <v>6572</v>
      </c>
      <c r="H332" s="95">
        <v>6057</v>
      </c>
      <c r="I332" s="95">
        <v>6909</v>
      </c>
      <c r="J332" s="95">
        <v>6408</v>
      </c>
      <c r="K332" s="95">
        <v>4524</v>
      </c>
      <c r="L332" s="95">
        <v>4548</v>
      </c>
      <c r="M332" s="95">
        <v>3468</v>
      </c>
      <c r="N332" s="95">
        <v>3525</v>
      </c>
      <c r="O332" s="95">
        <v>11042</v>
      </c>
      <c r="P332" s="95">
        <v>10773</v>
      </c>
      <c r="Q332" s="95">
        <v>11484</v>
      </c>
      <c r="R332" s="95">
        <v>11485</v>
      </c>
      <c r="S332" s="95">
        <v>7072</v>
      </c>
      <c r="T332" s="95">
        <v>5460</v>
      </c>
      <c r="U332" s="95">
        <v>7506</v>
      </c>
      <c r="V332" s="95">
        <v>7377</v>
      </c>
      <c r="W332" s="95">
        <v>12940</v>
      </c>
      <c r="X332" s="95">
        <v>12596</v>
      </c>
      <c r="Y332" s="95">
        <v>7712</v>
      </c>
      <c r="Z332" s="95">
        <v>8009</v>
      </c>
      <c r="AA332" s="95">
        <v>13877</v>
      </c>
      <c r="AB332" s="95">
        <v>23039</v>
      </c>
      <c r="AC332" s="95">
        <v>23089</v>
      </c>
      <c r="AF332"/>
      <c r="AG332"/>
      <c r="AH332" s="95">
        <v>12701</v>
      </c>
      <c r="AI332" s="95">
        <v>13022</v>
      </c>
      <c r="AJ332" s="95">
        <v>13165</v>
      </c>
      <c r="AK332" s="95">
        <v>13334</v>
      </c>
      <c r="AL332" s="95">
        <v>13639</v>
      </c>
      <c r="AM332" s="95">
        <v>26189</v>
      </c>
      <c r="AN332" s="95">
        <v>26608</v>
      </c>
      <c r="AO332" s="95">
        <v>23366000</v>
      </c>
      <c r="AP332" s="95">
        <v>23039</v>
      </c>
      <c r="AQ332" s="95">
        <v>23089</v>
      </c>
      <c r="AR332" s="95">
        <v>22457</v>
      </c>
    </row>
    <row r="333" spans="1:44" ht="12.5" x14ac:dyDescent="0.25">
      <c r="A333" s="95" t="s">
        <v>518</v>
      </c>
      <c r="B333" s="95" t="s">
        <v>281</v>
      </c>
      <c r="C333" s="95">
        <f t="shared" si="15"/>
        <v>24404.1</v>
      </c>
      <c r="D333" s="95">
        <f t="shared" si="16"/>
        <v>22697.7</v>
      </c>
      <c r="E333" s="184">
        <v>29373000</v>
      </c>
      <c r="F333" s="184">
        <f t="shared" si="17"/>
        <v>57475491.359973341</v>
      </c>
      <c r="G333" s="95">
        <v>34755</v>
      </c>
      <c r="H333" s="95">
        <v>35582</v>
      </c>
      <c r="I333" s="95">
        <v>33548</v>
      </c>
      <c r="J333" s="95">
        <v>42969</v>
      </c>
      <c r="K333" s="95">
        <v>54573</v>
      </c>
      <c r="L333" s="95">
        <v>31881</v>
      </c>
      <c r="M333" s="95">
        <v>32517</v>
      </c>
      <c r="N333" s="95">
        <v>43365</v>
      </c>
      <c r="O333" s="95">
        <v>37879</v>
      </c>
      <c r="P333" s="95">
        <v>31240</v>
      </c>
      <c r="Q333" s="95">
        <v>17680</v>
      </c>
      <c r="R333" s="95">
        <v>10280</v>
      </c>
      <c r="S333" s="95">
        <v>4919</v>
      </c>
      <c r="T333" s="95">
        <v>2180</v>
      </c>
      <c r="U333" s="95">
        <v>5525</v>
      </c>
      <c r="V333" s="95">
        <v>7808</v>
      </c>
      <c r="W333" s="95">
        <v>7683</v>
      </c>
      <c r="X333" s="95">
        <v>4995</v>
      </c>
      <c r="Y333" s="95">
        <v>14962</v>
      </c>
      <c r="Z333" s="95">
        <v>16677</v>
      </c>
      <c r="AA333" s="95">
        <v>157131</v>
      </c>
      <c r="AB333" s="95">
        <v>647822</v>
      </c>
      <c r="AC333" s="95">
        <v>677615</v>
      </c>
      <c r="AF333"/>
      <c r="AG333"/>
      <c r="AH333" s="95">
        <v>153750</v>
      </c>
      <c r="AI333" s="95">
        <v>154826</v>
      </c>
      <c r="AJ333" s="95">
        <v>155799</v>
      </c>
      <c r="AK333" s="95">
        <v>156783</v>
      </c>
      <c r="AL333" s="95">
        <v>156901</v>
      </c>
      <c r="AM333" s="95">
        <v>614266</v>
      </c>
      <c r="AN333" s="95">
        <v>589253</v>
      </c>
      <c r="AO333" s="95">
        <v>620133000</v>
      </c>
      <c r="AP333" s="95">
        <v>647822</v>
      </c>
      <c r="AQ333" s="95">
        <v>677615</v>
      </c>
      <c r="AR333" s="95">
        <v>711335</v>
      </c>
    </row>
    <row r="334" spans="1:44" ht="12.5" x14ac:dyDescent="0.25">
      <c r="A334" s="95" t="s">
        <v>519</v>
      </c>
      <c r="B334" s="95" t="s">
        <v>211</v>
      </c>
      <c r="C334" s="95">
        <f t="shared" si="15"/>
        <v>9191.4</v>
      </c>
      <c r="D334" s="95">
        <f t="shared" si="16"/>
        <v>8268.7000000000007</v>
      </c>
      <c r="E334" s="184">
        <v>3596000</v>
      </c>
      <c r="F334" s="184">
        <f t="shared" si="17"/>
        <v>10956595.886213679</v>
      </c>
      <c r="G334" s="95">
        <v>6614</v>
      </c>
      <c r="H334" s="95">
        <v>6390</v>
      </c>
      <c r="I334" s="95">
        <v>16771</v>
      </c>
      <c r="J334" s="95">
        <v>19345</v>
      </c>
      <c r="K334" s="95">
        <v>7042</v>
      </c>
      <c r="L334" s="95">
        <v>6950</v>
      </c>
      <c r="M334" s="95">
        <v>6746</v>
      </c>
      <c r="N334" s="95">
        <v>6779</v>
      </c>
      <c r="O334" s="95">
        <v>5996</v>
      </c>
      <c r="P334" s="95">
        <v>6604</v>
      </c>
      <c r="Q334" s="95">
        <v>14886</v>
      </c>
      <c r="R334" s="95">
        <v>9399</v>
      </c>
      <c r="S334" s="95">
        <v>4082</v>
      </c>
      <c r="T334" s="95">
        <v>2557</v>
      </c>
      <c r="U334" s="95">
        <v>12922</v>
      </c>
      <c r="V334" s="95">
        <v>10705</v>
      </c>
      <c r="W334" s="95">
        <v>11459</v>
      </c>
      <c r="X334" s="95">
        <v>9672</v>
      </c>
      <c r="Y334" s="95">
        <v>5396</v>
      </c>
      <c r="Z334" s="95">
        <v>4286</v>
      </c>
      <c r="AA334" s="95">
        <v>29954</v>
      </c>
      <c r="AB334" s="95">
        <v>56507</v>
      </c>
      <c r="AC334" s="95">
        <v>62765</v>
      </c>
      <c r="AF334"/>
      <c r="AG334"/>
      <c r="AH334" s="95">
        <v>27727</v>
      </c>
      <c r="AI334" s="95">
        <v>28022</v>
      </c>
      <c r="AJ334" s="95">
        <v>28441</v>
      </c>
      <c r="AK334" s="95">
        <v>28844</v>
      </c>
      <c r="AL334" s="95">
        <v>29447</v>
      </c>
      <c r="AM334" s="95">
        <v>63429</v>
      </c>
      <c r="AN334" s="95">
        <v>53426</v>
      </c>
      <c r="AO334" s="95">
        <v>49479000</v>
      </c>
      <c r="AP334" s="95">
        <v>56507</v>
      </c>
      <c r="AQ334" s="95">
        <v>62765</v>
      </c>
      <c r="AR334" s="95">
        <v>60846</v>
      </c>
    </row>
    <row r="335" spans="1:44" ht="12.5" x14ac:dyDescent="0.25">
      <c r="A335" s="95" t="s">
        <v>518</v>
      </c>
      <c r="B335" s="95" t="s">
        <v>282</v>
      </c>
      <c r="C335" s="95">
        <f t="shared" si="15"/>
        <v>643.1</v>
      </c>
      <c r="D335" s="95">
        <f t="shared" si="16"/>
        <v>648.5</v>
      </c>
      <c r="E335" s="184">
        <v>2610000</v>
      </c>
      <c r="F335" s="184">
        <f t="shared" si="17"/>
        <v>6255947.7679746458</v>
      </c>
      <c r="G335" s="95">
        <v>1847</v>
      </c>
      <c r="H335" s="95">
        <v>1935</v>
      </c>
      <c r="I335" s="95">
        <v>299</v>
      </c>
      <c r="J335" s="95">
        <v>26</v>
      </c>
      <c r="K335" s="95">
        <v>299</v>
      </c>
      <c r="L335" s="95">
        <v>20</v>
      </c>
      <c r="M335" s="95">
        <v>0</v>
      </c>
      <c r="N335" s="95">
        <v>0</v>
      </c>
      <c r="O335" s="95">
        <v>0</v>
      </c>
      <c r="P335" s="95">
        <v>0</v>
      </c>
      <c r="Q335" s="95">
        <v>0</v>
      </c>
      <c r="R335" s="95">
        <v>0</v>
      </c>
      <c r="S335" s="95">
        <v>0</v>
      </c>
      <c r="T335" s="95">
        <v>0</v>
      </c>
      <c r="U335" s="95">
        <v>778</v>
      </c>
      <c r="V335" s="95">
        <v>778</v>
      </c>
      <c r="W335" s="95">
        <v>1737</v>
      </c>
      <c r="X335" s="95">
        <v>2183</v>
      </c>
      <c r="Y335" s="95">
        <v>1471</v>
      </c>
      <c r="Z335" s="95">
        <v>1543</v>
      </c>
      <c r="AA335" s="95">
        <v>17103</v>
      </c>
      <c r="AB335" s="95">
        <v>55778</v>
      </c>
      <c r="AC335" s="95">
        <v>53598</v>
      </c>
      <c r="AF335"/>
      <c r="AG335"/>
      <c r="AH335" s="95">
        <v>16894</v>
      </c>
      <c r="AI335" s="95">
        <v>16966</v>
      </c>
      <c r="AJ335" s="95">
        <v>17004</v>
      </c>
      <c r="AK335" s="95">
        <v>17116</v>
      </c>
      <c r="AL335" s="95">
        <v>17168</v>
      </c>
      <c r="AM335" s="95">
        <v>58606</v>
      </c>
      <c r="AN335" s="95">
        <v>58513</v>
      </c>
      <c r="AO335" s="95">
        <v>57123000</v>
      </c>
      <c r="AP335" s="95">
        <v>55778</v>
      </c>
      <c r="AQ335" s="95">
        <v>53598</v>
      </c>
      <c r="AR335" s="95">
        <v>52397</v>
      </c>
    </row>
    <row r="336" spans="1:44" ht="12.5" x14ac:dyDescent="0.25">
      <c r="A336" s="95" t="s">
        <v>523</v>
      </c>
      <c r="B336" s="95" t="s">
        <v>434</v>
      </c>
      <c r="C336" s="95">
        <f t="shared" si="15"/>
        <v>5790.9</v>
      </c>
      <c r="D336" s="95">
        <f t="shared" si="16"/>
        <v>4585</v>
      </c>
      <c r="E336" s="184">
        <v>1199000</v>
      </c>
      <c r="F336" s="184">
        <f t="shared" si="17"/>
        <v>8537322.1601197589</v>
      </c>
      <c r="G336" s="95">
        <v>5686</v>
      </c>
      <c r="H336" s="95">
        <v>5686</v>
      </c>
      <c r="I336" s="95">
        <v>3796</v>
      </c>
      <c r="J336" s="95">
        <v>5664</v>
      </c>
      <c r="K336" s="95">
        <v>23646</v>
      </c>
      <c r="L336" s="95">
        <v>24630</v>
      </c>
      <c r="M336" s="95">
        <v>23553</v>
      </c>
      <c r="N336" s="95">
        <v>22980</v>
      </c>
      <c r="O336" s="95">
        <v>114</v>
      </c>
      <c r="P336" s="95">
        <v>572</v>
      </c>
      <c r="Q336" s="95">
        <v>1115</v>
      </c>
      <c r="R336" s="95">
        <v>-183</v>
      </c>
      <c r="S336" s="95">
        <v>-1</v>
      </c>
      <c r="T336" s="95">
        <v>-1764</v>
      </c>
      <c r="U336" s="95">
        <v>0</v>
      </c>
      <c r="V336" s="95">
        <v>-4251</v>
      </c>
      <c r="W336" s="95">
        <v>0</v>
      </c>
      <c r="X336" s="95">
        <v>-2388</v>
      </c>
      <c r="Y336" s="95">
        <v>0</v>
      </c>
      <c r="Z336" s="95">
        <v>-5096</v>
      </c>
      <c r="AA336" s="95">
        <v>23340</v>
      </c>
      <c r="AB336" s="95">
        <v>27150</v>
      </c>
      <c r="AC336" s="95">
        <v>29106</v>
      </c>
      <c r="AF336"/>
      <c r="AG336"/>
      <c r="AH336" s="95">
        <v>22459</v>
      </c>
      <c r="AI336" s="95">
        <v>22392</v>
      </c>
      <c r="AJ336" s="95">
        <v>22312</v>
      </c>
      <c r="AK336" s="95">
        <v>22674</v>
      </c>
      <c r="AL336" s="95">
        <v>22879</v>
      </c>
      <c r="AM336" s="95">
        <v>30272</v>
      </c>
      <c r="AN336" s="95">
        <v>27975</v>
      </c>
      <c r="AO336" s="95">
        <v>26526000</v>
      </c>
      <c r="AP336" s="95">
        <v>27150</v>
      </c>
      <c r="AQ336" s="95">
        <v>29106</v>
      </c>
      <c r="AR336" s="95">
        <v>30496</v>
      </c>
    </row>
    <row r="337" spans="1:44" ht="12.5" x14ac:dyDescent="0.25">
      <c r="A337" s="95" t="s">
        <v>524</v>
      </c>
      <c r="B337" s="95" t="s">
        <v>237</v>
      </c>
      <c r="C337" s="95">
        <f t="shared" si="15"/>
        <v>3895</v>
      </c>
      <c r="D337" s="95">
        <f t="shared" si="16"/>
        <v>4239.6000000000004</v>
      </c>
      <c r="E337" s="184">
        <v>7911000</v>
      </c>
      <c r="F337" s="184">
        <f t="shared" si="17"/>
        <v>24129822.975954596</v>
      </c>
      <c r="G337" s="95">
        <v>0</v>
      </c>
      <c r="H337" s="95">
        <v>497</v>
      </c>
      <c r="I337" s="95">
        <v>10403</v>
      </c>
      <c r="J337" s="95">
        <v>10528</v>
      </c>
      <c r="K337" s="95">
        <v>12382</v>
      </c>
      <c r="L337" s="95">
        <v>12593</v>
      </c>
      <c r="M337" s="95">
        <v>5586</v>
      </c>
      <c r="N337" s="95">
        <v>5650</v>
      </c>
      <c r="O337" s="95">
        <v>3623</v>
      </c>
      <c r="P337" s="95">
        <v>8395</v>
      </c>
      <c r="Q337" s="95">
        <v>6925</v>
      </c>
      <c r="R337" s="95">
        <v>3525</v>
      </c>
      <c r="S337" s="95">
        <v>-2</v>
      </c>
      <c r="T337" s="95">
        <v>241</v>
      </c>
      <c r="U337" s="95">
        <v>8</v>
      </c>
      <c r="V337" s="95">
        <v>239</v>
      </c>
      <c r="W337" s="95">
        <v>25</v>
      </c>
      <c r="X337" s="95">
        <v>364</v>
      </c>
      <c r="Y337" s="95">
        <v>0</v>
      </c>
      <c r="Z337" s="95">
        <v>364</v>
      </c>
      <c r="AA337" s="95">
        <v>65968</v>
      </c>
      <c r="AB337" s="95">
        <v>145365</v>
      </c>
      <c r="AC337" s="95">
        <v>151090</v>
      </c>
      <c r="AF337"/>
      <c r="AG337"/>
      <c r="AH337" s="95">
        <v>62826</v>
      </c>
      <c r="AI337" s="95">
        <v>63340</v>
      </c>
      <c r="AJ337" s="95">
        <v>63960</v>
      </c>
      <c r="AK337" s="95">
        <v>64798</v>
      </c>
      <c r="AL337" s="95">
        <v>65043</v>
      </c>
      <c r="AM337" s="95">
        <v>125760</v>
      </c>
      <c r="AN337" s="95">
        <v>123923</v>
      </c>
      <c r="AO337" s="95">
        <v>135774000</v>
      </c>
      <c r="AP337" s="95">
        <v>145365</v>
      </c>
      <c r="AQ337" s="95">
        <v>151090</v>
      </c>
      <c r="AR337" s="95">
        <v>158383</v>
      </c>
    </row>
    <row r="338" spans="1:44" ht="12.5" x14ac:dyDescent="0.25">
      <c r="A338" s="95" t="s">
        <v>519</v>
      </c>
      <c r="B338" s="95" t="s">
        <v>212</v>
      </c>
      <c r="C338" s="95">
        <f t="shared" si="15"/>
        <v>10168.799999999999</v>
      </c>
      <c r="D338" s="95">
        <f t="shared" si="16"/>
        <v>11434.4</v>
      </c>
      <c r="E338" s="184">
        <v>5976000</v>
      </c>
      <c r="F338" s="184">
        <f t="shared" si="17"/>
        <v>16329548.980043976</v>
      </c>
      <c r="G338" s="95">
        <v>2334</v>
      </c>
      <c r="H338" s="95">
        <v>2283</v>
      </c>
      <c r="I338" s="95">
        <v>14861</v>
      </c>
      <c r="J338" s="95">
        <v>35508</v>
      </c>
      <c r="K338" s="95">
        <v>6478</v>
      </c>
      <c r="L338" s="95">
        <v>7677</v>
      </c>
      <c r="M338" s="95">
        <v>9142</v>
      </c>
      <c r="N338" s="95">
        <v>12721</v>
      </c>
      <c r="O338" s="95">
        <v>8799</v>
      </c>
      <c r="P338" s="95">
        <v>7404</v>
      </c>
      <c r="Q338" s="95">
        <v>12289</v>
      </c>
      <c r="R338" s="95">
        <v>11568</v>
      </c>
      <c r="S338" s="95">
        <v>10102</v>
      </c>
      <c r="T338" s="95">
        <v>9846</v>
      </c>
      <c r="U338" s="95">
        <v>17303</v>
      </c>
      <c r="V338" s="95">
        <v>11481</v>
      </c>
      <c r="W338" s="95">
        <v>7621</v>
      </c>
      <c r="X338" s="95">
        <v>5183</v>
      </c>
      <c r="Y338" s="95">
        <v>12759</v>
      </c>
      <c r="Z338" s="95">
        <v>10673</v>
      </c>
      <c r="AA338" s="95">
        <v>44643</v>
      </c>
      <c r="AB338" s="95">
        <v>120051</v>
      </c>
      <c r="AC338" s="95">
        <v>122124</v>
      </c>
      <c r="AF338"/>
      <c r="AG338"/>
      <c r="AH338" s="95">
        <v>43222</v>
      </c>
      <c r="AI338" s="95">
        <v>43411</v>
      </c>
      <c r="AJ338" s="95">
        <v>43507</v>
      </c>
      <c r="AK338" s="95">
        <v>43684</v>
      </c>
      <c r="AL338" s="95">
        <v>44096</v>
      </c>
      <c r="AM338" s="95">
        <v>113349</v>
      </c>
      <c r="AN338" s="95">
        <v>120042</v>
      </c>
      <c r="AO338" s="95">
        <v>117700000</v>
      </c>
      <c r="AP338" s="95">
        <v>120051</v>
      </c>
      <c r="AQ338" s="95">
        <v>122124</v>
      </c>
      <c r="AR338" s="95">
        <v>151319</v>
      </c>
    </row>
    <row r="339" spans="1:44" ht="12.5" x14ac:dyDescent="0.25">
      <c r="A339" s="95" t="s">
        <v>521</v>
      </c>
      <c r="B339" s="95" t="s">
        <v>326</v>
      </c>
      <c r="C339" s="95">
        <f t="shared" si="15"/>
        <v>17766.599999999999</v>
      </c>
      <c r="D339" s="95">
        <f t="shared" si="16"/>
        <v>16031</v>
      </c>
      <c r="E339" s="184">
        <v>10773000</v>
      </c>
      <c r="F339" s="184">
        <f t="shared" si="17"/>
        <v>45998389.49973008</v>
      </c>
      <c r="G339" s="95">
        <v>14617</v>
      </c>
      <c r="H339" s="95">
        <v>12583</v>
      </c>
      <c r="I339" s="95">
        <v>27805</v>
      </c>
      <c r="J339" s="95">
        <v>25189</v>
      </c>
      <c r="K339" s="95">
        <v>34239</v>
      </c>
      <c r="L339" s="95">
        <v>32165</v>
      </c>
      <c r="M339" s="95">
        <v>25452</v>
      </c>
      <c r="N339" s="95">
        <v>33034</v>
      </c>
      <c r="O339" s="95">
        <v>14954</v>
      </c>
      <c r="P339" s="95">
        <v>13065</v>
      </c>
      <c r="Q339" s="95">
        <v>8067</v>
      </c>
      <c r="R339" s="95">
        <v>11097</v>
      </c>
      <c r="S339" s="95">
        <v>15072</v>
      </c>
      <c r="T339" s="95">
        <v>7675</v>
      </c>
      <c r="U339" s="95">
        <v>7154</v>
      </c>
      <c r="V339" s="95">
        <v>8849</v>
      </c>
      <c r="W339" s="95">
        <v>6920</v>
      </c>
      <c r="X339" s="95">
        <v>7971</v>
      </c>
      <c r="Y339" s="95">
        <v>23386</v>
      </c>
      <c r="Z339" s="95">
        <v>8682</v>
      </c>
      <c r="AA339" s="95">
        <v>125754</v>
      </c>
      <c r="AB339" s="95">
        <v>333453</v>
      </c>
      <c r="AC339" s="95">
        <v>348088</v>
      </c>
      <c r="AF339"/>
      <c r="AG339"/>
      <c r="AH339" s="95">
        <v>124745</v>
      </c>
      <c r="AI339" s="95">
        <v>124719</v>
      </c>
      <c r="AJ339" s="95">
        <v>124947</v>
      </c>
      <c r="AK339" s="95">
        <v>125320</v>
      </c>
      <c r="AL339" s="95">
        <v>125267</v>
      </c>
      <c r="AM339" s="95">
        <v>279446</v>
      </c>
      <c r="AN339" s="95">
        <v>283292</v>
      </c>
      <c r="AO339" s="95">
        <v>298028000</v>
      </c>
      <c r="AP339" s="95">
        <v>333453</v>
      </c>
      <c r="AQ339" s="95">
        <v>348088</v>
      </c>
      <c r="AR339" s="95">
        <v>352808</v>
      </c>
    </row>
    <row r="340" spans="1:44" ht="12.5" x14ac:dyDescent="0.25">
      <c r="A340" s="95" t="s">
        <v>521</v>
      </c>
      <c r="B340" s="95" t="s">
        <v>327</v>
      </c>
      <c r="C340" s="95">
        <f t="shared" si="15"/>
        <v>2344.9</v>
      </c>
      <c r="D340" s="95">
        <f t="shared" si="16"/>
        <v>2590.1</v>
      </c>
      <c r="E340" s="184">
        <v>1735000</v>
      </c>
      <c r="F340" s="184">
        <f t="shared" si="17"/>
        <v>3401394.9771616813</v>
      </c>
      <c r="G340" s="95">
        <v>567</v>
      </c>
      <c r="H340" s="95">
        <v>737</v>
      </c>
      <c r="I340" s="95">
        <v>1632</v>
      </c>
      <c r="J340" s="95">
        <v>1652</v>
      </c>
      <c r="K340" s="95">
        <v>2480</v>
      </c>
      <c r="L340" s="95">
        <v>3146</v>
      </c>
      <c r="M340" s="95">
        <v>9090</v>
      </c>
      <c r="N340" s="95">
        <v>7850</v>
      </c>
      <c r="O340" s="95">
        <v>694</v>
      </c>
      <c r="P340" s="95">
        <v>681</v>
      </c>
      <c r="Q340" s="95">
        <v>-2229</v>
      </c>
      <c r="R340" s="95">
        <v>1438</v>
      </c>
      <c r="S340" s="95">
        <v>3760</v>
      </c>
      <c r="T340" s="95">
        <v>3688</v>
      </c>
      <c r="U340" s="95">
        <v>3807</v>
      </c>
      <c r="V340" s="95">
        <v>3152</v>
      </c>
      <c r="W340" s="95">
        <v>603</v>
      </c>
      <c r="X340" s="95">
        <v>451</v>
      </c>
      <c r="Y340" s="95">
        <v>3045</v>
      </c>
      <c r="Z340" s="95">
        <v>3106</v>
      </c>
      <c r="AA340" s="95">
        <v>9299</v>
      </c>
      <c r="AB340" s="95">
        <v>23974</v>
      </c>
      <c r="AC340" s="95">
        <v>31184</v>
      </c>
      <c r="AF340"/>
      <c r="AG340"/>
      <c r="AH340" s="95">
        <v>8371</v>
      </c>
      <c r="AI340" s="95">
        <v>8419</v>
      </c>
      <c r="AJ340" s="95">
        <v>8451</v>
      </c>
      <c r="AK340" s="95">
        <v>8582</v>
      </c>
      <c r="AL340" s="95">
        <v>8843</v>
      </c>
      <c r="AM340" s="95">
        <v>21115</v>
      </c>
      <c r="AN340" s="95">
        <v>17712</v>
      </c>
      <c r="AO340" s="95">
        <v>23004000</v>
      </c>
      <c r="AP340" s="95">
        <v>23974</v>
      </c>
      <c r="AQ340" s="95">
        <v>31184</v>
      </c>
      <c r="AR340" s="95">
        <v>34115</v>
      </c>
    </row>
    <row r="341" spans="1:44" ht="12.5" x14ac:dyDescent="0.25">
      <c r="A341" s="95" t="s">
        <v>521</v>
      </c>
      <c r="B341" s="95" t="s">
        <v>328</v>
      </c>
      <c r="C341" s="95">
        <f t="shared" si="15"/>
        <v>19865</v>
      </c>
      <c r="D341" s="95">
        <f t="shared" si="16"/>
        <v>18941.8</v>
      </c>
      <c r="E341" s="184">
        <v>7794000</v>
      </c>
      <c r="F341" s="184">
        <f t="shared" si="17"/>
        <v>16751294.157876799</v>
      </c>
      <c r="G341" s="95">
        <v>17341</v>
      </c>
      <c r="H341" s="95">
        <v>16746</v>
      </c>
      <c r="I341" s="95">
        <v>19703</v>
      </c>
      <c r="J341" s="95">
        <v>29702</v>
      </c>
      <c r="K341" s="95">
        <v>22143</v>
      </c>
      <c r="L341" s="95">
        <v>20205</v>
      </c>
      <c r="M341" s="95">
        <v>20462</v>
      </c>
      <c r="N341" s="95">
        <v>20757</v>
      </c>
      <c r="O341" s="95">
        <v>18087</v>
      </c>
      <c r="P341" s="95">
        <v>18747</v>
      </c>
      <c r="Q341" s="95">
        <v>19012</v>
      </c>
      <c r="R341" s="95">
        <v>11927</v>
      </c>
      <c r="S341" s="95">
        <v>18365</v>
      </c>
      <c r="T341" s="95">
        <v>16549</v>
      </c>
      <c r="U341" s="95">
        <v>23014</v>
      </c>
      <c r="V341" s="95">
        <v>21807</v>
      </c>
      <c r="W341" s="95">
        <v>20186</v>
      </c>
      <c r="X341" s="95">
        <v>18110</v>
      </c>
      <c r="Y341" s="95">
        <v>20337</v>
      </c>
      <c r="Z341" s="95">
        <v>14868</v>
      </c>
      <c r="AA341" s="95">
        <v>45796</v>
      </c>
      <c r="AB341" s="95">
        <v>142654</v>
      </c>
      <c r="AC341" s="95">
        <v>153448</v>
      </c>
      <c r="AF341"/>
      <c r="AG341"/>
      <c r="AH341" s="95">
        <v>41462</v>
      </c>
      <c r="AI341" s="95">
        <v>41895</v>
      </c>
      <c r="AJ341" s="95">
        <v>42767</v>
      </c>
      <c r="AK341" s="95">
        <v>43899</v>
      </c>
      <c r="AL341" s="95">
        <v>45064</v>
      </c>
      <c r="AM341" s="95">
        <v>133531</v>
      </c>
      <c r="AN341" s="95">
        <v>129173</v>
      </c>
      <c r="AO341" s="95">
        <v>129724000</v>
      </c>
      <c r="AP341" s="95">
        <v>142654</v>
      </c>
      <c r="AQ341" s="95">
        <v>153448</v>
      </c>
      <c r="AR341" s="95">
        <v>157270</v>
      </c>
    </row>
    <row r="342" spans="1:44" ht="12.5" x14ac:dyDescent="0.25">
      <c r="A342" s="95" t="s">
        <v>517</v>
      </c>
      <c r="B342" s="95" t="s">
        <v>399</v>
      </c>
      <c r="C342" s="95">
        <f t="shared" si="15"/>
        <v>1630.2</v>
      </c>
      <c r="D342" s="95">
        <f t="shared" si="16"/>
        <v>1354.3</v>
      </c>
      <c r="E342" s="184">
        <v>2080000</v>
      </c>
      <c r="F342" s="184">
        <f t="shared" si="17"/>
        <v>8140815.852426108</v>
      </c>
      <c r="G342" s="95">
        <v>64</v>
      </c>
      <c r="H342" s="95">
        <v>64</v>
      </c>
      <c r="I342" s="95">
        <v>4042</v>
      </c>
      <c r="J342" s="95">
        <v>3451</v>
      </c>
      <c r="K342" s="95">
        <v>1206</v>
      </c>
      <c r="L342" s="95">
        <v>1123</v>
      </c>
      <c r="M342" s="95">
        <v>1354</v>
      </c>
      <c r="N342" s="95">
        <v>2572</v>
      </c>
      <c r="O342" s="95">
        <v>-2456</v>
      </c>
      <c r="P342" s="95">
        <v>-2846</v>
      </c>
      <c r="Q342" s="95">
        <v>3433</v>
      </c>
      <c r="R342" s="95">
        <v>2906</v>
      </c>
      <c r="S342" s="95">
        <v>2264</v>
      </c>
      <c r="T342" s="95">
        <v>1584</v>
      </c>
      <c r="U342" s="95">
        <v>3622</v>
      </c>
      <c r="V342" s="95">
        <v>2438</v>
      </c>
      <c r="W342" s="95">
        <v>1696</v>
      </c>
      <c r="X342" s="95">
        <v>1614</v>
      </c>
      <c r="Y342" s="95">
        <v>1077</v>
      </c>
      <c r="Z342" s="95">
        <v>637</v>
      </c>
      <c r="AA342" s="95">
        <v>22256</v>
      </c>
      <c r="AB342" s="95">
        <v>32705</v>
      </c>
      <c r="AC342" s="95">
        <v>35460</v>
      </c>
      <c r="AF342"/>
      <c r="AG342"/>
      <c r="AH342" s="95">
        <v>21687</v>
      </c>
      <c r="AI342" s="95">
        <v>21524</v>
      </c>
      <c r="AJ342" s="95">
        <v>21624</v>
      </c>
      <c r="AK342" s="95">
        <v>21885</v>
      </c>
      <c r="AL342" s="95">
        <v>21988</v>
      </c>
      <c r="AM342" s="95">
        <v>27378</v>
      </c>
      <c r="AN342" s="95">
        <v>24863</v>
      </c>
      <c r="AO342" s="95">
        <v>27263000</v>
      </c>
      <c r="AP342" s="95">
        <v>32705</v>
      </c>
      <c r="AQ342" s="95">
        <v>35460</v>
      </c>
      <c r="AR342" s="95">
        <v>41284</v>
      </c>
    </row>
    <row r="343" spans="1:44" ht="12.5" x14ac:dyDescent="0.25">
      <c r="A343" s="95" t="s">
        <v>519</v>
      </c>
      <c r="B343" s="95" t="s">
        <v>213</v>
      </c>
      <c r="C343" s="95">
        <f t="shared" si="15"/>
        <v>11810</v>
      </c>
      <c r="D343" s="95">
        <f t="shared" si="16"/>
        <v>12023.2</v>
      </c>
      <c r="E343" s="184">
        <v>10156000</v>
      </c>
      <c r="F343" s="184">
        <f t="shared" si="17"/>
        <v>17677085.177039742</v>
      </c>
      <c r="G343" s="95">
        <v>10811</v>
      </c>
      <c r="H343" s="95">
        <v>10811</v>
      </c>
      <c r="I343" s="95">
        <v>13262</v>
      </c>
      <c r="J343" s="95">
        <v>15110</v>
      </c>
      <c r="K343" s="95">
        <v>5344</v>
      </c>
      <c r="L343" s="95">
        <v>5918</v>
      </c>
      <c r="M343" s="95">
        <v>5755</v>
      </c>
      <c r="N343" s="95">
        <v>8520</v>
      </c>
      <c r="O343" s="95">
        <v>4879</v>
      </c>
      <c r="P343" s="95">
        <v>6310</v>
      </c>
      <c r="Q343" s="95">
        <v>13518</v>
      </c>
      <c r="R343" s="95">
        <v>15540</v>
      </c>
      <c r="S343" s="95">
        <v>15103</v>
      </c>
      <c r="T343" s="95">
        <v>14647</v>
      </c>
      <c r="U343" s="95">
        <v>17192</v>
      </c>
      <c r="V343" s="95">
        <v>14249</v>
      </c>
      <c r="W343" s="95">
        <v>15639</v>
      </c>
      <c r="X343" s="95">
        <v>12812</v>
      </c>
      <c r="Y343" s="95">
        <v>16597</v>
      </c>
      <c r="Z343" s="95">
        <v>16315</v>
      </c>
      <c r="AA343" s="95">
        <v>48327</v>
      </c>
      <c r="AB343" s="95">
        <v>151335</v>
      </c>
      <c r="AC343" s="95">
        <v>152789</v>
      </c>
      <c r="AF343"/>
      <c r="AG343"/>
      <c r="AH343" s="95">
        <v>47318</v>
      </c>
      <c r="AI343" s="95">
        <v>47553</v>
      </c>
      <c r="AJ343" s="95">
        <v>47605</v>
      </c>
      <c r="AK343" s="95">
        <v>47912</v>
      </c>
      <c r="AL343" s="95">
        <v>48111</v>
      </c>
      <c r="AM343" s="95">
        <v>152343</v>
      </c>
      <c r="AN343" s="95">
        <v>161364</v>
      </c>
      <c r="AO343" s="95">
        <v>150572000</v>
      </c>
      <c r="AP343" s="95">
        <v>151335</v>
      </c>
      <c r="AQ343" s="95">
        <v>152789</v>
      </c>
      <c r="AR343" s="95">
        <v>149768</v>
      </c>
    </row>
    <row r="344" spans="1:44" ht="12.5" x14ac:dyDescent="0.25">
      <c r="A344" s="95" t="s">
        <v>522</v>
      </c>
      <c r="B344" s="95" t="s">
        <v>163</v>
      </c>
      <c r="C344" s="95">
        <f t="shared" si="15"/>
        <v>5682.6</v>
      </c>
      <c r="D344" s="95">
        <f t="shared" si="16"/>
        <v>5948.4</v>
      </c>
      <c r="E344" s="184">
        <v>3105000</v>
      </c>
      <c r="F344" s="184">
        <f t="shared" si="17"/>
        <v>8418077.6432303395</v>
      </c>
      <c r="G344" s="95">
        <v>4342</v>
      </c>
      <c r="H344" s="95">
        <v>4343</v>
      </c>
      <c r="I344" s="95">
        <v>6642</v>
      </c>
      <c r="J344" s="95">
        <v>8018</v>
      </c>
      <c r="K344" s="95">
        <v>3776</v>
      </c>
      <c r="L344" s="95">
        <v>5831</v>
      </c>
      <c r="M344" s="95">
        <v>6246</v>
      </c>
      <c r="N344" s="95">
        <v>11370</v>
      </c>
      <c r="O344" s="95">
        <v>5631</v>
      </c>
      <c r="P344" s="95">
        <v>5447</v>
      </c>
      <c r="Q344" s="95">
        <v>8504</v>
      </c>
      <c r="R344" s="95">
        <v>5289</v>
      </c>
      <c r="S344" s="95">
        <v>3934</v>
      </c>
      <c r="T344" s="95">
        <v>3422</v>
      </c>
      <c r="U344" s="95">
        <v>8570</v>
      </c>
      <c r="V344" s="95">
        <v>6870</v>
      </c>
      <c r="W344" s="95">
        <v>3238</v>
      </c>
      <c r="X344" s="95">
        <v>2743</v>
      </c>
      <c r="Y344" s="95">
        <v>5943</v>
      </c>
      <c r="Z344" s="95">
        <v>6151</v>
      </c>
      <c r="AA344" s="95">
        <v>23014</v>
      </c>
      <c r="AB344" s="95">
        <v>68289</v>
      </c>
      <c r="AC344" s="95">
        <v>67264</v>
      </c>
      <c r="AF344"/>
      <c r="AG344"/>
      <c r="AH344" s="95">
        <v>22308</v>
      </c>
      <c r="AI344" s="95">
        <v>22468</v>
      </c>
      <c r="AJ344" s="95">
        <v>22502</v>
      </c>
      <c r="AK344" s="95">
        <v>22679</v>
      </c>
      <c r="AL344" s="95">
        <v>22823</v>
      </c>
      <c r="AM344" s="95">
        <v>69857</v>
      </c>
      <c r="AN344" s="95">
        <v>67172</v>
      </c>
      <c r="AO344" s="95">
        <v>80750000</v>
      </c>
      <c r="AP344" s="95">
        <v>68289</v>
      </c>
      <c r="AQ344" s="95">
        <v>67264</v>
      </c>
      <c r="AR344" s="95">
        <v>68940</v>
      </c>
    </row>
    <row r="345" spans="1:44" ht="12.5" x14ac:dyDescent="0.25">
      <c r="A345" s="95" t="s">
        <v>521</v>
      </c>
      <c r="B345" s="95" t="s">
        <v>329</v>
      </c>
      <c r="C345" s="95">
        <f t="shared" si="15"/>
        <v>5399.5</v>
      </c>
      <c r="D345" s="95">
        <f t="shared" si="16"/>
        <v>5110</v>
      </c>
      <c r="E345" s="184">
        <v>7324000</v>
      </c>
      <c r="F345" s="184">
        <f t="shared" si="17"/>
        <v>16376734.693782426</v>
      </c>
      <c r="G345" s="95">
        <v>3741</v>
      </c>
      <c r="H345" s="95">
        <v>2947</v>
      </c>
      <c r="I345" s="95">
        <v>3946</v>
      </c>
      <c r="J345" s="95">
        <v>7387</v>
      </c>
      <c r="K345" s="95">
        <v>17378</v>
      </c>
      <c r="L345" s="95">
        <v>15911</v>
      </c>
      <c r="M345" s="95">
        <v>6786</v>
      </c>
      <c r="N345" s="95">
        <v>5800</v>
      </c>
      <c r="O345" s="95">
        <v>5003</v>
      </c>
      <c r="P345" s="95">
        <v>3867</v>
      </c>
      <c r="Q345" s="95">
        <v>2557</v>
      </c>
      <c r="R345" s="95">
        <v>4515</v>
      </c>
      <c r="S345" s="95">
        <v>1879</v>
      </c>
      <c r="T345" s="95">
        <v>778</v>
      </c>
      <c r="U345" s="95">
        <v>3828</v>
      </c>
      <c r="V345" s="95">
        <v>2233</v>
      </c>
      <c r="W345" s="95">
        <v>5039</v>
      </c>
      <c r="X345" s="95">
        <v>3970</v>
      </c>
      <c r="Y345" s="95">
        <v>3838</v>
      </c>
      <c r="Z345" s="95">
        <v>3692</v>
      </c>
      <c r="AA345" s="95">
        <v>44772</v>
      </c>
      <c r="AB345" s="95">
        <v>176593</v>
      </c>
      <c r="AC345" s="95">
        <v>180329</v>
      </c>
      <c r="AF345"/>
      <c r="AG345"/>
      <c r="AH345" s="95">
        <v>44423</v>
      </c>
      <c r="AI345" s="95">
        <v>44571</v>
      </c>
      <c r="AJ345" s="95">
        <v>44654</v>
      </c>
      <c r="AK345" s="95">
        <v>44721</v>
      </c>
      <c r="AL345" s="95">
        <v>44775</v>
      </c>
      <c r="AM345" s="95">
        <v>150640</v>
      </c>
      <c r="AN345" s="95">
        <v>158283</v>
      </c>
      <c r="AO345" s="95">
        <v>166917000</v>
      </c>
      <c r="AP345" s="95">
        <v>176593</v>
      </c>
      <c r="AQ345" s="95">
        <v>180329</v>
      </c>
      <c r="AR345" s="95">
        <v>187350</v>
      </c>
    </row>
    <row r="346" spans="1:44" ht="12.5" x14ac:dyDescent="0.25">
      <c r="A346" s="95" t="s">
        <v>522</v>
      </c>
      <c r="B346" s="95" t="s">
        <v>164</v>
      </c>
      <c r="C346" s="95">
        <f t="shared" si="15"/>
        <v>56544.7</v>
      </c>
      <c r="D346" s="95">
        <f t="shared" si="16"/>
        <v>51662.400000000001</v>
      </c>
      <c r="E346" s="184">
        <v>21607000</v>
      </c>
      <c r="F346" s="184">
        <f t="shared" si="17"/>
        <v>47787423.033798024</v>
      </c>
      <c r="G346" s="95">
        <v>81759</v>
      </c>
      <c r="H346" s="95">
        <v>82094</v>
      </c>
      <c r="I346" s="95">
        <v>44816</v>
      </c>
      <c r="J346" s="95">
        <v>44802</v>
      </c>
      <c r="K346" s="95">
        <v>50180</v>
      </c>
      <c r="L346" s="95">
        <v>58652</v>
      </c>
      <c r="M346" s="95">
        <v>33211</v>
      </c>
      <c r="N346" s="95">
        <v>37792</v>
      </c>
      <c r="O346" s="95">
        <v>36542</v>
      </c>
      <c r="P346" s="95">
        <v>25666</v>
      </c>
      <c r="Q346" s="95">
        <v>36805</v>
      </c>
      <c r="R346" s="95">
        <v>19181</v>
      </c>
      <c r="S346" s="95">
        <v>84054</v>
      </c>
      <c r="T346" s="95">
        <v>68779</v>
      </c>
      <c r="U346" s="95">
        <v>58951</v>
      </c>
      <c r="V346" s="95">
        <v>56246</v>
      </c>
      <c r="W346" s="95">
        <v>52781</v>
      </c>
      <c r="X346" s="95">
        <v>46481</v>
      </c>
      <c r="Y346" s="95">
        <v>86348</v>
      </c>
      <c r="Z346" s="95">
        <v>76931</v>
      </c>
      <c r="AA346" s="95">
        <v>130645</v>
      </c>
      <c r="AB346" s="95">
        <v>441667</v>
      </c>
      <c r="AC346" s="95">
        <v>459002</v>
      </c>
      <c r="AF346"/>
      <c r="AG346"/>
      <c r="AH346" s="95">
        <v>125525</v>
      </c>
      <c r="AI346" s="95">
        <v>126158</v>
      </c>
      <c r="AJ346" s="95">
        <v>127492</v>
      </c>
      <c r="AK346" s="95">
        <v>128707</v>
      </c>
      <c r="AL346" s="95">
        <v>129840</v>
      </c>
      <c r="AM346" s="95">
        <v>383464</v>
      </c>
      <c r="AN346" s="95">
        <v>400438</v>
      </c>
      <c r="AO346" s="95">
        <v>434187000</v>
      </c>
      <c r="AP346" s="95">
        <v>441667</v>
      </c>
      <c r="AQ346" s="95">
        <v>459002</v>
      </c>
      <c r="AR346" s="95">
        <v>453459</v>
      </c>
    </row>
    <row r="347" spans="1:44" ht="12.5" x14ac:dyDescent="0.25">
      <c r="B347" s="95" t="s">
        <v>442</v>
      </c>
      <c r="C347" s="95">
        <f t="shared" ref="C347:AC347" si="18">SUM(C2:C346)</f>
        <v>4603999.7474998981</v>
      </c>
      <c r="D347" s="184">
        <f>SUM(D2:D346)</f>
        <v>4359306.9828853291</v>
      </c>
      <c r="E347" s="184">
        <f>SUM(E2:E346)</f>
        <v>2843680000</v>
      </c>
      <c r="F347" s="184">
        <f t="shared" si="18"/>
        <v>6434592880.1884251</v>
      </c>
      <c r="G347" s="184">
        <f>SUM(G2:G346)</f>
        <v>3150836</v>
      </c>
      <c r="H347" s="184">
        <f>SUM(H2:H346)</f>
        <v>2788448</v>
      </c>
      <c r="I347" s="95">
        <f t="shared" si="18"/>
        <v>6248127.3063996639</v>
      </c>
      <c r="J347" s="95">
        <f t="shared" si="18"/>
        <v>7354971.1453577941</v>
      </c>
      <c r="K347" s="95">
        <f t="shared" si="18"/>
        <v>5555220.1903049741</v>
      </c>
      <c r="L347" s="95">
        <f t="shared" si="18"/>
        <v>5781544.7346088039</v>
      </c>
      <c r="M347" s="95">
        <f t="shared" si="18"/>
        <v>5429687.6127993278</v>
      </c>
      <c r="N347" s="95">
        <f t="shared" si="18"/>
        <v>5847116.7679596692</v>
      </c>
      <c r="O347" s="95">
        <f t="shared" si="18"/>
        <v>6065250.003360875</v>
      </c>
      <c r="P347" s="95">
        <f t="shared" si="18"/>
        <v>5596376.3674555384</v>
      </c>
      <c r="Q347" s="95">
        <f t="shared" si="18"/>
        <v>4977738.7032628478</v>
      </c>
      <c r="R347" s="95">
        <f t="shared" si="18"/>
        <v>4561901.725248565</v>
      </c>
      <c r="S347" s="95">
        <f t="shared" si="18"/>
        <v>3994202.0544741638</v>
      </c>
      <c r="T347" s="95">
        <f t="shared" si="18"/>
        <v>3158184.0597955468</v>
      </c>
      <c r="U347" s="95">
        <f t="shared" si="18"/>
        <v>3847068.4210894839</v>
      </c>
      <c r="V347" s="95">
        <f t="shared" si="18"/>
        <v>3116407.6422069739</v>
      </c>
      <c r="W347" s="95">
        <f t="shared" si="18"/>
        <v>3271406.7066237223</v>
      </c>
      <c r="X347" s="95">
        <f t="shared" si="18"/>
        <v>2604943.6098585632</v>
      </c>
      <c r="Y347" s="95">
        <f t="shared" si="18"/>
        <v>3500460.4766839379</v>
      </c>
      <c r="Z347" s="95">
        <f t="shared" si="18"/>
        <v>2783175.7763618538</v>
      </c>
      <c r="AA347" s="95">
        <f>SUM(AA2:AA346)</f>
        <v>17591394</v>
      </c>
      <c r="AB347" s="95">
        <f t="shared" si="18"/>
        <v>61014353.568722166</v>
      </c>
      <c r="AC347" s="95">
        <f t="shared" si="18"/>
        <v>62935058.112169161</v>
      </c>
      <c r="AF347"/>
      <c r="AG347"/>
      <c r="AH347" s="95">
        <v>17089690</v>
      </c>
      <c r="AI347" s="95">
        <v>17184010</v>
      </c>
      <c r="AJ347" s="95">
        <v>17282733.12603277</v>
      </c>
      <c r="AK347" s="95">
        <v>17407631</v>
      </c>
      <c r="AL347" s="95">
        <f>SUM(AL2:AL346)</f>
        <v>17475394.949586891</v>
      </c>
      <c r="AM347" s="95">
        <f>SUM(AM2:AM346)</f>
        <v>57270477.182187364</v>
      </c>
      <c r="AN347" s="95">
        <f>SUM(AN2:AN346)</f>
        <v>57434930.853101812</v>
      </c>
      <c r="AO347" s="95">
        <v>58858425065</v>
      </c>
      <c r="AP347" s="95">
        <f>SUM(AP2:AP346)</f>
        <v>61060251.841653109</v>
      </c>
      <c r="AQ347" s="95">
        <f>SUM(AQ2:AQ346)</f>
        <v>62935058.112169161</v>
      </c>
      <c r="AR347" s="95">
        <f>SUM(AR2:AR346)</f>
        <v>64072856.231340155</v>
      </c>
    </row>
    <row r="348" spans="1:44" ht="12.5" x14ac:dyDescent="0.25">
      <c r="AF348"/>
      <c r="AG348"/>
    </row>
    <row r="349" spans="1:44" ht="12.5" x14ac:dyDescent="0.25">
      <c r="AF349"/>
      <c r="AG349"/>
    </row>
    <row r="350" spans="1:44" ht="12.5" x14ac:dyDescent="0.25">
      <c r="E350" s="184"/>
      <c r="AF350"/>
      <c r="AG350"/>
      <c r="AJ350" s="344"/>
    </row>
    <row r="351" spans="1:44" ht="12.5" x14ac:dyDescent="0.25">
      <c r="E351" s="184"/>
      <c r="AF351"/>
      <c r="AG351"/>
    </row>
    <row r="352" spans="1:44" ht="12.5" x14ac:dyDescent="0.25">
      <c r="E352" s="184"/>
      <c r="AF352"/>
      <c r="AG352"/>
    </row>
    <row r="353" spans="5:33" ht="12.5" x14ac:dyDescent="0.25">
      <c r="F353" s="95"/>
      <c r="AF353"/>
      <c r="AG353"/>
    </row>
    <row r="354" spans="5:33" ht="12.5" x14ac:dyDescent="0.25">
      <c r="AF354"/>
      <c r="AG354"/>
    </row>
    <row r="355" spans="5:33" ht="12.5" x14ac:dyDescent="0.25">
      <c r="E355" s="184"/>
      <c r="AF355"/>
      <c r="AG355"/>
    </row>
    <row r="356" spans="5:33" ht="12.5" x14ac:dyDescent="0.25">
      <c r="E356" s="184"/>
      <c r="AF356"/>
      <c r="AG356"/>
    </row>
    <row r="357" spans="5:33" ht="12.5" x14ac:dyDescent="0.25">
      <c r="F357" s="95"/>
      <c r="AF357"/>
      <c r="AG357"/>
    </row>
    <row r="358" spans="5:33" ht="12.5" x14ac:dyDescent="0.25">
      <c r="E358" s="184"/>
      <c r="AF358"/>
      <c r="AG358"/>
    </row>
    <row r="359" spans="5:33" ht="12.5" x14ac:dyDescent="0.25">
      <c r="E359" s="184"/>
      <c r="AF359"/>
      <c r="AG359"/>
    </row>
    <row r="360" spans="5:33" ht="12.5" x14ac:dyDescent="0.25">
      <c r="E360" s="184"/>
      <c r="AF360"/>
      <c r="AG360"/>
    </row>
    <row r="361" spans="5:33" ht="12.5" x14ac:dyDescent="0.25">
      <c r="F361" s="95"/>
      <c r="AF361"/>
      <c r="AG361"/>
    </row>
    <row r="362" spans="5:33" ht="12.5" x14ac:dyDescent="0.25">
      <c r="AG362"/>
    </row>
    <row r="363" spans="5:33" ht="12.5" x14ac:dyDescent="0.25">
      <c r="E363" s="184"/>
      <c r="AF363"/>
      <c r="AG363"/>
    </row>
    <row r="364" spans="5:33" ht="12.5" x14ac:dyDescent="0.25">
      <c r="E364" s="184"/>
      <c r="AF364"/>
      <c r="AG364"/>
    </row>
    <row r="365" spans="5:33" ht="13.25" customHeight="1" x14ac:dyDescent="0.25">
      <c r="F365" s="95"/>
      <c r="AF365"/>
    </row>
    <row r="366" spans="5:33" ht="12.5" x14ac:dyDescent="0.25">
      <c r="AF366"/>
      <c r="AG366"/>
    </row>
    <row r="367" spans="5:33" ht="12.5" x14ac:dyDescent="0.25">
      <c r="E367" s="184"/>
      <c r="AF367"/>
      <c r="AG367"/>
    </row>
    <row r="368" spans="5:33" ht="12.5" x14ac:dyDescent="0.25">
      <c r="E368" s="184"/>
      <c r="AF368"/>
      <c r="AG368"/>
    </row>
    <row r="369" spans="5:33" ht="12.5" x14ac:dyDescent="0.25">
      <c r="E369" s="184"/>
      <c r="AF369"/>
      <c r="AG369"/>
    </row>
    <row r="370" spans="5:33" ht="12.5" x14ac:dyDescent="0.25">
      <c r="E370" s="184"/>
      <c r="AF370"/>
      <c r="AG370"/>
    </row>
    <row r="371" spans="5:33" ht="12.5" x14ac:dyDescent="0.25">
      <c r="E371" s="184"/>
      <c r="AF371"/>
      <c r="AG371"/>
    </row>
    <row r="372" spans="5:33" x14ac:dyDescent="0.25">
      <c r="F372" s="95"/>
    </row>
    <row r="374" spans="5:33" ht="12.5" x14ac:dyDescent="0.25">
      <c r="E374" s="184"/>
      <c r="AF374"/>
      <c r="AG374"/>
    </row>
    <row r="376" spans="5:33" ht="12.5" x14ac:dyDescent="0.25">
      <c r="E376" s="184"/>
      <c r="AF376"/>
      <c r="AG376"/>
    </row>
    <row r="377" spans="5:33" x14ac:dyDescent="0.25">
      <c r="F377" s="95"/>
    </row>
    <row r="379" spans="5:33" ht="12.5" x14ac:dyDescent="0.25">
      <c r="E379" s="184"/>
      <c r="AF379"/>
      <c r="AG379"/>
    </row>
    <row r="380" spans="5:33" x14ac:dyDescent="0.25">
      <c r="F380" s="95"/>
    </row>
    <row r="382" spans="5:33" ht="12.5" x14ac:dyDescent="0.25">
      <c r="E382" s="184"/>
      <c r="AG382"/>
    </row>
    <row r="383" spans="5:33" x14ac:dyDescent="0.25">
      <c r="F383" s="95"/>
    </row>
    <row r="386" spans="6:33" x14ac:dyDescent="0.25">
      <c r="F386" s="95"/>
    </row>
    <row r="389" spans="6:33" ht="12.5" x14ac:dyDescent="0.25">
      <c r="AG389"/>
    </row>
    <row r="391" spans="6:33" ht="12.5" x14ac:dyDescent="0.25">
      <c r="AF391"/>
    </row>
    <row r="397" spans="6:33" ht="12.5" x14ac:dyDescent="0.25">
      <c r="AG397"/>
    </row>
    <row r="399" spans="6:33" ht="12.5" x14ac:dyDescent="0.25">
      <c r="AF399"/>
    </row>
  </sheetData>
  <sheetProtection algorithmName="SHA-512" hashValue="fdw/zdXgdRlZT7SGX4Fva4qL0SM1afJgKl6LJv0NkH/lr1Dxx08exv9Bg5ACBW32UD/cPQ2pPcWTa7ECpsq+7w==" saltValue="F8TQoOqTD/9/0l/LCT6i3A==" spinCount="100000" sheet="1" objects="1" scenarios="1"/>
  <pageMargins left="0.7" right="0.7" top="0.75" bottom="0.75" header="0.3" footer="0.3"/>
  <pageSetup paperSize="9" orientation="portrait" horizontalDpi="4294967293" verticalDpi="4294967293"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FC368-3F3C-41FF-A885-625B4ACF4E60}">
  <dimension ref="A1:AA391"/>
  <sheetViews>
    <sheetView topLeftCell="A313" workbookViewId="0">
      <selection activeCell="G325" sqref="G325"/>
    </sheetView>
  </sheetViews>
  <sheetFormatPr defaultRowHeight="12.5" x14ac:dyDescent="0.25"/>
  <cols>
    <col min="1" max="1" width="8.90625" bestFit="1" customWidth="1"/>
    <col min="2" max="2" width="23.90625" bestFit="1" customWidth="1"/>
    <col min="3" max="3" width="13.1796875" customWidth="1"/>
    <col min="4" max="4" width="13.90625" bestFit="1" customWidth="1"/>
    <col min="5" max="5" width="19.90625" bestFit="1" customWidth="1"/>
    <col min="6" max="6" width="22" bestFit="1" customWidth="1"/>
    <col min="7" max="13" width="18.08984375" bestFit="1" customWidth="1"/>
    <col min="14" max="14" width="22.81640625" bestFit="1" customWidth="1"/>
    <col min="15" max="17" width="8.08984375" bestFit="1" customWidth="1"/>
    <col min="18" max="18" width="8.54296875" bestFit="1" customWidth="1"/>
    <col min="19" max="24" width="9.90625" bestFit="1" customWidth="1"/>
    <col min="25" max="27" width="6.08984375" bestFit="1" customWidth="1"/>
    <col min="30" max="30" width="27.7265625" bestFit="1" customWidth="1"/>
    <col min="31" max="31" width="15.81640625" bestFit="1" customWidth="1"/>
    <col min="33" max="33" width="20.7265625" bestFit="1" customWidth="1"/>
  </cols>
  <sheetData>
    <row r="1" spans="1:27" x14ac:dyDescent="0.25">
      <c r="A1" s="74" t="s">
        <v>554</v>
      </c>
      <c r="B1" s="95" t="s">
        <v>530</v>
      </c>
      <c r="C1" s="70" t="s">
        <v>543</v>
      </c>
      <c r="D1" s="70" t="s">
        <v>585</v>
      </c>
      <c r="E1" s="70" t="s">
        <v>544</v>
      </c>
      <c r="F1" s="70" t="s">
        <v>934</v>
      </c>
      <c r="G1" s="70" t="s">
        <v>684</v>
      </c>
      <c r="H1" s="70" t="s">
        <v>622</v>
      </c>
      <c r="I1" s="70" t="s">
        <v>564</v>
      </c>
      <c r="J1" s="70" t="s">
        <v>568</v>
      </c>
      <c r="K1" s="74" t="s">
        <v>567</v>
      </c>
      <c r="L1" s="74" t="s">
        <v>566</v>
      </c>
      <c r="M1" s="70" t="s">
        <v>565</v>
      </c>
      <c r="N1" s="70" t="s">
        <v>545</v>
      </c>
      <c r="O1" s="185" t="s">
        <v>541</v>
      </c>
      <c r="P1" s="164" t="s">
        <v>542</v>
      </c>
      <c r="Q1" s="278">
        <v>2020</v>
      </c>
      <c r="R1" s="241">
        <v>2021</v>
      </c>
      <c r="S1" s="241" t="s">
        <v>950</v>
      </c>
      <c r="T1" s="241" t="s">
        <v>951</v>
      </c>
      <c r="U1" s="241" t="s">
        <v>952</v>
      </c>
      <c r="V1" s="241" t="s">
        <v>953</v>
      </c>
      <c r="W1" s="241" t="s">
        <v>954</v>
      </c>
      <c r="X1" s="241" t="s">
        <v>955</v>
      </c>
      <c r="Y1" s="241"/>
      <c r="Z1" s="241"/>
      <c r="AA1" s="241"/>
    </row>
    <row r="2" spans="1:27" x14ac:dyDescent="0.25">
      <c r="A2" t="s">
        <v>516</v>
      </c>
      <c r="B2" s="95" t="s">
        <v>106</v>
      </c>
      <c r="C2" s="73">
        <f>(SUM(U2*1000,-R2)/14)/R2</f>
        <v>-4.1169044453630366E-3</v>
      </c>
      <c r="D2" t="s">
        <v>118</v>
      </c>
      <c r="E2" s="73">
        <f>SUM(H2,-M2)/(SUM(I2,J2,K2,L2,M2))</f>
        <v>2.3065833733781835E-2</v>
      </c>
      <c r="F2" s="162">
        <v>25574</v>
      </c>
      <c r="G2" s="162"/>
      <c r="H2" s="162">
        <v>2230</v>
      </c>
      <c r="I2" s="68">
        <v>2160</v>
      </c>
      <c r="J2" s="68">
        <v>2150</v>
      </c>
      <c r="K2" s="68">
        <v>2080</v>
      </c>
      <c r="L2" s="68">
        <v>2025</v>
      </c>
      <c r="M2" s="68">
        <v>1990</v>
      </c>
      <c r="N2" s="84" t="s">
        <v>106</v>
      </c>
      <c r="O2" s="162">
        <v>25386</v>
      </c>
      <c r="P2" s="162">
        <v>25442</v>
      </c>
      <c r="Q2" s="162">
        <v>25399</v>
      </c>
      <c r="R2" s="162">
        <v>25574</v>
      </c>
      <c r="S2" s="163">
        <v>24.6</v>
      </c>
      <c r="T2" s="163">
        <v>24.1</v>
      </c>
      <c r="U2" s="163">
        <v>24.1</v>
      </c>
      <c r="V2" s="163">
        <v>24.2</v>
      </c>
      <c r="W2" s="163">
        <v>24</v>
      </c>
      <c r="X2" s="163">
        <v>23.8</v>
      </c>
      <c r="Y2" s="163"/>
      <c r="Z2" s="163"/>
      <c r="AA2" s="163"/>
    </row>
    <row r="3" spans="1:27" x14ac:dyDescent="0.25">
      <c r="A3" t="s">
        <v>518</v>
      </c>
      <c r="B3" s="95" t="s">
        <v>238</v>
      </c>
      <c r="C3" s="73">
        <f t="shared" ref="C3:C66" si="0">(SUM(U3*1000,-R3)/14)/R3</f>
        <v>-1.1998326838826147E-3</v>
      </c>
      <c r="D3" t="s">
        <v>467</v>
      </c>
      <c r="E3" s="73">
        <f t="shared" ref="E3:E63" si="1">SUM(H3,-M3)/(SUM(I3,J3,K3,L3,M3))</f>
        <v>3.6155747836835603E-2</v>
      </c>
      <c r="F3" s="162">
        <v>32445</v>
      </c>
      <c r="G3" s="162"/>
      <c r="H3" s="162">
        <v>3615</v>
      </c>
      <c r="I3" s="68">
        <v>3445</v>
      </c>
      <c r="J3" s="68">
        <v>3355</v>
      </c>
      <c r="K3" s="68">
        <v>3260</v>
      </c>
      <c r="L3" s="68">
        <v>3090</v>
      </c>
      <c r="M3" s="68">
        <v>3030</v>
      </c>
      <c r="N3" s="84" t="s">
        <v>238</v>
      </c>
      <c r="O3" s="162">
        <v>31724</v>
      </c>
      <c r="P3" s="162">
        <v>31829</v>
      </c>
      <c r="Q3" s="162">
        <v>31991</v>
      </c>
      <c r="R3" s="162">
        <v>32445</v>
      </c>
      <c r="S3" s="163">
        <v>32.299999999999997</v>
      </c>
      <c r="T3" s="163">
        <v>32</v>
      </c>
      <c r="U3" s="163">
        <v>31.9</v>
      </c>
      <c r="V3" s="163">
        <v>32.1</v>
      </c>
      <c r="W3" s="163">
        <v>32.4</v>
      </c>
      <c r="X3" s="163">
        <v>32.700000000000003</v>
      </c>
      <c r="Y3" s="163"/>
      <c r="Z3" s="163"/>
      <c r="AA3" s="163"/>
    </row>
    <row r="4" spans="1:27" x14ac:dyDescent="0.25">
      <c r="A4" t="s">
        <v>519</v>
      </c>
      <c r="B4" s="95" t="s">
        <v>165</v>
      </c>
      <c r="C4" s="73">
        <f t="shared" si="0"/>
        <v>-4.2171850289931473E-3</v>
      </c>
      <c r="D4" t="s">
        <v>118</v>
      </c>
      <c r="E4" s="73">
        <f t="shared" si="1"/>
        <v>2.7932960893854747E-2</v>
      </c>
      <c r="F4" s="162">
        <v>27100</v>
      </c>
      <c r="G4" s="162"/>
      <c r="H4" s="162">
        <v>2140</v>
      </c>
      <c r="I4" s="68">
        <v>2075</v>
      </c>
      <c r="J4" s="68">
        <v>2030</v>
      </c>
      <c r="K4" s="68">
        <v>1985</v>
      </c>
      <c r="L4" s="68">
        <v>1890</v>
      </c>
      <c r="M4" s="68">
        <v>1865</v>
      </c>
      <c r="N4" s="84" t="s">
        <v>165</v>
      </c>
      <c r="O4" s="162">
        <v>27007</v>
      </c>
      <c r="P4" s="162">
        <v>27116</v>
      </c>
      <c r="Q4" s="162">
        <v>27120</v>
      </c>
      <c r="R4" s="162">
        <v>27100</v>
      </c>
      <c r="S4" s="163">
        <v>26.3</v>
      </c>
      <c r="T4" s="163">
        <v>25.8</v>
      </c>
      <c r="U4" s="163">
        <v>25.5</v>
      </c>
      <c r="V4" s="163">
        <v>25.2</v>
      </c>
      <c r="W4" s="163">
        <v>24.9</v>
      </c>
      <c r="X4" s="163">
        <v>24.5</v>
      </c>
      <c r="Y4" s="163"/>
      <c r="Z4" s="163"/>
      <c r="AA4" s="163"/>
    </row>
    <row r="5" spans="1:27" x14ac:dyDescent="0.25">
      <c r="A5" t="s">
        <v>520</v>
      </c>
      <c r="B5" s="95" t="s">
        <v>127</v>
      </c>
      <c r="C5" s="73">
        <f t="shared" si="0"/>
        <v>-1.4306151645207439E-3</v>
      </c>
      <c r="D5" t="s">
        <v>118</v>
      </c>
      <c r="E5" s="73">
        <f t="shared" si="1"/>
        <v>2.7113970588235295E-2</v>
      </c>
      <c r="F5" s="162">
        <v>27960</v>
      </c>
      <c r="G5" s="162"/>
      <c r="H5" s="162">
        <v>2360</v>
      </c>
      <c r="I5" s="68">
        <v>2285</v>
      </c>
      <c r="J5" s="68">
        <v>2260</v>
      </c>
      <c r="K5" s="68">
        <v>2170</v>
      </c>
      <c r="L5" s="68">
        <v>2100</v>
      </c>
      <c r="M5" s="68">
        <v>2065</v>
      </c>
      <c r="N5" s="84" t="s">
        <v>127</v>
      </c>
      <c r="O5" s="162">
        <v>27871</v>
      </c>
      <c r="P5" s="162">
        <v>27824</v>
      </c>
      <c r="Q5" s="162">
        <v>27900</v>
      </c>
      <c r="R5" s="162">
        <v>27960</v>
      </c>
      <c r="S5" s="163">
        <v>27.8</v>
      </c>
      <c r="T5" s="163">
        <v>27.6</v>
      </c>
      <c r="U5" s="163">
        <v>27.4</v>
      </c>
      <c r="V5" s="163">
        <v>27.2</v>
      </c>
      <c r="W5" s="163">
        <v>27</v>
      </c>
      <c r="X5" s="163">
        <v>26.7</v>
      </c>
      <c r="Y5" s="163"/>
      <c r="Z5" s="163"/>
      <c r="AA5" s="163"/>
    </row>
    <row r="6" spans="1:27" x14ac:dyDescent="0.25">
      <c r="A6" t="s">
        <v>521</v>
      </c>
      <c r="B6" s="95" t="s">
        <v>283</v>
      </c>
      <c r="C6" s="73">
        <f t="shared" si="0"/>
        <v>3.2242927529843373E-3</v>
      </c>
      <c r="D6" t="s">
        <v>467</v>
      </c>
      <c r="E6" s="73">
        <f t="shared" si="1"/>
        <v>2.7237354085603113E-2</v>
      </c>
      <c r="F6" s="162">
        <v>20093</v>
      </c>
      <c r="G6" s="162"/>
      <c r="H6" s="162">
        <v>1685</v>
      </c>
      <c r="I6" s="68">
        <v>1635</v>
      </c>
      <c r="J6" s="68">
        <v>1585</v>
      </c>
      <c r="K6" s="68">
        <v>1520</v>
      </c>
      <c r="L6" s="68">
        <v>1495</v>
      </c>
      <c r="M6" s="68">
        <v>1475</v>
      </c>
      <c r="N6" s="84" t="s">
        <v>283</v>
      </c>
      <c r="O6" s="162">
        <v>20060</v>
      </c>
      <c r="P6" s="162">
        <v>20168</v>
      </c>
      <c r="Q6" s="162">
        <v>20136</v>
      </c>
      <c r="R6" s="162">
        <v>20093</v>
      </c>
      <c r="S6" s="163">
        <v>20.5</v>
      </c>
      <c r="T6" s="163">
        <v>20.8</v>
      </c>
      <c r="U6" s="163">
        <v>21</v>
      </c>
      <c r="V6" s="163">
        <v>21</v>
      </c>
      <c r="W6" s="163">
        <v>21</v>
      </c>
      <c r="X6" s="163">
        <v>21</v>
      </c>
      <c r="Y6" s="163"/>
      <c r="Z6" s="163"/>
      <c r="AA6" s="163"/>
    </row>
    <row r="7" spans="1:27" x14ac:dyDescent="0.25">
      <c r="A7" t="s">
        <v>521</v>
      </c>
      <c r="B7" s="95" t="s">
        <v>284</v>
      </c>
      <c r="C7" s="73">
        <f t="shared" si="0"/>
        <v>-3.9365740511176127E-3</v>
      </c>
      <c r="D7" t="s">
        <v>467</v>
      </c>
      <c r="E7" s="73">
        <f t="shared" si="1"/>
        <v>3.028664142779881E-2</v>
      </c>
      <c r="F7" s="162">
        <v>25929</v>
      </c>
      <c r="G7" s="162"/>
      <c r="H7" s="162">
        <v>1995</v>
      </c>
      <c r="I7" s="68">
        <v>1960</v>
      </c>
      <c r="J7" s="68">
        <v>1930</v>
      </c>
      <c r="K7" s="68">
        <v>1855</v>
      </c>
      <c r="L7" s="68">
        <v>1785</v>
      </c>
      <c r="M7" s="68">
        <v>1715</v>
      </c>
      <c r="N7" s="84" t="s">
        <v>284</v>
      </c>
      <c r="O7" s="162">
        <v>25292</v>
      </c>
      <c r="P7" s="162">
        <v>25560</v>
      </c>
      <c r="Q7" s="162">
        <v>25814</v>
      </c>
      <c r="R7" s="162">
        <v>25929</v>
      </c>
      <c r="S7" s="163">
        <v>24.8</v>
      </c>
      <c r="T7" s="163">
        <v>24.6</v>
      </c>
      <c r="U7" s="163">
        <v>24.5</v>
      </c>
      <c r="V7" s="163">
        <v>24.4</v>
      </c>
      <c r="W7" s="163">
        <v>24.4</v>
      </c>
      <c r="X7" s="163">
        <v>24.4</v>
      </c>
      <c r="Y7" s="163"/>
      <c r="Z7" s="163"/>
      <c r="AA7" s="163"/>
    </row>
    <row r="8" spans="1:27" x14ac:dyDescent="0.25">
      <c r="A8" t="s">
        <v>518</v>
      </c>
      <c r="B8" s="95" t="s">
        <v>239</v>
      </c>
      <c r="C8" s="73">
        <f t="shared" si="0"/>
        <v>9.8660029146622986E-4</v>
      </c>
      <c r="D8" t="s">
        <v>441</v>
      </c>
      <c r="E8" s="73">
        <f t="shared" si="1"/>
        <v>3.701973607380591E-2</v>
      </c>
      <c r="F8" s="162">
        <v>110770</v>
      </c>
      <c r="G8" s="162"/>
      <c r="H8" s="162">
        <v>9830</v>
      </c>
      <c r="I8" s="68">
        <v>9405</v>
      </c>
      <c r="J8" s="68">
        <v>9100</v>
      </c>
      <c r="K8" s="68">
        <v>8840</v>
      </c>
      <c r="L8" s="68">
        <v>7225</v>
      </c>
      <c r="M8" s="68">
        <v>8245</v>
      </c>
      <c r="N8" s="84" t="s">
        <v>239</v>
      </c>
      <c r="O8" s="162">
        <v>108578</v>
      </c>
      <c r="P8" s="162">
        <v>109398</v>
      </c>
      <c r="Q8" s="162">
        <v>109896</v>
      </c>
      <c r="R8" s="162">
        <v>110770</v>
      </c>
      <c r="S8" s="163">
        <v>111.1</v>
      </c>
      <c r="T8" s="163">
        <v>112.1</v>
      </c>
      <c r="U8" s="163">
        <v>112.3</v>
      </c>
      <c r="V8" s="163">
        <v>112.1</v>
      </c>
      <c r="W8" s="163">
        <v>111.9</v>
      </c>
      <c r="X8" s="163">
        <v>111.8</v>
      </c>
      <c r="Y8" s="163"/>
      <c r="Z8" s="163"/>
      <c r="AA8" s="163"/>
    </row>
    <row r="9" spans="1:27" x14ac:dyDescent="0.25">
      <c r="A9" t="s">
        <v>522</v>
      </c>
      <c r="B9" s="95" t="s">
        <v>141</v>
      </c>
      <c r="C9" s="73">
        <f t="shared" si="0"/>
        <v>-4.4135108111486063E-4</v>
      </c>
      <c r="D9" t="s">
        <v>441</v>
      </c>
      <c r="E9" s="73">
        <f t="shared" si="1"/>
        <v>2.3981324278438031E-2</v>
      </c>
      <c r="F9" s="162">
        <v>73152</v>
      </c>
      <c r="G9" s="162"/>
      <c r="H9" s="162">
        <v>5125</v>
      </c>
      <c r="I9" s="68">
        <v>4945</v>
      </c>
      <c r="J9" s="68">
        <v>4870</v>
      </c>
      <c r="K9" s="68">
        <v>4680</v>
      </c>
      <c r="L9" s="68">
        <v>4505</v>
      </c>
      <c r="M9" s="68">
        <v>4560</v>
      </c>
      <c r="N9" s="84" t="s">
        <v>141</v>
      </c>
      <c r="O9" s="162">
        <v>72883</v>
      </c>
      <c r="P9" s="162">
        <v>73105</v>
      </c>
      <c r="Q9" s="162">
        <v>73132</v>
      </c>
      <c r="R9" s="162">
        <v>73152</v>
      </c>
      <c r="S9" s="163">
        <v>72.599999999999994</v>
      </c>
      <c r="T9" s="163">
        <v>72.7</v>
      </c>
      <c r="U9" s="163">
        <v>72.7</v>
      </c>
      <c r="V9" s="163">
        <v>72.3</v>
      </c>
      <c r="W9" s="163">
        <v>71.5</v>
      </c>
      <c r="X9" s="163">
        <v>70.400000000000006</v>
      </c>
      <c r="Y9" s="163"/>
      <c r="Z9" s="163"/>
      <c r="AA9" s="163"/>
    </row>
    <row r="10" spans="1:27" x14ac:dyDescent="0.25">
      <c r="A10" t="s">
        <v>523</v>
      </c>
      <c r="B10" s="95" t="s">
        <v>429</v>
      </c>
      <c r="C10" s="73">
        <f t="shared" si="0"/>
        <v>1.0740697264937199E-2</v>
      </c>
      <c r="D10" t="s">
        <v>441</v>
      </c>
      <c r="E10" s="73">
        <f t="shared" si="1"/>
        <v>4.6253010341408128E-2</v>
      </c>
      <c r="F10" s="162">
        <v>217843</v>
      </c>
      <c r="G10" s="162"/>
      <c r="H10" s="162">
        <v>16250</v>
      </c>
      <c r="I10" s="68">
        <v>15290</v>
      </c>
      <c r="J10" s="68">
        <v>14840</v>
      </c>
      <c r="K10" s="68">
        <v>14165</v>
      </c>
      <c r="L10" s="68">
        <v>13310</v>
      </c>
      <c r="M10" s="68">
        <v>12985</v>
      </c>
      <c r="N10" s="84" t="s">
        <v>429</v>
      </c>
      <c r="O10" s="162">
        <v>207819</v>
      </c>
      <c r="P10" s="162">
        <v>211639</v>
      </c>
      <c r="Q10" s="162">
        <v>214715</v>
      </c>
      <c r="R10" s="162">
        <v>217843</v>
      </c>
      <c r="S10" s="163">
        <v>224.1</v>
      </c>
      <c r="T10" s="163">
        <v>237.8</v>
      </c>
      <c r="U10" s="163">
        <v>250.6</v>
      </c>
      <c r="V10" s="163">
        <v>259.89999999999998</v>
      </c>
      <c r="W10" s="163">
        <v>265.8</v>
      </c>
      <c r="X10" s="163">
        <v>271.10000000000002</v>
      </c>
      <c r="Y10" s="163"/>
      <c r="Z10" s="163"/>
      <c r="AA10" s="163"/>
    </row>
    <row r="11" spans="1:27" x14ac:dyDescent="0.25">
      <c r="A11" t="s">
        <v>521</v>
      </c>
      <c r="B11" s="95" t="s">
        <v>285</v>
      </c>
      <c r="C11" s="73">
        <f t="shared" si="0"/>
        <v>7.7783471565854977E-3</v>
      </c>
      <c r="D11" t="s">
        <v>467</v>
      </c>
      <c r="E11" s="73">
        <f t="shared" si="1"/>
        <v>2.8309276043415016E-2</v>
      </c>
      <c r="F11" s="162">
        <v>112905</v>
      </c>
      <c r="G11" s="162"/>
      <c r="H11" s="162">
        <v>9790</v>
      </c>
      <c r="I11" s="68">
        <v>9415</v>
      </c>
      <c r="J11" s="68">
        <v>9240</v>
      </c>
      <c r="K11" s="68">
        <v>8910</v>
      </c>
      <c r="L11" s="68">
        <v>8595</v>
      </c>
      <c r="M11" s="68">
        <v>8525</v>
      </c>
      <c r="N11" s="84" t="s">
        <v>285</v>
      </c>
      <c r="O11" s="162">
        <v>111036</v>
      </c>
      <c r="P11" s="162">
        <v>111792</v>
      </c>
      <c r="Q11" s="162">
        <v>112587</v>
      </c>
      <c r="R11" s="162">
        <v>112905</v>
      </c>
      <c r="S11" s="163">
        <v>116.5</v>
      </c>
      <c r="T11" s="163">
        <v>121</v>
      </c>
      <c r="U11" s="163">
        <v>125.2</v>
      </c>
      <c r="V11" s="163">
        <v>127.8</v>
      </c>
      <c r="W11" s="163">
        <v>128.9</v>
      </c>
      <c r="X11" s="163">
        <v>129.4</v>
      </c>
      <c r="Y11" s="163"/>
      <c r="Z11" s="163"/>
      <c r="AA11" s="163"/>
    </row>
    <row r="12" spans="1:27" x14ac:dyDescent="0.25">
      <c r="A12" t="s">
        <v>517</v>
      </c>
      <c r="B12" s="95" t="s">
        <v>343</v>
      </c>
      <c r="C12" s="73">
        <f t="shared" si="0"/>
        <v>-3.616636528028933E-3</v>
      </c>
      <c r="D12" t="s">
        <v>467</v>
      </c>
      <c r="E12" s="73">
        <f t="shared" si="1"/>
        <v>3.3789954337899546E-2</v>
      </c>
      <c r="F12" s="162">
        <v>10428</v>
      </c>
      <c r="G12" s="162"/>
      <c r="H12" s="162">
        <v>1215</v>
      </c>
      <c r="I12" s="68">
        <v>1160</v>
      </c>
      <c r="J12" s="68">
        <v>1125</v>
      </c>
      <c r="K12" s="68">
        <v>1120</v>
      </c>
      <c r="L12" s="68">
        <v>1040</v>
      </c>
      <c r="M12" s="68">
        <v>1030</v>
      </c>
      <c r="N12" s="84" t="s">
        <v>343</v>
      </c>
      <c r="O12" s="162">
        <v>10139</v>
      </c>
      <c r="P12" s="162">
        <v>10212</v>
      </c>
      <c r="Q12" s="162">
        <v>10373</v>
      </c>
      <c r="R12" s="162">
        <v>10428</v>
      </c>
      <c r="S12" s="163">
        <v>10</v>
      </c>
      <c r="T12" s="163">
        <v>10</v>
      </c>
      <c r="U12" s="163">
        <v>9.9</v>
      </c>
      <c r="V12" s="163">
        <v>9.8000000000000007</v>
      </c>
      <c r="W12" s="163">
        <v>9.6999999999999993</v>
      </c>
      <c r="X12" s="163">
        <v>9.6999999999999993</v>
      </c>
      <c r="Y12" s="163"/>
      <c r="Z12" s="163"/>
      <c r="AA12" s="163"/>
    </row>
    <row r="13" spans="1:27" x14ac:dyDescent="0.25">
      <c r="A13" t="s">
        <v>517</v>
      </c>
      <c r="B13" s="95" t="s">
        <v>598</v>
      </c>
      <c r="C13" s="73">
        <f t="shared" si="0"/>
        <v>2.120003207569865E-3</v>
      </c>
      <c r="D13" t="s">
        <v>467</v>
      </c>
      <c r="E13" s="73">
        <f t="shared" si="1"/>
        <v>2.7695716395864108E-2</v>
      </c>
      <c r="F13" s="162">
        <v>57008</v>
      </c>
      <c r="G13" s="162"/>
      <c r="H13" s="162">
        <v>5880</v>
      </c>
      <c r="I13" s="68">
        <v>5655</v>
      </c>
      <c r="J13" s="68">
        <v>5600</v>
      </c>
      <c r="K13" s="68">
        <v>5440</v>
      </c>
      <c r="L13" s="68">
        <v>5255</v>
      </c>
      <c r="M13" s="68">
        <v>5130</v>
      </c>
      <c r="N13" s="84" t="s">
        <v>598</v>
      </c>
      <c r="O13" s="162">
        <v>55391</v>
      </c>
      <c r="P13" s="162">
        <v>55978</v>
      </c>
      <c r="Q13" s="162">
        <v>56352</v>
      </c>
      <c r="R13" s="162">
        <v>57008</v>
      </c>
      <c r="S13" s="163">
        <v>56.4</v>
      </c>
      <c r="T13" s="163">
        <v>57.400000000000006</v>
      </c>
      <c r="U13" s="163">
        <v>58.7</v>
      </c>
      <c r="V13" s="163">
        <v>60</v>
      </c>
      <c r="W13" s="163">
        <v>61.099999999999994</v>
      </c>
      <c r="X13" s="163">
        <v>62</v>
      </c>
      <c r="Y13" s="163"/>
      <c r="Z13" s="163"/>
      <c r="AA13" s="163"/>
    </row>
    <row r="14" spans="1:27" x14ac:dyDescent="0.25">
      <c r="A14" t="s">
        <v>520</v>
      </c>
      <c r="B14" s="95" t="s">
        <v>128</v>
      </c>
      <c r="C14" s="73">
        <f t="shared" si="0"/>
        <v>-1.046224082176146E-3</v>
      </c>
      <c r="D14" t="s">
        <v>467</v>
      </c>
      <c r="E14" s="73">
        <f t="shared" si="1"/>
        <v>1.5841584158415842E-2</v>
      </c>
      <c r="F14" s="162">
        <v>3755</v>
      </c>
      <c r="G14" s="162"/>
      <c r="H14" s="162">
        <v>525</v>
      </c>
      <c r="I14" s="68">
        <v>520</v>
      </c>
      <c r="J14" s="68">
        <v>525</v>
      </c>
      <c r="K14" s="68">
        <v>505</v>
      </c>
      <c r="L14" s="68">
        <v>490</v>
      </c>
      <c r="M14" s="68">
        <v>485</v>
      </c>
      <c r="N14" s="84" t="s">
        <v>128</v>
      </c>
      <c r="O14" s="162">
        <v>3674</v>
      </c>
      <c r="P14" s="162">
        <v>3723</v>
      </c>
      <c r="Q14" s="162">
        <v>3746</v>
      </c>
      <c r="R14" s="162">
        <v>3755</v>
      </c>
      <c r="S14" s="163">
        <v>3.7</v>
      </c>
      <c r="T14" s="163">
        <v>3.7</v>
      </c>
      <c r="U14" s="163">
        <v>3.7</v>
      </c>
      <c r="V14" s="163">
        <v>3.8</v>
      </c>
      <c r="W14" s="163">
        <v>3.8</v>
      </c>
      <c r="X14" s="163">
        <v>3.7</v>
      </c>
      <c r="Y14" s="163"/>
      <c r="Z14" s="163"/>
      <c r="AA14" s="163"/>
    </row>
    <row r="15" spans="1:27" x14ac:dyDescent="0.25">
      <c r="A15" t="s">
        <v>524</v>
      </c>
      <c r="B15" s="95" t="s">
        <v>214</v>
      </c>
      <c r="C15" s="73">
        <f t="shared" si="0"/>
        <v>5.456255371128059E-3</v>
      </c>
      <c r="D15" t="s">
        <v>441</v>
      </c>
      <c r="E15" s="73">
        <f t="shared" si="1"/>
        <v>3.9339903018926953E-2</v>
      </c>
      <c r="F15" s="162">
        <v>158586</v>
      </c>
      <c r="G15" s="162"/>
      <c r="H15" s="162">
        <v>14330</v>
      </c>
      <c r="I15" s="68">
        <v>13735</v>
      </c>
      <c r="J15" s="68">
        <v>13375</v>
      </c>
      <c r="K15" s="68">
        <v>12785</v>
      </c>
      <c r="L15" s="68">
        <v>12220</v>
      </c>
      <c r="M15" s="68">
        <v>11815</v>
      </c>
      <c r="N15" s="84" t="s">
        <v>214</v>
      </c>
      <c r="O15" s="162">
        <v>156294</v>
      </c>
      <c r="P15" s="162">
        <v>157310</v>
      </c>
      <c r="Q15" s="162">
        <v>157462</v>
      </c>
      <c r="R15" s="162">
        <v>158586</v>
      </c>
      <c r="S15" s="163">
        <v>163.1</v>
      </c>
      <c r="T15" s="163">
        <v>168</v>
      </c>
      <c r="U15" s="163">
        <v>170.7</v>
      </c>
      <c r="V15" s="163">
        <v>173.1</v>
      </c>
      <c r="W15" s="163">
        <v>174.5</v>
      </c>
      <c r="X15" s="163">
        <v>175.2</v>
      </c>
      <c r="Y15" s="163"/>
      <c r="Z15" s="163"/>
      <c r="AA15" s="163"/>
    </row>
    <row r="16" spans="1:27" x14ac:dyDescent="0.25">
      <c r="A16" t="s">
        <v>518</v>
      </c>
      <c r="B16" s="95" t="s">
        <v>240</v>
      </c>
      <c r="C16" s="73">
        <f t="shared" si="0"/>
        <v>5.9833792443170653E-3</v>
      </c>
      <c r="D16" t="s">
        <v>467</v>
      </c>
      <c r="E16" s="73">
        <f t="shared" si="1"/>
        <v>4.8005598320503849E-2</v>
      </c>
      <c r="F16" s="162">
        <v>92363</v>
      </c>
      <c r="G16" s="162"/>
      <c r="H16" s="162">
        <v>8375</v>
      </c>
      <c r="I16" s="68">
        <v>7790</v>
      </c>
      <c r="J16" s="68">
        <v>7455</v>
      </c>
      <c r="K16" s="68">
        <v>7085</v>
      </c>
      <c r="L16" s="68">
        <v>6735</v>
      </c>
      <c r="M16" s="68">
        <v>6660</v>
      </c>
      <c r="N16" s="84" t="s">
        <v>240</v>
      </c>
      <c r="O16" s="162">
        <v>90827</v>
      </c>
      <c r="P16" s="162">
        <v>91907</v>
      </c>
      <c r="Q16" s="162">
        <v>90829</v>
      </c>
      <c r="R16" s="162">
        <v>92363</v>
      </c>
      <c r="S16" s="163">
        <v>96.4</v>
      </c>
      <c r="T16" s="163">
        <v>98.8</v>
      </c>
      <c r="U16" s="163">
        <v>100.1</v>
      </c>
      <c r="V16" s="163">
        <v>100.9</v>
      </c>
      <c r="W16" s="163">
        <v>101.8</v>
      </c>
      <c r="X16" s="163">
        <v>103</v>
      </c>
      <c r="Y16" s="163"/>
      <c r="Z16" s="163"/>
      <c r="AA16" s="163"/>
    </row>
    <row r="17" spans="1:27" x14ac:dyDescent="0.25">
      <c r="A17" t="s">
        <v>518</v>
      </c>
      <c r="B17" s="95" t="s">
        <v>241</v>
      </c>
      <c r="C17" s="73">
        <f t="shared" si="0"/>
        <v>9.8957216343144565E-3</v>
      </c>
      <c r="D17" t="s">
        <v>441</v>
      </c>
      <c r="E17" s="73">
        <f t="shared" si="1"/>
        <v>5.3189395856174972E-2</v>
      </c>
      <c r="F17" s="162">
        <v>883939</v>
      </c>
      <c r="G17" s="162"/>
      <c r="H17" s="162">
        <v>125785</v>
      </c>
      <c r="I17" s="68">
        <v>118195</v>
      </c>
      <c r="J17" s="68">
        <v>112515</v>
      </c>
      <c r="K17" s="68">
        <v>105990</v>
      </c>
      <c r="L17" s="68">
        <v>99460</v>
      </c>
      <c r="M17" s="68">
        <v>97405</v>
      </c>
      <c r="N17" s="84" t="s">
        <v>241</v>
      </c>
      <c r="O17" s="162">
        <v>863202</v>
      </c>
      <c r="P17" s="162">
        <v>873471</v>
      </c>
      <c r="Q17" s="162">
        <v>873338</v>
      </c>
      <c r="R17" s="162">
        <v>883939</v>
      </c>
      <c r="S17" s="163">
        <v>925.9</v>
      </c>
      <c r="T17" s="163">
        <v>969.1</v>
      </c>
      <c r="U17" s="163">
        <v>1006.4</v>
      </c>
      <c r="V17" s="163">
        <v>1030.9000000000001</v>
      </c>
      <c r="W17" s="163">
        <v>1044</v>
      </c>
      <c r="X17" s="163">
        <v>1054.5999999999999</v>
      </c>
      <c r="Y17" s="163"/>
      <c r="Z17" s="163"/>
      <c r="AA17" s="163"/>
    </row>
    <row r="18" spans="1:27" x14ac:dyDescent="0.25">
      <c r="A18" t="s">
        <v>519</v>
      </c>
      <c r="B18" s="95" t="s">
        <v>166</v>
      </c>
      <c r="C18" s="73">
        <f t="shared" si="0"/>
        <v>-8.0234526383355392E-5</v>
      </c>
      <c r="D18" t="s">
        <v>441</v>
      </c>
      <c r="E18" s="73">
        <f t="shared" si="1"/>
        <v>3.0246389124893799E-2</v>
      </c>
      <c r="F18" s="162">
        <v>165586</v>
      </c>
      <c r="G18" s="162"/>
      <c r="H18" s="162">
        <v>12940</v>
      </c>
      <c r="I18" s="68">
        <v>12520</v>
      </c>
      <c r="J18" s="68">
        <v>12115</v>
      </c>
      <c r="K18" s="68">
        <v>11695</v>
      </c>
      <c r="L18" s="68">
        <v>11360</v>
      </c>
      <c r="M18" s="68">
        <v>11160</v>
      </c>
      <c r="N18" s="84" t="s">
        <v>166</v>
      </c>
      <c r="O18" s="162">
        <v>162456</v>
      </c>
      <c r="P18" s="162">
        <v>163776</v>
      </c>
      <c r="Q18" s="162">
        <v>164781</v>
      </c>
      <c r="R18" s="162">
        <v>165586</v>
      </c>
      <c r="S18" s="163">
        <v>163.9</v>
      </c>
      <c r="T18" s="163">
        <v>165.6</v>
      </c>
      <c r="U18" s="163">
        <v>165.4</v>
      </c>
      <c r="V18" s="163">
        <v>164.7</v>
      </c>
      <c r="W18" s="163">
        <v>163.4</v>
      </c>
      <c r="X18" s="163">
        <v>162.30000000000001</v>
      </c>
      <c r="Y18" s="163"/>
      <c r="Z18" s="163"/>
      <c r="AA18" s="163"/>
    </row>
    <row r="19" spans="1:27" x14ac:dyDescent="0.25">
      <c r="A19" t="s">
        <v>519</v>
      </c>
      <c r="B19" s="95" t="s">
        <v>167</v>
      </c>
      <c r="C19" s="73">
        <f t="shared" si="0"/>
        <v>3.6750227401833851E-3</v>
      </c>
      <c r="D19" t="s">
        <v>441</v>
      </c>
      <c r="E19" s="73">
        <f t="shared" si="1"/>
        <v>3.7350884409707942E-2</v>
      </c>
      <c r="F19" s="162">
        <v>163964</v>
      </c>
      <c r="G19" s="162"/>
      <c r="H19" s="162">
        <v>13635</v>
      </c>
      <c r="I19" s="68">
        <v>13010</v>
      </c>
      <c r="J19" s="68">
        <v>12690</v>
      </c>
      <c r="K19" s="68">
        <v>12110</v>
      </c>
      <c r="L19" s="68">
        <v>11600</v>
      </c>
      <c r="M19" s="68">
        <v>11365</v>
      </c>
      <c r="N19" s="84" t="s">
        <v>167</v>
      </c>
      <c r="O19" s="162">
        <v>159277</v>
      </c>
      <c r="P19" s="162">
        <v>161326</v>
      </c>
      <c r="Q19" s="162">
        <v>162424</v>
      </c>
      <c r="R19" s="162">
        <v>163964</v>
      </c>
      <c r="S19" s="163">
        <v>166.7</v>
      </c>
      <c r="T19" s="163">
        <v>170.5</v>
      </c>
      <c r="U19" s="163">
        <v>172.4</v>
      </c>
      <c r="V19" s="163">
        <v>173.2</v>
      </c>
      <c r="W19" s="163">
        <v>173.2</v>
      </c>
      <c r="X19" s="163">
        <v>173.1</v>
      </c>
      <c r="Y19" s="163"/>
      <c r="Z19" s="163"/>
      <c r="AA19" s="163"/>
    </row>
    <row r="20" spans="1:27" x14ac:dyDescent="0.25">
      <c r="A20" t="s">
        <v>516</v>
      </c>
      <c r="B20" s="95" t="s">
        <v>107</v>
      </c>
      <c r="C20" s="73">
        <f t="shared" si="0"/>
        <v>3.2589013793875008E-3</v>
      </c>
      <c r="D20" t="s">
        <v>441</v>
      </c>
      <c r="E20" s="73">
        <f t="shared" si="1"/>
        <v>3.1563126252505007E-2</v>
      </c>
      <c r="F20" s="162">
        <v>68954</v>
      </c>
      <c r="G20" s="162"/>
      <c r="H20" s="162">
        <v>4365</v>
      </c>
      <c r="I20" s="68">
        <v>4250</v>
      </c>
      <c r="J20" s="68">
        <v>4150</v>
      </c>
      <c r="K20" s="68">
        <v>4000</v>
      </c>
      <c r="L20" s="68">
        <v>3825</v>
      </c>
      <c r="M20" s="68">
        <v>3735</v>
      </c>
      <c r="N20" s="84" t="s">
        <v>107</v>
      </c>
      <c r="O20" s="162">
        <v>67970</v>
      </c>
      <c r="P20" s="162">
        <v>68571</v>
      </c>
      <c r="Q20" s="162">
        <v>68836</v>
      </c>
      <c r="R20" s="162">
        <v>68954</v>
      </c>
      <c r="S20" s="163">
        <v>69.599999999999994</v>
      </c>
      <c r="T20" s="163">
        <v>70.8</v>
      </c>
      <c r="U20" s="163">
        <v>72.099999999999994</v>
      </c>
      <c r="V20" s="163">
        <v>73</v>
      </c>
      <c r="W20" s="163">
        <v>73.2</v>
      </c>
      <c r="X20" s="163">
        <v>72.900000000000006</v>
      </c>
      <c r="Y20" s="163"/>
      <c r="Z20" s="163"/>
      <c r="AA20" s="163"/>
    </row>
    <row r="21" spans="1:27" x14ac:dyDescent="0.25">
      <c r="A21" t="s">
        <v>517</v>
      </c>
      <c r="B21" s="95" t="s">
        <v>344</v>
      </c>
      <c r="C21" s="73">
        <f t="shared" si="0"/>
        <v>4.3188590177106693E-3</v>
      </c>
      <c r="D21" t="s">
        <v>467</v>
      </c>
      <c r="E21" s="73">
        <f t="shared" si="1"/>
        <v>2.2498519834221433E-2</v>
      </c>
      <c r="F21" s="162">
        <v>17068</v>
      </c>
      <c r="G21" s="162"/>
      <c r="H21" s="162">
        <v>1820</v>
      </c>
      <c r="I21" s="68">
        <v>1760</v>
      </c>
      <c r="J21" s="68">
        <v>1725</v>
      </c>
      <c r="K21" s="68">
        <v>1685</v>
      </c>
      <c r="L21" s="68">
        <v>1645</v>
      </c>
      <c r="M21" s="68">
        <v>1630</v>
      </c>
      <c r="N21" s="84" t="s">
        <v>344</v>
      </c>
      <c r="O21" s="162">
        <v>16714</v>
      </c>
      <c r="P21" s="162">
        <v>16728</v>
      </c>
      <c r="Q21" s="162">
        <v>16817</v>
      </c>
      <c r="R21" s="162">
        <v>17068</v>
      </c>
      <c r="S21" s="163">
        <v>17.399999999999999</v>
      </c>
      <c r="T21" s="163">
        <v>17.8</v>
      </c>
      <c r="U21" s="163">
        <v>18.100000000000001</v>
      </c>
      <c r="V21" s="163">
        <v>18.3</v>
      </c>
      <c r="W21" s="163">
        <v>18.399999999999999</v>
      </c>
      <c r="X21" s="163">
        <v>18.5</v>
      </c>
      <c r="Y21" s="163"/>
      <c r="Z21" s="163"/>
      <c r="AA21" s="163"/>
    </row>
    <row r="22" spans="1:27" x14ac:dyDescent="0.25">
      <c r="A22" t="s">
        <v>517</v>
      </c>
      <c r="B22" s="95" t="s">
        <v>345</v>
      </c>
      <c r="C22" s="73">
        <f t="shared" si="0"/>
        <v>2.772224168848033E-3</v>
      </c>
      <c r="D22" t="s">
        <v>467</v>
      </c>
      <c r="E22" s="73">
        <f t="shared" si="1"/>
        <v>2.2754491017964073E-2</v>
      </c>
      <c r="F22" s="162">
        <v>6931</v>
      </c>
      <c r="G22" s="162"/>
      <c r="H22" s="162">
        <v>895</v>
      </c>
      <c r="I22" s="68">
        <v>865</v>
      </c>
      <c r="J22" s="68">
        <v>855</v>
      </c>
      <c r="K22" s="68">
        <v>840</v>
      </c>
      <c r="L22" s="68">
        <v>815</v>
      </c>
      <c r="M22" s="68">
        <v>800</v>
      </c>
      <c r="N22" s="84" t="s">
        <v>345</v>
      </c>
      <c r="O22" s="162">
        <v>6848</v>
      </c>
      <c r="P22" s="162">
        <v>6856</v>
      </c>
      <c r="Q22" s="162">
        <v>6899</v>
      </c>
      <c r="R22" s="162">
        <v>6931</v>
      </c>
      <c r="S22" s="163">
        <v>7.1</v>
      </c>
      <c r="T22" s="163">
        <v>7.2</v>
      </c>
      <c r="U22" s="163">
        <v>7.2</v>
      </c>
      <c r="V22" s="163">
        <v>7.2</v>
      </c>
      <c r="W22" s="163">
        <v>7.2</v>
      </c>
      <c r="X22" s="163">
        <v>7.3</v>
      </c>
      <c r="Y22" s="163"/>
      <c r="Z22" s="163"/>
      <c r="AA22" s="163"/>
    </row>
    <row r="23" spans="1:27" x14ac:dyDescent="0.25">
      <c r="A23" t="s">
        <v>524</v>
      </c>
      <c r="B23" s="95" t="s">
        <v>215</v>
      </c>
      <c r="C23" s="73">
        <f t="shared" si="0"/>
        <v>2.6442266283095901E-3</v>
      </c>
      <c r="D23" t="s">
        <v>118</v>
      </c>
      <c r="E23" s="73">
        <f t="shared" si="1"/>
        <v>3.1490296594653973E-2</v>
      </c>
      <c r="F23" s="162">
        <v>24879</v>
      </c>
      <c r="G23" s="162"/>
      <c r="H23" s="162">
        <v>3015</v>
      </c>
      <c r="I23" s="68">
        <v>2910</v>
      </c>
      <c r="J23" s="68">
        <v>2810</v>
      </c>
      <c r="K23" s="68">
        <v>2730</v>
      </c>
      <c r="L23" s="68">
        <v>2620</v>
      </c>
      <c r="M23" s="68">
        <v>2585</v>
      </c>
      <c r="N23" s="84" t="s">
        <v>215</v>
      </c>
      <c r="O23" s="162">
        <v>24764</v>
      </c>
      <c r="P23" s="162">
        <v>24838</v>
      </c>
      <c r="Q23" s="162">
        <v>24792</v>
      </c>
      <c r="R23" s="162">
        <v>24879</v>
      </c>
      <c r="S23" s="163">
        <v>25.2</v>
      </c>
      <c r="T23" s="163">
        <v>25.6</v>
      </c>
      <c r="U23" s="163">
        <v>25.8</v>
      </c>
      <c r="V23" s="163">
        <v>26</v>
      </c>
      <c r="W23" s="163">
        <v>26.1</v>
      </c>
      <c r="X23" s="163">
        <v>26.1</v>
      </c>
      <c r="Y23" s="163"/>
      <c r="Z23" s="163"/>
      <c r="AA23" s="163"/>
    </row>
    <row r="24" spans="1:27" x14ac:dyDescent="0.25">
      <c r="A24" t="s">
        <v>521</v>
      </c>
      <c r="B24" s="95" t="s">
        <v>286</v>
      </c>
      <c r="C24" s="73">
        <f t="shared" si="0"/>
        <v>1.1390924204174619E-3</v>
      </c>
      <c r="D24" t="s">
        <v>467</v>
      </c>
      <c r="E24" s="73">
        <f t="shared" si="1"/>
        <v>2.6533996683250415E-2</v>
      </c>
      <c r="F24" s="162">
        <v>48723</v>
      </c>
      <c r="G24" s="162"/>
      <c r="H24" s="162">
        <v>4575</v>
      </c>
      <c r="I24" s="68">
        <v>4470</v>
      </c>
      <c r="J24" s="68">
        <v>4385</v>
      </c>
      <c r="K24" s="68">
        <v>4180</v>
      </c>
      <c r="L24" s="68">
        <v>4055</v>
      </c>
      <c r="M24" s="68">
        <v>4015</v>
      </c>
      <c r="N24" s="84" t="s">
        <v>286</v>
      </c>
      <c r="O24" s="162">
        <v>48688</v>
      </c>
      <c r="P24" s="162">
        <v>48741</v>
      </c>
      <c r="Q24" s="162">
        <v>48643</v>
      </c>
      <c r="R24" s="162">
        <v>48723</v>
      </c>
      <c r="S24" s="163">
        <v>48.9</v>
      </c>
      <c r="T24" s="163">
        <v>48.9</v>
      </c>
      <c r="U24" s="163">
        <v>49.5</v>
      </c>
      <c r="V24" s="163">
        <v>50</v>
      </c>
      <c r="W24" s="163">
        <v>50.4</v>
      </c>
      <c r="X24" s="163">
        <v>50.6</v>
      </c>
      <c r="Y24" s="163"/>
      <c r="Z24" s="163"/>
      <c r="AA24" s="163"/>
    </row>
    <row r="25" spans="1:27" x14ac:dyDescent="0.25">
      <c r="A25" t="s">
        <v>519</v>
      </c>
      <c r="B25" s="95" t="s">
        <v>168</v>
      </c>
      <c r="C25" s="73">
        <f t="shared" si="0"/>
        <v>5.2039367887913753E-3</v>
      </c>
      <c r="D25" t="s">
        <v>467</v>
      </c>
      <c r="E25" s="73">
        <f t="shared" si="1"/>
        <v>3.4541723666210673E-2</v>
      </c>
      <c r="F25" s="162">
        <v>60586</v>
      </c>
      <c r="G25" s="162"/>
      <c r="H25" s="162">
        <v>6510</v>
      </c>
      <c r="I25" s="68">
        <v>6190</v>
      </c>
      <c r="J25" s="68">
        <v>6070</v>
      </c>
      <c r="K25" s="68">
        <v>5830</v>
      </c>
      <c r="L25" s="68">
        <v>5650</v>
      </c>
      <c r="M25" s="68">
        <v>5500</v>
      </c>
      <c r="N25" s="84" t="s">
        <v>168</v>
      </c>
      <c r="O25" s="162">
        <v>57960</v>
      </c>
      <c r="P25" s="162">
        <v>58938</v>
      </c>
      <c r="Q25" s="162">
        <v>59992</v>
      </c>
      <c r="R25" s="162">
        <v>60586</v>
      </c>
      <c r="S25" s="163">
        <v>61.3</v>
      </c>
      <c r="T25" s="163">
        <v>63.4</v>
      </c>
      <c r="U25" s="163">
        <v>65</v>
      </c>
      <c r="V25" s="163">
        <v>66</v>
      </c>
      <c r="W25" s="163">
        <v>66.5</v>
      </c>
      <c r="X25" s="163">
        <v>67</v>
      </c>
      <c r="Y25" s="163"/>
      <c r="Z25" s="163"/>
      <c r="AA25" s="163"/>
    </row>
    <row r="26" spans="1:27" x14ac:dyDescent="0.25">
      <c r="A26" t="s">
        <v>526</v>
      </c>
      <c r="B26" s="95" t="s">
        <v>400</v>
      </c>
      <c r="C26" s="73">
        <f t="shared" si="0"/>
        <v>-1.4182731395327827E-3</v>
      </c>
      <c r="D26" t="s">
        <v>118</v>
      </c>
      <c r="E26" s="73">
        <f t="shared" si="1"/>
        <v>2.7181688125894134E-2</v>
      </c>
      <c r="F26" s="162">
        <v>15814</v>
      </c>
      <c r="G26" s="162"/>
      <c r="H26" s="162">
        <v>1525</v>
      </c>
      <c r="I26" s="68">
        <v>1470</v>
      </c>
      <c r="J26" s="68">
        <v>1445</v>
      </c>
      <c r="K26" s="68">
        <v>1370</v>
      </c>
      <c r="L26" s="68">
        <v>1370</v>
      </c>
      <c r="M26" s="68">
        <v>1335</v>
      </c>
      <c r="N26" s="84" t="s">
        <v>400</v>
      </c>
      <c r="O26" s="162">
        <v>15927</v>
      </c>
      <c r="P26" s="162">
        <v>15895</v>
      </c>
      <c r="Q26" s="162">
        <v>15875</v>
      </c>
      <c r="R26" s="162">
        <v>15814</v>
      </c>
      <c r="S26" s="163">
        <v>15.8</v>
      </c>
      <c r="T26" s="163">
        <v>15.6</v>
      </c>
      <c r="U26" s="163">
        <v>15.5</v>
      </c>
      <c r="V26" s="163">
        <v>15.2</v>
      </c>
      <c r="W26" s="163">
        <v>14.9</v>
      </c>
      <c r="X26" s="163">
        <v>14.5</v>
      </c>
      <c r="Y26" s="163"/>
      <c r="Z26" s="163"/>
      <c r="AA26" s="163"/>
    </row>
    <row r="27" spans="1:27" x14ac:dyDescent="0.25">
      <c r="A27" t="s">
        <v>526</v>
      </c>
      <c r="B27" s="95" t="s">
        <v>599</v>
      </c>
      <c r="C27" s="73">
        <f t="shared" si="0"/>
        <v>-1.8352746549166671E-3</v>
      </c>
      <c r="D27" t="s">
        <v>118</v>
      </c>
      <c r="E27" s="73">
        <f t="shared" si="1"/>
        <v>2.1011673151750974E-2</v>
      </c>
      <c r="F27" s="162">
        <v>35923</v>
      </c>
      <c r="G27" s="162"/>
      <c r="H27" s="162">
        <v>2735</v>
      </c>
      <c r="I27" s="68">
        <v>2685</v>
      </c>
      <c r="J27" s="68">
        <v>2605</v>
      </c>
      <c r="K27" s="68">
        <v>2585</v>
      </c>
      <c r="L27" s="68">
        <v>2510</v>
      </c>
      <c r="M27" s="68">
        <v>2465</v>
      </c>
      <c r="N27" s="84" t="s">
        <v>599</v>
      </c>
      <c r="O27" s="162">
        <v>35722</v>
      </c>
      <c r="P27" s="162">
        <v>35965</v>
      </c>
      <c r="Q27" s="162">
        <v>36065</v>
      </c>
      <c r="R27" s="162">
        <v>35923</v>
      </c>
      <c r="S27" s="163">
        <v>35.6</v>
      </c>
      <c r="T27" s="163">
        <v>35.200000000000003</v>
      </c>
      <c r="U27" s="163">
        <v>35</v>
      </c>
      <c r="V27" s="163">
        <v>34.6</v>
      </c>
      <c r="W27" s="163">
        <v>33.799999999999997</v>
      </c>
      <c r="X27" s="163">
        <v>33.200000000000003</v>
      </c>
      <c r="Y27" s="163"/>
      <c r="Z27" s="163"/>
      <c r="AA27" s="163"/>
    </row>
    <row r="28" spans="1:27" x14ac:dyDescent="0.25">
      <c r="A28" t="s">
        <v>526</v>
      </c>
      <c r="B28" s="95" t="s">
        <v>401</v>
      </c>
      <c r="C28" s="73">
        <f t="shared" si="0"/>
        <v>-4.324485535341485E-3</v>
      </c>
      <c r="D28" t="s">
        <v>118</v>
      </c>
      <c r="E28" s="73">
        <f t="shared" si="1"/>
        <v>1.9347037484885126E-2</v>
      </c>
      <c r="F28" s="162">
        <v>13412</v>
      </c>
      <c r="G28" s="162"/>
      <c r="H28" s="162">
        <v>885</v>
      </c>
      <c r="I28" s="68">
        <v>870</v>
      </c>
      <c r="J28" s="68">
        <v>840</v>
      </c>
      <c r="K28" s="68">
        <v>820</v>
      </c>
      <c r="L28" s="68">
        <v>800</v>
      </c>
      <c r="M28" s="68">
        <v>805</v>
      </c>
      <c r="N28" s="84" t="s">
        <v>401</v>
      </c>
      <c r="O28" s="162">
        <v>13526</v>
      </c>
      <c r="P28" s="162">
        <v>13485</v>
      </c>
      <c r="Q28" s="162">
        <v>13450</v>
      </c>
      <c r="R28" s="162">
        <v>13412</v>
      </c>
      <c r="S28" s="163">
        <v>13.2</v>
      </c>
      <c r="T28" s="163">
        <v>12.9</v>
      </c>
      <c r="U28" s="163">
        <v>12.6</v>
      </c>
      <c r="V28" s="163">
        <v>12.5</v>
      </c>
      <c r="W28" s="163">
        <v>12.2</v>
      </c>
      <c r="X28" s="163">
        <v>12</v>
      </c>
      <c r="Y28" s="163"/>
      <c r="Z28" s="163"/>
      <c r="AA28" s="163"/>
    </row>
    <row r="29" spans="1:27" x14ac:dyDescent="0.25">
      <c r="A29" t="s">
        <v>519</v>
      </c>
      <c r="B29" s="95" t="s">
        <v>527</v>
      </c>
      <c r="C29" s="73">
        <f t="shared" si="0"/>
        <v>-1.7291985185306309E-3</v>
      </c>
      <c r="D29" t="s">
        <v>118</v>
      </c>
      <c r="E29" s="73">
        <f t="shared" si="1"/>
        <v>3.3158107561665991E-2</v>
      </c>
      <c r="F29" s="162">
        <v>34946</v>
      </c>
      <c r="G29" s="162"/>
      <c r="H29" s="162">
        <v>2750</v>
      </c>
      <c r="I29" s="68">
        <v>2655</v>
      </c>
      <c r="J29" s="68">
        <v>2515</v>
      </c>
      <c r="K29" s="68">
        <v>2475</v>
      </c>
      <c r="L29" s="68">
        <v>2380</v>
      </c>
      <c r="M29" s="68">
        <v>2340</v>
      </c>
      <c r="N29" s="84" t="s">
        <v>527</v>
      </c>
      <c r="O29" s="162">
        <v>34766</v>
      </c>
      <c r="P29" s="162">
        <v>34936</v>
      </c>
      <c r="Q29" s="162">
        <v>35010</v>
      </c>
      <c r="R29" s="162">
        <v>34946</v>
      </c>
      <c r="S29" s="163">
        <v>34.299999999999997</v>
      </c>
      <c r="T29" s="163">
        <v>34.1</v>
      </c>
      <c r="U29" s="163">
        <v>34.1</v>
      </c>
      <c r="V29" s="163">
        <v>34.200000000000003</v>
      </c>
      <c r="W29" s="163">
        <v>34.1</v>
      </c>
      <c r="X29" s="163">
        <v>33.700000000000003</v>
      </c>
      <c r="Y29" s="163"/>
      <c r="Z29" s="163"/>
      <c r="AA29" s="163"/>
    </row>
    <row r="30" spans="1:27" x14ac:dyDescent="0.25">
      <c r="A30" t="s">
        <v>517</v>
      </c>
      <c r="B30" s="95" t="s">
        <v>346</v>
      </c>
      <c r="C30" s="73">
        <f t="shared" si="0"/>
        <v>1.9867549668874172E-3</v>
      </c>
      <c r="D30" t="s">
        <v>467</v>
      </c>
      <c r="E30" s="73">
        <f t="shared" si="1"/>
        <v>2.5128205128205128E-2</v>
      </c>
      <c r="F30" s="162">
        <v>18875</v>
      </c>
      <c r="G30" s="162"/>
      <c r="H30" s="162">
        <v>2115</v>
      </c>
      <c r="I30" s="68">
        <v>2055</v>
      </c>
      <c r="J30" s="68">
        <v>2000</v>
      </c>
      <c r="K30" s="68">
        <v>1925</v>
      </c>
      <c r="L30" s="68">
        <v>1900</v>
      </c>
      <c r="M30" s="68">
        <v>1870</v>
      </c>
      <c r="N30" s="84" t="s">
        <v>346</v>
      </c>
      <c r="O30" s="162">
        <v>18497</v>
      </c>
      <c r="P30" s="162">
        <v>18663</v>
      </c>
      <c r="Q30" s="162">
        <v>18754</v>
      </c>
      <c r="R30" s="162">
        <v>18875</v>
      </c>
      <c r="S30" s="163">
        <v>18.899999999999999</v>
      </c>
      <c r="T30" s="163">
        <v>19.100000000000001</v>
      </c>
      <c r="U30" s="163">
        <v>19.399999999999999</v>
      </c>
      <c r="V30" s="163">
        <v>19.8</v>
      </c>
      <c r="W30" s="163">
        <v>20</v>
      </c>
      <c r="X30" s="163">
        <v>20.2</v>
      </c>
      <c r="Y30" s="163"/>
      <c r="Z30" s="163"/>
      <c r="AA30" s="163"/>
    </row>
    <row r="31" spans="1:27" x14ac:dyDescent="0.25">
      <c r="A31" t="s">
        <v>526</v>
      </c>
      <c r="B31" s="95" t="s">
        <v>436</v>
      </c>
      <c r="C31" s="73">
        <f t="shared" si="0"/>
        <v>-3.3027402934315796E-3</v>
      </c>
      <c r="D31" t="s">
        <v>118</v>
      </c>
      <c r="E31" s="73">
        <f t="shared" si="1"/>
        <v>2.2797927461139896E-2</v>
      </c>
      <c r="F31" s="162">
        <v>13106</v>
      </c>
      <c r="G31" s="162"/>
      <c r="H31" s="162">
        <v>1025</v>
      </c>
      <c r="I31" s="68">
        <v>1005</v>
      </c>
      <c r="J31" s="68">
        <v>995</v>
      </c>
      <c r="K31" s="68">
        <v>970</v>
      </c>
      <c r="L31" s="68">
        <v>940</v>
      </c>
      <c r="M31" s="68">
        <v>915</v>
      </c>
      <c r="N31" s="84" t="s">
        <v>436</v>
      </c>
      <c r="O31" s="162">
        <v>13134</v>
      </c>
      <c r="P31" s="162">
        <v>13098</v>
      </c>
      <c r="Q31" s="162">
        <v>13108</v>
      </c>
      <c r="R31" s="162">
        <v>13106</v>
      </c>
      <c r="S31" s="163">
        <v>12.8</v>
      </c>
      <c r="T31" s="163">
        <v>12.6</v>
      </c>
      <c r="U31" s="163">
        <v>12.5</v>
      </c>
      <c r="V31" s="163">
        <v>12.3</v>
      </c>
      <c r="W31" s="163">
        <v>12.2</v>
      </c>
      <c r="X31" s="163">
        <v>11.9</v>
      </c>
      <c r="Y31" s="163"/>
      <c r="Z31" s="163"/>
      <c r="AA31" s="163"/>
    </row>
    <row r="32" spans="1:27" x14ac:dyDescent="0.25">
      <c r="A32" t="s">
        <v>518</v>
      </c>
      <c r="B32" s="95" t="s">
        <v>437</v>
      </c>
      <c r="C32" s="73">
        <f t="shared" si="0"/>
        <v>-1.2898793710577009E-3</v>
      </c>
      <c r="D32" t="s">
        <v>467</v>
      </c>
      <c r="E32" s="73">
        <f t="shared" si="1"/>
        <v>2.7528809218950064E-2</v>
      </c>
      <c r="F32" s="162">
        <v>29737</v>
      </c>
      <c r="G32" s="162"/>
      <c r="H32" s="162">
        <v>3425</v>
      </c>
      <c r="I32" s="68">
        <v>3295</v>
      </c>
      <c r="J32" s="68">
        <v>3215</v>
      </c>
      <c r="K32" s="68">
        <v>3085</v>
      </c>
      <c r="L32" s="68">
        <v>3030</v>
      </c>
      <c r="M32" s="68">
        <v>2995</v>
      </c>
      <c r="N32" s="84" t="s">
        <v>437</v>
      </c>
      <c r="O32" s="162">
        <v>29965</v>
      </c>
      <c r="P32" s="162">
        <v>29860</v>
      </c>
      <c r="Q32" s="162">
        <v>29715</v>
      </c>
      <c r="R32" s="162">
        <v>29737</v>
      </c>
      <c r="S32" s="163">
        <v>28.9</v>
      </c>
      <c r="T32" s="163">
        <v>28.9</v>
      </c>
      <c r="U32" s="163">
        <v>29.2</v>
      </c>
      <c r="V32" s="163">
        <v>29.6</v>
      </c>
      <c r="W32" s="163">
        <v>29.9</v>
      </c>
      <c r="X32" s="163">
        <v>30</v>
      </c>
      <c r="Y32" s="163"/>
      <c r="Z32" s="163"/>
      <c r="AA32" s="163"/>
    </row>
    <row r="33" spans="1:27" x14ac:dyDescent="0.25">
      <c r="A33" t="s">
        <v>517</v>
      </c>
      <c r="B33" s="95" t="s">
        <v>347</v>
      </c>
      <c r="C33" s="73">
        <f t="shared" si="0"/>
        <v>2.1045542554087045E-5</v>
      </c>
      <c r="D33" t="s">
        <v>441</v>
      </c>
      <c r="E33" s="73">
        <f t="shared" si="1"/>
        <v>1.7930438539641391E-2</v>
      </c>
      <c r="F33" s="162">
        <v>67880</v>
      </c>
      <c r="G33" s="162"/>
      <c r="H33" s="162">
        <v>4910</v>
      </c>
      <c r="I33" s="68">
        <v>4790</v>
      </c>
      <c r="J33" s="68">
        <v>4700</v>
      </c>
      <c r="K33" s="68">
        <v>4645</v>
      </c>
      <c r="L33" s="68">
        <v>4515</v>
      </c>
      <c r="M33" s="68">
        <v>4495</v>
      </c>
      <c r="N33" s="84" t="s">
        <v>347</v>
      </c>
      <c r="O33" s="162">
        <v>66805</v>
      </c>
      <c r="P33" s="162">
        <v>67485</v>
      </c>
      <c r="Q33" s="162">
        <v>67514</v>
      </c>
      <c r="R33" s="162">
        <v>67880</v>
      </c>
      <c r="S33" s="163">
        <v>66.8</v>
      </c>
      <c r="T33" s="163">
        <v>67.400000000000006</v>
      </c>
      <c r="U33" s="163">
        <v>67.900000000000006</v>
      </c>
      <c r="V33" s="163">
        <v>68.3</v>
      </c>
      <c r="W33" s="163">
        <v>68.400000000000006</v>
      </c>
      <c r="X33" s="163">
        <v>68.3</v>
      </c>
      <c r="Y33" s="163"/>
      <c r="Z33" s="163"/>
      <c r="AA33" s="163"/>
    </row>
    <row r="34" spans="1:27" x14ac:dyDescent="0.25">
      <c r="A34" t="s">
        <v>519</v>
      </c>
      <c r="B34" s="95" t="s">
        <v>169</v>
      </c>
      <c r="C34" s="73">
        <f t="shared" si="0"/>
        <v>-3.0135201172829451E-3</v>
      </c>
      <c r="D34" t="s">
        <v>118</v>
      </c>
      <c r="E34" s="73">
        <f t="shared" si="1"/>
        <v>2.0303194369247428E-2</v>
      </c>
      <c r="F34" s="162">
        <v>43850</v>
      </c>
      <c r="G34" s="162"/>
      <c r="H34" s="162">
        <v>3920</v>
      </c>
      <c r="I34" s="68">
        <v>3855</v>
      </c>
      <c r="J34" s="68">
        <v>3765</v>
      </c>
      <c r="K34" s="68">
        <v>3690</v>
      </c>
      <c r="L34" s="68">
        <v>3615</v>
      </c>
      <c r="M34" s="68">
        <v>3545</v>
      </c>
      <c r="N34" s="84" t="s">
        <v>169</v>
      </c>
      <c r="O34" s="162">
        <v>43899</v>
      </c>
      <c r="P34" s="162">
        <v>43783</v>
      </c>
      <c r="Q34" s="162">
        <v>43846</v>
      </c>
      <c r="R34" s="162">
        <v>43850</v>
      </c>
      <c r="S34" s="163">
        <v>42.7</v>
      </c>
      <c r="T34" s="163">
        <v>42.1</v>
      </c>
      <c r="U34" s="163">
        <v>42</v>
      </c>
      <c r="V34" s="163">
        <v>42.1</v>
      </c>
      <c r="W34" s="163">
        <v>42</v>
      </c>
      <c r="X34" s="163">
        <v>41.8</v>
      </c>
      <c r="Y34" s="163"/>
      <c r="Z34" s="163"/>
      <c r="AA34" s="163"/>
    </row>
    <row r="35" spans="1:27" x14ac:dyDescent="0.25">
      <c r="A35" t="s">
        <v>517</v>
      </c>
      <c r="B35" s="95" t="s">
        <v>348</v>
      </c>
      <c r="C35" s="73">
        <f t="shared" si="0"/>
        <v>-3.3756072938355731E-3</v>
      </c>
      <c r="D35" t="s">
        <v>467</v>
      </c>
      <c r="E35" s="73">
        <f t="shared" si="1"/>
        <v>2.9650547123190964E-2</v>
      </c>
      <c r="F35" s="162">
        <v>31698</v>
      </c>
      <c r="G35" s="162"/>
      <c r="H35" s="162">
        <v>3110</v>
      </c>
      <c r="I35" s="68">
        <v>2990</v>
      </c>
      <c r="J35" s="68">
        <v>2910</v>
      </c>
      <c r="K35" s="68">
        <v>2820</v>
      </c>
      <c r="L35" s="68">
        <v>2755</v>
      </c>
      <c r="M35" s="68">
        <v>2690</v>
      </c>
      <c r="N35" s="84" t="s">
        <v>348</v>
      </c>
      <c r="O35" s="162">
        <v>30802</v>
      </c>
      <c r="P35" s="162">
        <v>31200</v>
      </c>
      <c r="Q35" s="162">
        <v>31455</v>
      </c>
      <c r="R35" s="162">
        <v>31698</v>
      </c>
      <c r="S35" s="163">
        <v>30.1</v>
      </c>
      <c r="T35" s="163">
        <v>30.2</v>
      </c>
      <c r="U35" s="163">
        <v>30.2</v>
      </c>
      <c r="V35" s="163">
        <v>30.3</v>
      </c>
      <c r="W35" s="163">
        <v>30.2</v>
      </c>
      <c r="X35" s="163">
        <v>30.1</v>
      </c>
      <c r="Y35" s="163"/>
      <c r="Z35" s="163"/>
      <c r="AA35" s="163"/>
    </row>
    <row r="36" spans="1:27" x14ac:dyDescent="0.25">
      <c r="A36" t="s">
        <v>517</v>
      </c>
      <c r="B36" s="95" t="s">
        <v>349</v>
      </c>
      <c r="C36" s="73">
        <f t="shared" si="0"/>
        <v>2.1937808646297179E-4</v>
      </c>
      <c r="D36" t="s">
        <v>467</v>
      </c>
      <c r="E36" s="73">
        <f t="shared" si="1"/>
        <v>2.9838022165387893E-2</v>
      </c>
      <c r="F36" s="162">
        <v>30606</v>
      </c>
      <c r="G36" s="162"/>
      <c r="H36" s="162">
        <v>2575</v>
      </c>
      <c r="I36" s="68">
        <v>2500</v>
      </c>
      <c r="J36" s="68">
        <v>2450</v>
      </c>
      <c r="K36" s="68">
        <v>2325</v>
      </c>
      <c r="L36" s="68">
        <v>2230</v>
      </c>
      <c r="M36" s="68">
        <v>2225</v>
      </c>
      <c r="N36" s="84" t="s">
        <v>349</v>
      </c>
      <c r="O36" s="162">
        <v>29823</v>
      </c>
      <c r="P36" s="162">
        <v>29968</v>
      </c>
      <c r="Q36" s="162">
        <v>30216</v>
      </c>
      <c r="R36" s="162">
        <v>30606</v>
      </c>
      <c r="S36" s="163">
        <v>30</v>
      </c>
      <c r="T36" s="163">
        <v>30.4</v>
      </c>
      <c r="U36" s="163">
        <v>30.7</v>
      </c>
      <c r="V36" s="163">
        <v>30.6</v>
      </c>
      <c r="W36" s="163">
        <v>30.4</v>
      </c>
      <c r="X36" s="163">
        <v>30.1</v>
      </c>
      <c r="Y36" s="163"/>
      <c r="Z36" s="163"/>
      <c r="AA36" s="163"/>
    </row>
    <row r="37" spans="1:27" x14ac:dyDescent="0.25">
      <c r="A37" t="s">
        <v>519</v>
      </c>
      <c r="B37" s="95" t="s">
        <v>170</v>
      </c>
      <c r="C37" s="73">
        <f t="shared" si="0"/>
        <v>1.0020476626149087E-3</v>
      </c>
      <c r="D37" t="s">
        <v>467</v>
      </c>
      <c r="E37" s="73">
        <f t="shared" si="1"/>
        <v>3.4003091190108192E-2</v>
      </c>
      <c r="F37" s="162">
        <v>26232</v>
      </c>
      <c r="G37" s="162"/>
      <c r="H37" s="162">
        <v>2165</v>
      </c>
      <c r="I37" s="68">
        <v>2060</v>
      </c>
      <c r="J37" s="68">
        <v>2010</v>
      </c>
      <c r="K37" s="68">
        <v>1945</v>
      </c>
      <c r="L37" s="68">
        <v>1855</v>
      </c>
      <c r="M37" s="68">
        <v>1835</v>
      </c>
      <c r="N37" s="84" t="s">
        <v>170</v>
      </c>
      <c r="O37" s="162">
        <v>25896</v>
      </c>
      <c r="P37" s="162">
        <v>25866</v>
      </c>
      <c r="Q37" s="162">
        <v>26157</v>
      </c>
      <c r="R37" s="162">
        <v>26232</v>
      </c>
      <c r="S37" s="163">
        <v>26</v>
      </c>
      <c r="T37" s="163">
        <v>26.3</v>
      </c>
      <c r="U37" s="163">
        <v>26.6</v>
      </c>
      <c r="V37" s="163">
        <v>26.9</v>
      </c>
      <c r="W37" s="163">
        <v>26.9</v>
      </c>
      <c r="X37" s="163">
        <v>26.8</v>
      </c>
      <c r="Y37" s="163"/>
      <c r="Z37" s="163"/>
      <c r="AA37" s="163"/>
    </row>
    <row r="38" spans="1:27" x14ac:dyDescent="0.25">
      <c r="A38" t="s">
        <v>518</v>
      </c>
      <c r="B38" s="95" t="s">
        <v>243</v>
      </c>
      <c r="C38" s="73">
        <f t="shared" si="0"/>
        <v>4.4256798034237928E-3</v>
      </c>
      <c r="D38" t="s">
        <v>118</v>
      </c>
      <c r="E38" s="73">
        <f t="shared" si="1"/>
        <v>2.4270442068766253E-2</v>
      </c>
      <c r="F38" s="162">
        <v>42092</v>
      </c>
      <c r="G38" s="162"/>
      <c r="H38" s="162">
        <v>3765</v>
      </c>
      <c r="I38" s="68">
        <v>3575</v>
      </c>
      <c r="J38" s="68">
        <v>3545</v>
      </c>
      <c r="K38" s="68">
        <v>3475</v>
      </c>
      <c r="L38" s="68">
        <v>3365</v>
      </c>
      <c r="M38" s="68">
        <v>3345</v>
      </c>
      <c r="N38" s="84" t="s">
        <v>243</v>
      </c>
      <c r="O38" s="162">
        <v>41168</v>
      </c>
      <c r="P38" s="162">
        <v>41569</v>
      </c>
      <c r="Q38" s="162">
        <v>41863</v>
      </c>
      <c r="R38" s="162">
        <v>42092</v>
      </c>
      <c r="S38" s="163">
        <v>43.3</v>
      </c>
      <c r="T38" s="163">
        <v>44.2</v>
      </c>
      <c r="U38" s="163">
        <v>44.7</v>
      </c>
      <c r="V38" s="163">
        <v>45</v>
      </c>
      <c r="W38" s="163">
        <v>45.2</v>
      </c>
      <c r="X38" s="163">
        <v>45.2</v>
      </c>
      <c r="Y38" s="163"/>
      <c r="Z38" s="163"/>
      <c r="AA38" s="163"/>
    </row>
    <row r="39" spans="1:27" x14ac:dyDescent="0.25">
      <c r="A39" t="s">
        <v>517</v>
      </c>
      <c r="B39" s="95" t="s">
        <v>350</v>
      </c>
      <c r="C39" s="73">
        <f t="shared" si="0"/>
        <v>1.6652990297823043E-3</v>
      </c>
      <c r="D39" t="s">
        <v>467</v>
      </c>
      <c r="E39" s="73">
        <f t="shared" si="1"/>
        <v>2.7835051546391754E-2</v>
      </c>
      <c r="F39" s="162">
        <v>20717</v>
      </c>
      <c r="G39" s="162"/>
      <c r="H39" s="162">
        <v>2120</v>
      </c>
      <c r="I39" s="68">
        <v>2040</v>
      </c>
      <c r="J39" s="68">
        <v>1985</v>
      </c>
      <c r="K39" s="68">
        <v>1930</v>
      </c>
      <c r="L39" s="68">
        <v>1895</v>
      </c>
      <c r="M39" s="68">
        <v>1850</v>
      </c>
      <c r="N39" s="84" t="s">
        <v>350</v>
      </c>
      <c r="O39" s="162">
        <v>20175</v>
      </c>
      <c r="P39" s="162">
        <v>20401</v>
      </c>
      <c r="Q39" s="162">
        <v>20529</v>
      </c>
      <c r="R39" s="162">
        <v>20717</v>
      </c>
      <c r="S39" s="163">
        <v>20.8</v>
      </c>
      <c r="T39" s="163">
        <v>21</v>
      </c>
      <c r="U39" s="163">
        <v>21.2</v>
      </c>
      <c r="V39" s="163">
        <v>21.4</v>
      </c>
      <c r="W39" s="163">
        <v>21.7</v>
      </c>
      <c r="X39" s="163">
        <v>21.8</v>
      </c>
      <c r="Y39" s="163"/>
      <c r="Z39" s="163"/>
      <c r="AA39" s="163"/>
    </row>
    <row r="40" spans="1:27" x14ac:dyDescent="0.25">
      <c r="A40" t="s">
        <v>518</v>
      </c>
      <c r="B40" s="95" t="s">
        <v>244</v>
      </c>
      <c r="C40" s="73">
        <f t="shared" si="0"/>
        <v>-1.4912260421242455E-3</v>
      </c>
      <c r="D40" t="s">
        <v>467</v>
      </c>
      <c r="E40" s="73">
        <f t="shared" si="1"/>
        <v>6.3086104006820118E-2</v>
      </c>
      <c r="F40" s="162">
        <v>12358</v>
      </c>
      <c r="G40" s="162"/>
      <c r="H40" s="162">
        <v>1445</v>
      </c>
      <c r="I40" s="68">
        <v>1320</v>
      </c>
      <c r="J40" s="68">
        <v>1240</v>
      </c>
      <c r="K40" s="68">
        <v>1140</v>
      </c>
      <c r="L40" s="68">
        <v>1090</v>
      </c>
      <c r="M40" s="68">
        <v>1075</v>
      </c>
      <c r="N40" s="84" t="s">
        <v>244</v>
      </c>
      <c r="O40" s="162">
        <v>11198</v>
      </c>
      <c r="P40" s="162">
        <v>11509</v>
      </c>
      <c r="Q40" s="162">
        <v>11954</v>
      </c>
      <c r="R40" s="162">
        <v>12358</v>
      </c>
      <c r="S40" s="163">
        <v>11.7</v>
      </c>
      <c r="T40" s="163">
        <v>11.9</v>
      </c>
      <c r="U40" s="163">
        <v>12.1</v>
      </c>
      <c r="V40" s="163">
        <v>12.4</v>
      </c>
      <c r="W40" s="163">
        <v>12.6</v>
      </c>
      <c r="X40" s="163">
        <v>12.7</v>
      </c>
      <c r="Y40" s="163"/>
      <c r="Z40" s="163"/>
      <c r="AA40" s="163"/>
    </row>
    <row r="41" spans="1:27" x14ac:dyDescent="0.25">
      <c r="A41" t="s">
        <v>518</v>
      </c>
      <c r="B41" s="95" t="s">
        <v>245</v>
      </c>
      <c r="C41" s="73">
        <f t="shared" si="0"/>
        <v>-9.9925356962269154E-4</v>
      </c>
      <c r="D41" t="s">
        <v>467</v>
      </c>
      <c r="E41" s="73">
        <f t="shared" si="1"/>
        <v>3.8102959059586543E-2</v>
      </c>
      <c r="F41" s="162">
        <v>23732</v>
      </c>
      <c r="G41" s="162"/>
      <c r="H41" s="162">
        <v>2760</v>
      </c>
      <c r="I41" s="68">
        <v>2630</v>
      </c>
      <c r="J41" s="68">
        <v>2565</v>
      </c>
      <c r="K41" s="68">
        <v>2480</v>
      </c>
      <c r="L41" s="68">
        <v>2370</v>
      </c>
      <c r="M41" s="68">
        <v>2290</v>
      </c>
      <c r="N41" s="84" t="s">
        <v>245</v>
      </c>
      <c r="O41" s="162">
        <v>23409</v>
      </c>
      <c r="P41" s="162">
        <v>23554</v>
      </c>
      <c r="Q41" s="162">
        <v>23478</v>
      </c>
      <c r="R41" s="162">
        <v>23732</v>
      </c>
      <c r="S41" s="163">
        <v>23.1</v>
      </c>
      <c r="T41" s="163">
        <v>23.2</v>
      </c>
      <c r="U41" s="163">
        <v>23.4</v>
      </c>
      <c r="V41" s="163">
        <v>23.6</v>
      </c>
      <c r="W41" s="163">
        <v>23.7</v>
      </c>
      <c r="X41" s="163">
        <v>23.7</v>
      </c>
      <c r="Y41" s="163"/>
      <c r="Z41" s="163"/>
      <c r="AA41" s="163"/>
    </row>
    <row r="42" spans="1:27" x14ac:dyDescent="0.25">
      <c r="A42" t="s">
        <v>521</v>
      </c>
      <c r="B42" s="95" t="s">
        <v>287</v>
      </c>
      <c r="C42" s="73">
        <f t="shared" si="0"/>
        <v>2.5388828915277276E-3</v>
      </c>
      <c r="D42" t="s">
        <v>467</v>
      </c>
      <c r="E42" s="73">
        <f t="shared" si="1"/>
        <v>3.9243769693497563E-2</v>
      </c>
      <c r="F42" s="162">
        <v>35730</v>
      </c>
      <c r="G42" s="162"/>
      <c r="H42" s="162">
        <v>3915</v>
      </c>
      <c r="I42" s="68">
        <v>3745</v>
      </c>
      <c r="J42" s="68">
        <v>3670</v>
      </c>
      <c r="K42" s="68">
        <v>3480</v>
      </c>
      <c r="L42" s="68">
        <v>3330</v>
      </c>
      <c r="M42" s="68">
        <v>3230</v>
      </c>
      <c r="N42" s="84" t="s">
        <v>287</v>
      </c>
      <c r="O42" s="162">
        <v>34470</v>
      </c>
      <c r="P42" s="162">
        <v>34852</v>
      </c>
      <c r="Q42" s="162">
        <v>35278</v>
      </c>
      <c r="R42" s="162">
        <v>35730</v>
      </c>
      <c r="S42" s="163">
        <v>35.299999999999997</v>
      </c>
      <c r="T42" s="163">
        <v>36.1</v>
      </c>
      <c r="U42" s="163">
        <v>37</v>
      </c>
      <c r="V42" s="163">
        <v>37.9</v>
      </c>
      <c r="W42" s="163">
        <v>38.799999999999997</v>
      </c>
      <c r="X42" s="163">
        <v>39.5</v>
      </c>
      <c r="Y42" s="163"/>
      <c r="Z42" s="163"/>
      <c r="AA42" s="163"/>
    </row>
    <row r="43" spans="1:27" x14ac:dyDescent="0.25">
      <c r="A43" t="s">
        <v>517</v>
      </c>
      <c r="B43" s="95" t="s">
        <v>351</v>
      </c>
      <c r="C43" s="73">
        <f t="shared" si="0"/>
        <v>-7.8421714389412419E-4</v>
      </c>
      <c r="D43" t="s">
        <v>467</v>
      </c>
      <c r="E43" s="73">
        <f t="shared" si="1"/>
        <v>2.8790786948176585E-2</v>
      </c>
      <c r="F43" s="162">
        <v>11021</v>
      </c>
      <c r="G43" s="162"/>
      <c r="H43" s="162">
        <v>1165</v>
      </c>
      <c r="I43" s="68">
        <v>1115</v>
      </c>
      <c r="J43" s="68">
        <v>1055</v>
      </c>
      <c r="K43" s="68">
        <v>1010</v>
      </c>
      <c r="L43" s="68">
        <v>1015</v>
      </c>
      <c r="M43" s="68">
        <v>1015</v>
      </c>
      <c r="N43" s="84" t="s">
        <v>351</v>
      </c>
      <c r="O43" s="162">
        <v>10587</v>
      </c>
      <c r="P43" s="162">
        <v>10778</v>
      </c>
      <c r="Q43" s="162">
        <v>10959</v>
      </c>
      <c r="R43" s="162">
        <v>11021</v>
      </c>
      <c r="S43" s="163">
        <v>10.7</v>
      </c>
      <c r="T43" s="163">
        <v>10.8</v>
      </c>
      <c r="U43" s="163">
        <v>10.9</v>
      </c>
      <c r="V43" s="163">
        <v>11</v>
      </c>
      <c r="W43" s="163">
        <v>11</v>
      </c>
      <c r="X43" s="163">
        <v>11</v>
      </c>
      <c r="Y43" s="163"/>
      <c r="Z43" s="163"/>
      <c r="AA43" s="163"/>
    </row>
    <row r="44" spans="1:27" x14ac:dyDescent="0.25">
      <c r="A44" t="s">
        <v>516</v>
      </c>
      <c r="B44" s="95" t="s">
        <v>108</v>
      </c>
      <c r="C44" s="73">
        <f t="shared" si="0"/>
        <v>-2.4423352953612319E-3</v>
      </c>
      <c r="D44" t="s">
        <v>118</v>
      </c>
      <c r="E44" s="73">
        <f t="shared" si="1"/>
        <v>2.5024061597690085E-2</v>
      </c>
      <c r="F44" s="162">
        <v>25678</v>
      </c>
      <c r="G44" s="162"/>
      <c r="H44" s="162">
        <v>2250</v>
      </c>
      <c r="I44" s="68">
        <v>2210</v>
      </c>
      <c r="J44" s="68">
        <v>2145</v>
      </c>
      <c r="K44" s="68">
        <v>2040</v>
      </c>
      <c r="L44" s="68">
        <v>2005</v>
      </c>
      <c r="M44" s="68">
        <v>1990</v>
      </c>
      <c r="N44" s="84" t="s">
        <v>108</v>
      </c>
      <c r="O44" s="162">
        <v>25359</v>
      </c>
      <c r="P44" s="162">
        <v>25516</v>
      </c>
      <c r="Q44" s="162">
        <v>25598</v>
      </c>
      <c r="R44" s="162">
        <v>25678</v>
      </c>
      <c r="S44" s="163">
        <v>25</v>
      </c>
      <c r="T44" s="163">
        <v>24.8</v>
      </c>
      <c r="U44" s="163">
        <v>24.8</v>
      </c>
      <c r="V44" s="163">
        <v>24.8</v>
      </c>
      <c r="W44" s="163">
        <v>24.6</v>
      </c>
      <c r="X44" s="163">
        <v>24.4</v>
      </c>
      <c r="Y44" s="163"/>
      <c r="Z44" s="163"/>
      <c r="AA44" s="163"/>
    </row>
    <row r="45" spans="1:27" x14ac:dyDescent="0.25">
      <c r="A45" t="s">
        <v>522</v>
      </c>
      <c r="B45" s="95" t="s">
        <v>142</v>
      </c>
      <c r="C45" s="73">
        <f t="shared" si="0"/>
        <v>1.4820193555298963E-3</v>
      </c>
      <c r="D45" t="s">
        <v>118</v>
      </c>
      <c r="E45" s="73">
        <f t="shared" si="1"/>
        <v>3.6292935839274142E-2</v>
      </c>
      <c r="F45" s="162">
        <v>24002</v>
      </c>
      <c r="G45" s="162"/>
      <c r="H45" s="162">
        <v>1680</v>
      </c>
      <c r="I45" s="68">
        <v>1655</v>
      </c>
      <c r="J45" s="68">
        <v>1670</v>
      </c>
      <c r="K45" s="68">
        <v>1560</v>
      </c>
      <c r="L45" s="68">
        <v>1430</v>
      </c>
      <c r="M45" s="68">
        <v>1400</v>
      </c>
      <c r="N45" s="84" t="s">
        <v>142</v>
      </c>
      <c r="O45" s="162">
        <v>23213</v>
      </c>
      <c r="P45" s="162">
        <v>23330</v>
      </c>
      <c r="Q45" s="162">
        <v>23668</v>
      </c>
      <c r="R45" s="162">
        <v>24002</v>
      </c>
      <c r="S45" s="163">
        <v>24.1</v>
      </c>
      <c r="T45" s="163">
        <v>24.4</v>
      </c>
      <c r="U45" s="163">
        <v>24.5</v>
      </c>
      <c r="V45" s="163">
        <v>24.4</v>
      </c>
      <c r="W45" s="163">
        <v>24.3</v>
      </c>
      <c r="X45" s="163">
        <v>24.1</v>
      </c>
      <c r="Y45" s="163"/>
      <c r="Z45" s="163"/>
      <c r="AA45" s="163"/>
    </row>
    <row r="46" spans="1:27" x14ac:dyDescent="0.25">
      <c r="A46" t="s">
        <v>528</v>
      </c>
      <c r="B46" s="95" t="s">
        <v>330</v>
      </c>
      <c r="C46" s="73">
        <f t="shared" si="0"/>
        <v>-1.3445819600878045E-4</v>
      </c>
      <c r="D46" t="s">
        <v>467</v>
      </c>
      <c r="E46" s="73">
        <f t="shared" si="1"/>
        <v>2.445236882322975E-2</v>
      </c>
      <c r="F46" s="162">
        <v>22843</v>
      </c>
      <c r="G46" s="162"/>
      <c r="H46" s="162">
        <v>2115</v>
      </c>
      <c r="I46" s="68">
        <v>2055</v>
      </c>
      <c r="J46" s="68">
        <v>2015</v>
      </c>
      <c r="K46" s="68">
        <v>1970</v>
      </c>
      <c r="L46" s="68">
        <v>1900</v>
      </c>
      <c r="M46" s="68">
        <v>1875</v>
      </c>
      <c r="N46" s="84" t="s">
        <v>330</v>
      </c>
      <c r="O46" s="162">
        <v>22801</v>
      </c>
      <c r="P46" s="162">
        <v>22741</v>
      </c>
      <c r="Q46" s="162">
        <v>22818</v>
      </c>
      <c r="R46" s="162">
        <v>22843</v>
      </c>
      <c r="S46" s="163">
        <v>22.8</v>
      </c>
      <c r="T46" s="163">
        <v>22.8</v>
      </c>
      <c r="U46" s="163">
        <v>22.8</v>
      </c>
      <c r="V46" s="163">
        <v>22.8</v>
      </c>
      <c r="W46" s="163">
        <v>22.8</v>
      </c>
      <c r="X46" s="163">
        <v>22.8</v>
      </c>
      <c r="Y46" s="163"/>
      <c r="Z46" s="163"/>
      <c r="AA46" s="163"/>
    </row>
    <row r="47" spans="1:27" x14ac:dyDescent="0.25">
      <c r="A47" t="s">
        <v>517</v>
      </c>
      <c r="B47" s="95" t="s">
        <v>353</v>
      </c>
      <c r="C47" s="73">
        <f t="shared" si="0"/>
        <v>2.5328768812218775E-3</v>
      </c>
      <c r="D47" t="s">
        <v>118</v>
      </c>
      <c r="E47" s="73">
        <v>2.6023661599622498E-2</v>
      </c>
      <c r="F47" s="162">
        <v>33142</v>
      </c>
      <c r="G47" s="162"/>
      <c r="H47" s="162">
        <v>2928.3356672734913</v>
      </c>
      <c r="I47" s="75">
        <v>2858.550623162022</v>
      </c>
      <c r="J47" s="75">
        <v>2772.5290575549643</v>
      </c>
      <c r="K47" s="75">
        <v>2670.0021005461422</v>
      </c>
      <c r="L47" s="75">
        <v>2584.7332306399662</v>
      </c>
      <c r="M47" s="75">
        <v>2577.9589693320263</v>
      </c>
      <c r="N47" s="84" t="s">
        <v>353</v>
      </c>
      <c r="O47" s="162">
        <v>32874.451477384122</v>
      </c>
      <c r="P47" s="162">
        <v>32967.333426690937</v>
      </c>
      <c r="Q47" s="162">
        <v>33.007547962470241</v>
      </c>
      <c r="R47" s="162">
        <v>33142</v>
      </c>
      <c r="S47" s="163">
        <v>33.47744013443495</v>
      </c>
      <c r="T47" s="163">
        <v>33.947332306399659</v>
      </c>
      <c r="U47" s="163">
        <v>34.317224478364373</v>
      </c>
      <c r="V47" s="163">
        <v>34.787116650329082</v>
      </c>
      <c r="W47" s="163">
        <v>34.957008822293794</v>
      </c>
      <c r="X47" s="163">
        <v>34.941954908276152</v>
      </c>
      <c r="Y47" s="163"/>
      <c r="Z47" s="163"/>
      <c r="AA47" s="163"/>
    </row>
    <row r="48" spans="1:27" x14ac:dyDescent="0.25">
      <c r="A48" s="90" t="s">
        <v>517</v>
      </c>
      <c r="B48" s="95" t="s">
        <v>354</v>
      </c>
      <c r="C48" s="73">
        <f t="shared" si="0"/>
        <v>7.1519062726711638E-3</v>
      </c>
      <c r="D48" t="s">
        <v>441</v>
      </c>
      <c r="E48" s="73">
        <f t="shared" si="1"/>
        <v>3.5600325345679786E-2</v>
      </c>
      <c r="F48" s="162">
        <v>184706</v>
      </c>
      <c r="G48" s="162"/>
      <c r="H48" s="162">
        <v>17800</v>
      </c>
      <c r="I48" s="68">
        <v>17040</v>
      </c>
      <c r="J48" s="68">
        <v>16570</v>
      </c>
      <c r="K48" s="68">
        <v>16040</v>
      </c>
      <c r="L48" s="68">
        <v>15310</v>
      </c>
      <c r="M48" s="68">
        <v>14955</v>
      </c>
      <c r="N48" s="84" t="s">
        <v>354</v>
      </c>
      <c r="O48" s="162">
        <v>184069</v>
      </c>
      <c r="P48" s="162">
        <v>184437</v>
      </c>
      <c r="Q48" s="162">
        <v>184126</v>
      </c>
      <c r="R48" s="162">
        <v>184706</v>
      </c>
      <c r="S48" s="163">
        <v>191.7</v>
      </c>
      <c r="T48" s="163">
        <v>197.9</v>
      </c>
      <c r="U48" s="163">
        <v>203.2</v>
      </c>
      <c r="V48" s="163">
        <v>206.9</v>
      </c>
      <c r="W48" s="163">
        <v>209.1</v>
      </c>
      <c r="X48" s="163">
        <v>210.7</v>
      </c>
      <c r="Y48" s="163"/>
      <c r="Z48" s="163"/>
      <c r="AA48" s="163"/>
    </row>
    <row r="49" spans="1:27" x14ac:dyDescent="0.25">
      <c r="A49" t="s">
        <v>521</v>
      </c>
      <c r="B49" s="95" t="s">
        <v>288</v>
      </c>
      <c r="C49" s="73">
        <f t="shared" si="0"/>
        <v>5.9920321295504767E-3</v>
      </c>
      <c r="D49" t="s">
        <v>467</v>
      </c>
      <c r="E49" s="73">
        <f t="shared" si="1"/>
        <v>3.5687167805618827E-2</v>
      </c>
      <c r="F49" s="162">
        <v>17714</v>
      </c>
      <c r="G49" s="162"/>
      <c r="H49" s="162">
        <v>1490</v>
      </c>
      <c r="I49" s="68">
        <v>1400</v>
      </c>
      <c r="J49" s="68">
        <v>1370</v>
      </c>
      <c r="K49" s="89">
        <v>1300</v>
      </c>
      <c r="L49" s="68">
        <v>1260</v>
      </c>
      <c r="M49" s="343">
        <v>1255</v>
      </c>
      <c r="N49" s="89" t="s">
        <v>288</v>
      </c>
      <c r="O49" s="162">
        <v>17184</v>
      </c>
      <c r="P49" s="162">
        <v>17278</v>
      </c>
      <c r="Q49" s="162">
        <v>17439</v>
      </c>
      <c r="R49" s="162">
        <v>17714</v>
      </c>
      <c r="S49" s="163">
        <v>18</v>
      </c>
      <c r="T49" s="163">
        <v>18.600000000000001</v>
      </c>
      <c r="U49" s="163">
        <v>19.2</v>
      </c>
      <c r="V49" s="163">
        <v>19.7</v>
      </c>
      <c r="W49" s="163">
        <v>20</v>
      </c>
      <c r="X49" s="163">
        <v>20.3</v>
      </c>
      <c r="Y49" s="163"/>
      <c r="Z49" s="163"/>
      <c r="AA49" s="163"/>
    </row>
    <row r="50" spans="1:27" x14ac:dyDescent="0.25">
      <c r="A50" t="s">
        <v>519</v>
      </c>
      <c r="B50" s="95" t="s">
        <v>171</v>
      </c>
      <c r="C50" s="73">
        <f t="shared" si="0"/>
        <v>-4.1085041085041091E-3</v>
      </c>
      <c r="D50" t="s">
        <v>467</v>
      </c>
      <c r="E50" s="73">
        <f t="shared" si="1"/>
        <v>2.5871459694989107E-2</v>
      </c>
      <c r="F50" s="162">
        <v>36075</v>
      </c>
      <c r="G50" s="162"/>
      <c r="H50" s="162">
        <v>3980</v>
      </c>
      <c r="I50" s="68">
        <v>3875</v>
      </c>
      <c r="J50" s="68">
        <v>3765</v>
      </c>
      <c r="K50" s="68">
        <v>3655</v>
      </c>
      <c r="L50" s="68">
        <v>3560</v>
      </c>
      <c r="M50" s="68">
        <v>3505</v>
      </c>
      <c r="N50" s="84" t="s">
        <v>171</v>
      </c>
      <c r="O50" s="162">
        <v>36219</v>
      </c>
      <c r="P50" s="162">
        <v>36028</v>
      </c>
      <c r="Q50" s="162">
        <v>36087</v>
      </c>
      <c r="R50" s="162">
        <v>36075</v>
      </c>
      <c r="S50" s="163">
        <v>34.799999999999997</v>
      </c>
      <c r="T50" s="163">
        <v>34.299999999999997</v>
      </c>
      <c r="U50" s="163">
        <v>34</v>
      </c>
      <c r="V50" s="163">
        <v>33</v>
      </c>
      <c r="W50" s="163">
        <v>32</v>
      </c>
      <c r="X50" s="163">
        <v>30.8</v>
      </c>
      <c r="Y50" s="163"/>
      <c r="Z50" s="163"/>
      <c r="AA50" s="163"/>
    </row>
    <row r="51" spans="1:27" x14ac:dyDescent="0.25">
      <c r="A51" t="s">
        <v>519</v>
      </c>
      <c r="B51" s="95" t="s">
        <v>172</v>
      </c>
      <c r="C51" s="73">
        <f t="shared" si="0"/>
        <v>-6.4288449964436173E-4</v>
      </c>
      <c r="D51" t="s">
        <v>118</v>
      </c>
      <c r="E51" s="73">
        <f t="shared" si="1"/>
        <v>2.4783147459727387E-2</v>
      </c>
      <c r="F51" s="162">
        <v>20888</v>
      </c>
      <c r="G51" s="162"/>
      <c r="H51" s="162">
        <v>1735</v>
      </c>
      <c r="I51" s="68">
        <v>1710</v>
      </c>
      <c r="J51" s="68">
        <v>1680</v>
      </c>
      <c r="K51" s="68">
        <v>1600</v>
      </c>
      <c r="L51" s="68">
        <v>1545</v>
      </c>
      <c r="M51" s="68">
        <v>1535</v>
      </c>
      <c r="N51" s="84" t="s">
        <v>172</v>
      </c>
      <c r="O51" s="162">
        <v>20672</v>
      </c>
      <c r="P51" s="162">
        <v>20770</v>
      </c>
      <c r="Q51" s="162">
        <v>20884</v>
      </c>
      <c r="R51" s="162">
        <v>20888</v>
      </c>
      <c r="S51" s="163">
        <v>20.5</v>
      </c>
      <c r="T51" s="163">
        <v>20.6</v>
      </c>
      <c r="U51" s="163">
        <v>20.7</v>
      </c>
      <c r="V51" s="163">
        <v>20.8</v>
      </c>
      <c r="W51" s="163">
        <v>20.8</v>
      </c>
      <c r="X51" s="163">
        <v>20.8</v>
      </c>
      <c r="Y51" s="163"/>
      <c r="Z51" s="163"/>
      <c r="AA51" s="163"/>
    </row>
    <row r="52" spans="1:27" x14ac:dyDescent="0.25">
      <c r="A52" t="s">
        <v>526</v>
      </c>
      <c r="B52" s="95" t="s">
        <v>402</v>
      </c>
      <c r="C52" s="73">
        <f t="shared" si="0"/>
        <v>-2.5189436954142835E-3</v>
      </c>
      <c r="D52" t="s">
        <v>441</v>
      </c>
      <c r="E52" s="73">
        <f t="shared" si="1"/>
        <v>2.5773195876288658E-2</v>
      </c>
      <c r="F52" s="162">
        <v>27676</v>
      </c>
      <c r="G52" s="162"/>
      <c r="H52" s="162">
        <v>1500</v>
      </c>
      <c r="I52" s="68">
        <v>1440</v>
      </c>
      <c r="J52" s="68">
        <v>1370</v>
      </c>
      <c r="K52" s="68">
        <v>1315</v>
      </c>
      <c r="L52" s="68">
        <v>1340</v>
      </c>
      <c r="M52" s="68">
        <v>1325</v>
      </c>
      <c r="N52" s="84" t="s">
        <v>402</v>
      </c>
      <c r="O52" s="162">
        <v>28121</v>
      </c>
      <c r="P52" s="162">
        <v>27853</v>
      </c>
      <c r="Q52" s="162">
        <v>27670</v>
      </c>
      <c r="R52" s="162">
        <v>27676</v>
      </c>
      <c r="S52" s="163">
        <v>27.6</v>
      </c>
      <c r="T52" s="163">
        <v>27.2</v>
      </c>
      <c r="U52" s="163">
        <v>26.7</v>
      </c>
      <c r="V52" s="163">
        <v>26</v>
      </c>
      <c r="W52" s="163">
        <v>25.1</v>
      </c>
      <c r="X52" s="163">
        <v>24.3</v>
      </c>
      <c r="Y52" s="163"/>
      <c r="Z52" s="163"/>
      <c r="AA52" s="163"/>
    </row>
    <row r="53" spans="1:27" x14ac:dyDescent="0.25">
      <c r="A53" t="s">
        <v>524</v>
      </c>
      <c r="B53" s="95" t="s">
        <v>216</v>
      </c>
      <c r="C53" s="73">
        <f t="shared" si="0"/>
        <v>2.7853111485743607E-3</v>
      </c>
      <c r="D53" t="s">
        <v>467</v>
      </c>
      <c r="E53" s="73">
        <f t="shared" si="1"/>
        <v>3.6764705882352942E-2</v>
      </c>
      <c r="F53" s="162">
        <v>15592</v>
      </c>
      <c r="G53" s="162"/>
      <c r="H53" s="162">
        <v>1670</v>
      </c>
      <c r="I53" s="68">
        <v>1625</v>
      </c>
      <c r="J53" s="68">
        <v>1550</v>
      </c>
      <c r="K53" s="68">
        <v>1495</v>
      </c>
      <c r="L53" s="68">
        <v>1415</v>
      </c>
      <c r="M53" s="68">
        <v>1395</v>
      </c>
      <c r="N53" s="84" t="s">
        <v>216</v>
      </c>
      <c r="O53" s="162">
        <v>15188</v>
      </c>
      <c r="P53" s="162">
        <v>15183</v>
      </c>
      <c r="Q53" s="162">
        <v>15341</v>
      </c>
      <c r="R53" s="162">
        <v>15592</v>
      </c>
      <c r="S53" s="163">
        <v>15.6</v>
      </c>
      <c r="T53" s="163">
        <v>16.100000000000001</v>
      </c>
      <c r="U53" s="163">
        <v>16.2</v>
      </c>
      <c r="V53" s="163">
        <v>16.399999999999999</v>
      </c>
      <c r="W53" s="163">
        <v>16.399999999999999</v>
      </c>
      <c r="X53" s="163">
        <v>16.3</v>
      </c>
      <c r="Y53" s="163"/>
      <c r="Z53" s="163"/>
      <c r="AA53" s="163"/>
    </row>
    <row r="54" spans="1:27" x14ac:dyDescent="0.25">
      <c r="A54" t="s">
        <v>524</v>
      </c>
      <c r="B54" s="95" t="s">
        <v>217</v>
      </c>
      <c r="C54" s="73">
        <f t="shared" si="0"/>
        <v>7.2647358016160925E-3</v>
      </c>
      <c r="D54" t="s">
        <v>467</v>
      </c>
      <c r="E54" s="73">
        <f t="shared" si="1"/>
        <v>3.4355179704016914E-2</v>
      </c>
      <c r="F54" s="162">
        <v>22329</v>
      </c>
      <c r="G54" s="162"/>
      <c r="H54" s="162">
        <v>2100</v>
      </c>
      <c r="I54" s="68">
        <v>2020</v>
      </c>
      <c r="J54" s="68">
        <v>1970</v>
      </c>
      <c r="K54" s="68">
        <v>1880</v>
      </c>
      <c r="L54" s="68">
        <v>1815</v>
      </c>
      <c r="M54" s="68">
        <v>1775</v>
      </c>
      <c r="N54" s="84" t="s">
        <v>217</v>
      </c>
      <c r="O54" s="162">
        <v>21588</v>
      </c>
      <c r="P54" s="162">
        <v>21873</v>
      </c>
      <c r="Q54" s="162">
        <v>22019</v>
      </c>
      <c r="R54" s="162">
        <v>22329</v>
      </c>
      <c r="S54" s="163">
        <v>23.1</v>
      </c>
      <c r="T54" s="163">
        <v>24</v>
      </c>
      <c r="U54" s="163">
        <v>24.6</v>
      </c>
      <c r="V54" s="163">
        <v>25.1</v>
      </c>
      <c r="W54" s="163">
        <v>25.6</v>
      </c>
      <c r="X54" s="163">
        <v>25.9</v>
      </c>
      <c r="Y54" s="163"/>
      <c r="Z54" s="163"/>
      <c r="AA54" s="163"/>
    </row>
    <row r="55" spans="1:27" x14ac:dyDescent="0.25">
      <c r="A55" t="s">
        <v>519</v>
      </c>
      <c r="B55" s="95" t="s">
        <v>173</v>
      </c>
      <c r="C55" s="73">
        <f t="shared" si="0"/>
        <v>6.1791696247797843E-4</v>
      </c>
      <c r="D55" t="s">
        <v>467</v>
      </c>
      <c r="E55" s="73">
        <f t="shared" si="1"/>
        <v>2.058029689608637E-2</v>
      </c>
      <c r="F55" s="162">
        <v>27165</v>
      </c>
      <c r="G55" s="162"/>
      <c r="H55" s="162">
        <v>3170</v>
      </c>
      <c r="I55" s="68">
        <v>3090</v>
      </c>
      <c r="J55" s="68">
        <v>3005</v>
      </c>
      <c r="K55" s="68">
        <v>2975</v>
      </c>
      <c r="L55" s="68">
        <v>2885</v>
      </c>
      <c r="M55" s="68">
        <v>2865</v>
      </c>
      <c r="N55" s="84" t="s">
        <v>173</v>
      </c>
      <c r="O55" s="162">
        <v>26578</v>
      </c>
      <c r="P55" s="162">
        <v>26715</v>
      </c>
      <c r="Q55" s="162">
        <v>27009</v>
      </c>
      <c r="R55" s="162">
        <v>27165</v>
      </c>
      <c r="S55" s="163">
        <v>27</v>
      </c>
      <c r="T55" s="163">
        <v>27.2</v>
      </c>
      <c r="U55" s="163">
        <v>27.4</v>
      </c>
      <c r="V55" s="163">
        <v>27.5</v>
      </c>
      <c r="W55" s="163">
        <v>27.6</v>
      </c>
      <c r="X55" s="163">
        <v>27.6</v>
      </c>
      <c r="Y55" s="163"/>
      <c r="Z55" s="163"/>
      <c r="AA55" s="163"/>
    </row>
    <row r="56" spans="1:27" x14ac:dyDescent="0.25">
      <c r="A56" t="s">
        <v>521</v>
      </c>
      <c r="B56" s="95" t="s">
        <v>289</v>
      </c>
      <c r="C56" s="73">
        <f t="shared" si="0"/>
        <v>2.8853800324047103E-3</v>
      </c>
      <c r="D56" t="s">
        <v>118</v>
      </c>
      <c r="E56" s="73">
        <f t="shared" si="1"/>
        <v>2.9903072798515156E-2</v>
      </c>
      <c r="F56" s="162">
        <v>67186</v>
      </c>
      <c r="G56" s="162"/>
      <c r="H56" s="162">
        <v>5385</v>
      </c>
      <c r="I56" s="68">
        <v>5080</v>
      </c>
      <c r="J56" s="68">
        <v>4980</v>
      </c>
      <c r="K56" s="68">
        <v>4815</v>
      </c>
      <c r="L56" s="68">
        <v>4710</v>
      </c>
      <c r="M56" s="68">
        <v>4660</v>
      </c>
      <c r="N56" s="84" t="s">
        <v>289</v>
      </c>
      <c r="O56" s="162">
        <v>66822</v>
      </c>
      <c r="P56" s="162">
        <v>67113</v>
      </c>
      <c r="Q56" s="162">
        <v>67319</v>
      </c>
      <c r="R56" s="162">
        <v>67186</v>
      </c>
      <c r="S56" s="163">
        <v>69</v>
      </c>
      <c r="T56" s="163">
        <v>69.599999999999994</v>
      </c>
      <c r="U56" s="163">
        <v>69.900000000000006</v>
      </c>
      <c r="V56" s="163">
        <v>70</v>
      </c>
      <c r="W56" s="163">
        <v>70.099999999999994</v>
      </c>
      <c r="X56" s="163">
        <v>70.099999999999994</v>
      </c>
      <c r="Y56" s="163"/>
      <c r="Z56" s="163"/>
      <c r="AA56" s="163"/>
    </row>
    <row r="57" spans="1:27" x14ac:dyDescent="0.25">
      <c r="A57" t="s">
        <v>518</v>
      </c>
      <c r="B57" s="95" t="s">
        <v>246</v>
      </c>
      <c r="C57" s="73">
        <f t="shared" si="0"/>
        <v>1.4798437789416852E-3</v>
      </c>
      <c r="D57" t="s">
        <v>467</v>
      </c>
      <c r="E57" s="73">
        <f t="shared" si="1"/>
        <v>3.6816269284712481E-2</v>
      </c>
      <c r="F57" s="162">
        <v>36249</v>
      </c>
      <c r="G57" s="162"/>
      <c r="H57" s="162">
        <v>3175</v>
      </c>
      <c r="I57" s="68">
        <v>3055</v>
      </c>
      <c r="J57" s="68">
        <v>2970</v>
      </c>
      <c r="K57" s="68">
        <v>2835</v>
      </c>
      <c r="L57" s="68">
        <v>2750</v>
      </c>
      <c r="M57" s="68">
        <v>2650</v>
      </c>
      <c r="N57" s="84" t="s">
        <v>246</v>
      </c>
      <c r="O57" s="162">
        <v>35754</v>
      </c>
      <c r="P57" s="162">
        <v>35966</v>
      </c>
      <c r="Q57" s="162">
        <v>36086</v>
      </c>
      <c r="R57" s="162">
        <v>36249</v>
      </c>
      <c r="S57" s="163">
        <v>36.299999999999997</v>
      </c>
      <c r="T57" s="163">
        <v>36.6</v>
      </c>
      <c r="U57" s="163">
        <v>37</v>
      </c>
      <c r="V57" s="163">
        <v>37.299999999999997</v>
      </c>
      <c r="W57" s="163">
        <v>37.6</v>
      </c>
      <c r="X57" s="163">
        <v>37.700000000000003</v>
      </c>
      <c r="Y57" s="163"/>
      <c r="Z57" s="163"/>
      <c r="AA57" s="163"/>
    </row>
    <row r="58" spans="1:27" x14ac:dyDescent="0.25">
      <c r="A58" t="s">
        <v>516</v>
      </c>
      <c r="B58" s="95" t="s">
        <v>109</v>
      </c>
      <c r="C58" s="73">
        <f t="shared" si="0"/>
        <v>-4.6559803704672069E-3</v>
      </c>
      <c r="D58" t="s">
        <v>118</v>
      </c>
      <c r="E58" s="73">
        <f t="shared" si="1"/>
        <v>1.6967126193001062E-2</v>
      </c>
      <c r="F58" s="162">
        <v>35515</v>
      </c>
      <c r="G58" s="162"/>
      <c r="H58" s="162">
        <v>2980</v>
      </c>
      <c r="I58" s="68">
        <v>2920</v>
      </c>
      <c r="J58" s="68">
        <v>2865</v>
      </c>
      <c r="K58" s="68">
        <v>2830</v>
      </c>
      <c r="L58" s="68">
        <v>2790</v>
      </c>
      <c r="M58" s="68">
        <v>2740</v>
      </c>
      <c r="N58" s="84" t="s">
        <v>109</v>
      </c>
      <c r="O58" s="162">
        <v>35497</v>
      </c>
      <c r="P58" s="162">
        <v>35356</v>
      </c>
      <c r="Q58" s="162">
        <v>35317</v>
      </c>
      <c r="R58" s="162">
        <v>35515</v>
      </c>
      <c r="S58" s="163">
        <v>34.200000000000003</v>
      </c>
      <c r="T58" s="163">
        <v>33.6</v>
      </c>
      <c r="U58" s="163">
        <v>33.200000000000003</v>
      </c>
      <c r="V58" s="163">
        <v>32.700000000000003</v>
      </c>
      <c r="W58" s="163">
        <v>32.200000000000003</v>
      </c>
      <c r="X58" s="163">
        <v>31.7</v>
      </c>
      <c r="Y58" s="163"/>
      <c r="Z58" s="163"/>
      <c r="AA58" s="163"/>
    </row>
    <row r="59" spans="1:27" x14ac:dyDescent="0.25">
      <c r="A59" t="s">
        <v>517</v>
      </c>
      <c r="B59" s="95" t="s">
        <v>355</v>
      </c>
      <c r="C59" s="73">
        <f t="shared" si="0"/>
        <v>8.0179158948270629E-4</v>
      </c>
      <c r="D59" t="s">
        <v>467</v>
      </c>
      <c r="E59" s="73">
        <f t="shared" si="1"/>
        <v>2.328042328042328E-2</v>
      </c>
      <c r="F59" s="162">
        <v>20668</v>
      </c>
      <c r="G59" s="162"/>
      <c r="H59" s="162">
        <v>2030</v>
      </c>
      <c r="I59" s="68">
        <v>1965</v>
      </c>
      <c r="J59" s="68">
        <v>1925</v>
      </c>
      <c r="K59" s="68">
        <v>1885</v>
      </c>
      <c r="L59" s="68">
        <v>1865</v>
      </c>
      <c r="M59" s="68">
        <v>1810</v>
      </c>
      <c r="N59" s="84" t="s">
        <v>355</v>
      </c>
      <c r="O59" s="162">
        <v>20436</v>
      </c>
      <c r="P59" s="162">
        <v>21119</v>
      </c>
      <c r="Q59" s="162">
        <v>21001</v>
      </c>
      <c r="R59" s="162">
        <v>20668</v>
      </c>
      <c r="S59" s="163">
        <v>20.8</v>
      </c>
      <c r="T59" s="163">
        <v>20.9</v>
      </c>
      <c r="U59" s="163">
        <v>20.9</v>
      </c>
      <c r="V59" s="163">
        <v>20.9</v>
      </c>
      <c r="W59" s="163">
        <v>21</v>
      </c>
      <c r="X59" s="163">
        <v>21.1</v>
      </c>
      <c r="Y59" s="163"/>
      <c r="Z59" s="163"/>
      <c r="AA59" s="163"/>
    </row>
    <row r="60" spans="1:27" x14ac:dyDescent="0.25">
      <c r="A60" t="s">
        <v>519</v>
      </c>
      <c r="B60" s="95" t="s">
        <v>174</v>
      </c>
      <c r="C60" s="73">
        <f t="shared" si="0"/>
        <v>5.3789576537730489E-3</v>
      </c>
      <c r="D60" t="s">
        <v>118</v>
      </c>
      <c r="E60" s="73">
        <f t="shared" si="1"/>
        <v>2.6418362927674317E-2</v>
      </c>
      <c r="F60" s="162">
        <v>29387</v>
      </c>
      <c r="G60" s="162"/>
      <c r="H60" s="162">
        <v>2505</v>
      </c>
      <c r="I60" s="68">
        <v>2410</v>
      </c>
      <c r="J60" s="68">
        <v>2385</v>
      </c>
      <c r="K60" s="68">
        <v>2320</v>
      </c>
      <c r="L60" s="68">
        <v>2230</v>
      </c>
      <c r="M60" s="68">
        <v>2200</v>
      </c>
      <c r="N60" s="84" t="s">
        <v>174</v>
      </c>
      <c r="O60" s="162">
        <v>28544</v>
      </c>
      <c r="P60" s="162">
        <v>28920</v>
      </c>
      <c r="Q60" s="162">
        <v>29121</v>
      </c>
      <c r="R60" s="162">
        <v>29387</v>
      </c>
      <c r="S60" s="163">
        <v>29.9</v>
      </c>
      <c r="T60" s="163">
        <v>31</v>
      </c>
      <c r="U60" s="163">
        <v>31.6</v>
      </c>
      <c r="V60" s="163">
        <v>31.9</v>
      </c>
      <c r="W60" s="163">
        <v>31.9</v>
      </c>
      <c r="X60" s="163">
        <v>31.9</v>
      </c>
      <c r="Y60" s="163"/>
      <c r="Z60" s="163"/>
      <c r="AA60" s="163"/>
    </row>
    <row r="61" spans="1:27" x14ac:dyDescent="0.25">
      <c r="A61" t="s">
        <v>522</v>
      </c>
      <c r="B61" s="95" t="s">
        <v>143</v>
      </c>
      <c r="C61" s="73">
        <f t="shared" si="0"/>
        <v>-2.3468197897171077E-3</v>
      </c>
      <c r="D61" t="s">
        <v>467</v>
      </c>
      <c r="E61" s="73">
        <f t="shared" si="1"/>
        <v>3.5535117056856184E-2</v>
      </c>
      <c r="F61" s="162">
        <v>29158</v>
      </c>
      <c r="G61" s="162"/>
      <c r="H61" s="162">
        <v>2665</v>
      </c>
      <c r="I61" s="68">
        <v>2560</v>
      </c>
      <c r="J61" s="68">
        <v>2470</v>
      </c>
      <c r="K61" s="68">
        <v>2385</v>
      </c>
      <c r="L61" s="68">
        <v>2305</v>
      </c>
      <c r="M61" s="68">
        <v>2240</v>
      </c>
      <c r="N61" s="84" t="s">
        <v>143</v>
      </c>
      <c r="O61" s="162">
        <v>28487</v>
      </c>
      <c r="P61" s="162">
        <v>28592</v>
      </c>
      <c r="Q61" s="162">
        <v>28901</v>
      </c>
      <c r="R61" s="162">
        <v>29158</v>
      </c>
      <c r="S61" s="163">
        <v>28.3</v>
      </c>
      <c r="T61" s="163">
        <v>28.3</v>
      </c>
      <c r="U61" s="163">
        <v>28.2</v>
      </c>
      <c r="V61" s="163">
        <v>28.1</v>
      </c>
      <c r="W61" s="163">
        <v>28</v>
      </c>
      <c r="X61" s="163">
        <v>27.9</v>
      </c>
      <c r="Y61" s="163"/>
      <c r="Z61" s="163"/>
      <c r="AA61" s="163"/>
    </row>
    <row r="62" spans="1:27" x14ac:dyDescent="0.25">
      <c r="A62" t="s">
        <v>520</v>
      </c>
      <c r="B62" s="95" t="s">
        <v>129</v>
      </c>
      <c r="C62" s="73">
        <f t="shared" si="0"/>
        <v>-4.7503522267511511E-3</v>
      </c>
      <c r="D62" t="s">
        <v>118</v>
      </c>
      <c r="E62" s="73">
        <f t="shared" si="1"/>
        <v>2.5498007968127491E-2</v>
      </c>
      <c r="F62" s="162">
        <v>18961</v>
      </c>
      <c r="G62" s="162"/>
      <c r="H62" s="162">
        <v>1360</v>
      </c>
      <c r="I62" s="68">
        <v>1330</v>
      </c>
      <c r="J62" s="68">
        <v>1295</v>
      </c>
      <c r="K62" s="68">
        <v>1245</v>
      </c>
      <c r="L62" s="68">
        <v>1205</v>
      </c>
      <c r="M62" s="68">
        <v>1200</v>
      </c>
      <c r="N62" s="84" t="s">
        <v>129</v>
      </c>
      <c r="O62" s="162">
        <v>18930</v>
      </c>
      <c r="P62" s="162">
        <v>18945</v>
      </c>
      <c r="Q62" s="162">
        <v>18943</v>
      </c>
      <c r="R62" s="162">
        <v>18961</v>
      </c>
      <c r="S62" s="163">
        <v>18.399999999999999</v>
      </c>
      <c r="T62" s="163">
        <v>18</v>
      </c>
      <c r="U62" s="163">
        <v>17.7</v>
      </c>
      <c r="V62" s="163">
        <v>17.3</v>
      </c>
      <c r="W62" s="163">
        <v>16.899999999999999</v>
      </c>
      <c r="X62" s="163">
        <v>16.399999999999999</v>
      </c>
      <c r="Y62" s="163"/>
      <c r="Z62" s="163"/>
      <c r="AA62" s="163"/>
    </row>
    <row r="63" spans="1:27" x14ac:dyDescent="0.25">
      <c r="A63" t="s">
        <v>524</v>
      </c>
      <c r="B63" s="95" t="s">
        <v>218</v>
      </c>
      <c r="C63" s="73">
        <f t="shared" si="0"/>
        <v>-1.8190414899066181E-3</v>
      </c>
      <c r="D63" t="s">
        <v>467</v>
      </c>
      <c r="E63" s="73">
        <f t="shared" si="1"/>
        <v>3.0375508251614447E-2</v>
      </c>
      <c r="F63" s="162">
        <v>43508</v>
      </c>
      <c r="G63" s="162"/>
      <c r="H63" s="162">
        <v>4580</v>
      </c>
      <c r="I63" s="68">
        <v>4455</v>
      </c>
      <c r="J63" s="68">
        <v>4320</v>
      </c>
      <c r="K63" s="68">
        <v>4160</v>
      </c>
      <c r="L63" s="68">
        <v>4025</v>
      </c>
      <c r="M63" s="68">
        <v>3945</v>
      </c>
      <c r="N63" s="84" t="s">
        <v>218</v>
      </c>
      <c r="O63" s="162">
        <v>42809</v>
      </c>
      <c r="P63" s="162">
        <v>43123</v>
      </c>
      <c r="Q63" s="162">
        <v>43384</v>
      </c>
      <c r="R63" s="162">
        <v>43508</v>
      </c>
      <c r="S63" s="163">
        <v>42.3</v>
      </c>
      <c r="T63" s="163">
        <v>42.2</v>
      </c>
      <c r="U63" s="163">
        <v>42.4</v>
      </c>
      <c r="V63" s="163">
        <v>42.7</v>
      </c>
      <c r="W63" s="163">
        <v>42.8</v>
      </c>
      <c r="X63" s="163">
        <v>42.7</v>
      </c>
      <c r="Y63" s="163"/>
      <c r="Z63" s="163"/>
      <c r="AA63" s="163"/>
    </row>
    <row r="64" spans="1:27" x14ac:dyDescent="0.25">
      <c r="A64" t="s">
        <v>520</v>
      </c>
      <c r="B64" s="95" t="s">
        <v>529</v>
      </c>
      <c r="C64" s="73">
        <f t="shared" si="0"/>
        <v>-3.1772181689809363E-3</v>
      </c>
      <c r="D64" t="s">
        <v>118</v>
      </c>
      <c r="E64" s="73">
        <f t="shared" ref="E64:E126" si="2">SUM(H64,-M64)/(SUM(I64,J64,K64,L64,M64))</f>
        <v>2.0095693779904306E-2</v>
      </c>
      <c r="F64" s="162">
        <v>51595</v>
      </c>
      <c r="G64" s="162"/>
      <c r="H64" s="162">
        <v>5610</v>
      </c>
      <c r="I64" s="68">
        <v>5450</v>
      </c>
      <c r="J64" s="68">
        <v>5325</v>
      </c>
      <c r="K64" s="68">
        <v>5155</v>
      </c>
      <c r="L64" s="68">
        <v>5110</v>
      </c>
      <c r="M64" s="68">
        <v>5085</v>
      </c>
      <c r="N64" s="84" t="s">
        <v>529</v>
      </c>
      <c r="O64" s="162">
        <v>51442</v>
      </c>
      <c r="P64" s="162">
        <v>51561</v>
      </c>
      <c r="Q64" s="162">
        <v>51778</v>
      </c>
      <c r="R64" s="162">
        <v>51595</v>
      </c>
      <c r="S64" s="163">
        <v>50.4</v>
      </c>
      <c r="T64" s="163">
        <v>49.6</v>
      </c>
      <c r="U64" s="163">
        <v>49.3</v>
      </c>
      <c r="V64" s="163">
        <v>49.3</v>
      </c>
      <c r="W64" s="163">
        <v>49</v>
      </c>
      <c r="X64" s="163">
        <v>48.6</v>
      </c>
      <c r="Y64" s="163"/>
      <c r="Z64" s="163"/>
      <c r="AA64" s="163"/>
    </row>
    <row r="65" spans="1:27" x14ac:dyDescent="0.25">
      <c r="A65" t="s">
        <v>524</v>
      </c>
      <c r="B65" s="95" t="s">
        <v>219</v>
      </c>
      <c r="C65" s="73">
        <f t="shared" si="0"/>
        <v>-2.4630541871921183E-3</v>
      </c>
      <c r="D65" t="s">
        <v>467</v>
      </c>
      <c r="E65" s="73">
        <f t="shared" si="2"/>
        <v>2.911392405063291E-2</v>
      </c>
      <c r="F65" s="162">
        <v>44950</v>
      </c>
      <c r="G65" s="162"/>
      <c r="H65" s="162">
        <v>5225</v>
      </c>
      <c r="I65" s="68">
        <v>5000</v>
      </c>
      <c r="J65" s="68">
        <v>4880</v>
      </c>
      <c r="K65" s="68">
        <v>4720</v>
      </c>
      <c r="L65" s="68">
        <v>4565</v>
      </c>
      <c r="M65" s="68">
        <v>4535</v>
      </c>
      <c r="N65" s="84" t="s">
        <v>219</v>
      </c>
      <c r="O65" s="162">
        <v>44064</v>
      </c>
      <c r="P65" s="162">
        <v>44435</v>
      </c>
      <c r="Q65" s="162">
        <v>44720</v>
      </c>
      <c r="R65" s="162">
        <v>44950</v>
      </c>
      <c r="S65" s="163">
        <v>43.2</v>
      </c>
      <c r="T65" s="163">
        <v>43.3</v>
      </c>
      <c r="U65" s="163">
        <v>43.4</v>
      </c>
      <c r="V65" s="163">
        <v>43.6</v>
      </c>
      <c r="W65" s="163">
        <v>43.7</v>
      </c>
      <c r="X65" s="163">
        <v>43.8</v>
      </c>
      <c r="Y65" s="163"/>
      <c r="Z65" s="163"/>
      <c r="AA65" s="163"/>
    </row>
    <row r="66" spans="1:27" x14ac:dyDescent="0.25">
      <c r="A66" t="s">
        <v>516</v>
      </c>
      <c r="B66" s="95" t="s">
        <v>117</v>
      </c>
      <c r="C66" s="73">
        <f t="shared" si="0"/>
        <v>-2.3718225154139329E-3</v>
      </c>
      <c r="D66" t="s">
        <v>467</v>
      </c>
      <c r="E66" s="73">
        <f t="shared" si="2"/>
        <v>3.534923339011925E-2</v>
      </c>
      <c r="F66" s="162">
        <v>24514</v>
      </c>
      <c r="G66" s="162"/>
      <c r="H66" s="162">
        <v>2600</v>
      </c>
      <c r="I66" s="68">
        <v>2515</v>
      </c>
      <c r="J66" s="68">
        <v>2475</v>
      </c>
      <c r="K66" s="68">
        <v>2345</v>
      </c>
      <c r="L66" s="68">
        <v>2220</v>
      </c>
      <c r="M66" s="68">
        <v>2185</v>
      </c>
      <c r="N66" s="84" t="s">
        <v>117</v>
      </c>
      <c r="O66" s="162">
        <v>24116</v>
      </c>
      <c r="P66" s="162">
        <v>24291</v>
      </c>
      <c r="Q66" s="162">
        <v>24374</v>
      </c>
      <c r="R66" s="162">
        <v>24514</v>
      </c>
      <c r="S66" s="163">
        <v>23.7</v>
      </c>
      <c r="T66" s="163">
        <v>23.7</v>
      </c>
      <c r="U66" s="163">
        <v>23.7</v>
      </c>
      <c r="V66" s="163">
        <v>23.7</v>
      </c>
      <c r="W66" s="163">
        <v>23.6</v>
      </c>
      <c r="X66" s="163">
        <v>23.4</v>
      </c>
      <c r="Y66" s="163"/>
      <c r="Z66" s="163"/>
      <c r="AA66" s="163"/>
    </row>
    <row r="67" spans="1:27" x14ac:dyDescent="0.25">
      <c r="A67" t="s">
        <v>521</v>
      </c>
      <c r="B67" s="95" t="s">
        <v>290</v>
      </c>
      <c r="C67" s="73">
        <f t="shared" ref="C67:C130" si="3">(SUM(U67*1000,-R67)/14)/R67</f>
        <v>1.1662072537585534E-2</v>
      </c>
      <c r="D67" t="s">
        <v>118</v>
      </c>
      <c r="E67" s="73">
        <f t="shared" si="2"/>
        <v>3.1612368856985089E-2</v>
      </c>
      <c r="F67" s="162">
        <v>104533</v>
      </c>
      <c r="G67" s="162"/>
      <c r="H67" s="162">
        <v>7995</v>
      </c>
      <c r="I67" s="68">
        <v>7665</v>
      </c>
      <c r="J67" s="68">
        <v>7530</v>
      </c>
      <c r="K67" s="68">
        <v>7185</v>
      </c>
      <c r="L67" s="68">
        <v>6990</v>
      </c>
      <c r="M67" s="68">
        <v>6850</v>
      </c>
      <c r="N67" s="84" t="s">
        <v>290</v>
      </c>
      <c r="O67" s="162">
        <v>103217</v>
      </c>
      <c r="P67" s="162">
        <v>103808</v>
      </c>
      <c r="Q67" s="162">
        <v>103581</v>
      </c>
      <c r="R67" s="162">
        <v>104533</v>
      </c>
      <c r="S67" s="163">
        <v>113.6</v>
      </c>
      <c r="T67" s="163">
        <v>117.8</v>
      </c>
      <c r="U67" s="163">
        <v>121.6</v>
      </c>
      <c r="V67" s="163">
        <v>124.6</v>
      </c>
      <c r="W67" s="163">
        <v>127.2</v>
      </c>
      <c r="X67" s="163">
        <v>129.9</v>
      </c>
      <c r="Y67" s="163"/>
      <c r="Z67" s="163"/>
      <c r="AA67" s="163"/>
    </row>
    <row r="68" spans="1:27" x14ac:dyDescent="0.25">
      <c r="A68" t="s">
        <v>518</v>
      </c>
      <c r="B68" s="95" t="s">
        <v>247</v>
      </c>
      <c r="C68" s="73">
        <f t="shared" si="3"/>
        <v>-3.978537703554566E-3</v>
      </c>
      <c r="D68" t="s">
        <v>441</v>
      </c>
      <c r="E68" s="73">
        <f t="shared" si="2"/>
        <v>2.019473494410386E-2</v>
      </c>
      <c r="F68" s="162">
        <v>56338</v>
      </c>
      <c r="G68" s="162"/>
      <c r="H68" s="162">
        <v>2975</v>
      </c>
      <c r="I68" s="68">
        <v>2875</v>
      </c>
      <c r="J68" s="68">
        <v>2825</v>
      </c>
      <c r="K68" s="68">
        <v>2765</v>
      </c>
      <c r="L68" s="68">
        <v>2705</v>
      </c>
      <c r="M68" s="68">
        <v>2695</v>
      </c>
      <c r="N68" s="84" t="s">
        <v>247</v>
      </c>
      <c r="O68" s="162">
        <v>55600</v>
      </c>
      <c r="P68" s="162">
        <v>56218</v>
      </c>
      <c r="Q68" s="162">
        <v>56582</v>
      </c>
      <c r="R68" s="162">
        <v>56338</v>
      </c>
      <c r="S68" s="163">
        <v>53.5</v>
      </c>
      <c r="T68" s="163">
        <v>53.2</v>
      </c>
      <c r="U68" s="163">
        <v>53.2</v>
      </c>
      <c r="V68" s="163">
        <v>52.4</v>
      </c>
      <c r="W68" s="163">
        <v>51</v>
      </c>
      <c r="X68" s="163">
        <v>49.6</v>
      </c>
      <c r="Y68" s="163"/>
      <c r="Z68" s="163"/>
      <c r="AA68" s="163"/>
    </row>
    <row r="69" spans="1:27" x14ac:dyDescent="0.25">
      <c r="A69" t="s">
        <v>517</v>
      </c>
      <c r="B69" s="95" t="s">
        <v>357</v>
      </c>
      <c r="C69" s="73">
        <f t="shared" si="3"/>
        <v>3.9392850570078956E-3</v>
      </c>
      <c r="D69" t="s">
        <v>118</v>
      </c>
      <c r="E69" s="73">
        <f t="shared" si="2"/>
        <v>2.4092297251442144E-2</v>
      </c>
      <c r="F69" s="162">
        <v>32602</v>
      </c>
      <c r="G69" s="162"/>
      <c r="H69" s="162">
        <v>3200</v>
      </c>
      <c r="I69" s="68">
        <v>3070</v>
      </c>
      <c r="J69" s="68">
        <v>3035</v>
      </c>
      <c r="K69" s="68">
        <v>2930</v>
      </c>
      <c r="L69" s="68">
        <v>2855</v>
      </c>
      <c r="M69" s="68">
        <v>2845</v>
      </c>
      <c r="N69" s="84" t="s">
        <v>357</v>
      </c>
      <c r="O69" s="162">
        <v>32354</v>
      </c>
      <c r="P69" s="162">
        <v>32457</v>
      </c>
      <c r="Q69" s="162">
        <v>32437</v>
      </c>
      <c r="R69" s="162">
        <v>32602</v>
      </c>
      <c r="S69" s="163">
        <v>33.200000000000003</v>
      </c>
      <c r="T69" s="163">
        <v>33.9</v>
      </c>
      <c r="U69" s="163">
        <v>34.4</v>
      </c>
      <c r="V69" s="163">
        <v>34.700000000000003</v>
      </c>
      <c r="W69" s="163">
        <v>34.9</v>
      </c>
      <c r="X69" s="163">
        <v>35.1</v>
      </c>
      <c r="Y69" s="163"/>
      <c r="Z69" s="163"/>
      <c r="AA69" s="163"/>
    </row>
    <row r="70" spans="1:27" x14ac:dyDescent="0.25">
      <c r="A70" t="s">
        <v>522</v>
      </c>
      <c r="B70" s="95" t="s">
        <v>144</v>
      </c>
      <c r="C70" s="73">
        <f t="shared" si="3"/>
        <v>4.8245892055979322E-4</v>
      </c>
      <c r="D70" t="s">
        <v>441</v>
      </c>
      <c r="E70" s="73">
        <f t="shared" si="2"/>
        <v>3.3402001177163035E-2</v>
      </c>
      <c r="F70" s="162">
        <v>101415</v>
      </c>
      <c r="G70" s="162"/>
      <c r="H70" s="162">
        <v>7555</v>
      </c>
      <c r="I70" s="68">
        <v>7240</v>
      </c>
      <c r="J70" s="68">
        <v>7045</v>
      </c>
      <c r="K70" s="68">
        <v>6790</v>
      </c>
      <c r="L70" s="68">
        <v>6485</v>
      </c>
      <c r="M70" s="68">
        <v>6420</v>
      </c>
      <c r="N70" s="84" t="s">
        <v>144</v>
      </c>
      <c r="O70" s="162">
        <v>99941</v>
      </c>
      <c r="P70" s="162">
        <v>100662</v>
      </c>
      <c r="Q70" s="162">
        <v>101236</v>
      </c>
      <c r="R70" s="162">
        <v>101415</v>
      </c>
      <c r="S70" s="163">
        <v>101.6</v>
      </c>
      <c r="T70" s="163">
        <v>102.1</v>
      </c>
      <c r="U70" s="163">
        <v>102.1</v>
      </c>
      <c r="V70" s="163">
        <v>101.9</v>
      </c>
      <c r="W70" s="163">
        <v>101.5</v>
      </c>
      <c r="X70" s="163">
        <v>100.8</v>
      </c>
      <c r="Y70" s="163"/>
      <c r="Z70" s="163"/>
      <c r="AA70" s="163"/>
    </row>
    <row r="71" spans="1:27" x14ac:dyDescent="0.25">
      <c r="A71" t="s">
        <v>518</v>
      </c>
      <c r="B71" s="95" t="s">
        <v>248</v>
      </c>
      <c r="C71" s="73">
        <f t="shared" si="3"/>
        <v>8.4852294154619742E-3</v>
      </c>
      <c r="D71" t="s">
        <v>118</v>
      </c>
      <c r="E71" s="73">
        <f t="shared" si="2"/>
        <v>5.7656826568265686E-2</v>
      </c>
      <c r="F71" s="162">
        <v>31820</v>
      </c>
      <c r="G71" s="162"/>
      <c r="H71" s="162">
        <v>2595</v>
      </c>
      <c r="I71" s="68">
        <v>2305</v>
      </c>
      <c r="J71" s="68">
        <v>2315</v>
      </c>
      <c r="K71" s="68">
        <v>2210</v>
      </c>
      <c r="L71" s="68">
        <v>2040</v>
      </c>
      <c r="M71" s="68">
        <v>1970</v>
      </c>
      <c r="N71" s="84" t="s">
        <v>248</v>
      </c>
      <c r="O71" s="162">
        <v>29205</v>
      </c>
      <c r="P71" s="162">
        <v>30767</v>
      </c>
      <c r="Q71" s="162">
        <v>31334</v>
      </c>
      <c r="R71" s="162">
        <v>31820</v>
      </c>
      <c r="S71" s="163">
        <v>32.200000000000003</v>
      </c>
      <c r="T71" s="163">
        <v>34.1</v>
      </c>
      <c r="U71" s="163">
        <v>35.6</v>
      </c>
      <c r="V71" s="163">
        <v>36.6</v>
      </c>
      <c r="W71" s="163">
        <v>37.200000000000003</v>
      </c>
      <c r="X71" s="163">
        <v>37.4</v>
      </c>
      <c r="Y71" s="163"/>
      <c r="Z71" s="163"/>
      <c r="AA71" s="163"/>
    </row>
    <row r="72" spans="1:27" x14ac:dyDescent="0.25">
      <c r="A72" t="s">
        <v>518</v>
      </c>
      <c r="B72" s="95" t="s">
        <v>867</v>
      </c>
      <c r="C72" s="73">
        <f t="shared" si="3"/>
        <v>4.449312067903229E-4</v>
      </c>
      <c r="D72" t="s">
        <v>118</v>
      </c>
      <c r="E72" s="73">
        <v>3.3172195365894316E-2</v>
      </c>
      <c r="F72" s="162">
        <v>87654</v>
      </c>
      <c r="G72" s="162"/>
      <c r="H72" s="162">
        <v>6660</v>
      </c>
      <c r="I72" s="68">
        <v>6380</v>
      </c>
      <c r="J72" s="68">
        <v>6205</v>
      </c>
      <c r="K72" s="68">
        <v>5970</v>
      </c>
      <c r="L72" s="68">
        <v>5775</v>
      </c>
      <c r="M72" s="68">
        <v>5665</v>
      </c>
      <c r="N72" s="84" t="s">
        <v>867</v>
      </c>
      <c r="O72" s="162">
        <v>84735</v>
      </c>
      <c r="P72" s="162">
        <v>85709</v>
      </c>
      <c r="Q72" s="162">
        <v>86722</v>
      </c>
      <c r="R72" s="162">
        <v>87654</v>
      </c>
      <c r="S72" s="163">
        <v>87.1</v>
      </c>
      <c r="T72" s="163">
        <v>87.8</v>
      </c>
      <c r="U72" s="163">
        <v>88.199999999999989</v>
      </c>
      <c r="V72" s="163">
        <v>88.199999999999989</v>
      </c>
      <c r="W72" s="163">
        <v>88.1</v>
      </c>
      <c r="X72" s="163">
        <v>88.2</v>
      </c>
      <c r="Y72" s="163"/>
      <c r="Z72" s="163"/>
      <c r="AA72" s="163"/>
    </row>
    <row r="73" spans="1:27" x14ac:dyDescent="0.25">
      <c r="A73" t="s">
        <v>522</v>
      </c>
      <c r="B73" s="95" t="s">
        <v>145</v>
      </c>
      <c r="C73" s="73">
        <f t="shared" si="3"/>
        <v>-4.5423532129560485E-3</v>
      </c>
      <c r="D73" t="s">
        <v>467</v>
      </c>
      <c r="E73" s="73">
        <f t="shared" si="2"/>
        <v>3.0546623794212219E-2</v>
      </c>
      <c r="F73" s="162">
        <v>26591</v>
      </c>
      <c r="G73" s="162"/>
      <c r="H73" s="162">
        <v>2730</v>
      </c>
      <c r="I73" s="68">
        <v>2630</v>
      </c>
      <c r="J73" s="68">
        <v>2590</v>
      </c>
      <c r="K73" s="68">
        <v>2470</v>
      </c>
      <c r="L73" s="68">
        <v>2400</v>
      </c>
      <c r="M73" s="68">
        <v>2350</v>
      </c>
      <c r="N73" s="84" t="s">
        <v>145</v>
      </c>
      <c r="O73" s="162">
        <v>26340</v>
      </c>
      <c r="P73" s="162">
        <v>26473</v>
      </c>
      <c r="Q73" s="162">
        <v>26606</v>
      </c>
      <c r="R73" s="162">
        <v>26591</v>
      </c>
      <c r="S73" s="163">
        <v>25.7</v>
      </c>
      <c r="T73" s="163">
        <v>25.3</v>
      </c>
      <c r="U73" s="163">
        <v>24.9</v>
      </c>
      <c r="V73" s="163">
        <v>24.6</v>
      </c>
      <c r="W73" s="163">
        <v>24.1</v>
      </c>
      <c r="X73" s="163">
        <v>23.5</v>
      </c>
      <c r="Y73" s="163"/>
      <c r="Z73" s="163"/>
      <c r="AA73" s="163"/>
    </row>
    <row r="74" spans="1:27" x14ac:dyDescent="0.25">
      <c r="A74" t="s">
        <v>519</v>
      </c>
      <c r="B74" s="95" t="s">
        <v>175</v>
      </c>
      <c r="C74" s="73">
        <f t="shared" si="3"/>
        <v>4.2725083508117766E-4</v>
      </c>
      <c r="D74" t="s">
        <v>441</v>
      </c>
      <c r="E74" s="73">
        <f t="shared" si="2"/>
        <v>2.1592442645074223E-2</v>
      </c>
      <c r="F74" s="162">
        <v>11034</v>
      </c>
      <c r="G74" s="162"/>
      <c r="H74" s="162">
        <v>795</v>
      </c>
      <c r="I74" s="68">
        <v>765</v>
      </c>
      <c r="J74" s="68">
        <v>765</v>
      </c>
      <c r="K74" s="68">
        <v>755</v>
      </c>
      <c r="L74" s="68">
        <v>705</v>
      </c>
      <c r="M74" s="68">
        <v>715</v>
      </c>
      <c r="N74" s="84" t="s">
        <v>175</v>
      </c>
      <c r="O74" s="162">
        <v>11142</v>
      </c>
      <c r="P74" s="162">
        <v>11077</v>
      </c>
      <c r="Q74" s="162">
        <v>11064</v>
      </c>
      <c r="R74" s="162">
        <v>11034</v>
      </c>
      <c r="S74" s="163">
        <v>11.2</v>
      </c>
      <c r="T74" s="163">
        <v>11.1</v>
      </c>
      <c r="U74" s="163">
        <v>11.1</v>
      </c>
      <c r="V74" s="163">
        <v>11.2</v>
      </c>
      <c r="W74" s="163">
        <v>11.2</v>
      </c>
      <c r="X74" s="163">
        <v>11.2</v>
      </c>
      <c r="Y74" s="163"/>
      <c r="Z74" s="163"/>
      <c r="AA74" s="163"/>
    </row>
    <row r="75" spans="1:27" x14ac:dyDescent="0.25">
      <c r="A75" t="s">
        <v>519</v>
      </c>
      <c r="B75" s="95" t="s">
        <v>176</v>
      </c>
      <c r="C75" s="73">
        <f t="shared" si="3"/>
        <v>-5.4534940182368737E-4</v>
      </c>
      <c r="D75" t="s">
        <v>441</v>
      </c>
      <c r="E75" s="73">
        <f t="shared" si="2"/>
        <v>2.8074866310160429E-2</v>
      </c>
      <c r="F75" s="162">
        <v>58547</v>
      </c>
      <c r="G75" s="162"/>
      <c r="H75" s="162">
        <v>4905</v>
      </c>
      <c r="I75" s="68">
        <v>4745</v>
      </c>
      <c r="J75" s="68">
        <v>4600</v>
      </c>
      <c r="K75" s="68">
        <v>4530</v>
      </c>
      <c r="L75" s="68">
        <v>4290</v>
      </c>
      <c r="M75" s="68">
        <v>4275</v>
      </c>
      <c r="N75" s="84" t="s">
        <v>176</v>
      </c>
      <c r="O75" s="162">
        <v>57543</v>
      </c>
      <c r="P75" s="162">
        <v>57962</v>
      </c>
      <c r="Q75" s="162">
        <v>58270</v>
      </c>
      <c r="R75" s="162">
        <v>58547</v>
      </c>
      <c r="S75" s="163">
        <v>57.8</v>
      </c>
      <c r="T75" s="163">
        <v>57.8</v>
      </c>
      <c r="U75" s="163">
        <v>58.1</v>
      </c>
      <c r="V75" s="163">
        <v>58.2</v>
      </c>
      <c r="W75" s="163">
        <v>58.2</v>
      </c>
      <c r="X75" s="163">
        <v>57.9</v>
      </c>
      <c r="Y75" s="163"/>
      <c r="Z75" s="163"/>
      <c r="AA75" s="163"/>
    </row>
    <row r="76" spans="1:27" x14ac:dyDescent="0.25">
      <c r="A76" t="s">
        <v>517</v>
      </c>
      <c r="B76" s="95" t="s">
        <v>358</v>
      </c>
      <c r="C76" s="73">
        <f t="shared" si="3"/>
        <v>-2.0234722784297853E-4</v>
      </c>
      <c r="D76" t="s">
        <v>467</v>
      </c>
      <c r="E76" s="73">
        <f t="shared" si="2"/>
        <v>2.9880478087649404E-2</v>
      </c>
      <c r="F76" s="162">
        <v>26475</v>
      </c>
      <c r="G76" s="162"/>
      <c r="H76" s="162">
        <v>2210</v>
      </c>
      <c r="I76" s="68">
        <v>2140</v>
      </c>
      <c r="J76" s="68">
        <v>2065</v>
      </c>
      <c r="K76" s="68">
        <v>1990</v>
      </c>
      <c r="L76" s="68">
        <v>1935</v>
      </c>
      <c r="M76" s="68">
        <v>1910</v>
      </c>
      <c r="N76" s="84" t="s">
        <v>358</v>
      </c>
      <c r="O76" s="162">
        <v>26061</v>
      </c>
      <c r="P76" s="162">
        <v>26175</v>
      </c>
      <c r="Q76" s="162">
        <v>26368</v>
      </c>
      <c r="R76" s="162">
        <v>26475</v>
      </c>
      <c r="S76" s="163">
        <v>26.1</v>
      </c>
      <c r="T76" s="163">
        <v>26.3</v>
      </c>
      <c r="U76" s="163">
        <v>26.4</v>
      </c>
      <c r="V76" s="163">
        <v>26.4</v>
      </c>
      <c r="W76" s="163">
        <v>26.3</v>
      </c>
      <c r="X76" s="163">
        <v>26.1</v>
      </c>
      <c r="Y76" s="163"/>
      <c r="Z76" s="163"/>
      <c r="AA76" s="163"/>
    </row>
    <row r="77" spans="1:27" x14ac:dyDescent="0.25">
      <c r="A77" t="s">
        <v>521</v>
      </c>
      <c r="B77" s="95" t="s">
        <v>291</v>
      </c>
      <c r="C77" s="73">
        <f t="shared" si="3"/>
        <v>3.9368102214821822E-3</v>
      </c>
      <c r="D77" t="s">
        <v>441</v>
      </c>
      <c r="E77" s="73">
        <f t="shared" si="2"/>
        <v>2.9209213963429115E-2</v>
      </c>
      <c r="F77" s="162">
        <v>119513</v>
      </c>
      <c r="G77" s="162"/>
      <c r="H77" s="162">
        <v>9195</v>
      </c>
      <c r="I77" s="68">
        <v>8795</v>
      </c>
      <c r="J77" s="68">
        <v>8805</v>
      </c>
      <c r="K77" s="68">
        <v>8435</v>
      </c>
      <c r="L77" s="68">
        <v>8110</v>
      </c>
      <c r="M77" s="68">
        <v>7965</v>
      </c>
      <c r="N77" s="84" t="s">
        <v>291</v>
      </c>
      <c r="O77" s="162">
        <v>118667</v>
      </c>
      <c r="P77" s="162">
        <v>119232</v>
      </c>
      <c r="Q77" s="162">
        <v>119115</v>
      </c>
      <c r="R77" s="162">
        <v>119513</v>
      </c>
      <c r="S77" s="163">
        <v>122.4</v>
      </c>
      <c r="T77" s="163">
        <v>125</v>
      </c>
      <c r="U77" s="163">
        <v>126.1</v>
      </c>
      <c r="V77" s="163">
        <v>126.1</v>
      </c>
      <c r="W77" s="163">
        <v>125.8</v>
      </c>
      <c r="X77" s="163">
        <v>125.3</v>
      </c>
      <c r="Y77" s="163"/>
      <c r="Z77" s="163"/>
      <c r="AA77" s="163"/>
    </row>
    <row r="78" spans="1:27" x14ac:dyDescent="0.25">
      <c r="A78" t="s">
        <v>518</v>
      </c>
      <c r="B78" s="95" t="s">
        <v>249</v>
      </c>
      <c r="C78" s="73">
        <f t="shared" si="3"/>
        <v>7.9373024612788357E-4</v>
      </c>
      <c r="D78" t="s">
        <v>467</v>
      </c>
      <c r="E78" s="73">
        <f t="shared" si="2"/>
        <v>2.6330532212885154E-2</v>
      </c>
      <c r="F78" s="162">
        <v>19978</v>
      </c>
      <c r="G78" s="162"/>
      <c r="H78" s="162">
        <v>1955</v>
      </c>
      <c r="I78" s="68">
        <v>1870</v>
      </c>
      <c r="J78" s="68">
        <v>1840</v>
      </c>
      <c r="K78" s="68">
        <v>1770</v>
      </c>
      <c r="L78" s="68">
        <v>1725</v>
      </c>
      <c r="M78" s="68">
        <v>1720</v>
      </c>
      <c r="N78" s="84" t="s">
        <v>249</v>
      </c>
      <c r="O78" s="162">
        <v>19604</v>
      </c>
      <c r="P78" s="162">
        <v>19724</v>
      </c>
      <c r="Q78" s="162">
        <v>19838</v>
      </c>
      <c r="R78" s="162">
        <v>19978</v>
      </c>
      <c r="S78" s="163">
        <v>20</v>
      </c>
      <c r="T78" s="163">
        <v>20.100000000000001</v>
      </c>
      <c r="U78" s="163">
        <v>20.2</v>
      </c>
      <c r="V78" s="163">
        <v>20.2</v>
      </c>
      <c r="W78" s="163">
        <v>20.3</v>
      </c>
      <c r="X78" s="163">
        <v>20.3</v>
      </c>
      <c r="Y78" s="163"/>
      <c r="Z78" s="163"/>
      <c r="AA78" s="163"/>
    </row>
    <row r="79" spans="1:27" x14ac:dyDescent="0.25">
      <c r="A79" t="s">
        <v>517</v>
      </c>
      <c r="B79" s="95" t="s">
        <v>359</v>
      </c>
      <c r="C79" s="73">
        <f t="shared" si="3"/>
        <v>-9.6978331972690066E-4</v>
      </c>
      <c r="D79" t="s">
        <v>467</v>
      </c>
      <c r="E79" s="73">
        <f t="shared" si="2"/>
        <v>2.6282853566958697E-2</v>
      </c>
      <c r="F79" s="162">
        <v>27473</v>
      </c>
      <c r="G79" s="162"/>
      <c r="H79" s="162">
        <v>2595</v>
      </c>
      <c r="I79" s="68">
        <v>2525</v>
      </c>
      <c r="J79" s="68">
        <v>2480</v>
      </c>
      <c r="K79" s="68">
        <v>2405</v>
      </c>
      <c r="L79" s="68">
        <v>2295</v>
      </c>
      <c r="M79" s="68">
        <v>2280</v>
      </c>
      <c r="N79" s="84" t="s">
        <v>359</v>
      </c>
      <c r="O79" s="162">
        <v>27162</v>
      </c>
      <c r="P79" s="162">
        <v>27257</v>
      </c>
      <c r="Q79" s="162">
        <v>27325</v>
      </c>
      <c r="R79" s="162">
        <v>27473</v>
      </c>
      <c r="S79" s="163">
        <v>26.8</v>
      </c>
      <c r="T79" s="163">
        <v>26.9</v>
      </c>
      <c r="U79" s="163">
        <v>27.1</v>
      </c>
      <c r="V79" s="163">
        <v>27.2</v>
      </c>
      <c r="W79" s="163">
        <v>27.5</v>
      </c>
      <c r="X79" s="163">
        <v>27.6</v>
      </c>
      <c r="Y79" s="163"/>
      <c r="Z79" s="163"/>
      <c r="AA79" s="163"/>
    </row>
    <row r="80" spans="1:27" x14ac:dyDescent="0.25">
      <c r="A80" t="s">
        <v>523</v>
      </c>
      <c r="B80" s="95" t="s">
        <v>430</v>
      </c>
      <c r="C80" s="73">
        <f t="shared" si="3"/>
        <v>-2.0012387034903469E-3</v>
      </c>
      <c r="D80" t="s">
        <v>467</v>
      </c>
      <c r="E80" s="73">
        <f t="shared" si="2"/>
        <v>2.8366762177650429E-2</v>
      </c>
      <c r="F80" s="162">
        <v>42902</v>
      </c>
      <c r="G80" s="162"/>
      <c r="H80" s="162">
        <v>3800</v>
      </c>
      <c r="I80" s="68">
        <v>3670</v>
      </c>
      <c r="J80" s="68">
        <v>3605</v>
      </c>
      <c r="K80" s="68">
        <v>3480</v>
      </c>
      <c r="L80" s="68">
        <v>3390</v>
      </c>
      <c r="M80" s="68">
        <v>3305</v>
      </c>
      <c r="N80" s="84" t="s">
        <v>430</v>
      </c>
      <c r="O80" s="162">
        <v>40797</v>
      </c>
      <c r="P80" s="162">
        <v>41532</v>
      </c>
      <c r="Q80" s="162">
        <v>42011</v>
      </c>
      <c r="R80" s="162">
        <v>42902</v>
      </c>
      <c r="S80" s="163">
        <v>41.3</v>
      </c>
      <c r="T80" s="163">
        <v>41.5</v>
      </c>
      <c r="U80" s="163">
        <v>41.7</v>
      </c>
      <c r="V80" s="163">
        <v>41.7</v>
      </c>
      <c r="W80" s="163">
        <v>41.5</v>
      </c>
      <c r="X80" s="163">
        <v>41.3</v>
      </c>
      <c r="Y80" s="163"/>
      <c r="Z80" s="163"/>
      <c r="AA80" s="163"/>
    </row>
    <row r="81" spans="1:27" x14ac:dyDescent="0.25">
      <c r="A81" t="s">
        <v>519</v>
      </c>
      <c r="B81" s="95" t="s">
        <v>177</v>
      </c>
      <c r="C81" s="73">
        <f t="shared" si="3"/>
        <v>8.5668099434590546E-5</v>
      </c>
      <c r="D81" t="s">
        <v>118</v>
      </c>
      <c r="E81" s="73">
        <f t="shared" si="2"/>
        <v>3.1356509884117249E-2</v>
      </c>
      <c r="F81" s="162">
        <v>19177</v>
      </c>
      <c r="G81" s="162"/>
      <c r="H81" s="162">
        <v>1605</v>
      </c>
      <c r="I81" s="68">
        <v>1545</v>
      </c>
      <c r="J81" s="68">
        <v>1520</v>
      </c>
      <c r="K81" s="68">
        <v>1480</v>
      </c>
      <c r="L81" s="68">
        <v>1415</v>
      </c>
      <c r="M81" s="68">
        <v>1375</v>
      </c>
      <c r="N81" s="84" t="s">
        <v>177</v>
      </c>
      <c r="O81" s="162">
        <v>18790</v>
      </c>
      <c r="P81" s="162">
        <v>18920</v>
      </c>
      <c r="Q81" s="162">
        <v>18991</v>
      </c>
      <c r="R81" s="162">
        <v>19177</v>
      </c>
      <c r="S81" s="163">
        <v>18.899999999999999</v>
      </c>
      <c r="T81" s="163">
        <v>19</v>
      </c>
      <c r="U81" s="163">
        <v>19.2</v>
      </c>
      <c r="V81" s="163">
        <v>19.3</v>
      </c>
      <c r="W81" s="163">
        <v>19.399999999999999</v>
      </c>
      <c r="X81" s="163">
        <v>19.3</v>
      </c>
      <c r="Y81" s="163"/>
      <c r="Z81" s="163"/>
      <c r="AA81" s="163"/>
    </row>
    <row r="82" spans="1:27" x14ac:dyDescent="0.25">
      <c r="A82" t="s">
        <v>519</v>
      </c>
      <c r="B82" s="95" t="s">
        <v>178</v>
      </c>
      <c r="C82" s="73">
        <f t="shared" si="3"/>
        <v>-3.2759094657747638E-3</v>
      </c>
      <c r="D82" t="s">
        <v>467</v>
      </c>
      <c r="E82" s="73">
        <f t="shared" si="2"/>
        <v>2.40831964969896E-2</v>
      </c>
      <c r="F82" s="162">
        <v>24944</v>
      </c>
      <c r="G82" s="162"/>
      <c r="H82" s="162">
        <v>1995</v>
      </c>
      <c r="I82" s="68">
        <v>1905</v>
      </c>
      <c r="J82" s="68">
        <v>1865</v>
      </c>
      <c r="K82" s="68">
        <v>1840</v>
      </c>
      <c r="L82" s="68">
        <v>1750</v>
      </c>
      <c r="M82" s="68">
        <v>1775</v>
      </c>
      <c r="N82" s="84" t="s">
        <v>178</v>
      </c>
      <c r="O82" s="162">
        <v>25339</v>
      </c>
      <c r="P82" s="162">
        <v>25183</v>
      </c>
      <c r="Q82" s="162">
        <v>25066</v>
      </c>
      <c r="R82" s="162">
        <v>24944</v>
      </c>
      <c r="S82" s="163">
        <v>24.2</v>
      </c>
      <c r="T82" s="163">
        <v>23.9</v>
      </c>
      <c r="U82" s="163">
        <v>23.8</v>
      </c>
      <c r="V82" s="163">
        <v>23.7</v>
      </c>
      <c r="W82" s="163">
        <v>23.7</v>
      </c>
      <c r="X82" s="163">
        <v>23.6</v>
      </c>
      <c r="Y82" s="163"/>
      <c r="Z82" s="163"/>
      <c r="AA82" s="163"/>
    </row>
    <row r="83" spans="1:27" x14ac:dyDescent="0.25">
      <c r="A83" t="s">
        <v>526</v>
      </c>
      <c r="B83" s="95" t="s">
        <v>403</v>
      </c>
      <c r="C83" s="73">
        <f t="shared" si="3"/>
        <v>-4.1386667146773009E-3</v>
      </c>
      <c r="D83" t="s">
        <v>118</v>
      </c>
      <c r="E83" s="73">
        <f t="shared" si="2"/>
        <v>1.9953051643192488E-2</v>
      </c>
      <c r="F83" s="162">
        <v>31739</v>
      </c>
      <c r="G83" s="162"/>
      <c r="H83" s="162">
        <v>2725</v>
      </c>
      <c r="I83" s="68">
        <v>2680</v>
      </c>
      <c r="J83" s="68">
        <v>2625</v>
      </c>
      <c r="K83" s="68">
        <v>2510</v>
      </c>
      <c r="L83" s="68">
        <v>2495</v>
      </c>
      <c r="M83" s="68">
        <v>2470</v>
      </c>
      <c r="N83" s="84" t="s">
        <v>403</v>
      </c>
      <c r="O83" s="162">
        <v>31646</v>
      </c>
      <c r="P83" s="162">
        <v>31692</v>
      </c>
      <c r="Q83" s="162">
        <v>31751</v>
      </c>
      <c r="R83" s="162">
        <v>31739</v>
      </c>
      <c r="S83" s="163">
        <v>30.5</v>
      </c>
      <c r="T83" s="163">
        <v>30</v>
      </c>
      <c r="U83" s="163">
        <v>29.9</v>
      </c>
      <c r="V83" s="163">
        <v>29.9</v>
      </c>
      <c r="W83" s="163">
        <v>29.8</v>
      </c>
      <c r="X83" s="163">
        <v>29.6</v>
      </c>
      <c r="Y83" s="163"/>
      <c r="Z83" s="163"/>
      <c r="AA83" s="163"/>
    </row>
    <row r="84" spans="1:27" x14ac:dyDescent="0.25">
      <c r="A84" t="s">
        <v>518</v>
      </c>
      <c r="B84" s="95" t="s">
        <v>250</v>
      </c>
      <c r="C84" s="73">
        <f t="shared" si="3"/>
        <v>-7.1497130320659732E-4</v>
      </c>
      <c r="D84" t="s">
        <v>467</v>
      </c>
      <c r="E84" s="73">
        <f t="shared" si="2"/>
        <v>3.1275060144346431E-2</v>
      </c>
      <c r="F84" s="162">
        <v>36465</v>
      </c>
      <c r="G84" s="162"/>
      <c r="H84" s="162">
        <v>4145</v>
      </c>
      <c r="I84" s="68">
        <v>3970</v>
      </c>
      <c r="J84" s="68">
        <v>3870</v>
      </c>
      <c r="K84" s="68">
        <v>3715</v>
      </c>
      <c r="L84" s="68">
        <v>3590</v>
      </c>
      <c r="M84" s="68">
        <v>3560</v>
      </c>
      <c r="N84" s="84" t="s">
        <v>250</v>
      </c>
      <c r="O84" s="162">
        <v>36094</v>
      </c>
      <c r="P84" s="162">
        <v>36199</v>
      </c>
      <c r="Q84" s="162">
        <v>36268</v>
      </c>
      <c r="R84" s="162">
        <v>36465</v>
      </c>
      <c r="S84" s="163">
        <v>36.299999999999997</v>
      </c>
      <c r="T84" s="163">
        <v>36.299999999999997</v>
      </c>
      <c r="U84" s="163">
        <v>36.1</v>
      </c>
      <c r="V84" s="163">
        <v>35.9</v>
      </c>
      <c r="W84" s="163">
        <v>35.9</v>
      </c>
      <c r="X84" s="163">
        <v>35.9</v>
      </c>
      <c r="Y84" s="163"/>
      <c r="Z84" s="163"/>
      <c r="AA84" s="163"/>
    </row>
    <row r="85" spans="1:27" x14ac:dyDescent="0.25">
      <c r="A85" t="s">
        <v>519</v>
      </c>
      <c r="B85" s="95" t="s">
        <v>179</v>
      </c>
      <c r="C85" s="73">
        <f t="shared" si="3"/>
        <v>6.0733661198672734E-3</v>
      </c>
      <c r="D85" t="s">
        <v>441</v>
      </c>
      <c r="E85" s="73">
        <f t="shared" si="2"/>
        <v>3.7408287692466673E-2</v>
      </c>
      <c r="F85" s="162">
        <v>119997</v>
      </c>
      <c r="G85" s="162"/>
      <c r="H85" s="162">
        <v>10830</v>
      </c>
      <c r="I85" s="68">
        <v>10335</v>
      </c>
      <c r="J85" s="68">
        <v>10100</v>
      </c>
      <c r="K85" s="68">
        <v>9685</v>
      </c>
      <c r="L85" s="68">
        <v>9245</v>
      </c>
      <c r="M85" s="68">
        <v>9020</v>
      </c>
      <c r="N85" s="84" t="s">
        <v>179</v>
      </c>
      <c r="O85" s="162">
        <v>115732</v>
      </c>
      <c r="P85" s="162">
        <v>117159</v>
      </c>
      <c r="Q85" s="162">
        <v>118530</v>
      </c>
      <c r="R85" s="162">
        <v>119997</v>
      </c>
      <c r="S85" s="163">
        <v>122</v>
      </c>
      <c r="T85" s="163">
        <v>126.4</v>
      </c>
      <c r="U85" s="163">
        <v>130.19999999999999</v>
      </c>
      <c r="V85" s="163">
        <v>132.80000000000001</v>
      </c>
      <c r="W85" s="163">
        <v>134.19999999999999</v>
      </c>
      <c r="X85" s="163">
        <v>135.19999999999999</v>
      </c>
      <c r="Y85" s="163"/>
      <c r="Z85" s="163"/>
      <c r="AA85" s="163"/>
    </row>
    <row r="86" spans="1:27" x14ac:dyDescent="0.25">
      <c r="A86" t="s">
        <v>524</v>
      </c>
      <c r="B86" s="95" t="s">
        <v>220</v>
      </c>
      <c r="C86" s="73">
        <f t="shared" si="3"/>
        <v>2.6533420014211635E-3</v>
      </c>
      <c r="D86" t="s">
        <v>467</v>
      </c>
      <c r="E86" s="73">
        <f t="shared" si="2"/>
        <v>2.8518859245630176E-2</v>
      </c>
      <c r="F86" s="162">
        <v>9449</v>
      </c>
      <c r="G86" s="162"/>
      <c r="H86" s="162">
        <v>1180</v>
      </c>
      <c r="I86" s="68">
        <v>1125</v>
      </c>
      <c r="J86" s="68">
        <v>1130</v>
      </c>
      <c r="K86" s="68">
        <v>1090</v>
      </c>
      <c r="L86" s="68">
        <v>1065</v>
      </c>
      <c r="M86" s="68">
        <v>1025</v>
      </c>
      <c r="N86" s="84" t="s">
        <v>220</v>
      </c>
      <c r="O86" s="162">
        <v>9117</v>
      </c>
      <c r="P86" s="162">
        <v>9231</v>
      </c>
      <c r="Q86" s="162">
        <v>9362</v>
      </c>
      <c r="R86" s="162">
        <v>9449</v>
      </c>
      <c r="S86" s="163">
        <v>9.3000000000000007</v>
      </c>
      <c r="T86" s="163">
        <v>9.6</v>
      </c>
      <c r="U86" s="163">
        <v>9.8000000000000007</v>
      </c>
      <c r="V86" s="163">
        <v>10</v>
      </c>
      <c r="W86" s="163">
        <v>10.199999999999999</v>
      </c>
      <c r="X86" s="163">
        <v>10.199999999999999</v>
      </c>
      <c r="Y86" s="163"/>
      <c r="Z86" s="163"/>
      <c r="AA86" s="163"/>
    </row>
    <row r="87" spans="1:27" x14ac:dyDescent="0.25">
      <c r="A87" t="s">
        <v>525</v>
      </c>
      <c r="B87" s="95" t="s">
        <v>754</v>
      </c>
      <c r="C87" s="73">
        <f t="shared" si="3"/>
        <v>-9.3413727086680016E-3</v>
      </c>
      <c r="D87" t="s">
        <v>441</v>
      </c>
      <c r="E87" s="73">
        <v>4.7716428084526247E-3</v>
      </c>
      <c r="F87" s="162">
        <v>45443</v>
      </c>
      <c r="G87" s="162"/>
      <c r="H87" s="162">
        <v>3000</v>
      </c>
      <c r="I87" s="68">
        <v>3020</v>
      </c>
      <c r="J87" s="68">
        <v>2985</v>
      </c>
      <c r="K87" s="68">
        <v>2890</v>
      </c>
      <c r="L87" s="68">
        <v>2845</v>
      </c>
      <c r="M87" s="68">
        <v>2930</v>
      </c>
      <c r="N87" s="84" t="s">
        <v>754</v>
      </c>
      <c r="O87" s="162">
        <v>46039</v>
      </c>
      <c r="P87" s="162">
        <v>45885</v>
      </c>
      <c r="Q87" s="162">
        <v>46</v>
      </c>
      <c r="R87" s="162">
        <v>45443</v>
      </c>
      <c r="S87" s="163">
        <v>43.9</v>
      </c>
      <c r="T87" s="163">
        <v>41.8</v>
      </c>
      <c r="U87" s="163">
        <v>39.5</v>
      </c>
      <c r="V87" s="163">
        <v>36.700000000000003</v>
      </c>
      <c r="W87" s="163">
        <v>34.300000000000004</v>
      </c>
      <c r="X87" s="163">
        <v>32.1</v>
      </c>
      <c r="Y87" s="163"/>
      <c r="Z87" s="163"/>
      <c r="AA87" s="163"/>
    </row>
    <row r="88" spans="1:27" x14ac:dyDescent="0.25">
      <c r="A88" t="s">
        <v>517</v>
      </c>
      <c r="B88" s="95" t="s">
        <v>360</v>
      </c>
      <c r="C88" s="73">
        <f t="shared" si="3"/>
        <v>2.8107297807630771E-4</v>
      </c>
      <c r="D88" t="s">
        <v>467</v>
      </c>
      <c r="E88" s="73">
        <f t="shared" si="2"/>
        <v>2.8291621327529923E-2</v>
      </c>
      <c r="F88" s="162">
        <v>19822</v>
      </c>
      <c r="G88" s="162"/>
      <c r="H88" s="162">
        <v>2020</v>
      </c>
      <c r="I88" s="68">
        <v>1935</v>
      </c>
      <c r="J88" s="68">
        <v>1875</v>
      </c>
      <c r="K88" s="68">
        <v>1835</v>
      </c>
      <c r="L88" s="68">
        <v>1785</v>
      </c>
      <c r="M88" s="68">
        <v>1760</v>
      </c>
      <c r="N88" s="84" t="s">
        <v>360</v>
      </c>
      <c r="O88" s="162">
        <v>19111</v>
      </c>
      <c r="P88" s="162">
        <v>19277</v>
      </c>
      <c r="Q88" s="162">
        <v>19528</v>
      </c>
      <c r="R88" s="162">
        <v>19822</v>
      </c>
      <c r="S88" s="163">
        <v>19.100000000000001</v>
      </c>
      <c r="T88" s="163">
        <v>19.5</v>
      </c>
      <c r="U88" s="163">
        <v>19.899999999999999</v>
      </c>
      <c r="V88" s="163">
        <v>20.3</v>
      </c>
      <c r="W88" s="163">
        <v>20.5</v>
      </c>
      <c r="X88" s="163">
        <v>20.7</v>
      </c>
      <c r="Y88" s="163"/>
      <c r="Z88" s="163"/>
      <c r="AA88" s="163"/>
    </row>
    <row r="89" spans="1:27" x14ac:dyDescent="0.25">
      <c r="A89" t="s">
        <v>526</v>
      </c>
      <c r="B89" s="95" t="s">
        <v>404</v>
      </c>
      <c r="C89" s="73">
        <f t="shared" si="3"/>
        <v>-2.9146061828328315E-3</v>
      </c>
      <c r="D89" t="s">
        <v>467</v>
      </c>
      <c r="E89" s="73">
        <f t="shared" si="2"/>
        <v>3.81246780010304E-2</v>
      </c>
      <c r="F89" s="162">
        <v>25855</v>
      </c>
      <c r="G89" s="162"/>
      <c r="H89" s="162">
        <v>2195</v>
      </c>
      <c r="I89" s="68">
        <v>2075</v>
      </c>
      <c r="J89" s="68">
        <v>2030</v>
      </c>
      <c r="K89" s="68">
        <v>1925</v>
      </c>
      <c r="L89" s="68">
        <v>1850</v>
      </c>
      <c r="M89" s="68">
        <v>1825</v>
      </c>
      <c r="N89" s="84" t="s">
        <v>404</v>
      </c>
      <c r="O89" s="162">
        <v>25654</v>
      </c>
      <c r="P89" s="162">
        <v>25743</v>
      </c>
      <c r="Q89" s="162">
        <v>25900</v>
      </c>
      <c r="R89" s="162">
        <v>25855</v>
      </c>
      <c r="S89" s="163">
        <v>25.1</v>
      </c>
      <c r="T89" s="163">
        <v>24.8</v>
      </c>
      <c r="U89" s="163">
        <v>24.8</v>
      </c>
      <c r="V89" s="163">
        <v>24.8</v>
      </c>
      <c r="W89" s="163">
        <v>24.8</v>
      </c>
      <c r="X89" s="163">
        <v>24.9</v>
      </c>
      <c r="Y89" s="163"/>
      <c r="Z89" s="163"/>
      <c r="AA89" s="163"/>
    </row>
    <row r="90" spans="1:27" x14ac:dyDescent="0.25">
      <c r="A90" t="s">
        <v>517</v>
      </c>
      <c r="B90" s="95" t="s">
        <v>361</v>
      </c>
      <c r="C90" s="73">
        <f t="shared" si="3"/>
        <v>8.48102821414334E-3</v>
      </c>
      <c r="D90" t="s">
        <v>441</v>
      </c>
      <c r="E90" s="73">
        <f t="shared" si="2"/>
        <v>3.8883132464416208E-2</v>
      </c>
      <c r="F90" s="162">
        <v>238305</v>
      </c>
      <c r="G90" s="162"/>
      <c r="H90" s="162">
        <v>20745</v>
      </c>
      <c r="I90" s="68">
        <v>19600</v>
      </c>
      <c r="J90" s="68">
        <v>19080</v>
      </c>
      <c r="K90" s="68">
        <v>18375</v>
      </c>
      <c r="L90" s="68">
        <v>17450</v>
      </c>
      <c r="M90" s="68">
        <v>17180</v>
      </c>
      <c r="N90" s="84" t="s">
        <v>361</v>
      </c>
      <c r="O90" s="162">
        <v>231469</v>
      </c>
      <c r="P90" s="162">
        <v>234525</v>
      </c>
      <c r="Q90" s="162">
        <v>235691</v>
      </c>
      <c r="R90" s="162">
        <v>238305</v>
      </c>
      <c r="S90" s="163">
        <v>247.2</v>
      </c>
      <c r="T90" s="163">
        <v>257.60000000000002</v>
      </c>
      <c r="U90" s="163">
        <v>266.60000000000002</v>
      </c>
      <c r="V90" s="163">
        <v>271.60000000000002</v>
      </c>
      <c r="W90" s="163">
        <v>274.3</v>
      </c>
      <c r="X90" s="163">
        <v>276.2</v>
      </c>
      <c r="Y90" s="163"/>
      <c r="Z90" s="163"/>
      <c r="AA90" s="163"/>
    </row>
    <row r="91" spans="1:27" x14ac:dyDescent="0.25">
      <c r="A91" t="s">
        <v>519</v>
      </c>
      <c r="B91" s="95" t="s">
        <v>180</v>
      </c>
      <c r="C91" s="73">
        <f t="shared" si="3"/>
        <v>1.6879998555722048E-3</v>
      </c>
      <c r="D91" t="s">
        <v>467</v>
      </c>
      <c r="E91" s="73">
        <f t="shared" si="2"/>
        <v>2.9815146094215862E-2</v>
      </c>
      <c r="F91" s="162">
        <v>23739</v>
      </c>
      <c r="G91" s="162"/>
      <c r="H91" s="162">
        <v>1810</v>
      </c>
      <c r="I91" s="68">
        <v>1790</v>
      </c>
      <c r="J91" s="68">
        <v>1750</v>
      </c>
      <c r="K91" s="68">
        <v>1660</v>
      </c>
      <c r="L91" s="68">
        <v>1625</v>
      </c>
      <c r="M91" s="68">
        <v>1560</v>
      </c>
      <c r="N91" s="84" t="s">
        <v>180</v>
      </c>
      <c r="O91" s="162">
        <v>23087</v>
      </c>
      <c r="P91" s="162">
        <v>23154</v>
      </c>
      <c r="Q91" s="162">
        <v>23429</v>
      </c>
      <c r="R91" s="162">
        <v>23739</v>
      </c>
      <c r="S91" s="163">
        <v>23.8</v>
      </c>
      <c r="T91" s="163">
        <v>24.1</v>
      </c>
      <c r="U91" s="163">
        <v>24.3</v>
      </c>
      <c r="V91" s="163">
        <v>24.4</v>
      </c>
      <c r="W91" s="163">
        <v>24.4</v>
      </c>
      <c r="X91" s="163">
        <v>24.4</v>
      </c>
      <c r="Y91" s="163"/>
      <c r="Z91" s="163"/>
      <c r="AA91" s="163"/>
    </row>
    <row r="92" spans="1:27" x14ac:dyDescent="0.25">
      <c r="A92" t="s">
        <v>516</v>
      </c>
      <c r="B92" s="95" t="s">
        <v>110</v>
      </c>
      <c r="C92" s="73">
        <f t="shared" si="3"/>
        <v>-2.2913300309925565E-3</v>
      </c>
      <c r="D92" t="s">
        <v>441</v>
      </c>
      <c r="E92" s="73">
        <f t="shared" si="2"/>
        <v>2.1410925061762284E-2</v>
      </c>
      <c r="F92" s="162">
        <v>107860</v>
      </c>
      <c r="G92" s="162"/>
      <c r="H92" s="162">
        <v>7780</v>
      </c>
      <c r="I92" s="68">
        <v>7545</v>
      </c>
      <c r="J92" s="68">
        <v>7490</v>
      </c>
      <c r="K92" s="68">
        <v>7305</v>
      </c>
      <c r="L92" s="68">
        <v>7090</v>
      </c>
      <c r="M92" s="68">
        <v>7000</v>
      </c>
      <c r="N92" s="84" t="s">
        <v>110</v>
      </c>
      <c r="O92" s="162">
        <v>107111</v>
      </c>
      <c r="P92" s="162">
        <v>107056</v>
      </c>
      <c r="Q92" s="162">
        <v>107024</v>
      </c>
      <c r="R92" s="162">
        <v>107860</v>
      </c>
      <c r="S92" s="163">
        <v>106.3</v>
      </c>
      <c r="T92" s="163">
        <v>105.3</v>
      </c>
      <c r="U92" s="163">
        <v>104.4</v>
      </c>
      <c r="V92" s="163">
        <v>103.2</v>
      </c>
      <c r="W92" s="163">
        <v>101.7</v>
      </c>
      <c r="X92" s="163">
        <v>100.2</v>
      </c>
      <c r="Y92" s="163"/>
      <c r="Z92" s="163"/>
      <c r="AA92" s="163"/>
    </row>
    <row r="93" spans="1:27" x14ac:dyDescent="0.25">
      <c r="A93" t="s">
        <v>518</v>
      </c>
      <c r="B93" s="95" t="s">
        <v>251</v>
      </c>
      <c r="C93" s="73">
        <f t="shared" si="3"/>
        <v>2.6085622218812335E-3</v>
      </c>
      <c r="D93" t="s">
        <v>118</v>
      </c>
      <c r="E93" s="73">
        <f t="shared" si="2"/>
        <v>2.3485784919653894E-2</v>
      </c>
      <c r="F93" s="162">
        <v>18620</v>
      </c>
      <c r="G93" s="162"/>
      <c r="H93" s="162">
        <v>1745</v>
      </c>
      <c r="I93" s="68">
        <v>1685</v>
      </c>
      <c r="J93" s="68">
        <v>1660</v>
      </c>
      <c r="K93" s="68">
        <v>1605</v>
      </c>
      <c r="L93" s="68">
        <v>1585</v>
      </c>
      <c r="M93" s="68">
        <v>1555</v>
      </c>
      <c r="N93" s="84" t="s">
        <v>251</v>
      </c>
      <c r="O93" s="162">
        <v>18510</v>
      </c>
      <c r="P93" s="162">
        <v>18611</v>
      </c>
      <c r="Q93" s="162">
        <v>18637</v>
      </c>
      <c r="R93" s="162">
        <v>18620</v>
      </c>
      <c r="S93" s="163">
        <v>19.100000000000001</v>
      </c>
      <c r="T93" s="163">
        <v>19.3</v>
      </c>
      <c r="U93" s="163">
        <v>19.3</v>
      </c>
      <c r="V93" s="163">
        <v>19.2</v>
      </c>
      <c r="W93" s="163">
        <v>19.3</v>
      </c>
      <c r="X93" s="163">
        <v>19.3</v>
      </c>
      <c r="Y93" s="163"/>
      <c r="Z93" s="163"/>
      <c r="AA93" s="163"/>
    </row>
    <row r="94" spans="1:27" x14ac:dyDescent="0.25">
      <c r="A94" t="s">
        <v>522</v>
      </c>
      <c r="B94" s="95" t="s">
        <v>146</v>
      </c>
      <c r="C94" s="73">
        <f t="shared" si="3"/>
        <v>-7.3760616991100684E-4</v>
      </c>
      <c r="D94" t="s">
        <v>441</v>
      </c>
      <c r="E94" s="73">
        <f t="shared" si="2"/>
        <v>2.3368481048731831E-2</v>
      </c>
      <c r="F94" s="162">
        <v>160558</v>
      </c>
      <c r="G94" s="162"/>
      <c r="H94" s="162">
        <v>11325</v>
      </c>
      <c r="I94" s="68">
        <v>11010</v>
      </c>
      <c r="J94" s="68">
        <v>10780</v>
      </c>
      <c r="K94" s="68">
        <v>10535</v>
      </c>
      <c r="L94" s="68">
        <v>10215</v>
      </c>
      <c r="M94" s="68">
        <v>10095</v>
      </c>
      <c r="N94" s="84" t="s">
        <v>146</v>
      </c>
      <c r="O94" s="162">
        <v>158961</v>
      </c>
      <c r="P94" s="162">
        <v>159939</v>
      </c>
      <c r="Q94" s="162">
        <v>159732</v>
      </c>
      <c r="R94" s="162">
        <v>160558</v>
      </c>
      <c r="S94" s="163">
        <v>160</v>
      </c>
      <c r="T94" s="163">
        <v>159.6</v>
      </c>
      <c r="U94" s="163">
        <v>158.9</v>
      </c>
      <c r="V94" s="163">
        <v>157.6</v>
      </c>
      <c r="W94" s="163">
        <v>156.1</v>
      </c>
      <c r="X94" s="163">
        <v>154.4</v>
      </c>
      <c r="Y94" s="163"/>
      <c r="Z94" s="163"/>
      <c r="AA94" s="163"/>
    </row>
    <row r="95" spans="1:27" x14ac:dyDescent="0.25">
      <c r="A95" t="s">
        <v>519</v>
      </c>
      <c r="B95" s="95" t="s">
        <v>181</v>
      </c>
      <c r="C95" s="73">
        <f t="shared" si="3"/>
        <v>-5.5837127394553737E-4</v>
      </c>
      <c r="D95" t="s">
        <v>118</v>
      </c>
      <c r="E95" s="73">
        <f t="shared" si="2"/>
        <v>1.7718715393133997E-2</v>
      </c>
      <c r="F95" s="162">
        <v>33260</v>
      </c>
      <c r="G95" s="162"/>
      <c r="H95" s="162">
        <v>2860</v>
      </c>
      <c r="I95" s="68">
        <v>2825</v>
      </c>
      <c r="J95" s="68">
        <v>2775</v>
      </c>
      <c r="K95" s="68">
        <v>2640</v>
      </c>
      <c r="L95" s="68">
        <v>2685</v>
      </c>
      <c r="M95" s="68">
        <v>2620</v>
      </c>
      <c r="N95" s="84" t="s">
        <v>181</v>
      </c>
      <c r="O95" s="162">
        <v>33151</v>
      </c>
      <c r="P95" s="162">
        <v>33183</v>
      </c>
      <c r="Q95" s="162">
        <v>33198</v>
      </c>
      <c r="R95" s="162">
        <v>33260</v>
      </c>
      <c r="S95" s="163">
        <v>32.9</v>
      </c>
      <c r="T95" s="163">
        <v>32.9</v>
      </c>
      <c r="U95" s="163">
        <v>33</v>
      </c>
      <c r="V95" s="163">
        <v>33.1</v>
      </c>
      <c r="W95" s="163">
        <v>33.299999999999997</v>
      </c>
      <c r="X95" s="163">
        <v>33.200000000000003</v>
      </c>
      <c r="Y95" s="163"/>
      <c r="Z95" s="163"/>
      <c r="AA95" s="163"/>
    </row>
    <row r="96" spans="1:27" x14ac:dyDescent="0.25">
      <c r="A96" t="s">
        <v>519</v>
      </c>
      <c r="B96" s="95" t="s">
        <v>182</v>
      </c>
      <c r="C96" s="73">
        <f t="shared" si="3"/>
        <v>2.4630541871921183E-3</v>
      </c>
      <c r="D96" t="s">
        <v>118</v>
      </c>
      <c r="E96" s="73">
        <f t="shared" si="2"/>
        <v>2.4822695035460994E-2</v>
      </c>
      <c r="F96" s="162">
        <v>27260</v>
      </c>
      <c r="G96" s="162"/>
      <c r="H96" s="162">
        <v>2445</v>
      </c>
      <c r="I96" s="68">
        <v>2370</v>
      </c>
      <c r="J96" s="68">
        <v>2325</v>
      </c>
      <c r="K96" s="68">
        <v>2250</v>
      </c>
      <c r="L96" s="68">
        <v>2170</v>
      </c>
      <c r="M96" s="68">
        <v>2165</v>
      </c>
      <c r="N96" s="84" t="s">
        <v>182</v>
      </c>
      <c r="O96" s="162">
        <v>26855</v>
      </c>
      <c r="P96" s="162">
        <v>26983</v>
      </c>
      <c r="Q96" s="162">
        <v>27016</v>
      </c>
      <c r="R96" s="162">
        <v>27260</v>
      </c>
      <c r="S96" s="163">
        <v>27.6</v>
      </c>
      <c r="T96" s="163">
        <v>27.9</v>
      </c>
      <c r="U96" s="163">
        <v>28.2</v>
      </c>
      <c r="V96" s="163">
        <v>28.5</v>
      </c>
      <c r="W96" s="163">
        <v>28.6</v>
      </c>
      <c r="X96" s="163">
        <v>28.7</v>
      </c>
      <c r="Y96" s="163"/>
      <c r="Z96" s="163"/>
      <c r="AA96" s="163"/>
    </row>
    <row r="97" spans="1:27" x14ac:dyDescent="0.25">
      <c r="A97" t="s">
        <v>517</v>
      </c>
      <c r="B97" s="95" t="s">
        <v>362</v>
      </c>
      <c r="C97" s="73">
        <f t="shared" si="3"/>
        <v>3.4784015531467401E-3</v>
      </c>
      <c r="D97" t="s">
        <v>118</v>
      </c>
      <c r="E97" s="73">
        <f t="shared" si="2"/>
        <v>2.6638089406001226E-2</v>
      </c>
      <c r="F97" s="162">
        <v>44150</v>
      </c>
      <c r="G97" s="162"/>
      <c r="H97" s="162">
        <v>3525</v>
      </c>
      <c r="I97" s="68">
        <v>3390</v>
      </c>
      <c r="J97" s="68">
        <v>3370</v>
      </c>
      <c r="K97" s="68">
        <v>3315</v>
      </c>
      <c r="L97" s="68">
        <v>3165</v>
      </c>
      <c r="M97" s="68">
        <v>3090</v>
      </c>
      <c r="N97" s="84" t="s">
        <v>362</v>
      </c>
      <c r="O97" s="162">
        <v>43786</v>
      </c>
      <c r="P97" s="162">
        <v>43888</v>
      </c>
      <c r="Q97" s="162">
        <v>43869</v>
      </c>
      <c r="R97" s="162">
        <v>44150</v>
      </c>
      <c r="S97" s="163">
        <v>45</v>
      </c>
      <c r="T97" s="163">
        <v>45.7</v>
      </c>
      <c r="U97" s="163">
        <v>46.3</v>
      </c>
      <c r="V97" s="163">
        <v>46.5</v>
      </c>
      <c r="W97" s="163">
        <v>46.7</v>
      </c>
      <c r="X97" s="163">
        <v>46.8</v>
      </c>
      <c r="Y97" s="163"/>
      <c r="Z97" s="163"/>
      <c r="AA97" s="163"/>
    </row>
    <row r="98" spans="1:27" x14ac:dyDescent="0.25">
      <c r="A98" t="s">
        <v>517</v>
      </c>
      <c r="B98" s="95" t="s">
        <v>363</v>
      </c>
      <c r="C98" s="73">
        <f t="shared" si="3"/>
        <v>-1.1389521640091116E-3</v>
      </c>
      <c r="D98" t="s">
        <v>118</v>
      </c>
      <c r="E98" s="73">
        <f t="shared" si="2"/>
        <v>2.3978201634877384E-2</v>
      </c>
      <c r="F98" s="162">
        <v>21950</v>
      </c>
      <c r="G98" s="162"/>
      <c r="H98" s="162">
        <v>1990</v>
      </c>
      <c r="I98" s="68">
        <v>1875</v>
      </c>
      <c r="J98" s="68">
        <v>1890</v>
      </c>
      <c r="K98" s="68">
        <v>1825</v>
      </c>
      <c r="L98" s="68">
        <v>1815</v>
      </c>
      <c r="M98" s="68">
        <v>1770</v>
      </c>
      <c r="N98" s="84" t="s">
        <v>363</v>
      </c>
      <c r="O98" s="162">
        <v>21515</v>
      </c>
      <c r="P98" s="162">
        <v>21553</v>
      </c>
      <c r="Q98" s="162">
        <v>21770</v>
      </c>
      <c r="R98" s="162">
        <v>21950</v>
      </c>
      <c r="S98" s="163">
        <v>21.5</v>
      </c>
      <c r="T98" s="163">
        <v>21.6</v>
      </c>
      <c r="U98" s="163">
        <v>21.6</v>
      </c>
      <c r="V98" s="163">
        <v>21.6</v>
      </c>
      <c r="W98" s="163">
        <v>21.5</v>
      </c>
      <c r="X98" s="163">
        <v>21.5</v>
      </c>
      <c r="Y98" s="163"/>
      <c r="Z98" s="163"/>
      <c r="AA98" s="163"/>
    </row>
    <row r="99" spans="1:27" x14ac:dyDescent="0.25">
      <c r="A99" t="s">
        <v>517</v>
      </c>
      <c r="B99" s="95" t="s">
        <v>364</v>
      </c>
      <c r="C99" s="73">
        <f t="shared" si="3"/>
        <v>-2.5212597752232811E-3</v>
      </c>
      <c r="D99" t="s">
        <v>118</v>
      </c>
      <c r="E99" s="73">
        <f t="shared" si="2"/>
        <v>2.0202020202020204E-2</v>
      </c>
      <c r="F99" s="162">
        <v>40116</v>
      </c>
      <c r="G99" s="162"/>
      <c r="H99" s="162">
        <v>3040</v>
      </c>
      <c r="I99" s="68">
        <v>2995</v>
      </c>
      <c r="J99" s="68">
        <v>2955</v>
      </c>
      <c r="K99" s="68">
        <v>2865</v>
      </c>
      <c r="L99" s="68">
        <v>2790</v>
      </c>
      <c r="M99" s="68">
        <v>2750</v>
      </c>
      <c r="N99" s="84" t="s">
        <v>364</v>
      </c>
      <c r="O99" s="162">
        <v>39588</v>
      </c>
      <c r="P99" s="162">
        <v>39743</v>
      </c>
      <c r="Q99" s="162">
        <v>40066</v>
      </c>
      <c r="R99" s="162">
        <v>40116</v>
      </c>
      <c r="S99" s="163">
        <v>38.5</v>
      </c>
      <c r="T99" s="163">
        <v>38.6</v>
      </c>
      <c r="U99" s="163">
        <v>38.700000000000003</v>
      </c>
      <c r="V99" s="163">
        <v>38.4</v>
      </c>
      <c r="W99" s="163">
        <v>38.1</v>
      </c>
      <c r="X99" s="163">
        <v>37.700000000000003</v>
      </c>
      <c r="Y99" s="163"/>
      <c r="Z99" s="163"/>
      <c r="AA99" s="163"/>
    </row>
    <row r="100" spans="1:27" x14ac:dyDescent="0.25">
      <c r="A100" t="s">
        <v>517</v>
      </c>
      <c r="B100" s="95" t="s">
        <v>365</v>
      </c>
      <c r="C100" s="73">
        <f t="shared" si="3"/>
        <v>1.5258286192977044E-3</v>
      </c>
      <c r="D100" t="s">
        <v>118</v>
      </c>
      <c r="E100" s="73">
        <f t="shared" si="2"/>
        <v>2.6158445440956652E-2</v>
      </c>
      <c r="F100" s="162">
        <v>31037</v>
      </c>
      <c r="G100" s="162"/>
      <c r="H100" s="162">
        <v>2885</v>
      </c>
      <c r="I100" s="68">
        <v>2840</v>
      </c>
      <c r="J100" s="68">
        <v>2735</v>
      </c>
      <c r="K100" s="68">
        <v>2685</v>
      </c>
      <c r="L100" s="68">
        <v>2585</v>
      </c>
      <c r="M100" s="68">
        <v>2535</v>
      </c>
      <c r="N100" s="84" t="s">
        <v>365</v>
      </c>
      <c r="O100" s="162">
        <v>30458</v>
      </c>
      <c r="P100" s="162">
        <v>30706</v>
      </c>
      <c r="Q100" s="162">
        <v>30760</v>
      </c>
      <c r="R100" s="162">
        <v>31037</v>
      </c>
      <c r="S100" s="163">
        <v>31.2</v>
      </c>
      <c r="T100" s="163">
        <v>31.5</v>
      </c>
      <c r="U100" s="163">
        <v>31.7</v>
      </c>
      <c r="V100" s="163">
        <v>31.9</v>
      </c>
      <c r="W100" s="163">
        <v>31.9</v>
      </c>
      <c r="X100" s="163">
        <v>31.9</v>
      </c>
      <c r="Y100" s="163"/>
      <c r="Z100" s="163"/>
      <c r="AA100" s="163"/>
    </row>
    <row r="101" spans="1:27" x14ac:dyDescent="0.25">
      <c r="A101" t="s">
        <v>526</v>
      </c>
      <c r="B101" s="95" t="s">
        <v>405</v>
      </c>
      <c r="C101" s="73">
        <f t="shared" si="3"/>
        <v>-3.499979290063372E-3</v>
      </c>
      <c r="D101" t="s">
        <v>118</v>
      </c>
      <c r="E101" s="73">
        <f t="shared" si="2"/>
        <v>2.4057738572574178E-2</v>
      </c>
      <c r="F101" s="162">
        <v>17245</v>
      </c>
      <c r="G101" s="162"/>
      <c r="H101" s="162">
        <v>1350</v>
      </c>
      <c r="I101" s="68">
        <v>1290</v>
      </c>
      <c r="J101" s="68">
        <v>1285</v>
      </c>
      <c r="K101" s="68">
        <v>1245</v>
      </c>
      <c r="L101" s="68">
        <v>1215</v>
      </c>
      <c r="M101" s="68">
        <v>1200</v>
      </c>
      <c r="N101" s="84" t="s">
        <v>405</v>
      </c>
      <c r="O101" s="162">
        <v>17072</v>
      </c>
      <c r="P101" s="162">
        <v>16945</v>
      </c>
      <c r="Q101" s="162">
        <v>17035</v>
      </c>
      <c r="R101" s="162">
        <v>17245</v>
      </c>
      <c r="S101" s="163">
        <v>16.8</v>
      </c>
      <c r="T101" s="163">
        <v>16.600000000000001</v>
      </c>
      <c r="U101" s="163">
        <v>16.399999999999999</v>
      </c>
      <c r="V101" s="163">
        <v>16.399999999999999</v>
      </c>
      <c r="W101" s="163">
        <v>16.399999999999999</v>
      </c>
      <c r="X101" s="163">
        <v>16.399999999999999</v>
      </c>
      <c r="Y101" s="163"/>
      <c r="Z101" s="163"/>
      <c r="AA101" s="163"/>
    </row>
    <row r="102" spans="1:27" x14ac:dyDescent="0.25">
      <c r="A102" t="s">
        <v>517</v>
      </c>
      <c r="B102" s="95" t="s">
        <v>366</v>
      </c>
      <c r="C102" s="73">
        <f t="shared" si="3"/>
        <v>2.976190476190476E-3</v>
      </c>
      <c r="D102" t="s">
        <v>118</v>
      </c>
      <c r="E102" s="73">
        <f t="shared" si="2"/>
        <v>3.0969030969030968E-2</v>
      </c>
      <c r="F102" s="162">
        <v>26592</v>
      </c>
      <c r="G102" s="162"/>
      <c r="H102" s="162">
        <v>2225</v>
      </c>
      <c r="I102" s="68">
        <v>2115</v>
      </c>
      <c r="J102" s="68">
        <v>2045</v>
      </c>
      <c r="K102" s="68">
        <v>1995</v>
      </c>
      <c r="L102" s="68">
        <v>1940</v>
      </c>
      <c r="M102" s="68">
        <v>1915</v>
      </c>
      <c r="N102" s="84" t="s">
        <v>366</v>
      </c>
      <c r="O102" s="162">
        <v>26451</v>
      </c>
      <c r="P102" s="162">
        <v>26453</v>
      </c>
      <c r="Q102" s="162">
        <v>26723</v>
      </c>
      <c r="R102" s="162">
        <v>26592</v>
      </c>
      <c r="S102" s="163">
        <v>26.6</v>
      </c>
      <c r="T102" s="163">
        <v>27.2</v>
      </c>
      <c r="U102" s="163">
        <v>27.7</v>
      </c>
      <c r="V102" s="163">
        <v>28.2</v>
      </c>
      <c r="W102" s="163">
        <v>28.5</v>
      </c>
      <c r="X102" s="163">
        <v>28.7</v>
      </c>
      <c r="Y102" s="163"/>
      <c r="Z102" s="163"/>
      <c r="AA102" s="163"/>
    </row>
    <row r="103" spans="1:27" x14ac:dyDescent="0.25">
      <c r="A103" t="s">
        <v>521</v>
      </c>
      <c r="B103" s="95" t="s">
        <v>292</v>
      </c>
      <c r="C103" s="73">
        <f t="shared" si="3"/>
        <v>-1.600859762445845E-3</v>
      </c>
      <c r="D103" t="s">
        <v>467</v>
      </c>
      <c r="E103" s="73">
        <f t="shared" si="2"/>
        <v>2.9347028613352897E-2</v>
      </c>
      <c r="F103" s="162">
        <v>51044</v>
      </c>
      <c r="G103" s="162"/>
      <c r="H103" s="162">
        <v>4445</v>
      </c>
      <c r="I103" s="68">
        <v>4340</v>
      </c>
      <c r="J103" s="68">
        <v>4245</v>
      </c>
      <c r="K103" s="68">
        <v>4065</v>
      </c>
      <c r="L103" s="68">
        <v>3950</v>
      </c>
      <c r="M103" s="68">
        <v>3845</v>
      </c>
      <c r="N103" s="84" t="s">
        <v>292</v>
      </c>
      <c r="O103" s="162">
        <v>49610</v>
      </c>
      <c r="P103" s="162">
        <v>50044</v>
      </c>
      <c r="Q103" s="162">
        <v>50589</v>
      </c>
      <c r="R103" s="162">
        <v>51044</v>
      </c>
      <c r="S103" s="163">
        <v>49.6</v>
      </c>
      <c r="T103" s="163">
        <v>49.7</v>
      </c>
      <c r="U103" s="163">
        <v>49.9</v>
      </c>
      <c r="V103" s="163">
        <v>50.1</v>
      </c>
      <c r="W103" s="163">
        <v>50.4</v>
      </c>
      <c r="X103" s="163">
        <v>50.6</v>
      </c>
      <c r="Y103" s="163"/>
      <c r="Z103" s="163"/>
      <c r="AA103" s="163"/>
    </row>
    <row r="104" spans="1:27" x14ac:dyDescent="0.25">
      <c r="A104" t="s">
        <v>528</v>
      </c>
      <c r="B104" s="95" t="s">
        <v>331</v>
      </c>
      <c r="C104" s="73">
        <f t="shared" si="3"/>
        <v>-8.8029460526122737E-5</v>
      </c>
      <c r="D104" t="s">
        <v>441</v>
      </c>
      <c r="E104" s="73">
        <f t="shared" si="2"/>
        <v>3.1309297912713474E-2</v>
      </c>
      <c r="F104" s="162">
        <v>38948</v>
      </c>
      <c r="G104" s="162"/>
      <c r="H104" s="162">
        <v>3495</v>
      </c>
      <c r="I104" s="68">
        <v>3360</v>
      </c>
      <c r="J104" s="68">
        <v>3255</v>
      </c>
      <c r="K104" s="68">
        <v>3165</v>
      </c>
      <c r="L104" s="68">
        <v>3030</v>
      </c>
      <c r="M104" s="68">
        <v>3000</v>
      </c>
      <c r="N104" s="84" t="s">
        <v>331</v>
      </c>
      <c r="O104" s="162">
        <v>37654</v>
      </c>
      <c r="P104" s="162">
        <v>38079</v>
      </c>
      <c r="Q104" s="162">
        <v>38594</v>
      </c>
      <c r="R104" s="162">
        <v>38948</v>
      </c>
      <c r="S104" s="163">
        <v>38.9</v>
      </c>
      <c r="T104" s="163">
        <v>38.9</v>
      </c>
      <c r="U104" s="163">
        <v>38.9</v>
      </c>
      <c r="V104" s="163">
        <v>38.799999999999997</v>
      </c>
      <c r="W104" s="163">
        <v>38.6</v>
      </c>
      <c r="X104" s="163">
        <v>38.4</v>
      </c>
      <c r="Y104" s="163"/>
      <c r="Z104" s="163"/>
      <c r="AA104" s="163"/>
    </row>
    <row r="105" spans="1:27" x14ac:dyDescent="0.25">
      <c r="A105" t="s">
        <v>517</v>
      </c>
      <c r="B105" s="95" t="s">
        <v>367</v>
      </c>
      <c r="C105" s="73">
        <f t="shared" si="3"/>
        <v>-5.5389453371609636E-4</v>
      </c>
      <c r="D105" t="s">
        <v>467</v>
      </c>
      <c r="E105" s="73">
        <f t="shared" si="2"/>
        <v>2.9933481152993349E-2</v>
      </c>
      <c r="F105" s="162">
        <v>23986</v>
      </c>
      <c r="G105" s="162"/>
      <c r="H105" s="162">
        <v>1970</v>
      </c>
      <c r="I105" s="68">
        <v>1915</v>
      </c>
      <c r="J105" s="68">
        <v>1850</v>
      </c>
      <c r="K105" s="68">
        <v>1795</v>
      </c>
      <c r="L105" s="68">
        <v>1760</v>
      </c>
      <c r="M105" s="68">
        <v>1700</v>
      </c>
      <c r="N105" s="84" t="s">
        <v>367</v>
      </c>
      <c r="O105" s="162">
        <v>23780</v>
      </c>
      <c r="P105" s="162">
        <v>23889</v>
      </c>
      <c r="Q105" s="162">
        <v>23952</v>
      </c>
      <c r="R105" s="162">
        <v>23986</v>
      </c>
      <c r="S105" s="163">
        <v>23.8</v>
      </c>
      <c r="T105" s="163">
        <v>23.8</v>
      </c>
      <c r="U105" s="163">
        <v>23.8</v>
      </c>
      <c r="V105" s="163">
        <v>23.7</v>
      </c>
      <c r="W105" s="163">
        <v>23.6</v>
      </c>
      <c r="X105" s="163">
        <v>23.5</v>
      </c>
      <c r="Y105" s="163"/>
      <c r="Z105" s="163"/>
      <c r="AA105" s="163"/>
    </row>
    <row r="106" spans="1:27" x14ac:dyDescent="0.25">
      <c r="A106" t="s">
        <v>518</v>
      </c>
      <c r="B106" s="95" t="s">
        <v>490</v>
      </c>
      <c r="C106" s="73">
        <f t="shared" si="3"/>
        <v>-2.2407154752598795E-3</v>
      </c>
      <c r="D106" t="s">
        <v>467</v>
      </c>
      <c r="E106" s="73">
        <f t="shared" si="2"/>
        <v>3.0080497104928682E-2</v>
      </c>
      <c r="F106" s="162">
        <v>58846</v>
      </c>
      <c r="G106" s="162"/>
      <c r="H106" s="162">
        <v>7775</v>
      </c>
      <c r="I106" s="68">
        <v>7540</v>
      </c>
      <c r="J106" s="68">
        <v>7345</v>
      </c>
      <c r="K106" s="68">
        <v>7050</v>
      </c>
      <c r="L106" s="68">
        <v>6760</v>
      </c>
      <c r="M106" s="68">
        <v>6710</v>
      </c>
      <c r="N106" s="84" t="s">
        <v>490</v>
      </c>
      <c r="O106" s="162">
        <v>57709</v>
      </c>
      <c r="P106" s="162">
        <v>58078</v>
      </c>
      <c r="Q106" s="162">
        <v>58524</v>
      </c>
      <c r="R106" s="162">
        <v>58846</v>
      </c>
      <c r="S106" s="163">
        <v>56.7</v>
      </c>
      <c r="T106" s="163">
        <v>56.7</v>
      </c>
      <c r="U106" s="163">
        <v>57</v>
      </c>
      <c r="V106" s="163">
        <v>57.3</v>
      </c>
      <c r="W106" s="163">
        <v>57.4</v>
      </c>
      <c r="X106" s="163">
        <v>57.2</v>
      </c>
      <c r="Y106" s="163"/>
      <c r="Z106" s="163"/>
      <c r="AA106" s="163"/>
    </row>
    <row r="107" spans="1:27" x14ac:dyDescent="0.25">
      <c r="A107" t="s">
        <v>521</v>
      </c>
      <c r="B107" s="95" t="s">
        <v>293</v>
      </c>
      <c r="C107" s="73">
        <f t="shared" si="3"/>
        <v>4.5148355445522002E-3</v>
      </c>
      <c r="D107" t="s">
        <v>441</v>
      </c>
      <c r="E107" s="73">
        <f t="shared" si="2"/>
        <v>3.0116358658453114E-2</v>
      </c>
      <c r="F107" s="162">
        <v>37622</v>
      </c>
      <c r="G107" s="162"/>
      <c r="H107" s="162">
        <v>3195</v>
      </c>
      <c r="I107" s="68">
        <v>3070</v>
      </c>
      <c r="J107" s="68">
        <v>2985</v>
      </c>
      <c r="K107" s="68">
        <v>2955</v>
      </c>
      <c r="L107" s="68">
        <v>2845</v>
      </c>
      <c r="M107" s="68">
        <v>2755</v>
      </c>
      <c r="N107" s="84" t="s">
        <v>293</v>
      </c>
      <c r="O107" s="162">
        <v>36679</v>
      </c>
      <c r="P107" s="162">
        <v>36961</v>
      </c>
      <c r="Q107" s="162">
        <v>37410</v>
      </c>
      <c r="R107" s="162">
        <v>37622</v>
      </c>
      <c r="S107" s="163">
        <v>38.5</v>
      </c>
      <c r="T107" s="163">
        <v>39.299999999999997</v>
      </c>
      <c r="U107" s="163">
        <v>40</v>
      </c>
      <c r="V107" s="163">
        <v>40.6</v>
      </c>
      <c r="W107" s="163">
        <v>40.700000000000003</v>
      </c>
      <c r="X107" s="163">
        <v>40.700000000000003</v>
      </c>
      <c r="Y107" s="163"/>
      <c r="Z107" s="163"/>
      <c r="AA107" s="163"/>
    </row>
    <row r="108" spans="1:27" x14ac:dyDescent="0.25">
      <c r="A108" t="s">
        <v>521</v>
      </c>
      <c r="B108" s="95" t="s">
        <v>294</v>
      </c>
      <c r="C108" s="73">
        <f t="shared" si="3"/>
        <v>6.7117844520925424E-3</v>
      </c>
      <c r="D108" t="s">
        <v>441</v>
      </c>
      <c r="E108" s="73">
        <f t="shared" si="2"/>
        <v>3.6902601330913491E-2</v>
      </c>
      <c r="F108" s="162">
        <v>74134</v>
      </c>
      <c r="G108" s="162"/>
      <c r="H108" s="162">
        <v>5670</v>
      </c>
      <c r="I108" s="68">
        <v>5310</v>
      </c>
      <c r="J108" s="68">
        <v>5100</v>
      </c>
      <c r="K108" s="68">
        <v>4940</v>
      </c>
      <c r="L108" s="68">
        <v>4690</v>
      </c>
      <c r="M108" s="68">
        <v>4755</v>
      </c>
      <c r="N108" s="84" t="s">
        <v>294</v>
      </c>
      <c r="O108" s="162">
        <v>73161</v>
      </c>
      <c r="P108" s="162">
        <v>73456</v>
      </c>
      <c r="Q108" s="162">
        <v>73681</v>
      </c>
      <c r="R108" s="162">
        <v>74134</v>
      </c>
      <c r="S108" s="163">
        <v>76.8</v>
      </c>
      <c r="T108" s="163">
        <v>78.900000000000006</v>
      </c>
      <c r="U108" s="163">
        <v>81.099999999999994</v>
      </c>
      <c r="V108" s="163">
        <v>83.1</v>
      </c>
      <c r="W108" s="163">
        <v>84.5</v>
      </c>
      <c r="X108" s="163">
        <v>85.7</v>
      </c>
      <c r="Y108" s="163"/>
      <c r="Z108" s="163"/>
      <c r="AA108" s="163"/>
    </row>
    <row r="109" spans="1:27" x14ac:dyDescent="0.25">
      <c r="A109" t="s">
        <v>525</v>
      </c>
      <c r="B109" s="95" t="s">
        <v>121</v>
      </c>
      <c r="C109" s="73">
        <f t="shared" si="3"/>
        <v>4.3235234573110199E-3</v>
      </c>
      <c r="D109" t="s">
        <v>441</v>
      </c>
      <c r="E109" s="73">
        <f t="shared" si="2"/>
        <v>3.6593360748554744E-2</v>
      </c>
      <c r="F109" s="163">
        <v>234977</v>
      </c>
      <c r="G109" s="68"/>
      <c r="H109" s="68">
        <v>18750</v>
      </c>
      <c r="I109" s="68">
        <v>17925</v>
      </c>
      <c r="J109" s="68">
        <v>17495</v>
      </c>
      <c r="K109" s="68">
        <v>16775</v>
      </c>
      <c r="L109" s="68">
        <v>16020</v>
      </c>
      <c r="M109" s="68">
        <v>15680</v>
      </c>
      <c r="N109" s="84" t="s">
        <v>121</v>
      </c>
      <c r="O109" s="163">
        <v>231354</v>
      </c>
      <c r="P109" s="162">
        <v>233053</v>
      </c>
      <c r="Q109" s="162">
        <v>233273</v>
      </c>
      <c r="R109" s="162">
        <v>234977</v>
      </c>
      <c r="S109" s="163">
        <v>241.9</v>
      </c>
      <c r="T109" s="163">
        <v>246.89999999999998</v>
      </c>
      <c r="U109" s="163">
        <v>249.2</v>
      </c>
      <c r="V109" s="163">
        <v>249.9</v>
      </c>
      <c r="W109" s="163">
        <v>250.2</v>
      </c>
      <c r="X109" s="163">
        <v>250.5</v>
      </c>
      <c r="Y109" s="163"/>
      <c r="Z109" s="163"/>
      <c r="AA109" s="163"/>
    </row>
    <row r="110" spans="1:27" x14ac:dyDescent="0.25">
      <c r="A110" t="s">
        <v>526</v>
      </c>
      <c r="B110" s="95" t="s">
        <v>406</v>
      </c>
      <c r="C110" s="73">
        <f t="shared" si="3"/>
        <v>-1.9386676066267183E-3</v>
      </c>
      <c r="D110" t="s">
        <v>118</v>
      </c>
      <c r="E110" s="73">
        <f t="shared" si="2"/>
        <v>2.4691358024691357E-2</v>
      </c>
      <c r="F110" s="162">
        <v>14185</v>
      </c>
      <c r="G110" s="162"/>
      <c r="H110" s="162">
        <v>1300</v>
      </c>
      <c r="I110" s="68">
        <v>1280</v>
      </c>
      <c r="J110" s="68">
        <v>1260</v>
      </c>
      <c r="K110" s="68">
        <v>1220</v>
      </c>
      <c r="L110" s="68">
        <v>1165</v>
      </c>
      <c r="M110" s="68">
        <v>1150</v>
      </c>
      <c r="N110" s="84" t="s">
        <v>406</v>
      </c>
      <c r="O110" s="162">
        <v>14258</v>
      </c>
      <c r="P110" s="162">
        <v>14183</v>
      </c>
      <c r="Q110" s="162">
        <v>14206</v>
      </c>
      <c r="R110" s="162">
        <v>14185</v>
      </c>
      <c r="S110" s="163">
        <v>14.2</v>
      </c>
      <c r="T110" s="163">
        <v>14</v>
      </c>
      <c r="U110" s="163">
        <v>13.8</v>
      </c>
      <c r="V110" s="163">
        <v>13.5</v>
      </c>
      <c r="W110" s="163">
        <v>13.1</v>
      </c>
      <c r="X110" s="163">
        <v>12.7</v>
      </c>
      <c r="Y110" s="163"/>
      <c r="Z110" s="163"/>
      <c r="AA110" s="163"/>
    </row>
    <row r="111" spans="1:27" x14ac:dyDescent="0.25">
      <c r="A111" t="s">
        <v>522</v>
      </c>
      <c r="B111" s="95" t="s">
        <v>147</v>
      </c>
      <c r="C111" s="73">
        <f t="shared" si="3"/>
        <v>-3.7293443771376769E-3</v>
      </c>
      <c r="D111" t="s">
        <v>118</v>
      </c>
      <c r="E111" s="73">
        <f t="shared" si="2"/>
        <v>2.8205128205128206E-2</v>
      </c>
      <c r="F111" s="162">
        <v>24267</v>
      </c>
      <c r="G111" s="162"/>
      <c r="H111" s="162">
        <v>2130</v>
      </c>
      <c r="I111" s="68">
        <v>2050</v>
      </c>
      <c r="J111" s="68">
        <v>2015</v>
      </c>
      <c r="K111" s="68">
        <v>1940</v>
      </c>
      <c r="L111" s="68">
        <v>1890</v>
      </c>
      <c r="M111" s="68">
        <v>1855</v>
      </c>
      <c r="N111" s="84" t="s">
        <v>147</v>
      </c>
      <c r="O111" s="162">
        <v>24270</v>
      </c>
      <c r="P111" s="162">
        <v>24326</v>
      </c>
      <c r="Q111" s="162">
        <v>24229</v>
      </c>
      <c r="R111" s="162">
        <v>24267</v>
      </c>
      <c r="S111" s="163">
        <v>23.6</v>
      </c>
      <c r="T111" s="163">
        <v>23.3</v>
      </c>
      <c r="U111" s="163">
        <v>23</v>
      </c>
      <c r="V111" s="163">
        <v>22.7</v>
      </c>
      <c r="W111" s="163">
        <v>22.2</v>
      </c>
      <c r="X111" s="163">
        <v>21.7</v>
      </c>
      <c r="Y111" s="163"/>
      <c r="Z111" s="163"/>
      <c r="AA111" s="163"/>
    </row>
    <row r="112" spans="1:27" x14ac:dyDescent="0.25">
      <c r="A112" t="s">
        <v>518</v>
      </c>
      <c r="B112" s="95" t="s">
        <v>252</v>
      </c>
      <c r="C112" s="73">
        <f t="shared" si="3"/>
        <v>4.21452645666681E-3</v>
      </c>
      <c r="D112" t="s">
        <v>441</v>
      </c>
      <c r="E112" s="73">
        <f t="shared" si="2"/>
        <v>4.7366299381886592E-2</v>
      </c>
      <c r="F112" s="162">
        <v>162889</v>
      </c>
      <c r="G112" s="162"/>
      <c r="H112" s="162">
        <v>17100</v>
      </c>
      <c r="I112" s="68">
        <v>16280</v>
      </c>
      <c r="J112" s="68">
        <v>15750</v>
      </c>
      <c r="K112" s="68">
        <v>14830</v>
      </c>
      <c r="L112" s="68">
        <v>13985</v>
      </c>
      <c r="M112" s="68">
        <v>13575</v>
      </c>
      <c r="N112" s="84" t="s">
        <v>252</v>
      </c>
      <c r="O112" s="162">
        <v>161213</v>
      </c>
      <c r="P112" s="162">
        <v>162994</v>
      </c>
      <c r="Q112" s="162">
        <v>162543</v>
      </c>
      <c r="R112" s="162">
        <v>162889</v>
      </c>
      <c r="S112" s="163">
        <v>167.7</v>
      </c>
      <c r="T112" s="163">
        <v>170.5</v>
      </c>
      <c r="U112" s="163">
        <v>172.5</v>
      </c>
      <c r="V112" s="163">
        <v>174.3</v>
      </c>
      <c r="W112" s="163">
        <v>176.2</v>
      </c>
      <c r="X112" s="163">
        <v>177.9</v>
      </c>
      <c r="Y112" s="163"/>
      <c r="Z112" s="163"/>
      <c r="AA112" s="163"/>
    </row>
    <row r="113" spans="1:27" x14ac:dyDescent="0.25">
      <c r="A113" t="s">
        <v>518</v>
      </c>
      <c r="B113" s="95" t="s">
        <v>253</v>
      </c>
      <c r="C113" s="73">
        <f t="shared" si="3"/>
        <v>9.8472391328906575E-3</v>
      </c>
      <c r="D113" t="s">
        <v>467</v>
      </c>
      <c r="E113" s="73">
        <f t="shared" si="2"/>
        <v>3.1937734836285564E-2</v>
      </c>
      <c r="F113" s="163">
        <v>159334</v>
      </c>
      <c r="G113" s="68"/>
      <c r="H113" s="68">
        <v>16505</v>
      </c>
      <c r="I113" s="68">
        <v>15650</v>
      </c>
      <c r="J113" s="68">
        <v>15415</v>
      </c>
      <c r="K113" s="68">
        <v>14935</v>
      </c>
      <c r="L113" s="68">
        <v>14395</v>
      </c>
      <c r="M113" s="68">
        <v>14125</v>
      </c>
      <c r="N113" s="84" t="s">
        <v>253</v>
      </c>
      <c r="O113" s="163">
        <v>154223</v>
      </c>
      <c r="P113" s="162">
        <v>155884</v>
      </c>
      <c r="Q113" s="162">
        <v>157789</v>
      </c>
      <c r="R113" s="162">
        <v>159334</v>
      </c>
      <c r="S113" s="163">
        <v>168.3</v>
      </c>
      <c r="T113" s="163">
        <v>176.79999999999998</v>
      </c>
      <c r="U113" s="163">
        <v>181.3</v>
      </c>
      <c r="V113" s="163">
        <v>184.8</v>
      </c>
      <c r="W113" s="163">
        <v>188.4</v>
      </c>
      <c r="X113" s="163">
        <v>191.1</v>
      </c>
      <c r="Y113" s="163"/>
      <c r="Z113" s="163"/>
      <c r="AA113" s="163"/>
    </row>
    <row r="114" spans="1:27" x14ac:dyDescent="0.25">
      <c r="A114" t="s">
        <v>517</v>
      </c>
      <c r="B114" s="95" t="s">
        <v>370</v>
      </c>
      <c r="C114" s="73">
        <f t="shared" si="3"/>
        <v>-1.776137075990806E-3</v>
      </c>
      <c r="D114" t="s">
        <v>118</v>
      </c>
      <c r="E114" s="73">
        <f t="shared" si="2"/>
        <v>2.3809523809523808E-2</v>
      </c>
      <c r="F114" s="162">
        <v>30765</v>
      </c>
      <c r="G114" s="162"/>
      <c r="H114" s="162">
        <v>2780</v>
      </c>
      <c r="I114" s="68">
        <v>2635</v>
      </c>
      <c r="J114" s="68">
        <v>2615</v>
      </c>
      <c r="K114" s="68">
        <v>2585</v>
      </c>
      <c r="L114" s="68">
        <v>2500</v>
      </c>
      <c r="M114" s="68">
        <v>2475</v>
      </c>
      <c r="N114" s="84" t="s">
        <v>370</v>
      </c>
      <c r="O114" s="162">
        <v>30191</v>
      </c>
      <c r="P114" s="162">
        <v>30262</v>
      </c>
      <c r="Q114" s="162">
        <v>30430</v>
      </c>
      <c r="R114" s="162">
        <v>30765</v>
      </c>
      <c r="S114" s="163">
        <v>30.3</v>
      </c>
      <c r="T114" s="163">
        <v>30.1</v>
      </c>
      <c r="U114" s="163">
        <v>30</v>
      </c>
      <c r="V114" s="163">
        <v>29.8</v>
      </c>
      <c r="W114" s="163">
        <v>29.6</v>
      </c>
      <c r="X114" s="163">
        <v>29.5</v>
      </c>
      <c r="Y114" s="163"/>
      <c r="Z114" s="163"/>
      <c r="AA114" s="163"/>
    </row>
    <row r="115" spans="1:27" x14ac:dyDescent="0.25">
      <c r="A115" t="s">
        <v>522</v>
      </c>
      <c r="B115" s="95" t="s">
        <v>148</v>
      </c>
      <c r="C115" s="73">
        <f t="shared" si="3"/>
        <v>-1.9592431195311687E-3</v>
      </c>
      <c r="D115" t="s">
        <v>118</v>
      </c>
      <c r="E115" s="73">
        <f t="shared" si="2"/>
        <v>2.3910614525139665E-2</v>
      </c>
      <c r="F115" s="162">
        <v>61795</v>
      </c>
      <c r="G115" s="162"/>
      <c r="H115" s="162">
        <v>4830</v>
      </c>
      <c r="I115" s="68">
        <v>4720</v>
      </c>
      <c r="J115" s="68">
        <v>4590</v>
      </c>
      <c r="K115" s="68">
        <v>4455</v>
      </c>
      <c r="L115" s="68">
        <v>4315</v>
      </c>
      <c r="M115" s="68">
        <v>4295</v>
      </c>
      <c r="N115" s="84" t="s">
        <v>148</v>
      </c>
      <c r="O115" s="162">
        <v>60575</v>
      </c>
      <c r="P115" s="162">
        <v>60922</v>
      </c>
      <c r="Q115" s="162">
        <v>61357</v>
      </c>
      <c r="R115" s="162">
        <v>61795</v>
      </c>
      <c r="S115" s="163">
        <v>59.8</v>
      </c>
      <c r="T115" s="163">
        <v>59.9</v>
      </c>
      <c r="U115" s="163">
        <v>60.1</v>
      </c>
      <c r="V115" s="163">
        <v>60.1</v>
      </c>
      <c r="W115" s="163">
        <v>59.4</v>
      </c>
      <c r="X115" s="163">
        <v>58.3</v>
      </c>
      <c r="Y115" s="163"/>
      <c r="Z115" s="163"/>
      <c r="AA115" s="163"/>
    </row>
    <row r="116" spans="1:27" x14ac:dyDescent="0.25">
      <c r="A116" t="s">
        <v>519</v>
      </c>
      <c r="B116" s="95" t="s">
        <v>183</v>
      </c>
      <c r="C116" s="73">
        <f t="shared" si="3"/>
        <v>2.061325154307E-4</v>
      </c>
      <c r="D116" t="s">
        <v>441</v>
      </c>
      <c r="E116" s="73">
        <f t="shared" si="2"/>
        <v>3.4284067991933162E-2</v>
      </c>
      <c r="F116" s="162">
        <v>48859</v>
      </c>
      <c r="G116" s="162"/>
      <c r="H116" s="162">
        <v>3840</v>
      </c>
      <c r="I116" s="68">
        <v>3690</v>
      </c>
      <c r="J116" s="68">
        <v>3580</v>
      </c>
      <c r="K116" s="68">
        <v>3510</v>
      </c>
      <c r="L116" s="68">
        <v>3330</v>
      </c>
      <c r="M116" s="68">
        <v>3245</v>
      </c>
      <c r="N116" s="84" t="s">
        <v>183</v>
      </c>
      <c r="O116" s="162">
        <v>47572</v>
      </c>
      <c r="P116" s="162">
        <v>48349</v>
      </c>
      <c r="Q116" s="162">
        <v>48726</v>
      </c>
      <c r="R116" s="162">
        <v>48859</v>
      </c>
      <c r="S116" s="163">
        <v>48.1</v>
      </c>
      <c r="T116" s="163">
        <v>48.6</v>
      </c>
      <c r="U116" s="163">
        <v>49</v>
      </c>
      <c r="V116" s="163">
        <v>49</v>
      </c>
      <c r="W116" s="163">
        <v>49</v>
      </c>
      <c r="X116" s="163">
        <v>48.8</v>
      </c>
      <c r="Y116" s="163"/>
      <c r="Z116" s="163"/>
      <c r="AA116" s="163"/>
    </row>
    <row r="117" spans="1:27" x14ac:dyDescent="0.25">
      <c r="A117" s="86" t="s">
        <v>521</v>
      </c>
      <c r="B117" s="95" t="s">
        <v>295</v>
      </c>
      <c r="C117" s="73">
        <f t="shared" si="3"/>
        <v>1.1151670435339605E-3</v>
      </c>
      <c r="D117" t="s">
        <v>467</v>
      </c>
      <c r="E117" s="73">
        <f t="shared" si="2"/>
        <v>3.1880286271958359E-2</v>
      </c>
      <c r="F117" s="162">
        <v>18511</v>
      </c>
      <c r="G117" s="162"/>
      <c r="H117" s="162">
        <v>1690</v>
      </c>
      <c r="I117" s="68">
        <v>1640</v>
      </c>
      <c r="J117" s="68">
        <v>1605</v>
      </c>
      <c r="K117" s="85">
        <v>1525</v>
      </c>
      <c r="L117" s="68">
        <v>1470</v>
      </c>
      <c r="M117" s="85">
        <v>1445</v>
      </c>
      <c r="N117" s="87" t="s">
        <v>295</v>
      </c>
      <c r="O117" s="162">
        <v>18053</v>
      </c>
      <c r="P117" s="162">
        <v>18275</v>
      </c>
      <c r="Q117" s="162">
        <v>18413</v>
      </c>
      <c r="R117" s="162">
        <v>18511</v>
      </c>
      <c r="S117" s="163">
        <v>18.3</v>
      </c>
      <c r="T117" s="163">
        <v>18.7</v>
      </c>
      <c r="U117" s="163">
        <v>18.8</v>
      </c>
      <c r="V117" s="163">
        <v>18.8</v>
      </c>
      <c r="W117" s="163">
        <v>18.8</v>
      </c>
      <c r="X117" s="163">
        <v>18.7</v>
      </c>
      <c r="Y117" s="163"/>
      <c r="Z117" s="163"/>
      <c r="AA117" s="163"/>
    </row>
    <row r="118" spans="1:27" x14ac:dyDescent="0.25">
      <c r="A118" s="86" t="s">
        <v>520</v>
      </c>
      <c r="B118" s="95" t="s">
        <v>130</v>
      </c>
      <c r="C118" s="73">
        <f t="shared" si="3"/>
        <v>-5.4157460796464942E-3</v>
      </c>
      <c r="D118" t="s">
        <v>441</v>
      </c>
      <c r="E118" s="73">
        <f t="shared" si="2"/>
        <v>2.2288261515601784E-2</v>
      </c>
      <c r="F118" s="162">
        <v>15906</v>
      </c>
      <c r="G118" s="162"/>
      <c r="H118" s="162">
        <v>1440</v>
      </c>
      <c r="I118" s="68">
        <v>1405</v>
      </c>
      <c r="J118" s="68">
        <v>1415</v>
      </c>
      <c r="K118" s="85">
        <v>1335</v>
      </c>
      <c r="L118" s="68">
        <v>1285</v>
      </c>
      <c r="M118" s="85">
        <v>1290</v>
      </c>
      <c r="N118" s="87" t="s">
        <v>130</v>
      </c>
      <c r="O118" s="162">
        <v>15758</v>
      </c>
      <c r="P118" s="162">
        <v>15708</v>
      </c>
      <c r="Q118" s="162">
        <v>15807</v>
      </c>
      <c r="R118" s="162">
        <v>15906</v>
      </c>
      <c r="S118" s="163">
        <v>15.4</v>
      </c>
      <c r="T118" s="163">
        <v>15.1</v>
      </c>
      <c r="U118" s="163">
        <v>14.7</v>
      </c>
      <c r="V118" s="163">
        <v>14.3</v>
      </c>
      <c r="W118" s="163">
        <v>14</v>
      </c>
      <c r="X118" s="163">
        <v>13.6</v>
      </c>
      <c r="Y118" s="163"/>
      <c r="Z118" s="163"/>
      <c r="AA118" s="163"/>
    </row>
    <row r="119" spans="1:27" x14ac:dyDescent="0.25">
      <c r="A119" t="s">
        <v>522</v>
      </c>
      <c r="B119" s="95" t="s">
        <v>184</v>
      </c>
      <c r="C119" s="73">
        <f t="shared" si="3"/>
        <v>3.4538805363673302E-3</v>
      </c>
      <c r="D119" t="s">
        <v>467</v>
      </c>
      <c r="E119" s="73">
        <f t="shared" si="2"/>
        <v>2.6225769669327253E-2</v>
      </c>
      <c r="F119" s="162">
        <v>12305</v>
      </c>
      <c r="G119" s="162"/>
      <c r="H119" s="162">
        <v>950</v>
      </c>
      <c r="I119" s="68">
        <v>925</v>
      </c>
      <c r="J119" s="68">
        <v>905</v>
      </c>
      <c r="K119" s="68">
        <v>865</v>
      </c>
      <c r="L119" s="68">
        <v>855</v>
      </c>
      <c r="M119" s="68">
        <v>835</v>
      </c>
      <c r="N119" s="84" t="s">
        <v>184</v>
      </c>
      <c r="O119" s="162">
        <v>12170</v>
      </c>
      <c r="P119" s="162">
        <v>12211</v>
      </c>
      <c r="Q119" s="162">
        <v>12228</v>
      </c>
      <c r="R119" s="162">
        <v>12305</v>
      </c>
      <c r="S119" s="163">
        <v>12.6</v>
      </c>
      <c r="T119" s="163">
        <v>12.7</v>
      </c>
      <c r="U119" s="163">
        <v>12.9</v>
      </c>
      <c r="V119" s="163">
        <v>13</v>
      </c>
      <c r="W119" s="163">
        <v>13</v>
      </c>
      <c r="X119" s="163">
        <v>13</v>
      </c>
      <c r="Y119" s="163"/>
      <c r="Z119" s="163"/>
      <c r="AA119" s="163"/>
    </row>
    <row r="120" spans="1:27" x14ac:dyDescent="0.25">
      <c r="A120" t="s">
        <v>518</v>
      </c>
      <c r="B120" s="95" t="s">
        <v>254</v>
      </c>
      <c r="C120" s="73">
        <f t="shared" si="3"/>
        <v>2.1511335379948519E-4</v>
      </c>
      <c r="D120" t="s">
        <v>118</v>
      </c>
      <c r="E120" s="73">
        <f t="shared" si="2"/>
        <v>2.9485049833887042E-2</v>
      </c>
      <c r="F120" s="162">
        <v>39182</v>
      </c>
      <c r="G120" s="162"/>
      <c r="H120" s="162">
        <v>2620</v>
      </c>
      <c r="I120" s="68">
        <v>2515</v>
      </c>
      <c r="J120" s="68">
        <v>2495</v>
      </c>
      <c r="K120" s="68">
        <v>2430</v>
      </c>
      <c r="L120" s="68">
        <v>2335</v>
      </c>
      <c r="M120" s="68">
        <v>2265</v>
      </c>
      <c r="N120" s="84" t="s">
        <v>254</v>
      </c>
      <c r="O120" s="162">
        <v>39159</v>
      </c>
      <c r="P120" s="162">
        <v>39178</v>
      </c>
      <c r="Q120" s="162">
        <v>39191</v>
      </c>
      <c r="R120" s="162">
        <v>39182</v>
      </c>
      <c r="S120" s="163">
        <v>39.200000000000003</v>
      </c>
      <c r="T120" s="163">
        <v>39.299999999999997</v>
      </c>
      <c r="U120" s="163">
        <v>39.299999999999997</v>
      </c>
      <c r="V120" s="163">
        <v>39.1</v>
      </c>
      <c r="W120" s="163">
        <v>38.9</v>
      </c>
      <c r="X120" s="163">
        <v>38.700000000000003</v>
      </c>
      <c r="Y120" s="163"/>
      <c r="Z120" s="163"/>
      <c r="AA120" s="163"/>
    </row>
    <row r="121" spans="1:27" x14ac:dyDescent="0.25">
      <c r="A121" t="s">
        <v>518</v>
      </c>
      <c r="B121" s="95" t="s">
        <v>255</v>
      </c>
      <c r="C121" s="73">
        <f t="shared" si="3"/>
        <v>-2.2289031722993987E-3</v>
      </c>
      <c r="D121" t="s">
        <v>467</v>
      </c>
      <c r="E121" s="73">
        <f t="shared" si="2"/>
        <v>3.4238928172683293E-2</v>
      </c>
      <c r="F121" s="162">
        <v>27560</v>
      </c>
      <c r="G121" s="162"/>
      <c r="H121" s="162">
        <v>2995</v>
      </c>
      <c r="I121" s="68">
        <v>2855</v>
      </c>
      <c r="J121" s="68">
        <v>2765</v>
      </c>
      <c r="K121" s="68">
        <v>2690</v>
      </c>
      <c r="L121" s="68">
        <v>2590</v>
      </c>
      <c r="M121" s="68">
        <v>2535</v>
      </c>
      <c r="N121" s="84" t="s">
        <v>255</v>
      </c>
      <c r="O121" s="162">
        <v>27278</v>
      </c>
      <c r="P121" s="162">
        <v>27245</v>
      </c>
      <c r="Q121" s="162">
        <v>27545</v>
      </c>
      <c r="R121" s="162">
        <v>27560</v>
      </c>
      <c r="S121" s="163">
        <v>26.6</v>
      </c>
      <c r="T121" s="163">
        <v>26.6</v>
      </c>
      <c r="U121" s="163">
        <v>26.7</v>
      </c>
      <c r="V121" s="163">
        <v>26.9</v>
      </c>
      <c r="W121" s="163">
        <v>27</v>
      </c>
      <c r="X121" s="163">
        <v>27.2</v>
      </c>
      <c r="Y121" s="163"/>
      <c r="Z121" s="163"/>
      <c r="AA121" s="163"/>
    </row>
    <row r="122" spans="1:27" x14ac:dyDescent="0.25">
      <c r="A122" t="s">
        <v>519</v>
      </c>
      <c r="B122" s="95" t="s">
        <v>185</v>
      </c>
      <c r="C122" s="73">
        <f t="shared" si="3"/>
        <v>-4.8135909614385828E-3</v>
      </c>
      <c r="D122" t="s">
        <v>467</v>
      </c>
      <c r="E122" s="73">
        <f t="shared" si="2"/>
        <v>3.5742035742035744E-2</v>
      </c>
      <c r="F122" s="162">
        <v>18979</v>
      </c>
      <c r="G122" s="162"/>
      <c r="H122" s="162">
        <v>1430</v>
      </c>
      <c r="I122" s="68">
        <v>1380</v>
      </c>
      <c r="J122" s="68">
        <v>1340</v>
      </c>
      <c r="K122" s="68">
        <v>1285</v>
      </c>
      <c r="L122" s="68">
        <v>1230</v>
      </c>
      <c r="M122" s="68">
        <v>1200</v>
      </c>
      <c r="N122" s="84" t="s">
        <v>185</v>
      </c>
      <c r="O122" s="162">
        <v>18549</v>
      </c>
      <c r="P122" s="162">
        <v>18573</v>
      </c>
      <c r="Q122" s="162">
        <v>18776</v>
      </c>
      <c r="R122" s="162">
        <v>18979</v>
      </c>
      <c r="S122" s="163">
        <v>18.100000000000001</v>
      </c>
      <c r="T122" s="163">
        <v>17.899999999999999</v>
      </c>
      <c r="U122" s="163">
        <v>17.7</v>
      </c>
      <c r="V122" s="163">
        <v>17.8</v>
      </c>
      <c r="W122" s="163">
        <v>17.8</v>
      </c>
      <c r="X122" s="163">
        <v>17.7</v>
      </c>
      <c r="Y122" s="163"/>
      <c r="Z122" s="163"/>
      <c r="AA122" s="163"/>
    </row>
    <row r="123" spans="1:27" x14ac:dyDescent="0.25">
      <c r="A123" t="s">
        <v>520</v>
      </c>
      <c r="B123" s="95" t="s">
        <v>131</v>
      </c>
      <c r="C123" s="73">
        <f t="shared" si="3"/>
        <v>-1.7185443510189712E-4</v>
      </c>
      <c r="D123" t="s">
        <v>441</v>
      </c>
      <c r="E123" s="73">
        <f t="shared" si="2"/>
        <v>3.5945363048166784E-2</v>
      </c>
      <c r="F123" s="162">
        <v>51123</v>
      </c>
      <c r="G123" s="162"/>
      <c r="H123" s="162">
        <v>4585</v>
      </c>
      <c r="I123" s="68">
        <v>4450</v>
      </c>
      <c r="J123" s="68">
        <v>4400</v>
      </c>
      <c r="K123" s="68">
        <v>4220</v>
      </c>
      <c r="L123" s="68">
        <v>3960</v>
      </c>
      <c r="M123" s="68">
        <v>3835</v>
      </c>
      <c r="N123" s="84" t="s">
        <v>131</v>
      </c>
      <c r="O123" s="162">
        <v>50252</v>
      </c>
      <c r="P123" s="162">
        <v>50432</v>
      </c>
      <c r="Q123" s="162">
        <v>50650</v>
      </c>
      <c r="R123" s="162">
        <v>51123</v>
      </c>
      <c r="S123" s="163">
        <v>50.8</v>
      </c>
      <c r="T123" s="163">
        <v>50.8</v>
      </c>
      <c r="U123" s="163">
        <v>51</v>
      </c>
      <c r="V123" s="163">
        <v>51.2</v>
      </c>
      <c r="W123" s="163">
        <v>50.9</v>
      </c>
      <c r="X123" s="163">
        <v>50.6</v>
      </c>
      <c r="Y123" s="163"/>
      <c r="Z123" s="163"/>
      <c r="AA123" s="163"/>
    </row>
    <row r="124" spans="1:27" x14ac:dyDescent="0.25">
      <c r="A124" t="s">
        <v>526</v>
      </c>
      <c r="B124" s="95" t="s">
        <v>407</v>
      </c>
      <c r="C124" s="73">
        <f t="shared" si="3"/>
        <v>3.4539132837504894E-5</v>
      </c>
      <c r="D124" t="s">
        <v>441</v>
      </c>
      <c r="E124" s="73">
        <f t="shared" si="2"/>
        <v>1.8009103502869581E-2</v>
      </c>
      <c r="F124" s="162">
        <v>86858</v>
      </c>
      <c r="G124" s="162"/>
      <c r="H124" s="162">
        <v>5415</v>
      </c>
      <c r="I124" s="68">
        <v>5265</v>
      </c>
      <c r="J124" s="68">
        <v>5120</v>
      </c>
      <c r="K124" s="68">
        <v>5010</v>
      </c>
      <c r="L124" s="68">
        <v>4910</v>
      </c>
      <c r="M124" s="68">
        <v>4960</v>
      </c>
      <c r="N124" s="84" t="s">
        <v>407</v>
      </c>
      <c r="O124" s="162">
        <v>86826</v>
      </c>
      <c r="P124" s="162">
        <v>87101</v>
      </c>
      <c r="Q124" s="162">
        <v>86936</v>
      </c>
      <c r="R124" s="162">
        <v>86858</v>
      </c>
      <c r="S124" s="163">
        <v>87</v>
      </c>
      <c r="T124" s="163">
        <v>87.1</v>
      </c>
      <c r="U124" s="163">
        <v>86.9</v>
      </c>
      <c r="V124" s="163">
        <v>86.5</v>
      </c>
      <c r="W124" s="163">
        <v>85.4</v>
      </c>
      <c r="X124" s="163">
        <v>84.2</v>
      </c>
      <c r="Y124" s="163"/>
      <c r="Z124" s="163"/>
      <c r="AA124" s="163"/>
    </row>
    <row r="125" spans="1:27" x14ac:dyDescent="0.25">
      <c r="A125" t="s">
        <v>517</v>
      </c>
      <c r="B125" s="95" t="s">
        <v>371</v>
      </c>
      <c r="C125" s="73">
        <f t="shared" si="3"/>
        <v>-1.6385483675203222E-3</v>
      </c>
      <c r="D125" t="s">
        <v>467</v>
      </c>
      <c r="E125" s="73">
        <f t="shared" si="2"/>
        <v>2.7638190954773871E-2</v>
      </c>
      <c r="F125" s="162">
        <v>16478</v>
      </c>
      <c r="G125" s="162"/>
      <c r="H125" s="162">
        <v>1730</v>
      </c>
      <c r="I125" s="68">
        <v>1680</v>
      </c>
      <c r="J125" s="68">
        <v>1620</v>
      </c>
      <c r="K125" s="68">
        <v>1590</v>
      </c>
      <c r="L125" s="68">
        <v>1560</v>
      </c>
      <c r="M125" s="68">
        <v>1510</v>
      </c>
      <c r="N125" s="84" t="s">
        <v>371</v>
      </c>
      <c r="O125" s="162">
        <v>15965</v>
      </c>
      <c r="P125" s="162">
        <v>16125</v>
      </c>
      <c r="Q125" s="162">
        <v>16243</v>
      </c>
      <c r="R125" s="162">
        <v>16478</v>
      </c>
      <c r="S125" s="163">
        <v>15.9</v>
      </c>
      <c r="T125" s="163">
        <v>15.9</v>
      </c>
      <c r="U125" s="163">
        <v>16.100000000000001</v>
      </c>
      <c r="V125" s="163">
        <v>16.3</v>
      </c>
      <c r="W125" s="163">
        <v>16.399999999999999</v>
      </c>
      <c r="X125" s="163">
        <v>16.600000000000001</v>
      </c>
      <c r="Y125" s="163"/>
      <c r="Z125" s="163"/>
      <c r="AA125" s="163"/>
    </row>
    <row r="126" spans="1:27" x14ac:dyDescent="0.25">
      <c r="A126" t="s">
        <v>518</v>
      </c>
      <c r="B126" s="95" t="s">
        <v>257</v>
      </c>
      <c r="C126" s="73">
        <f t="shared" si="3"/>
        <v>5.3534130202025521E-4</v>
      </c>
      <c r="D126" t="s">
        <v>467</v>
      </c>
      <c r="E126" s="73">
        <f t="shared" si="2"/>
        <v>3.5772357723577237E-2</v>
      </c>
      <c r="F126" s="162">
        <v>24417</v>
      </c>
      <c r="G126" s="162"/>
      <c r="H126" s="162">
        <v>2045</v>
      </c>
      <c r="I126" s="68">
        <v>1955</v>
      </c>
      <c r="J126" s="68">
        <v>1925</v>
      </c>
      <c r="K126" s="68">
        <v>1865</v>
      </c>
      <c r="L126" s="68">
        <v>1765</v>
      </c>
      <c r="M126" s="68">
        <v>1715</v>
      </c>
      <c r="N126" s="84" t="s">
        <v>257</v>
      </c>
      <c r="O126" s="162">
        <v>23459</v>
      </c>
      <c r="P126" s="162">
        <v>23955</v>
      </c>
      <c r="Q126" s="162">
        <v>24144</v>
      </c>
      <c r="R126" s="162">
        <v>24417</v>
      </c>
      <c r="S126" s="163">
        <v>23.8</v>
      </c>
      <c r="T126" s="163">
        <v>24.1</v>
      </c>
      <c r="U126" s="163">
        <v>24.6</v>
      </c>
      <c r="V126" s="163">
        <v>25</v>
      </c>
      <c r="W126" s="163">
        <v>25.4</v>
      </c>
      <c r="X126" s="163">
        <v>25.7</v>
      </c>
      <c r="Y126" s="163"/>
      <c r="Z126" s="163"/>
      <c r="AA126" s="163"/>
    </row>
    <row r="127" spans="1:27" x14ac:dyDescent="0.25">
      <c r="A127" t="s">
        <v>522</v>
      </c>
      <c r="B127" s="95" t="s">
        <v>149</v>
      </c>
      <c r="C127" s="73">
        <f t="shared" si="3"/>
        <v>1.152650699142269E-4</v>
      </c>
      <c r="D127" t="s">
        <v>118</v>
      </c>
      <c r="E127" s="73">
        <f t="shared" ref="E127:E189" si="4">SUM(H127,-M127)/(SUM(I127,J127,K127,L127,M127))</f>
        <v>2.8420625253755584E-2</v>
      </c>
      <c r="F127" s="162">
        <v>35942</v>
      </c>
      <c r="G127" s="162"/>
      <c r="H127" s="162">
        <v>2690</v>
      </c>
      <c r="I127" s="68">
        <v>2585</v>
      </c>
      <c r="J127" s="68">
        <v>2550</v>
      </c>
      <c r="K127" s="68">
        <v>2460</v>
      </c>
      <c r="L127" s="68">
        <v>2380</v>
      </c>
      <c r="M127" s="68">
        <v>2340</v>
      </c>
      <c r="N127" s="84" t="s">
        <v>149</v>
      </c>
      <c r="O127" s="162">
        <v>35812</v>
      </c>
      <c r="P127" s="162">
        <v>35933</v>
      </c>
      <c r="Q127" s="162">
        <v>35932</v>
      </c>
      <c r="R127" s="162">
        <v>35942</v>
      </c>
      <c r="S127" s="163">
        <v>36.1</v>
      </c>
      <c r="T127" s="163">
        <v>36</v>
      </c>
      <c r="U127" s="163">
        <v>36</v>
      </c>
      <c r="V127" s="163">
        <v>36</v>
      </c>
      <c r="W127" s="163">
        <v>35.799999999999997</v>
      </c>
      <c r="X127" s="163">
        <v>35.6</v>
      </c>
      <c r="Y127" s="163"/>
      <c r="Z127" s="163"/>
      <c r="AA127" s="163"/>
    </row>
    <row r="128" spans="1:27" x14ac:dyDescent="0.25">
      <c r="A128" t="s">
        <v>521</v>
      </c>
      <c r="B128" s="95" t="s">
        <v>296</v>
      </c>
      <c r="C128" s="73">
        <f t="shared" si="3"/>
        <v>5.281876122398676E-5</v>
      </c>
      <c r="D128" t="s">
        <v>118</v>
      </c>
      <c r="E128" s="73">
        <f t="shared" si="4"/>
        <v>3.0431107354184278E-2</v>
      </c>
      <c r="F128" s="162">
        <v>40570</v>
      </c>
      <c r="G128" s="162"/>
      <c r="H128" s="162">
        <v>2595</v>
      </c>
      <c r="I128" s="68">
        <v>2460</v>
      </c>
      <c r="J128" s="68">
        <v>2445</v>
      </c>
      <c r="K128" s="68">
        <v>2395</v>
      </c>
      <c r="L128" s="68">
        <v>2295</v>
      </c>
      <c r="M128" s="68">
        <v>2235</v>
      </c>
      <c r="N128" s="84" t="s">
        <v>296</v>
      </c>
      <c r="O128" s="162">
        <v>40041</v>
      </c>
      <c r="P128" s="162">
        <v>40094</v>
      </c>
      <c r="Q128" s="162">
        <v>40312</v>
      </c>
      <c r="R128" s="162">
        <v>40570</v>
      </c>
      <c r="S128" s="163">
        <v>40.299999999999997</v>
      </c>
      <c r="T128" s="163">
        <v>40.5</v>
      </c>
      <c r="U128" s="163">
        <v>40.6</v>
      </c>
      <c r="V128" s="163">
        <v>40.700000000000003</v>
      </c>
      <c r="W128" s="163">
        <v>40.799999999999997</v>
      </c>
      <c r="X128" s="163">
        <v>40.700000000000003</v>
      </c>
      <c r="Y128" s="163"/>
      <c r="Z128" s="163"/>
      <c r="AA128" s="163"/>
    </row>
    <row r="129" spans="1:27" x14ac:dyDescent="0.25">
      <c r="A129" t="s">
        <v>517</v>
      </c>
      <c r="B129" s="95" t="s">
        <v>372</v>
      </c>
      <c r="C129" s="73">
        <f t="shared" si="3"/>
        <v>6.2128414006021792E-3</v>
      </c>
      <c r="D129" t="s">
        <v>441</v>
      </c>
      <c r="E129" s="73">
        <f t="shared" si="4"/>
        <v>1.9744116253356498E-2</v>
      </c>
      <c r="F129" s="162">
        <v>93470</v>
      </c>
      <c r="G129" s="162"/>
      <c r="H129" s="162">
        <v>6800</v>
      </c>
      <c r="I129" s="68">
        <v>6580</v>
      </c>
      <c r="J129" s="68">
        <v>6505</v>
      </c>
      <c r="K129" s="68">
        <v>6295</v>
      </c>
      <c r="L129" s="68">
        <v>6100</v>
      </c>
      <c r="M129" s="68">
        <v>6175</v>
      </c>
      <c r="N129" s="84" t="s">
        <v>372</v>
      </c>
      <c r="O129" s="162">
        <v>91535</v>
      </c>
      <c r="P129" s="162">
        <v>92418</v>
      </c>
      <c r="Q129" s="162">
        <v>92627</v>
      </c>
      <c r="R129" s="162">
        <v>93470</v>
      </c>
      <c r="S129" s="163">
        <v>95.1</v>
      </c>
      <c r="T129" s="163">
        <v>98.8</v>
      </c>
      <c r="U129" s="163">
        <v>101.6</v>
      </c>
      <c r="V129" s="163">
        <v>103</v>
      </c>
      <c r="W129" s="163">
        <v>103.4</v>
      </c>
      <c r="X129" s="163">
        <v>103.6</v>
      </c>
      <c r="Y129" s="163"/>
      <c r="Z129" s="163"/>
      <c r="AA129" s="163"/>
    </row>
    <row r="130" spans="1:27" x14ac:dyDescent="0.25">
      <c r="A130" t="s">
        <v>521</v>
      </c>
      <c r="B130" s="95" t="s">
        <v>297</v>
      </c>
      <c r="C130" s="73">
        <f t="shared" si="3"/>
        <v>9.8811554183924851E-4</v>
      </c>
      <c r="D130" t="s">
        <v>467</v>
      </c>
      <c r="E130" s="73">
        <f t="shared" si="4"/>
        <v>4.1102514506769827E-2</v>
      </c>
      <c r="F130" s="162">
        <v>31662</v>
      </c>
      <c r="G130" s="162"/>
      <c r="H130" s="162">
        <v>2350</v>
      </c>
      <c r="I130" s="68">
        <v>2195</v>
      </c>
      <c r="J130" s="68">
        <v>2180</v>
      </c>
      <c r="K130" s="68">
        <v>2080</v>
      </c>
      <c r="L130" s="68">
        <v>1960</v>
      </c>
      <c r="M130" s="68">
        <v>1925</v>
      </c>
      <c r="N130" s="84" t="s">
        <v>297</v>
      </c>
      <c r="O130" s="162">
        <v>30962</v>
      </c>
      <c r="P130" s="162">
        <v>31236</v>
      </c>
      <c r="Q130" s="162">
        <v>31258</v>
      </c>
      <c r="R130" s="162">
        <v>31662</v>
      </c>
      <c r="S130" s="163">
        <v>31.5</v>
      </c>
      <c r="T130" s="163">
        <v>32</v>
      </c>
      <c r="U130" s="163">
        <v>32.1</v>
      </c>
      <c r="V130" s="163">
        <v>32.200000000000003</v>
      </c>
      <c r="W130" s="163">
        <v>32.1</v>
      </c>
      <c r="X130" s="163">
        <v>32.1</v>
      </c>
      <c r="Y130" s="163"/>
      <c r="Z130" s="163"/>
      <c r="AA130" s="163"/>
    </row>
    <row r="131" spans="1:27" x14ac:dyDescent="0.25">
      <c r="A131" t="s">
        <v>522</v>
      </c>
      <c r="B131" s="95" t="s">
        <v>444</v>
      </c>
      <c r="C131" s="73">
        <f t="shared" ref="C131:C194" si="5">(SUM(U131*1000,-R131)/14)/R131</f>
        <v>5.8859339336810512E-4</v>
      </c>
      <c r="D131" t="s">
        <v>441</v>
      </c>
      <c r="E131" s="73">
        <f t="shared" si="4"/>
        <v>2.7432271255750554E-2</v>
      </c>
      <c r="F131" s="162">
        <v>81429</v>
      </c>
      <c r="G131" s="162"/>
      <c r="H131" s="162">
        <v>6400</v>
      </c>
      <c r="I131" s="68">
        <v>6140</v>
      </c>
      <c r="J131" s="68">
        <v>6020</v>
      </c>
      <c r="K131" s="68">
        <v>5880</v>
      </c>
      <c r="L131" s="68">
        <v>5710</v>
      </c>
      <c r="M131" s="68">
        <v>5595</v>
      </c>
      <c r="N131" s="84" t="s">
        <v>444</v>
      </c>
      <c r="O131" s="162">
        <v>80660</v>
      </c>
      <c r="P131" s="162">
        <v>81208</v>
      </c>
      <c r="Q131" s="162">
        <v>81049</v>
      </c>
      <c r="R131" s="162">
        <v>81429</v>
      </c>
      <c r="S131" s="163">
        <v>81.599999999999994</v>
      </c>
      <c r="T131" s="163">
        <v>81.8</v>
      </c>
      <c r="U131" s="163">
        <v>82.1</v>
      </c>
      <c r="V131" s="163">
        <v>82.2</v>
      </c>
      <c r="W131" s="163">
        <v>81.8</v>
      </c>
      <c r="X131" s="163">
        <v>81.099999999999994</v>
      </c>
      <c r="Y131" s="163"/>
      <c r="Z131" s="163"/>
      <c r="AA131" s="163"/>
    </row>
    <row r="132" spans="1:27" x14ac:dyDescent="0.25">
      <c r="A132" t="s">
        <v>525</v>
      </c>
      <c r="B132" s="95" t="s">
        <v>600</v>
      </c>
      <c r="C132" s="73">
        <f t="shared" si="5"/>
        <v>-2.8373838339051747E-3</v>
      </c>
      <c r="D132" t="s">
        <v>118</v>
      </c>
      <c r="E132" s="73">
        <f t="shared" si="4"/>
        <v>2.0969855832241154E-2</v>
      </c>
      <c r="F132" s="162">
        <v>48007</v>
      </c>
      <c r="G132" s="162"/>
      <c r="H132" s="162">
        <v>4070</v>
      </c>
      <c r="I132" s="68">
        <v>3950</v>
      </c>
      <c r="J132" s="68">
        <v>3955</v>
      </c>
      <c r="K132" s="68">
        <v>3815</v>
      </c>
      <c r="L132" s="68">
        <v>3685</v>
      </c>
      <c r="M132" s="68">
        <v>3670</v>
      </c>
      <c r="N132" s="84" t="s">
        <v>600</v>
      </c>
      <c r="O132" s="162">
        <v>49434</v>
      </c>
      <c r="P132" s="162">
        <v>47821</v>
      </c>
      <c r="Q132" s="162">
        <v>47834</v>
      </c>
      <c r="R132" s="162">
        <v>48007</v>
      </c>
      <c r="S132" s="163">
        <v>48.5</v>
      </c>
      <c r="T132" s="163">
        <v>47.3</v>
      </c>
      <c r="U132" s="163">
        <v>46.1</v>
      </c>
      <c r="V132" s="163">
        <v>44.7</v>
      </c>
      <c r="W132" s="163">
        <v>43.4</v>
      </c>
      <c r="X132" s="163">
        <v>42.1</v>
      </c>
      <c r="Y132" s="163"/>
      <c r="Z132" s="163"/>
      <c r="AA132" s="163"/>
    </row>
    <row r="133" spans="1:27" x14ac:dyDescent="0.25">
      <c r="A133" t="s">
        <v>519</v>
      </c>
      <c r="B133" s="95" t="s">
        <v>186</v>
      </c>
      <c r="C133" s="73">
        <f t="shared" si="5"/>
        <v>-6.6332167570755697E-3</v>
      </c>
      <c r="D133" t="s">
        <v>467</v>
      </c>
      <c r="E133" s="73">
        <f t="shared" si="4"/>
        <v>3.3846153846153845E-2</v>
      </c>
      <c r="F133" s="162">
        <v>17197</v>
      </c>
      <c r="G133" s="162"/>
      <c r="H133" s="162">
        <v>1430</v>
      </c>
      <c r="I133" s="68">
        <v>1395</v>
      </c>
      <c r="J133" s="68">
        <v>1340</v>
      </c>
      <c r="K133" s="68">
        <v>1305</v>
      </c>
      <c r="L133" s="68">
        <v>1250</v>
      </c>
      <c r="M133" s="68">
        <v>1210</v>
      </c>
      <c r="N133" s="84" t="s">
        <v>186</v>
      </c>
      <c r="O133" s="162">
        <v>16483</v>
      </c>
      <c r="P133" s="162">
        <v>16431</v>
      </c>
      <c r="Q133" s="162">
        <v>16569</v>
      </c>
      <c r="R133" s="162">
        <v>17197</v>
      </c>
      <c r="S133" s="163">
        <v>15.8</v>
      </c>
      <c r="T133" s="163">
        <v>15.7</v>
      </c>
      <c r="U133" s="163">
        <v>15.6</v>
      </c>
      <c r="V133" s="163">
        <v>15.7</v>
      </c>
      <c r="W133" s="163">
        <v>15.7</v>
      </c>
      <c r="X133" s="163">
        <v>15.8</v>
      </c>
      <c r="Y133" s="163"/>
      <c r="Z133" s="163"/>
      <c r="AA133" s="163"/>
    </row>
    <row r="134" spans="1:27" x14ac:dyDescent="0.25">
      <c r="A134" t="s">
        <v>517</v>
      </c>
      <c r="B134" s="95" t="s">
        <v>373</v>
      </c>
      <c r="C134" s="73">
        <f t="shared" si="5"/>
        <v>-8.8725302700635186E-4</v>
      </c>
      <c r="D134" t="s">
        <v>467</v>
      </c>
      <c r="E134" s="73">
        <f t="shared" si="4"/>
        <v>2.8022833419823558E-2</v>
      </c>
      <c r="F134" s="162">
        <v>45566</v>
      </c>
      <c r="G134" s="162"/>
      <c r="H134" s="162">
        <v>4210</v>
      </c>
      <c r="I134" s="68">
        <v>4045</v>
      </c>
      <c r="J134" s="68">
        <v>4005</v>
      </c>
      <c r="K134" s="68">
        <v>3825</v>
      </c>
      <c r="L134" s="68">
        <v>3725</v>
      </c>
      <c r="M134" s="68">
        <v>3670</v>
      </c>
      <c r="N134" s="84" t="s">
        <v>373</v>
      </c>
      <c r="O134" s="162">
        <v>44107</v>
      </c>
      <c r="P134" s="162">
        <v>44666</v>
      </c>
      <c r="Q134" s="162">
        <v>45005</v>
      </c>
      <c r="R134" s="162">
        <v>45566</v>
      </c>
      <c r="S134" s="163">
        <v>44.5</v>
      </c>
      <c r="T134" s="163">
        <v>44.8</v>
      </c>
      <c r="U134" s="163">
        <v>45</v>
      </c>
      <c r="V134" s="163">
        <v>45.2</v>
      </c>
      <c r="W134" s="163">
        <v>45.1</v>
      </c>
      <c r="X134" s="163">
        <v>44.9</v>
      </c>
      <c r="Y134" s="163"/>
      <c r="Z134" s="163"/>
      <c r="AA134" s="163"/>
    </row>
    <row r="135" spans="1:27" x14ac:dyDescent="0.25">
      <c r="A135" t="s">
        <v>521</v>
      </c>
      <c r="B135" s="95" t="s">
        <v>298</v>
      </c>
      <c r="C135" s="73">
        <f t="shared" si="5"/>
        <v>3.1428827467899069E-3</v>
      </c>
      <c r="D135" t="s">
        <v>118</v>
      </c>
      <c r="E135" s="73">
        <f t="shared" si="4"/>
        <v>3.2478632478632481E-2</v>
      </c>
      <c r="F135" s="162">
        <v>22318</v>
      </c>
      <c r="G135" s="162"/>
      <c r="H135" s="162">
        <v>1950</v>
      </c>
      <c r="I135" s="68">
        <v>1860</v>
      </c>
      <c r="J135" s="68">
        <v>1815</v>
      </c>
      <c r="K135" s="68">
        <v>1740</v>
      </c>
      <c r="L135" s="68">
        <v>1695</v>
      </c>
      <c r="M135" s="68">
        <v>1665</v>
      </c>
      <c r="N135" s="84" t="s">
        <v>298</v>
      </c>
      <c r="O135" s="162">
        <v>21963</v>
      </c>
      <c r="P135" s="162">
        <v>22209</v>
      </c>
      <c r="Q135" s="162">
        <v>22197</v>
      </c>
      <c r="R135" s="162">
        <v>22318</v>
      </c>
      <c r="S135" s="163">
        <v>22.7</v>
      </c>
      <c r="T135" s="163">
        <v>23</v>
      </c>
      <c r="U135" s="163">
        <v>23.3</v>
      </c>
      <c r="V135" s="163">
        <v>23.4</v>
      </c>
      <c r="W135" s="163">
        <v>23.4</v>
      </c>
      <c r="X135" s="163">
        <v>23.4</v>
      </c>
      <c r="Y135" s="163"/>
      <c r="Z135" s="163"/>
      <c r="AA135" s="163"/>
    </row>
    <row r="136" spans="1:27" x14ac:dyDescent="0.25">
      <c r="A136" t="s">
        <v>517</v>
      </c>
      <c r="B136" s="95" t="s">
        <v>374</v>
      </c>
      <c r="C136" s="73">
        <f t="shared" si="5"/>
        <v>-4.0985458521992976E-3</v>
      </c>
      <c r="D136" t="s">
        <v>467</v>
      </c>
      <c r="E136" s="73">
        <f t="shared" si="4"/>
        <v>1.6625615763546799E-2</v>
      </c>
      <c r="F136" s="162">
        <v>15807</v>
      </c>
      <c r="G136" s="162"/>
      <c r="H136" s="162">
        <v>1715</v>
      </c>
      <c r="I136" s="68">
        <v>1660</v>
      </c>
      <c r="J136" s="68">
        <v>1650</v>
      </c>
      <c r="K136" s="68">
        <v>1640</v>
      </c>
      <c r="L136" s="68">
        <v>1590</v>
      </c>
      <c r="M136" s="68">
        <v>1580</v>
      </c>
      <c r="N136" s="84" t="s">
        <v>374</v>
      </c>
      <c r="O136" s="162">
        <v>15330</v>
      </c>
      <c r="P136" s="162">
        <v>15521</v>
      </c>
      <c r="Q136" s="162">
        <v>15698</v>
      </c>
      <c r="R136" s="162">
        <v>15807</v>
      </c>
      <c r="S136" s="163">
        <v>15.3</v>
      </c>
      <c r="T136" s="163">
        <v>15.1</v>
      </c>
      <c r="U136" s="163">
        <v>14.9</v>
      </c>
      <c r="V136" s="163">
        <v>14.8</v>
      </c>
      <c r="W136" s="163">
        <v>14.6</v>
      </c>
      <c r="X136" s="163">
        <v>14.4</v>
      </c>
      <c r="Y136" s="163"/>
      <c r="Z136" s="163"/>
      <c r="AA136" s="163"/>
    </row>
    <row r="137" spans="1:27" x14ac:dyDescent="0.25">
      <c r="A137" t="s">
        <v>518</v>
      </c>
      <c r="B137" s="95" t="s">
        <v>258</v>
      </c>
      <c r="C137" s="73">
        <f t="shared" si="5"/>
        <v>3.1765587254515633E-3</v>
      </c>
      <c r="D137" t="s">
        <v>441</v>
      </c>
      <c r="E137" s="73">
        <f t="shared" si="4"/>
        <v>3.3647663951993145E-2</v>
      </c>
      <c r="F137" s="162">
        <v>91721</v>
      </c>
      <c r="G137" s="162"/>
      <c r="H137" s="162">
        <v>10390</v>
      </c>
      <c r="I137" s="68">
        <v>9900</v>
      </c>
      <c r="J137" s="68">
        <v>9700</v>
      </c>
      <c r="K137" s="68">
        <v>9315</v>
      </c>
      <c r="L137" s="68">
        <v>8925</v>
      </c>
      <c r="M137" s="68">
        <v>8820</v>
      </c>
      <c r="N137" s="84" t="s">
        <v>258</v>
      </c>
      <c r="O137" s="162">
        <v>90198</v>
      </c>
      <c r="P137" s="162">
        <v>91004</v>
      </c>
      <c r="Q137" s="162">
        <v>91235</v>
      </c>
      <c r="R137" s="162">
        <v>91721</v>
      </c>
      <c r="S137" s="163">
        <v>93.2</v>
      </c>
      <c r="T137" s="163">
        <v>94.7</v>
      </c>
      <c r="U137" s="163">
        <v>95.8</v>
      </c>
      <c r="V137" s="163">
        <v>96.6</v>
      </c>
      <c r="W137" s="163">
        <v>97.2</v>
      </c>
      <c r="X137" s="163">
        <v>97.4</v>
      </c>
      <c r="Y137" s="163"/>
      <c r="Z137" s="163"/>
      <c r="AA137" s="163"/>
    </row>
    <row r="138" spans="1:27" x14ac:dyDescent="0.25">
      <c r="A138" t="s">
        <v>521</v>
      </c>
      <c r="B138" s="95" t="s">
        <v>601</v>
      </c>
      <c r="C138" s="73">
        <f t="shared" si="5"/>
        <v>1.4297951271036227E-3</v>
      </c>
      <c r="D138" t="s">
        <v>467</v>
      </c>
      <c r="E138" s="73">
        <f t="shared" si="4"/>
        <v>2.4515779493430853E-2</v>
      </c>
      <c r="F138" s="162">
        <v>88724</v>
      </c>
      <c r="G138" s="162"/>
      <c r="H138" s="162">
        <v>7940</v>
      </c>
      <c r="I138" s="68">
        <v>7715</v>
      </c>
      <c r="J138" s="68">
        <v>7555</v>
      </c>
      <c r="K138" s="68">
        <v>7395</v>
      </c>
      <c r="L138" s="68">
        <v>7215</v>
      </c>
      <c r="M138" s="68">
        <v>7035</v>
      </c>
      <c r="N138" s="84" t="s">
        <v>601</v>
      </c>
      <c r="O138" s="162">
        <v>86642</v>
      </c>
      <c r="P138" s="162">
        <v>87454</v>
      </c>
      <c r="Q138" s="162">
        <v>88047</v>
      </c>
      <c r="R138" s="162">
        <v>88724</v>
      </c>
      <c r="S138" s="163">
        <v>88.2</v>
      </c>
      <c r="T138" s="163">
        <v>89.399999999999991</v>
      </c>
      <c r="U138" s="163">
        <v>90.499999999999986</v>
      </c>
      <c r="V138" s="163">
        <v>91.600000000000009</v>
      </c>
      <c r="W138" s="163">
        <v>92.3</v>
      </c>
      <c r="X138" s="163">
        <v>92.9</v>
      </c>
      <c r="Y138" s="163"/>
      <c r="Z138" s="163"/>
      <c r="AA138" s="163"/>
    </row>
    <row r="139" spans="1:27" x14ac:dyDescent="0.25">
      <c r="A139" t="s">
        <v>522</v>
      </c>
      <c r="B139" s="95" t="s">
        <v>150</v>
      </c>
      <c r="C139" s="73">
        <f t="shared" si="5"/>
        <v>-1.5443795180231942E-3</v>
      </c>
      <c r="D139" t="s">
        <v>467</v>
      </c>
      <c r="E139" s="73">
        <f t="shared" si="4"/>
        <v>2.6851578636766009E-2</v>
      </c>
      <c r="F139" s="162">
        <v>35058</v>
      </c>
      <c r="G139" s="162"/>
      <c r="H139" s="162">
        <v>3660</v>
      </c>
      <c r="I139" s="68">
        <v>3565</v>
      </c>
      <c r="J139" s="68">
        <v>3495</v>
      </c>
      <c r="K139" s="68">
        <v>3380</v>
      </c>
      <c r="L139" s="68">
        <v>3300</v>
      </c>
      <c r="M139" s="68">
        <v>3205</v>
      </c>
      <c r="N139" s="84" t="s">
        <v>150</v>
      </c>
      <c r="O139" s="162">
        <v>34946</v>
      </c>
      <c r="P139" s="162">
        <v>34993</v>
      </c>
      <c r="Q139" s="162">
        <v>35040</v>
      </c>
      <c r="R139" s="162">
        <v>35058</v>
      </c>
      <c r="S139" s="163">
        <v>34.5</v>
      </c>
      <c r="T139" s="163">
        <v>34.299999999999997</v>
      </c>
      <c r="U139" s="163">
        <v>34.299999999999997</v>
      </c>
      <c r="V139" s="163">
        <v>34.5</v>
      </c>
      <c r="W139" s="163">
        <v>34.700000000000003</v>
      </c>
      <c r="X139" s="163">
        <v>34.6</v>
      </c>
      <c r="Y139" s="163"/>
      <c r="Z139" s="163"/>
      <c r="AA139" s="163"/>
    </row>
    <row r="140" spans="1:27" x14ac:dyDescent="0.25">
      <c r="A140" t="s">
        <v>518</v>
      </c>
      <c r="B140" s="95" t="s">
        <v>259</v>
      </c>
      <c r="C140" s="73">
        <f t="shared" si="5"/>
        <v>4.5531340495369275E-4</v>
      </c>
      <c r="D140" t="s">
        <v>467</v>
      </c>
      <c r="E140" s="73">
        <f t="shared" si="4"/>
        <v>2.2054054054054053E-2</v>
      </c>
      <c r="F140" s="162">
        <v>48789</v>
      </c>
      <c r="G140" s="162"/>
      <c r="H140" s="162">
        <v>4980</v>
      </c>
      <c r="I140" s="68">
        <v>4820</v>
      </c>
      <c r="J140" s="68">
        <v>4735</v>
      </c>
      <c r="K140" s="68">
        <v>4610</v>
      </c>
      <c r="L140" s="68">
        <v>4490</v>
      </c>
      <c r="M140" s="68">
        <v>4470</v>
      </c>
      <c r="N140" s="84" t="s">
        <v>259</v>
      </c>
      <c r="O140" s="162">
        <v>47802</v>
      </c>
      <c r="P140" s="162">
        <v>48426</v>
      </c>
      <c r="Q140" s="162">
        <v>48583</v>
      </c>
      <c r="R140" s="162">
        <v>48789</v>
      </c>
      <c r="S140" s="163">
        <v>48.6</v>
      </c>
      <c r="T140" s="163">
        <v>48.8</v>
      </c>
      <c r="U140" s="163">
        <v>49.1</v>
      </c>
      <c r="V140" s="163">
        <v>49.2</v>
      </c>
      <c r="W140" s="163">
        <v>48.8</v>
      </c>
      <c r="X140" s="163">
        <v>48.3</v>
      </c>
      <c r="Y140" s="163"/>
      <c r="Z140" s="163"/>
      <c r="AA140" s="163"/>
    </row>
    <row r="141" spans="1:27" x14ac:dyDescent="0.25">
      <c r="A141" t="s">
        <v>516</v>
      </c>
      <c r="B141" s="95" t="s">
        <v>111</v>
      </c>
      <c r="C141" s="73">
        <f t="shared" si="5"/>
        <v>-1.1147929962362951E-3</v>
      </c>
      <c r="D141" t="s">
        <v>441</v>
      </c>
      <c r="E141" s="73">
        <f t="shared" si="4"/>
        <v>2.3382696804364771E-2</v>
      </c>
      <c r="F141" s="162">
        <v>55872</v>
      </c>
      <c r="G141" s="162"/>
      <c r="H141" s="162">
        <v>4135</v>
      </c>
      <c r="I141" s="68">
        <v>4025</v>
      </c>
      <c r="J141" s="68">
        <v>3935</v>
      </c>
      <c r="K141" s="68">
        <v>3880</v>
      </c>
      <c r="L141" s="68">
        <v>3720</v>
      </c>
      <c r="M141" s="68">
        <v>3685</v>
      </c>
      <c r="N141" s="84" t="s">
        <v>111</v>
      </c>
      <c r="O141" s="162">
        <v>55678</v>
      </c>
      <c r="P141" s="162">
        <v>55722</v>
      </c>
      <c r="Q141" s="162">
        <v>55603</v>
      </c>
      <c r="R141" s="162">
        <v>55872</v>
      </c>
      <c r="S141" s="163">
        <v>55.2</v>
      </c>
      <c r="T141" s="163">
        <v>55.1</v>
      </c>
      <c r="U141" s="163">
        <v>55</v>
      </c>
      <c r="V141" s="163">
        <v>54.6</v>
      </c>
      <c r="W141" s="163">
        <v>53.9</v>
      </c>
      <c r="X141" s="163">
        <v>53.1</v>
      </c>
      <c r="Y141" s="163"/>
      <c r="Z141" s="163"/>
      <c r="AA141" s="163"/>
    </row>
    <row r="142" spans="1:27" x14ac:dyDescent="0.25">
      <c r="A142" t="s">
        <v>518</v>
      </c>
      <c r="B142" s="95" t="s">
        <v>260</v>
      </c>
      <c r="C142" s="73">
        <f t="shared" si="5"/>
        <v>9.5356008582040774E-4</v>
      </c>
      <c r="D142" t="s">
        <v>441</v>
      </c>
      <c r="E142" s="73">
        <f t="shared" si="4"/>
        <v>2.9530447542186353E-2</v>
      </c>
      <c r="F142" s="162">
        <v>74308</v>
      </c>
      <c r="G142" s="162"/>
      <c r="H142" s="162">
        <v>5970</v>
      </c>
      <c r="I142" s="68">
        <v>5700</v>
      </c>
      <c r="J142" s="68">
        <v>5680</v>
      </c>
      <c r="K142" s="68">
        <v>5460</v>
      </c>
      <c r="L142" s="68">
        <v>5255</v>
      </c>
      <c r="M142" s="68">
        <v>5165</v>
      </c>
      <c r="N142" s="84" t="s">
        <v>260</v>
      </c>
      <c r="O142" s="162">
        <v>73037</v>
      </c>
      <c r="P142" s="162">
        <v>73262</v>
      </c>
      <c r="Q142" s="162">
        <v>73619</v>
      </c>
      <c r="R142" s="162">
        <v>74308</v>
      </c>
      <c r="S142" s="163">
        <v>74</v>
      </c>
      <c r="T142" s="163">
        <v>74.7</v>
      </c>
      <c r="U142" s="163">
        <v>75.3</v>
      </c>
      <c r="V142" s="163">
        <v>75.400000000000006</v>
      </c>
      <c r="W142" s="163">
        <v>75.3</v>
      </c>
      <c r="X142" s="163">
        <v>75</v>
      </c>
      <c r="Y142" s="163"/>
      <c r="Z142" s="163"/>
      <c r="AA142" s="163"/>
    </row>
    <row r="143" spans="1:27" x14ac:dyDescent="0.25">
      <c r="A143" t="s">
        <v>526</v>
      </c>
      <c r="B143" s="95" t="s">
        <v>408</v>
      </c>
      <c r="C143" s="73">
        <f t="shared" si="5"/>
        <v>-2.5573622492839052E-3</v>
      </c>
      <c r="D143" t="s">
        <v>467</v>
      </c>
      <c r="E143" s="73">
        <f t="shared" si="4"/>
        <v>2.3444544634806132E-2</v>
      </c>
      <c r="F143" s="162">
        <v>43041</v>
      </c>
      <c r="G143" s="162"/>
      <c r="H143" s="162">
        <v>3570</v>
      </c>
      <c r="I143" s="68">
        <v>3445</v>
      </c>
      <c r="J143" s="68">
        <v>3425</v>
      </c>
      <c r="K143" s="68">
        <v>3330</v>
      </c>
      <c r="L143" s="68">
        <v>3255</v>
      </c>
      <c r="M143" s="68">
        <v>3180</v>
      </c>
      <c r="N143" s="84" t="s">
        <v>408</v>
      </c>
      <c r="O143" s="162">
        <v>42293</v>
      </c>
      <c r="P143" s="162">
        <v>42470</v>
      </c>
      <c r="Q143" s="162">
        <v>42487</v>
      </c>
      <c r="R143" s="162">
        <v>43041</v>
      </c>
      <c r="S143" s="163">
        <v>42</v>
      </c>
      <c r="T143" s="163">
        <v>41.7</v>
      </c>
      <c r="U143" s="163">
        <v>41.5</v>
      </c>
      <c r="V143" s="163">
        <v>41.3</v>
      </c>
      <c r="W143" s="163">
        <v>41</v>
      </c>
      <c r="X143" s="163">
        <v>40.5</v>
      </c>
      <c r="Y143" s="163"/>
      <c r="Z143" s="163"/>
      <c r="AA143" s="163"/>
    </row>
    <row r="144" spans="1:27" x14ac:dyDescent="0.25">
      <c r="A144" t="s">
        <v>524</v>
      </c>
      <c r="B144" s="95" t="s">
        <v>221</v>
      </c>
      <c r="C144" s="73">
        <f t="shared" si="5"/>
        <v>5.0665606993840649E-3</v>
      </c>
      <c r="D144" t="s">
        <v>467</v>
      </c>
      <c r="E144" s="73">
        <f t="shared" si="4"/>
        <v>2.9223093371347115E-2</v>
      </c>
      <c r="F144" s="162">
        <v>50330</v>
      </c>
      <c r="G144" s="162"/>
      <c r="H144" s="162">
        <v>4585</v>
      </c>
      <c r="I144" s="68">
        <v>4430</v>
      </c>
      <c r="J144" s="68">
        <v>4365</v>
      </c>
      <c r="K144" s="68">
        <v>4215</v>
      </c>
      <c r="L144" s="68">
        <v>4065</v>
      </c>
      <c r="M144" s="68">
        <v>3970</v>
      </c>
      <c r="N144" s="84" t="s">
        <v>221</v>
      </c>
      <c r="O144" s="162">
        <v>49902</v>
      </c>
      <c r="P144" s="162">
        <v>50164</v>
      </c>
      <c r="Q144" s="162">
        <v>50223</v>
      </c>
      <c r="R144" s="162">
        <v>50330</v>
      </c>
      <c r="S144" s="163">
        <v>51.7</v>
      </c>
      <c r="T144" s="163">
        <v>52.7</v>
      </c>
      <c r="U144" s="163">
        <v>53.9</v>
      </c>
      <c r="V144" s="163">
        <v>55</v>
      </c>
      <c r="W144" s="163">
        <v>55.6</v>
      </c>
      <c r="X144" s="163">
        <v>56.1</v>
      </c>
      <c r="Y144" s="163"/>
      <c r="Z144" s="163"/>
      <c r="AA144" s="163"/>
    </row>
    <row r="145" spans="1:27" x14ac:dyDescent="0.25">
      <c r="A145" t="s">
        <v>518</v>
      </c>
      <c r="B145" s="95" t="s">
        <v>261</v>
      </c>
      <c r="C145" s="73">
        <f t="shared" si="5"/>
        <v>2.7740267353369133E-4</v>
      </c>
      <c r="D145" t="s">
        <v>118</v>
      </c>
      <c r="E145" s="73">
        <f t="shared" si="4"/>
        <v>2.1082042164084328E-2</v>
      </c>
      <c r="F145" s="162">
        <v>40941</v>
      </c>
      <c r="G145" s="162"/>
      <c r="H145" s="162">
        <v>4200</v>
      </c>
      <c r="I145" s="68">
        <v>4080</v>
      </c>
      <c r="J145" s="68">
        <v>4055</v>
      </c>
      <c r="K145" s="68">
        <v>3950</v>
      </c>
      <c r="L145" s="68">
        <v>3815</v>
      </c>
      <c r="M145" s="68">
        <v>3785</v>
      </c>
      <c r="N145" s="84" t="s">
        <v>261</v>
      </c>
      <c r="O145" s="162">
        <v>41280</v>
      </c>
      <c r="P145" s="162">
        <v>41263</v>
      </c>
      <c r="Q145" s="162">
        <v>41090</v>
      </c>
      <c r="R145" s="162">
        <v>40941</v>
      </c>
      <c r="S145" s="163">
        <v>41.3</v>
      </c>
      <c r="T145" s="163">
        <v>41.1</v>
      </c>
      <c r="U145" s="163">
        <v>41.1</v>
      </c>
      <c r="V145" s="163">
        <v>41.2</v>
      </c>
      <c r="W145" s="163">
        <v>41.5</v>
      </c>
      <c r="X145" s="163">
        <v>41.5</v>
      </c>
      <c r="Y145" s="163"/>
      <c r="Z145" s="163"/>
      <c r="AA145" s="163"/>
    </row>
    <row r="146" spans="1:27" x14ac:dyDescent="0.25">
      <c r="A146" t="s">
        <v>528</v>
      </c>
      <c r="B146" s="95" t="s">
        <v>332</v>
      </c>
      <c r="C146" s="73">
        <f t="shared" si="5"/>
        <v>-3.4245864552416929E-4</v>
      </c>
      <c r="D146" t="s">
        <v>118</v>
      </c>
      <c r="E146" s="73">
        <f t="shared" si="4"/>
        <v>2.4502297090352222E-2</v>
      </c>
      <c r="F146" s="162">
        <v>27532</v>
      </c>
      <c r="G146" s="162"/>
      <c r="H146" s="162">
        <v>2110</v>
      </c>
      <c r="I146" s="68">
        <v>2055</v>
      </c>
      <c r="J146" s="68">
        <v>2020</v>
      </c>
      <c r="K146" s="68">
        <v>1940</v>
      </c>
      <c r="L146" s="68">
        <v>1910</v>
      </c>
      <c r="M146" s="68">
        <v>1870</v>
      </c>
      <c r="N146" s="84" t="s">
        <v>332</v>
      </c>
      <c r="O146" s="162">
        <v>27523</v>
      </c>
      <c r="P146" s="162">
        <v>27533</v>
      </c>
      <c r="Q146" s="162">
        <v>27575</v>
      </c>
      <c r="R146" s="162">
        <v>27532</v>
      </c>
      <c r="S146" s="163">
        <v>27.5</v>
      </c>
      <c r="T146" s="163">
        <v>27.4</v>
      </c>
      <c r="U146" s="163">
        <v>27.4</v>
      </c>
      <c r="V146" s="163">
        <v>27.3</v>
      </c>
      <c r="W146" s="163">
        <v>27.1</v>
      </c>
      <c r="X146" s="163">
        <v>26.8</v>
      </c>
      <c r="Y146" s="163"/>
      <c r="Z146" s="163"/>
      <c r="AA146" s="163"/>
    </row>
    <row r="147" spans="1:27" x14ac:dyDescent="0.25">
      <c r="A147" t="s">
        <v>524</v>
      </c>
      <c r="B147" s="95" t="s">
        <v>222</v>
      </c>
      <c r="C147" s="73">
        <f t="shared" si="5"/>
        <v>3.4820280356662208E-4</v>
      </c>
      <c r="D147" t="s">
        <v>467</v>
      </c>
      <c r="E147" s="73">
        <f t="shared" si="4"/>
        <v>2.6818515797207936E-2</v>
      </c>
      <c r="F147" s="162">
        <v>33437</v>
      </c>
      <c r="G147" s="162"/>
      <c r="H147" s="162">
        <v>2950</v>
      </c>
      <c r="I147" s="68">
        <v>2840</v>
      </c>
      <c r="J147" s="68">
        <v>2815</v>
      </c>
      <c r="K147" s="68">
        <v>2740</v>
      </c>
      <c r="L147" s="68">
        <v>2630</v>
      </c>
      <c r="M147" s="68">
        <v>2585</v>
      </c>
      <c r="N147" s="84" t="s">
        <v>222</v>
      </c>
      <c r="O147" s="162">
        <v>34162</v>
      </c>
      <c r="P147" s="162">
        <v>34116</v>
      </c>
      <c r="Q147" s="162">
        <v>33819</v>
      </c>
      <c r="R147" s="162">
        <v>33437</v>
      </c>
      <c r="S147" s="163">
        <v>33.799999999999997</v>
      </c>
      <c r="T147" s="163">
        <v>33.6</v>
      </c>
      <c r="U147" s="163">
        <v>33.6</v>
      </c>
      <c r="V147" s="163">
        <v>33.5</v>
      </c>
      <c r="W147" s="163">
        <v>33.5</v>
      </c>
      <c r="X147" s="163">
        <v>33.4</v>
      </c>
      <c r="Y147" s="163"/>
      <c r="Z147" s="163"/>
      <c r="AA147" s="163"/>
    </row>
    <row r="148" spans="1:27" x14ac:dyDescent="0.25">
      <c r="A148" t="s">
        <v>521</v>
      </c>
      <c r="B148" s="95" t="s">
        <v>299</v>
      </c>
      <c r="C148" s="73">
        <f t="shared" si="5"/>
        <v>-1.7821295423819084E-3</v>
      </c>
      <c r="D148" t="s">
        <v>467</v>
      </c>
      <c r="E148" s="73">
        <f t="shared" si="4"/>
        <v>2.974559686888454E-2</v>
      </c>
      <c r="F148" s="162">
        <v>27896</v>
      </c>
      <c r="G148" s="162"/>
      <c r="H148" s="162">
        <v>2805</v>
      </c>
      <c r="I148" s="68">
        <v>2735</v>
      </c>
      <c r="J148" s="68">
        <v>2615</v>
      </c>
      <c r="K148" s="68">
        <v>2545</v>
      </c>
      <c r="L148" s="68">
        <v>2455</v>
      </c>
      <c r="M148" s="68">
        <v>2425</v>
      </c>
      <c r="N148" s="84" t="s">
        <v>299</v>
      </c>
      <c r="O148" s="162">
        <v>26861</v>
      </c>
      <c r="P148" s="162">
        <v>27285</v>
      </c>
      <c r="Q148" s="162">
        <v>27541</v>
      </c>
      <c r="R148" s="162">
        <v>27896</v>
      </c>
      <c r="S148" s="163">
        <v>27.1</v>
      </c>
      <c r="T148" s="163">
        <v>27.2</v>
      </c>
      <c r="U148" s="163">
        <v>27.2</v>
      </c>
      <c r="V148" s="163">
        <v>27.3</v>
      </c>
      <c r="W148" s="163">
        <v>27.5</v>
      </c>
      <c r="X148" s="163">
        <v>27.5</v>
      </c>
      <c r="Y148" s="163"/>
      <c r="Z148" s="163"/>
      <c r="AA148" s="163"/>
    </row>
    <row r="149" spans="1:27" x14ac:dyDescent="0.25">
      <c r="A149" t="s">
        <v>522</v>
      </c>
      <c r="B149" s="95" t="s">
        <v>151</v>
      </c>
      <c r="C149" s="73">
        <f t="shared" si="5"/>
        <v>2.3731288791529756E-3</v>
      </c>
      <c r="D149" t="s">
        <v>441</v>
      </c>
      <c r="E149" s="73">
        <f t="shared" si="4"/>
        <v>3.0898876404494381E-2</v>
      </c>
      <c r="F149" s="162">
        <v>54780</v>
      </c>
      <c r="G149" s="162"/>
      <c r="H149" s="162">
        <v>4320</v>
      </c>
      <c r="I149" s="68">
        <v>4130</v>
      </c>
      <c r="J149" s="68">
        <v>4050</v>
      </c>
      <c r="K149" s="68">
        <v>3900</v>
      </c>
      <c r="L149" s="68">
        <v>3785</v>
      </c>
      <c r="M149" s="68">
        <v>3715</v>
      </c>
      <c r="N149" s="84" t="s">
        <v>151</v>
      </c>
      <c r="O149" s="162">
        <v>53787</v>
      </c>
      <c r="P149" s="162">
        <v>54324</v>
      </c>
      <c r="Q149" s="162">
        <v>54474</v>
      </c>
      <c r="R149" s="162">
        <v>54780</v>
      </c>
      <c r="S149" s="163">
        <v>55.5</v>
      </c>
      <c r="T149" s="163">
        <v>56.2</v>
      </c>
      <c r="U149" s="163">
        <v>56.6</v>
      </c>
      <c r="V149" s="163">
        <v>56.8</v>
      </c>
      <c r="W149" s="163">
        <v>56.6</v>
      </c>
      <c r="X149" s="163">
        <v>56.4</v>
      </c>
      <c r="Y149" s="163"/>
      <c r="Z149" s="163"/>
      <c r="AA149" s="163"/>
    </row>
    <row r="150" spans="1:27" x14ac:dyDescent="0.25">
      <c r="A150" t="s">
        <v>528</v>
      </c>
      <c r="B150" s="95" t="s">
        <v>333</v>
      </c>
      <c r="C150" s="73">
        <f t="shared" si="5"/>
        <v>1.5192900472789899E-3</v>
      </c>
      <c r="D150" t="s">
        <v>467</v>
      </c>
      <c r="E150" s="73">
        <f t="shared" si="4"/>
        <v>3.6062378167641324E-2</v>
      </c>
      <c r="F150" s="162">
        <v>13023</v>
      </c>
      <c r="G150" s="162"/>
      <c r="H150" s="162">
        <v>1135</v>
      </c>
      <c r="I150" s="68">
        <v>1110</v>
      </c>
      <c r="J150" s="68">
        <v>1055</v>
      </c>
      <c r="K150" s="68">
        <v>1025</v>
      </c>
      <c r="L150" s="68">
        <v>990</v>
      </c>
      <c r="M150" s="68">
        <v>950</v>
      </c>
      <c r="N150" s="84" t="s">
        <v>333</v>
      </c>
      <c r="O150" s="162">
        <v>12804</v>
      </c>
      <c r="P150" s="162">
        <v>12667</v>
      </c>
      <c r="Q150" s="162">
        <v>12882</v>
      </c>
      <c r="R150" s="162">
        <v>13023</v>
      </c>
      <c r="S150" s="163">
        <v>13.2</v>
      </c>
      <c r="T150" s="163">
        <v>13.3</v>
      </c>
      <c r="U150" s="163">
        <v>13.3</v>
      </c>
      <c r="V150" s="163">
        <v>13.5</v>
      </c>
      <c r="W150" s="163">
        <v>13.8</v>
      </c>
      <c r="X150" s="163">
        <v>14.1</v>
      </c>
      <c r="Y150" s="163"/>
      <c r="Z150" s="163"/>
      <c r="AA150" s="163"/>
    </row>
    <row r="151" spans="1:27" x14ac:dyDescent="0.25">
      <c r="A151" t="s">
        <v>521</v>
      </c>
      <c r="B151" s="95" t="s">
        <v>300</v>
      </c>
      <c r="C151" s="73">
        <f t="shared" si="5"/>
        <v>3.4178420005191658E-3</v>
      </c>
      <c r="D151" t="s">
        <v>467</v>
      </c>
      <c r="E151" s="73">
        <f t="shared" si="4"/>
        <v>3.4353059177532598E-2</v>
      </c>
      <c r="F151" s="162">
        <v>66040</v>
      </c>
      <c r="G151" s="162"/>
      <c r="H151" s="162">
        <v>4410</v>
      </c>
      <c r="I151" s="68">
        <v>4240</v>
      </c>
      <c r="J151" s="68">
        <v>4135</v>
      </c>
      <c r="K151" s="68">
        <v>4025</v>
      </c>
      <c r="L151" s="68">
        <v>3815</v>
      </c>
      <c r="M151" s="68">
        <v>3725</v>
      </c>
      <c r="N151" s="84" t="s">
        <v>300</v>
      </c>
      <c r="O151" s="162">
        <v>65312</v>
      </c>
      <c r="P151" s="162">
        <v>65712</v>
      </c>
      <c r="Q151" s="162">
        <v>65995</v>
      </c>
      <c r="R151" s="162">
        <v>66040</v>
      </c>
      <c r="S151" s="163">
        <v>67.099999999999994</v>
      </c>
      <c r="T151" s="163">
        <v>68.400000000000006</v>
      </c>
      <c r="U151" s="163">
        <v>69.2</v>
      </c>
      <c r="V151" s="163">
        <v>69.7</v>
      </c>
      <c r="W151" s="163">
        <v>69.900000000000006</v>
      </c>
      <c r="X151" s="163">
        <v>70.099999999999994</v>
      </c>
      <c r="Y151" s="163"/>
      <c r="Z151" s="163"/>
      <c r="AA151" s="163"/>
    </row>
    <row r="152" spans="1:27" x14ac:dyDescent="0.25">
      <c r="A152" t="s">
        <v>526</v>
      </c>
      <c r="B152" s="95" t="s">
        <v>409</v>
      </c>
      <c r="C152" s="73">
        <f t="shared" si="5"/>
        <v>-2.9807904614705233E-3</v>
      </c>
      <c r="D152" t="s">
        <v>441</v>
      </c>
      <c r="E152" s="73">
        <f t="shared" si="4"/>
        <v>1.6196013289036543E-2</v>
      </c>
      <c r="F152" s="162">
        <v>45290</v>
      </c>
      <c r="G152" s="162"/>
      <c r="H152" s="162">
        <v>2550</v>
      </c>
      <c r="I152" s="68">
        <v>2520</v>
      </c>
      <c r="J152" s="68">
        <v>2430</v>
      </c>
      <c r="K152" s="68">
        <v>2400</v>
      </c>
      <c r="L152" s="68">
        <v>2335</v>
      </c>
      <c r="M152" s="68">
        <v>2355</v>
      </c>
      <c r="N152" s="84" t="s">
        <v>409</v>
      </c>
      <c r="O152" s="162">
        <v>45643</v>
      </c>
      <c r="P152" s="162">
        <v>45746</v>
      </c>
      <c r="Q152" s="162">
        <v>45442</v>
      </c>
      <c r="R152" s="162">
        <v>45290</v>
      </c>
      <c r="S152" s="163">
        <v>45.2</v>
      </c>
      <c r="T152" s="163">
        <v>44.5</v>
      </c>
      <c r="U152" s="163">
        <v>43.4</v>
      </c>
      <c r="V152" s="163">
        <v>42</v>
      </c>
      <c r="W152" s="163">
        <v>40.700000000000003</v>
      </c>
      <c r="X152" s="163">
        <v>39.4</v>
      </c>
      <c r="Y152" s="163"/>
      <c r="Z152" s="163"/>
      <c r="AA152" s="163"/>
    </row>
    <row r="153" spans="1:27" x14ac:dyDescent="0.25">
      <c r="A153" t="s">
        <v>518</v>
      </c>
      <c r="B153" s="95" t="s">
        <v>262</v>
      </c>
      <c r="C153" s="73">
        <f t="shared" si="5"/>
        <v>-1.3671281628401546E-3</v>
      </c>
      <c r="D153" t="s">
        <v>467</v>
      </c>
      <c r="E153" s="73">
        <f t="shared" si="4"/>
        <v>3.125E-2</v>
      </c>
      <c r="F153" s="162">
        <v>23041</v>
      </c>
      <c r="G153" s="162"/>
      <c r="H153" s="162">
        <v>2380</v>
      </c>
      <c r="I153" s="68">
        <v>2305</v>
      </c>
      <c r="J153" s="68">
        <v>2265</v>
      </c>
      <c r="K153" s="68">
        <v>2165</v>
      </c>
      <c r="L153" s="68">
        <v>2105</v>
      </c>
      <c r="M153" s="68">
        <v>2040</v>
      </c>
      <c r="N153" s="84" t="s">
        <v>262</v>
      </c>
      <c r="O153" s="162">
        <v>22736</v>
      </c>
      <c r="P153" s="162">
        <v>22811</v>
      </c>
      <c r="Q153" s="162">
        <v>22940</v>
      </c>
      <c r="R153" s="162">
        <v>23041</v>
      </c>
      <c r="S153" s="163">
        <v>22.8</v>
      </c>
      <c r="T153" s="163">
        <v>22.7</v>
      </c>
      <c r="U153" s="163">
        <v>22.6</v>
      </c>
      <c r="V153" s="163">
        <v>22.6</v>
      </c>
      <c r="W153" s="163">
        <v>22.7</v>
      </c>
      <c r="X153" s="163">
        <v>22.8</v>
      </c>
      <c r="Y153" s="163"/>
      <c r="Z153" s="163"/>
      <c r="AA153" s="163"/>
    </row>
    <row r="154" spans="1:27" x14ac:dyDescent="0.25">
      <c r="A154" t="s">
        <v>521</v>
      </c>
      <c r="B154" s="95" t="s">
        <v>301</v>
      </c>
      <c r="C154" s="73">
        <f t="shared" si="5"/>
        <v>-1.9814289599440539E-3</v>
      </c>
      <c r="D154" t="s">
        <v>467</v>
      </c>
      <c r="E154" s="73">
        <f t="shared" si="4"/>
        <v>1.8334985133795837E-2</v>
      </c>
      <c r="F154" s="162">
        <v>29416</v>
      </c>
      <c r="G154" s="162"/>
      <c r="H154" s="162">
        <v>2145</v>
      </c>
      <c r="I154" s="68">
        <v>2095</v>
      </c>
      <c r="J154" s="68">
        <v>2075</v>
      </c>
      <c r="K154" s="68">
        <v>1995</v>
      </c>
      <c r="L154" s="68">
        <v>1965</v>
      </c>
      <c r="M154" s="68">
        <v>1960</v>
      </c>
      <c r="N154" s="84" t="s">
        <v>301</v>
      </c>
      <c r="O154" s="162">
        <v>29353</v>
      </c>
      <c r="P154" s="162">
        <v>29484</v>
      </c>
      <c r="Q154" s="162">
        <v>29410</v>
      </c>
      <c r="R154" s="162">
        <v>29416</v>
      </c>
      <c r="S154" s="163">
        <v>28.9</v>
      </c>
      <c r="T154" s="163">
        <v>28.7</v>
      </c>
      <c r="U154" s="163">
        <v>28.6</v>
      </c>
      <c r="V154" s="163">
        <v>28.5</v>
      </c>
      <c r="W154" s="163">
        <v>28.5</v>
      </c>
      <c r="X154" s="163">
        <v>28.5</v>
      </c>
      <c r="Y154" s="163"/>
      <c r="Z154" s="163"/>
      <c r="AA154" s="163"/>
    </row>
    <row r="155" spans="1:27" x14ac:dyDescent="0.25">
      <c r="A155" t="s">
        <v>521</v>
      </c>
      <c r="B155" s="95" t="s">
        <v>478</v>
      </c>
      <c r="C155" s="73">
        <f t="shared" si="5"/>
        <v>3.4234144021228923E-3</v>
      </c>
      <c r="D155" t="s">
        <v>467</v>
      </c>
      <c r="E155" s="73">
        <f t="shared" si="4"/>
        <v>3.1800000000000002E-2</v>
      </c>
      <c r="F155" s="162">
        <v>57065</v>
      </c>
      <c r="G155" s="162"/>
      <c r="H155" s="162">
        <v>5490</v>
      </c>
      <c r="I155" s="68">
        <v>5270</v>
      </c>
      <c r="J155" s="68">
        <v>5145</v>
      </c>
      <c r="K155" s="68">
        <v>5030</v>
      </c>
      <c r="L155" s="68">
        <v>4860</v>
      </c>
      <c r="M155" s="68">
        <v>4695</v>
      </c>
      <c r="N155" s="84" t="s">
        <v>478</v>
      </c>
      <c r="O155" s="162">
        <v>56043</v>
      </c>
      <c r="P155" s="162">
        <v>56271</v>
      </c>
      <c r="Q155" s="162">
        <v>56622</v>
      </c>
      <c r="R155" s="162">
        <v>57065</v>
      </c>
      <c r="S155" s="163">
        <v>57.8</v>
      </c>
      <c r="T155" s="163">
        <v>58.7</v>
      </c>
      <c r="U155" s="163">
        <v>59.8</v>
      </c>
      <c r="V155" s="163">
        <v>60.8</v>
      </c>
      <c r="W155" s="163">
        <v>62</v>
      </c>
      <c r="X155" s="163">
        <v>63</v>
      </c>
      <c r="Y155" s="163"/>
      <c r="Z155" s="163"/>
      <c r="AA155" s="163"/>
    </row>
    <row r="156" spans="1:27" x14ac:dyDescent="0.25">
      <c r="A156" t="s">
        <v>517</v>
      </c>
      <c r="B156" s="95" t="s">
        <v>375</v>
      </c>
      <c r="C156" s="73">
        <f t="shared" si="5"/>
        <v>-1.07399682470504E-3</v>
      </c>
      <c r="D156" t="s">
        <v>467</v>
      </c>
      <c r="E156" s="73">
        <f t="shared" si="4"/>
        <v>2.7690700104493208E-2</v>
      </c>
      <c r="F156" s="162">
        <v>22945</v>
      </c>
      <c r="G156" s="162"/>
      <c r="H156" s="162">
        <v>2080</v>
      </c>
      <c r="I156" s="68">
        <v>2010</v>
      </c>
      <c r="J156" s="68">
        <v>1970</v>
      </c>
      <c r="K156" s="68">
        <v>1935</v>
      </c>
      <c r="L156" s="68">
        <v>1840</v>
      </c>
      <c r="M156" s="68">
        <v>1815</v>
      </c>
      <c r="N156" s="84" t="s">
        <v>375</v>
      </c>
      <c r="O156" s="162">
        <v>22334</v>
      </c>
      <c r="P156" s="162">
        <v>22498</v>
      </c>
      <c r="Q156" s="162">
        <v>22805</v>
      </c>
      <c r="R156" s="162">
        <v>22945</v>
      </c>
      <c r="S156" s="163">
        <v>22.3</v>
      </c>
      <c r="T156" s="163">
        <v>22.5</v>
      </c>
      <c r="U156" s="163">
        <v>22.6</v>
      </c>
      <c r="V156" s="163">
        <v>22.8</v>
      </c>
      <c r="W156" s="163">
        <v>22.9</v>
      </c>
      <c r="X156" s="163">
        <v>22.9</v>
      </c>
      <c r="Y156" s="163"/>
      <c r="Z156" s="163"/>
      <c r="AA156" s="163"/>
    </row>
    <row r="157" spans="1:27" x14ac:dyDescent="0.25">
      <c r="A157" t="s">
        <v>517</v>
      </c>
      <c r="B157" s="95" t="s">
        <v>868</v>
      </c>
      <c r="C157" s="73">
        <f t="shared" si="5"/>
        <v>-9.7144242668521287E-4</v>
      </c>
      <c r="D157" t="s">
        <v>118</v>
      </c>
      <c r="E157" s="73">
        <v>2.7377311780981507E-2</v>
      </c>
      <c r="F157" s="162">
        <v>90734</v>
      </c>
      <c r="G157" s="162"/>
      <c r="H157" s="162">
        <v>7485</v>
      </c>
      <c r="I157" s="68">
        <v>7240</v>
      </c>
      <c r="J157" s="68">
        <v>7065</v>
      </c>
      <c r="K157" s="68">
        <v>6850</v>
      </c>
      <c r="L157" s="68">
        <v>6635</v>
      </c>
      <c r="M157" s="68">
        <v>6545</v>
      </c>
      <c r="N157" s="84" t="s">
        <v>868</v>
      </c>
      <c r="O157" s="162">
        <v>88969</v>
      </c>
      <c r="P157" s="162">
        <v>89523</v>
      </c>
      <c r="Q157" s="162">
        <v>90194</v>
      </c>
      <c r="R157" s="162">
        <v>90734</v>
      </c>
      <c r="S157" s="163">
        <v>88.7</v>
      </c>
      <c r="T157" s="163">
        <v>88.9</v>
      </c>
      <c r="U157" s="163">
        <v>89.500000000000014</v>
      </c>
      <c r="V157" s="163">
        <v>89.9</v>
      </c>
      <c r="W157" s="163">
        <v>89.9</v>
      </c>
      <c r="X157" s="163">
        <v>89.8</v>
      </c>
      <c r="Y157" s="163"/>
      <c r="Z157" s="163"/>
      <c r="AA157" s="163"/>
    </row>
    <row r="158" spans="1:27" x14ac:dyDescent="0.25">
      <c r="A158" t="s">
        <v>526</v>
      </c>
      <c r="B158" s="95" t="s">
        <v>410</v>
      </c>
      <c r="C158" s="73">
        <f t="shared" si="5"/>
        <v>-4.1680817561517801E-4</v>
      </c>
      <c r="D158" t="s">
        <v>441</v>
      </c>
      <c r="E158" s="73">
        <f t="shared" si="4"/>
        <v>2.4572649572649572E-2</v>
      </c>
      <c r="F158" s="162">
        <v>37016</v>
      </c>
      <c r="G158" s="162"/>
      <c r="H158" s="162">
        <v>2015</v>
      </c>
      <c r="I158" s="68">
        <v>1960</v>
      </c>
      <c r="J158" s="68">
        <v>1920</v>
      </c>
      <c r="K158" s="68">
        <v>1880</v>
      </c>
      <c r="L158" s="68">
        <v>1815</v>
      </c>
      <c r="M158" s="68">
        <v>1785</v>
      </c>
      <c r="N158" s="84" t="s">
        <v>410</v>
      </c>
      <c r="O158" s="162">
        <v>37596</v>
      </c>
      <c r="P158" s="162">
        <v>37460</v>
      </c>
      <c r="Q158" s="162">
        <v>37262</v>
      </c>
      <c r="R158" s="162">
        <v>37016</v>
      </c>
      <c r="S158" s="163">
        <v>37.4</v>
      </c>
      <c r="T158" s="163">
        <v>37.1</v>
      </c>
      <c r="U158" s="163">
        <v>36.799999999999997</v>
      </c>
      <c r="V158" s="163">
        <v>36.299999999999997</v>
      </c>
      <c r="W158" s="163">
        <v>35.700000000000003</v>
      </c>
      <c r="X158" s="163">
        <v>35.1</v>
      </c>
      <c r="Y158" s="163"/>
      <c r="Z158" s="163"/>
      <c r="AA158" s="163"/>
    </row>
    <row r="159" spans="1:27" x14ac:dyDescent="0.25">
      <c r="A159" t="s">
        <v>518</v>
      </c>
      <c r="B159" s="95" t="s">
        <v>263</v>
      </c>
      <c r="C159" s="73">
        <f t="shared" si="5"/>
        <v>-9.8863074641621367E-4</v>
      </c>
      <c r="D159" t="s">
        <v>467</v>
      </c>
      <c r="E159" s="73">
        <f t="shared" si="4"/>
        <v>4.8657718120805368E-2</v>
      </c>
      <c r="F159" s="162">
        <v>11560</v>
      </c>
      <c r="G159" s="162"/>
      <c r="H159" s="162">
        <v>1375</v>
      </c>
      <c r="I159" s="68">
        <v>1305</v>
      </c>
      <c r="J159" s="68">
        <v>1265</v>
      </c>
      <c r="K159" s="68">
        <v>1180</v>
      </c>
      <c r="L159" s="68">
        <v>1125</v>
      </c>
      <c r="M159" s="68">
        <v>1085</v>
      </c>
      <c r="N159" s="84" t="s">
        <v>263</v>
      </c>
      <c r="O159" s="162">
        <v>11498</v>
      </c>
      <c r="P159" s="162">
        <v>11482</v>
      </c>
      <c r="Q159" s="162">
        <v>11565</v>
      </c>
      <c r="R159" s="162">
        <v>11560</v>
      </c>
      <c r="S159" s="163">
        <v>11.4</v>
      </c>
      <c r="T159" s="163">
        <v>11.4</v>
      </c>
      <c r="U159" s="163">
        <v>11.4</v>
      </c>
      <c r="V159" s="163">
        <v>11.4</v>
      </c>
      <c r="W159" s="163">
        <v>11.6</v>
      </c>
      <c r="X159" s="163">
        <v>11.8</v>
      </c>
      <c r="Y159" s="163"/>
      <c r="Z159" s="163"/>
      <c r="AA159" s="163"/>
    </row>
    <row r="160" spans="1:27" x14ac:dyDescent="0.25">
      <c r="A160" t="s">
        <v>521</v>
      </c>
      <c r="B160" s="95" t="s">
        <v>302</v>
      </c>
      <c r="C160" s="73">
        <f t="shared" si="5"/>
        <v>6.8868559308061473E-3</v>
      </c>
      <c r="D160" t="s">
        <v>467</v>
      </c>
      <c r="E160" s="73">
        <f t="shared" si="4"/>
        <v>4.1040674239648224E-2</v>
      </c>
      <c r="F160" s="162">
        <v>64118</v>
      </c>
      <c r="G160" s="162"/>
      <c r="H160" s="162">
        <v>6170</v>
      </c>
      <c r="I160" s="68">
        <v>5900</v>
      </c>
      <c r="J160" s="68">
        <v>5680</v>
      </c>
      <c r="K160" s="68">
        <v>5460</v>
      </c>
      <c r="L160" s="68">
        <v>5200</v>
      </c>
      <c r="M160" s="68">
        <v>5050</v>
      </c>
      <c r="N160" s="84" t="s">
        <v>302</v>
      </c>
      <c r="O160" s="162">
        <v>61617</v>
      </c>
      <c r="P160" s="162">
        <v>62306</v>
      </c>
      <c r="Q160" s="162">
        <v>63363</v>
      </c>
      <c r="R160" s="162">
        <v>64118</v>
      </c>
      <c r="S160" s="163">
        <v>64.400000000000006</v>
      </c>
      <c r="T160" s="163">
        <v>67.599999999999994</v>
      </c>
      <c r="U160" s="163">
        <v>70.3</v>
      </c>
      <c r="V160" s="163">
        <v>72</v>
      </c>
      <c r="W160" s="163">
        <v>73.3</v>
      </c>
      <c r="X160" s="163">
        <v>74.3</v>
      </c>
      <c r="Y160" s="163"/>
      <c r="Z160" s="163"/>
      <c r="AA160" s="163"/>
    </row>
    <row r="161" spans="1:27" x14ac:dyDescent="0.25">
      <c r="A161" t="s">
        <v>518</v>
      </c>
      <c r="B161" s="95" t="s">
        <v>265</v>
      </c>
      <c r="C161" s="73">
        <f t="shared" si="5"/>
        <v>-1.4005602240896359E-3</v>
      </c>
      <c r="D161" t="s">
        <v>467</v>
      </c>
      <c r="E161" s="73">
        <f t="shared" si="4"/>
        <v>2.3041474654377881E-2</v>
      </c>
      <c r="F161" s="162">
        <v>11526</v>
      </c>
      <c r="G161" s="162"/>
      <c r="H161" s="162">
        <v>1900</v>
      </c>
      <c r="I161" s="68">
        <v>1805</v>
      </c>
      <c r="J161" s="68">
        <v>1770</v>
      </c>
      <c r="K161" s="68">
        <v>1720</v>
      </c>
      <c r="L161" s="68">
        <v>1685</v>
      </c>
      <c r="M161" s="68">
        <v>1700</v>
      </c>
      <c r="N161" s="84" t="s">
        <v>265</v>
      </c>
      <c r="O161" s="162">
        <v>11198</v>
      </c>
      <c r="P161" s="162">
        <v>11271</v>
      </c>
      <c r="Q161" s="162">
        <v>11398</v>
      </c>
      <c r="R161" s="162">
        <v>11526</v>
      </c>
      <c r="S161" s="163">
        <v>11</v>
      </c>
      <c r="T161" s="163">
        <v>11.1</v>
      </c>
      <c r="U161" s="163">
        <v>11.3</v>
      </c>
      <c r="V161" s="163">
        <v>11.5</v>
      </c>
      <c r="W161" s="163">
        <v>11.7</v>
      </c>
      <c r="X161" s="163">
        <v>11.9</v>
      </c>
      <c r="Y161" s="163"/>
      <c r="Z161" s="163"/>
      <c r="AA161" s="163"/>
    </row>
    <row r="162" spans="1:27" x14ac:dyDescent="0.25">
      <c r="A162" t="s">
        <v>520</v>
      </c>
      <c r="B162" s="95" t="s">
        <v>132</v>
      </c>
      <c r="C162" s="73">
        <f t="shared" si="5"/>
        <v>1.1894328283460623E-3</v>
      </c>
      <c r="D162" t="s">
        <v>441</v>
      </c>
      <c r="E162" s="73">
        <f t="shared" si="4"/>
        <v>3.5788845809722636E-2</v>
      </c>
      <c r="F162" s="162">
        <v>125510</v>
      </c>
      <c r="G162" s="162"/>
      <c r="H162" s="162">
        <v>9740</v>
      </c>
      <c r="I162" s="68">
        <v>9287</v>
      </c>
      <c r="J162" s="68">
        <v>9044</v>
      </c>
      <c r="K162" s="75">
        <v>8733.5</v>
      </c>
      <c r="L162" s="75">
        <v>8344.5</v>
      </c>
      <c r="M162" s="68">
        <v>8180</v>
      </c>
      <c r="N162" s="84" t="s">
        <v>132</v>
      </c>
      <c r="O162" s="162">
        <v>123114</v>
      </c>
      <c r="P162" s="162">
        <v>124137</v>
      </c>
      <c r="Q162" s="162">
        <v>124481</v>
      </c>
      <c r="R162" s="162">
        <v>125510</v>
      </c>
      <c r="S162" s="163">
        <v>125.8</v>
      </c>
      <c r="T162" s="163">
        <v>127.5</v>
      </c>
      <c r="U162" s="163">
        <v>127.6</v>
      </c>
      <c r="V162" s="163">
        <v>126.3</v>
      </c>
      <c r="W162" s="163">
        <v>124.5</v>
      </c>
      <c r="X162" s="163">
        <v>122.8</v>
      </c>
      <c r="Y162" s="163"/>
      <c r="Z162" s="163"/>
      <c r="AA162" s="163"/>
    </row>
    <row r="163" spans="1:27" x14ac:dyDescent="0.25">
      <c r="A163" t="s">
        <v>521</v>
      </c>
      <c r="B163" s="95" t="s">
        <v>303</v>
      </c>
      <c r="C163" s="73">
        <f t="shared" si="5"/>
        <v>9.5923261390887284E-3</v>
      </c>
      <c r="D163" t="s">
        <v>441</v>
      </c>
      <c r="E163" s="73">
        <f t="shared" si="4"/>
        <v>3.786672731407778E-2</v>
      </c>
      <c r="F163" s="162">
        <v>125100</v>
      </c>
      <c r="G163" s="162"/>
      <c r="H163" s="162">
        <v>9955</v>
      </c>
      <c r="I163" s="68">
        <v>9365</v>
      </c>
      <c r="J163" s="68">
        <v>9105</v>
      </c>
      <c r="K163" s="68">
        <v>8775</v>
      </c>
      <c r="L163" s="68">
        <v>8435</v>
      </c>
      <c r="M163" s="68">
        <v>8290</v>
      </c>
      <c r="N163" s="84" t="s">
        <v>303</v>
      </c>
      <c r="O163" s="162">
        <v>124797</v>
      </c>
      <c r="P163" s="162">
        <v>125409</v>
      </c>
      <c r="Q163" s="162">
        <v>124093</v>
      </c>
      <c r="R163" s="162">
        <v>125100</v>
      </c>
      <c r="S163" s="163">
        <v>132.6</v>
      </c>
      <c r="T163" s="163">
        <v>138</v>
      </c>
      <c r="U163" s="163">
        <v>141.9</v>
      </c>
      <c r="V163" s="163">
        <v>145.19999999999999</v>
      </c>
      <c r="W163" s="163">
        <v>148.19999999999999</v>
      </c>
      <c r="X163" s="163">
        <v>151</v>
      </c>
      <c r="Y163" s="163"/>
      <c r="Z163" s="163"/>
      <c r="AA163" s="163"/>
    </row>
    <row r="164" spans="1:27" x14ac:dyDescent="0.25">
      <c r="A164" t="s">
        <v>521</v>
      </c>
      <c r="B164" s="95" t="s">
        <v>304</v>
      </c>
      <c r="C164" s="73">
        <f t="shared" si="5"/>
        <v>4.0030796922388631E-3</v>
      </c>
      <c r="D164" t="s">
        <v>467</v>
      </c>
      <c r="E164" s="73">
        <f t="shared" si="4"/>
        <v>3.8314176245210725E-2</v>
      </c>
      <c r="F164" s="162">
        <v>27461</v>
      </c>
      <c r="G164" s="162"/>
      <c r="H164" s="162">
        <v>2055</v>
      </c>
      <c r="I164" s="68">
        <v>1940</v>
      </c>
      <c r="J164" s="68">
        <v>1915</v>
      </c>
      <c r="K164" s="68">
        <v>1820</v>
      </c>
      <c r="L164" s="68">
        <v>1755</v>
      </c>
      <c r="M164" s="68">
        <v>1705</v>
      </c>
      <c r="N164" s="84" t="s">
        <v>304</v>
      </c>
      <c r="O164" s="162">
        <v>27122</v>
      </c>
      <c r="P164" s="162">
        <v>27084</v>
      </c>
      <c r="Q164" s="162">
        <v>27377</v>
      </c>
      <c r="R164" s="162">
        <v>27461</v>
      </c>
      <c r="S164" s="163">
        <v>28</v>
      </c>
      <c r="T164" s="163">
        <v>28.5</v>
      </c>
      <c r="U164" s="163">
        <v>29</v>
      </c>
      <c r="V164" s="163">
        <v>29.5</v>
      </c>
      <c r="W164" s="163">
        <v>29.9</v>
      </c>
      <c r="X164" s="163">
        <v>30</v>
      </c>
      <c r="Y164" s="163"/>
      <c r="Z164" s="163"/>
      <c r="AA164" s="163"/>
    </row>
    <row r="165" spans="1:27" x14ac:dyDescent="0.25">
      <c r="A165" t="s">
        <v>521</v>
      </c>
      <c r="B165" s="95" t="s">
        <v>305</v>
      </c>
      <c r="C165" s="73">
        <f t="shared" si="5"/>
        <v>2.0986476210356807E-3</v>
      </c>
      <c r="D165" t="s">
        <v>118</v>
      </c>
      <c r="E165" s="73">
        <f t="shared" si="4"/>
        <v>3.2679738562091505E-2</v>
      </c>
      <c r="F165" s="162">
        <v>76648</v>
      </c>
      <c r="G165" s="162"/>
      <c r="H165" s="162">
        <v>5895</v>
      </c>
      <c r="I165" s="68">
        <v>5755</v>
      </c>
      <c r="J165" s="68">
        <v>5600</v>
      </c>
      <c r="K165" s="68">
        <v>5325</v>
      </c>
      <c r="L165" s="68">
        <v>5075</v>
      </c>
      <c r="M165" s="68">
        <v>5020</v>
      </c>
      <c r="N165" s="84" t="s">
        <v>305</v>
      </c>
      <c r="O165" s="162">
        <v>75405</v>
      </c>
      <c r="P165" s="162">
        <v>76541</v>
      </c>
      <c r="Q165" s="162">
        <v>76433</v>
      </c>
      <c r="R165" s="162">
        <v>76648</v>
      </c>
      <c r="S165" s="163">
        <v>76.8</v>
      </c>
      <c r="T165" s="163">
        <v>77.5</v>
      </c>
      <c r="U165" s="163">
        <v>78.900000000000006</v>
      </c>
      <c r="V165" s="163">
        <v>80.099999999999994</v>
      </c>
      <c r="W165" s="163">
        <v>81.3</v>
      </c>
      <c r="X165" s="163">
        <v>82.3</v>
      </c>
      <c r="Y165" s="163"/>
      <c r="Z165" s="163"/>
      <c r="AA165" s="163"/>
    </row>
    <row r="166" spans="1:27" x14ac:dyDescent="0.25">
      <c r="A166" t="s">
        <v>523</v>
      </c>
      <c r="B166" s="95" t="s">
        <v>431</v>
      </c>
      <c r="C166" s="73">
        <f t="shared" si="5"/>
        <v>2.9926845488805142E-3</v>
      </c>
      <c r="D166" t="s">
        <v>441</v>
      </c>
      <c r="E166" s="73">
        <f t="shared" si="4"/>
        <v>2.8872752420470264E-2</v>
      </c>
      <c r="F166" s="162">
        <v>81198</v>
      </c>
      <c r="G166" s="162"/>
      <c r="H166" s="162">
        <v>6360</v>
      </c>
      <c r="I166" s="68">
        <v>6115</v>
      </c>
      <c r="J166" s="68">
        <v>5980</v>
      </c>
      <c r="K166" s="68">
        <v>5765</v>
      </c>
      <c r="L166" s="68">
        <v>5535</v>
      </c>
      <c r="M166" s="68">
        <v>5525</v>
      </c>
      <c r="N166" s="84" t="s">
        <v>431</v>
      </c>
      <c r="O166" s="162">
        <v>77872</v>
      </c>
      <c r="P166" s="162">
        <v>78570</v>
      </c>
      <c r="Q166" s="162">
        <v>79811</v>
      </c>
      <c r="R166" s="162">
        <v>81198</v>
      </c>
      <c r="S166" s="163">
        <v>80.3</v>
      </c>
      <c r="T166" s="163">
        <v>82.4</v>
      </c>
      <c r="U166" s="163">
        <v>84.6</v>
      </c>
      <c r="V166" s="163">
        <v>86.6</v>
      </c>
      <c r="W166" s="163">
        <v>88.1</v>
      </c>
      <c r="X166" s="163">
        <v>89.5</v>
      </c>
      <c r="Y166" s="163"/>
      <c r="Z166" s="163"/>
      <c r="AA166" s="163"/>
    </row>
    <row r="167" spans="1:27" x14ac:dyDescent="0.25">
      <c r="A167" t="s">
        <v>526</v>
      </c>
      <c r="B167" s="95" t="s">
        <v>411</v>
      </c>
      <c r="C167" s="73">
        <f t="shared" si="5"/>
        <v>-3.0625588762535423E-3</v>
      </c>
      <c r="D167" t="s">
        <v>467</v>
      </c>
      <c r="E167" s="73">
        <f t="shared" si="4"/>
        <v>2.0226259856016456E-2</v>
      </c>
      <c r="F167" s="162">
        <v>35941</v>
      </c>
      <c r="G167" s="162"/>
      <c r="H167" s="162">
        <v>3115</v>
      </c>
      <c r="I167" s="68">
        <v>2985</v>
      </c>
      <c r="J167" s="68">
        <v>2975</v>
      </c>
      <c r="K167" s="68">
        <v>2920</v>
      </c>
      <c r="L167" s="68">
        <v>2885</v>
      </c>
      <c r="M167" s="68">
        <v>2820</v>
      </c>
      <c r="N167" s="84" t="s">
        <v>411</v>
      </c>
      <c r="O167" s="162">
        <v>35671</v>
      </c>
      <c r="P167" s="162">
        <v>35869</v>
      </c>
      <c r="Q167" s="162">
        <v>36045</v>
      </c>
      <c r="R167" s="162">
        <v>35941</v>
      </c>
      <c r="S167" s="163">
        <v>35.1</v>
      </c>
      <c r="T167" s="163">
        <v>34.700000000000003</v>
      </c>
      <c r="U167" s="163">
        <v>34.4</v>
      </c>
      <c r="V167" s="163">
        <v>34.1</v>
      </c>
      <c r="W167" s="163">
        <v>33.5</v>
      </c>
      <c r="X167" s="163">
        <v>32.9</v>
      </c>
      <c r="Y167" s="163"/>
      <c r="Z167" s="163"/>
      <c r="AA167" s="163"/>
    </row>
    <row r="168" spans="1:27" x14ac:dyDescent="0.25">
      <c r="A168" t="s">
        <v>524</v>
      </c>
      <c r="B168" s="95" t="s">
        <v>223</v>
      </c>
      <c r="C168" s="73">
        <f t="shared" si="5"/>
        <v>-1.3957253584687962E-5</v>
      </c>
      <c r="D168" t="s">
        <v>467</v>
      </c>
      <c r="E168" s="73">
        <f t="shared" si="4"/>
        <v>3.0723117272386663E-2</v>
      </c>
      <c r="F168" s="162">
        <v>30706</v>
      </c>
      <c r="G168" s="162"/>
      <c r="H168" s="162">
        <v>2935</v>
      </c>
      <c r="I168" s="68">
        <v>2845</v>
      </c>
      <c r="J168" s="68">
        <v>2770</v>
      </c>
      <c r="K168" s="68">
        <v>2655</v>
      </c>
      <c r="L168" s="68">
        <v>2550</v>
      </c>
      <c r="M168" s="68">
        <v>2525</v>
      </c>
      <c r="N168" s="84" t="s">
        <v>223</v>
      </c>
      <c r="O168" s="162">
        <v>30028</v>
      </c>
      <c r="P168" s="162">
        <v>30352</v>
      </c>
      <c r="Q168" s="162">
        <v>30544</v>
      </c>
      <c r="R168" s="162">
        <v>30706</v>
      </c>
      <c r="S168" s="163">
        <v>30</v>
      </c>
      <c r="T168" s="163">
        <v>30.1</v>
      </c>
      <c r="U168" s="163">
        <v>30.7</v>
      </c>
      <c r="V168" s="163">
        <v>31.3</v>
      </c>
      <c r="W168" s="163">
        <v>31.8</v>
      </c>
      <c r="X168" s="163">
        <v>32.1</v>
      </c>
      <c r="Y168" s="163"/>
      <c r="Z168" s="163"/>
      <c r="AA168" s="163"/>
    </row>
    <row r="169" spans="1:27" x14ac:dyDescent="0.25">
      <c r="A169" t="s">
        <v>519</v>
      </c>
      <c r="B169" s="95" t="s">
        <v>187</v>
      </c>
      <c r="C169" s="73">
        <f t="shared" si="5"/>
        <v>-2.6902242512538664E-3</v>
      </c>
      <c r="D169" t="s">
        <v>467</v>
      </c>
      <c r="E169" s="73">
        <f t="shared" si="4"/>
        <v>2.7339003645200487E-2</v>
      </c>
      <c r="F169" s="162">
        <v>46969</v>
      </c>
      <c r="G169" s="162"/>
      <c r="H169" s="162">
        <v>3600</v>
      </c>
      <c r="I169" s="68">
        <v>3475</v>
      </c>
      <c r="J169" s="68">
        <v>3370</v>
      </c>
      <c r="K169" s="68">
        <v>3270</v>
      </c>
      <c r="L169" s="68">
        <v>3195</v>
      </c>
      <c r="M169" s="68">
        <v>3150</v>
      </c>
      <c r="N169" s="84" t="s">
        <v>187</v>
      </c>
      <c r="O169" s="162">
        <v>46466</v>
      </c>
      <c r="P169" s="162">
        <v>46613</v>
      </c>
      <c r="Q169" s="162">
        <v>46822</v>
      </c>
      <c r="R169" s="162">
        <v>46969</v>
      </c>
      <c r="S169" s="163">
        <v>45.8</v>
      </c>
      <c r="T169" s="163">
        <v>45.5</v>
      </c>
      <c r="U169" s="163">
        <v>45.2</v>
      </c>
      <c r="V169" s="163">
        <v>45</v>
      </c>
      <c r="W169" s="163">
        <v>44.7</v>
      </c>
      <c r="X169" s="163">
        <v>44.1</v>
      </c>
      <c r="Y169" s="163"/>
      <c r="Z169" s="163"/>
      <c r="AA169" s="163"/>
    </row>
    <row r="170" spans="1:27" x14ac:dyDescent="0.25">
      <c r="A170" t="s">
        <v>518</v>
      </c>
      <c r="B170" s="95" t="s">
        <v>306</v>
      </c>
      <c r="C170" s="73">
        <f t="shared" si="5"/>
        <v>1.2043405924859079E-3</v>
      </c>
      <c r="D170" t="s">
        <v>467</v>
      </c>
      <c r="E170" s="73">
        <f t="shared" si="4"/>
        <v>2.3834196891191709E-2</v>
      </c>
      <c r="F170" s="162">
        <v>23012</v>
      </c>
      <c r="G170" s="162"/>
      <c r="H170" s="162">
        <v>2065</v>
      </c>
      <c r="I170" s="68">
        <v>2040</v>
      </c>
      <c r="J170" s="68">
        <v>1975</v>
      </c>
      <c r="K170" s="68">
        <v>1940</v>
      </c>
      <c r="L170" s="68">
        <v>1860</v>
      </c>
      <c r="M170" s="68">
        <v>1835</v>
      </c>
      <c r="N170" s="84" t="s">
        <v>306</v>
      </c>
      <c r="O170" s="162">
        <v>22807</v>
      </c>
      <c r="P170" s="162">
        <v>22891</v>
      </c>
      <c r="Q170" s="162">
        <v>22982</v>
      </c>
      <c r="R170" s="162">
        <v>23012</v>
      </c>
      <c r="S170" s="163">
        <v>23</v>
      </c>
      <c r="T170" s="163">
        <v>23.2</v>
      </c>
      <c r="U170" s="163">
        <v>23.4</v>
      </c>
      <c r="V170" s="163">
        <v>23.4</v>
      </c>
      <c r="W170" s="163">
        <v>23.4</v>
      </c>
      <c r="X170" s="163">
        <v>23.4</v>
      </c>
      <c r="Y170" s="163"/>
      <c r="Z170" s="163"/>
      <c r="AA170" s="163"/>
    </row>
    <row r="171" spans="1:27" x14ac:dyDescent="0.25">
      <c r="A171" t="s">
        <v>519</v>
      </c>
      <c r="B171" s="95" t="s">
        <v>188</v>
      </c>
      <c r="C171" s="73">
        <f t="shared" si="5"/>
        <v>-1.1970800471284753E-3</v>
      </c>
      <c r="D171" t="s">
        <v>467</v>
      </c>
      <c r="E171" s="73">
        <f t="shared" si="4"/>
        <v>2.9239766081871343E-2</v>
      </c>
      <c r="F171" s="162">
        <v>34071</v>
      </c>
      <c r="G171" s="162"/>
      <c r="H171" s="162">
        <v>3540</v>
      </c>
      <c r="I171" s="68">
        <v>3475</v>
      </c>
      <c r="J171" s="68">
        <v>3345</v>
      </c>
      <c r="K171" s="68">
        <v>3235</v>
      </c>
      <c r="L171" s="68">
        <v>3125</v>
      </c>
      <c r="M171" s="68">
        <v>3065</v>
      </c>
      <c r="N171" s="84" t="s">
        <v>188</v>
      </c>
      <c r="O171" s="162">
        <v>33600</v>
      </c>
      <c r="P171" s="162">
        <v>33691</v>
      </c>
      <c r="Q171" s="162">
        <v>33948</v>
      </c>
      <c r="R171" s="162">
        <v>34071</v>
      </c>
      <c r="S171" s="163">
        <v>33.4</v>
      </c>
      <c r="T171" s="163">
        <v>33.4</v>
      </c>
      <c r="U171" s="163">
        <v>33.5</v>
      </c>
      <c r="V171" s="163">
        <v>32.799999999999997</v>
      </c>
      <c r="W171" s="163">
        <v>31.9</v>
      </c>
      <c r="X171" s="163">
        <v>30.8</v>
      </c>
      <c r="Y171" s="163"/>
      <c r="Z171" s="163"/>
      <c r="AA171" s="163"/>
    </row>
    <row r="172" spans="1:27" x14ac:dyDescent="0.25">
      <c r="A172" t="s">
        <v>517</v>
      </c>
      <c r="B172" s="95" t="s">
        <v>377</v>
      </c>
      <c r="C172" s="73">
        <f t="shared" si="5"/>
        <v>2.4910304873284974E-3</v>
      </c>
      <c r="D172" t="s">
        <v>467</v>
      </c>
      <c r="E172" s="73">
        <f t="shared" si="4"/>
        <v>2.3773394031360646E-2</v>
      </c>
      <c r="F172" s="162">
        <v>23771</v>
      </c>
      <c r="G172" s="162"/>
      <c r="H172" s="162">
        <v>2140</v>
      </c>
      <c r="I172" s="68">
        <v>2070</v>
      </c>
      <c r="J172" s="68">
        <v>2015</v>
      </c>
      <c r="K172" s="68">
        <v>1975</v>
      </c>
      <c r="L172" s="68">
        <v>1920</v>
      </c>
      <c r="M172" s="68">
        <v>1905</v>
      </c>
      <c r="N172" s="84" t="s">
        <v>377</v>
      </c>
      <c r="O172" s="162">
        <v>23333</v>
      </c>
      <c r="P172" s="162">
        <v>23400</v>
      </c>
      <c r="Q172" s="162">
        <v>23504</v>
      </c>
      <c r="R172" s="162">
        <v>23771</v>
      </c>
      <c r="S172" s="163">
        <v>23.8</v>
      </c>
      <c r="T172" s="163">
        <v>24.1</v>
      </c>
      <c r="U172" s="163">
        <v>24.6</v>
      </c>
      <c r="V172" s="163">
        <v>25</v>
      </c>
      <c r="W172" s="163">
        <v>25.2</v>
      </c>
      <c r="X172" s="163">
        <v>25.4</v>
      </c>
      <c r="Y172" s="163"/>
      <c r="Z172" s="163"/>
      <c r="AA172" s="163"/>
    </row>
    <row r="173" spans="1:27" x14ac:dyDescent="0.25">
      <c r="A173" t="s">
        <v>519</v>
      </c>
      <c r="B173" s="95" t="s">
        <v>224</v>
      </c>
      <c r="C173" s="73">
        <f t="shared" si="5"/>
        <v>-3.504488895889116E-3</v>
      </c>
      <c r="D173" t="s">
        <v>467</v>
      </c>
      <c r="E173" s="73">
        <f t="shared" si="4"/>
        <v>2.8945554789800137E-2</v>
      </c>
      <c r="F173" s="162">
        <v>14512</v>
      </c>
      <c r="G173" s="162"/>
      <c r="H173" s="162">
        <v>1595</v>
      </c>
      <c r="I173" s="68">
        <v>1540</v>
      </c>
      <c r="J173" s="68">
        <v>1495</v>
      </c>
      <c r="K173" s="68">
        <v>1440</v>
      </c>
      <c r="L173" s="68">
        <v>1395</v>
      </c>
      <c r="M173" s="68">
        <v>1385</v>
      </c>
      <c r="N173" s="84" t="s">
        <v>224</v>
      </c>
      <c r="O173" s="162">
        <v>14477</v>
      </c>
      <c r="P173" s="162">
        <v>14447</v>
      </c>
      <c r="Q173" s="162">
        <v>14456</v>
      </c>
      <c r="R173" s="162">
        <v>14512</v>
      </c>
      <c r="S173" s="163">
        <v>13.8</v>
      </c>
      <c r="T173" s="163">
        <v>13.7</v>
      </c>
      <c r="U173" s="163">
        <v>13.8</v>
      </c>
      <c r="V173" s="163">
        <v>13.9</v>
      </c>
      <c r="W173" s="163">
        <v>14.1</v>
      </c>
      <c r="X173" s="163">
        <v>14.1</v>
      </c>
      <c r="Y173" s="163"/>
      <c r="Z173" s="163"/>
      <c r="AA173" s="163"/>
    </row>
    <row r="174" spans="1:27" x14ac:dyDescent="0.25">
      <c r="A174" t="s">
        <v>522</v>
      </c>
      <c r="B174" s="95" t="s">
        <v>152</v>
      </c>
      <c r="C174" s="73">
        <f t="shared" si="5"/>
        <v>-5.8040550998297476E-3</v>
      </c>
      <c r="D174" t="s">
        <v>118</v>
      </c>
      <c r="E174" s="73">
        <f t="shared" si="4"/>
        <v>3.0895334174022699E-2</v>
      </c>
      <c r="F174" s="162">
        <v>23075</v>
      </c>
      <c r="G174" s="162"/>
      <c r="H174" s="162">
        <v>1755</v>
      </c>
      <c r="I174" s="68">
        <v>1690</v>
      </c>
      <c r="J174" s="68">
        <v>1640</v>
      </c>
      <c r="K174" s="68">
        <v>1585</v>
      </c>
      <c r="L174" s="68">
        <v>1505</v>
      </c>
      <c r="M174" s="68">
        <v>1510</v>
      </c>
      <c r="N174" s="84" t="s">
        <v>152</v>
      </c>
      <c r="O174" s="162">
        <v>22614</v>
      </c>
      <c r="P174" s="162">
        <v>22666</v>
      </c>
      <c r="Q174" s="162">
        <v>22888</v>
      </c>
      <c r="R174" s="162">
        <v>23075</v>
      </c>
      <c r="S174" s="163">
        <v>21.8</v>
      </c>
      <c r="T174" s="163">
        <v>21.4</v>
      </c>
      <c r="U174" s="163">
        <v>21.2</v>
      </c>
      <c r="V174" s="163">
        <v>21</v>
      </c>
      <c r="W174" s="163">
        <v>20.7</v>
      </c>
      <c r="X174" s="163">
        <v>20.399999999999999</v>
      </c>
      <c r="Y174" s="163"/>
      <c r="Z174" s="163"/>
      <c r="AA174" s="163"/>
    </row>
    <row r="175" spans="1:27" x14ac:dyDescent="0.25">
      <c r="A175" t="s">
        <v>519</v>
      </c>
      <c r="B175" s="95" t="s">
        <v>189</v>
      </c>
      <c r="C175" s="73">
        <f t="shared" si="5"/>
        <v>8.0917475374768304E-4</v>
      </c>
      <c r="D175" t="s">
        <v>467</v>
      </c>
      <c r="E175" s="73">
        <f t="shared" si="4"/>
        <v>2.1940349674322936E-2</v>
      </c>
      <c r="F175" s="162">
        <v>25511</v>
      </c>
      <c r="G175" s="162"/>
      <c r="H175" s="162">
        <v>3125</v>
      </c>
      <c r="I175" s="68">
        <v>3035</v>
      </c>
      <c r="J175" s="68">
        <v>2995</v>
      </c>
      <c r="K175" s="68">
        <v>2925</v>
      </c>
      <c r="L175" s="68">
        <v>2825</v>
      </c>
      <c r="M175" s="68">
        <v>2805</v>
      </c>
      <c r="N175" s="84" t="s">
        <v>189</v>
      </c>
      <c r="O175" s="162">
        <v>24703</v>
      </c>
      <c r="P175" s="162">
        <v>24911</v>
      </c>
      <c r="Q175" s="162">
        <v>25452</v>
      </c>
      <c r="R175" s="162">
        <v>25511</v>
      </c>
      <c r="S175" s="163">
        <v>25.4</v>
      </c>
      <c r="T175" s="163">
        <v>25.7</v>
      </c>
      <c r="U175" s="163">
        <v>25.8</v>
      </c>
      <c r="V175" s="163">
        <v>25.8</v>
      </c>
      <c r="W175" s="163">
        <v>25.8</v>
      </c>
      <c r="X175" s="163">
        <v>25.7</v>
      </c>
      <c r="Y175" s="163"/>
      <c r="Z175" s="163"/>
      <c r="AA175" s="163"/>
    </row>
    <row r="176" spans="1:27" x14ac:dyDescent="0.25">
      <c r="A176" t="s">
        <v>526</v>
      </c>
      <c r="B176" s="95" t="s">
        <v>412</v>
      </c>
      <c r="C176" s="73">
        <f t="shared" si="5"/>
        <v>-3.94777521463055E-3</v>
      </c>
      <c r="D176" t="s">
        <v>118</v>
      </c>
      <c r="E176" s="73">
        <f t="shared" si="4"/>
        <v>1.9736842105263157E-2</v>
      </c>
      <c r="F176" s="162">
        <v>24028</v>
      </c>
      <c r="G176" s="162"/>
      <c r="H176" s="162">
        <v>2105</v>
      </c>
      <c r="I176" s="68">
        <v>2055</v>
      </c>
      <c r="J176" s="68">
        <v>2005</v>
      </c>
      <c r="K176" s="68">
        <v>1975</v>
      </c>
      <c r="L176" s="68">
        <v>1935</v>
      </c>
      <c r="M176" s="68">
        <v>1910</v>
      </c>
      <c r="N176" s="84" t="s">
        <v>412</v>
      </c>
      <c r="O176" s="162">
        <v>23718</v>
      </c>
      <c r="P176" s="162">
        <v>23937</v>
      </c>
      <c r="Q176" s="162">
        <v>23947</v>
      </c>
      <c r="R176" s="162">
        <v>24028</v>
      </c>
      <c r="S176" s="163">
        <v>23.1</v>
      </c>
      <c r="T176" s="163">
        <v>22.8</v>
      </c>
      <c r="U176" s="163">
        <v>22.7</v>
      </c>
      <c r="V176" s="163">
        <v>22.2</v>
      </c>
      <c r="W176" s="163">
        <v>21.6</v>
      </c>
      <c r="X176" s="163">
        <v>20.9</v>
      </c>
      <c r="Y176" s="163"/>
      <c r="Z176" s="163"/>
      <c r="AA176" s="163"/>
    </row>
    <row r="177" spans="1:27" x14ac:dyDescent="0.25">
      <c r="A177" t="s">
        <v>517</v>
      </c>
      <c r="B177" s="95" t="s">
        <v>869</v>
      </c>
      <c r="C177" s="73">
        <f t="shared" si="5"/>
        <v>-2.2389100545413171E-4</v>
      </c>
      <c r="D177" t="s">
        <v>118</v>
      </c>
      <c r="E177" s="73">
        <v>2.3773584905660377E-2</v>
      </c>
      <c r="F177" s="162">
        <v>58383</v>
      </c>
      <c r="G177" s="162"/>
      <c r="H177" s="162">
        <v>5700</v>
      </c>
      <c r="I177" s="68">
        <v>5570</v>
      </c>
      <c r="J177" s="68">
        <v>5455</v>
      </c>
      <c r="K177" s="68">
        <v>5280</v>
      </c>
      <c r="L177" s="68">
        <v>5125</v>
      </c>
      <c r="M177" s="68">
        <v>5070</v>
      </c>
      <c r="N177" s="84" t="s">
        <v>869</v>
      </c>
      <c r="O177" s="162">
        <v>57293</v>
      </c>
      <c r="P177" s="162">
        <v>57839</v>
      </c>
      <c r="Q177" s="162">
        <v>58108</v>
      </c>
      <c r="R177" s="162">
        <v>58383</v>
      </c>
      <c r="S177" s="163">
        <v>57.6</v>
      </c>
      <c r="T177" s="163">
        <v>58</v>
      </c>
      <c r="U177" s="163">
        <v>58.2</v>
      </c>
      <c r="V177" s="163">
        <v>58.300000000000004</v>
      </c>
      <c r="W177" s="163">
        <v>58.3</v>
      </c>
      <c r="X177" s="163">
        <v>58.2</v>
      </c>
      <c r="Y177" s="163"/>
      <c r="Z177" s="163"/>
      <c r="AA177" s="163"/>
    </row>
    <row r="178" spans="1:27" x14ac:dyDescent="0.25">
      <c r="A178" t="s">
        <v>521</v>
      </c>
      <c r="B178" s="95" t="s">
        <v>307</v>
      </c>
      <c r="C178" s="73">
        <f t="shared" si="5"/>
        <v>3.0371994176609379E-3</v>
      </c>
      <c r="D178" t="s">
        <v>118</v>
      </c>
      <c r="E178" s="73">
        <f t="shared" si="4"/>
        <v>3.5695538057742782E-2</v>
      </c>
      <c r="F178" s="162">
        <v>34148</v>
      </c>
      <c r="G178" s="162"/>
      <c r="H178" s="162">
        <v>2120</v>
      </c>
      <c r="I178" s="68">
        <v>2070</v>
      </c>
      <c r="J178" s="68">
        <v>1950</v>
      </c>
      <c r="K178" s="68">
        <v>1925</v>
      </c>
      <c r="L178" s="68">
        <v>1800</v>
      </c>
      <c r="M178" s="68">
        <v>1780</v>
      </c>
      <c r="N178" s="84" t="s">
        <v>307</v>
      </c>
      <c r="O178" s="162">
        <v>32786</v>
      </c>
      <c r="P178" s="162">
        <v>33168</v>
      </c>
      <c r="Q178" s="162">
        <v>33567</v>
      </c>
      <c r="R178" s="162">
        <v>34148</v>
      </c>
      <c r="S178" s="163">
        <v>34</v>
      </c>
      <c r="T178" s="163">
        <v>34.9</v>
      </c>
      <c r="U178" s="163">
        <v>35.6</v>
      </c>
      <c r="V178" s="163">
        <v>35.799999999999997</v>
      </c>
      <c r="W178" s="163">
        <v>35.9</v>
      </c>
      <c r="X178" s="163">
        <v>36</v>
      </c>
      <c r="Y178" s="163"/>
      <c r="Z178" s="163"/>
      <c r="AA178" s="163"/>
    </row>
    <row r="179" spans="1:27" x14ac:dyDescent="0.25">
      <c r="A179" t="s">
        <v>526</v>
      </c>
      <c r="B179" s="95" t="s">
        <v>413</v>
      </c>
      <c r="C179" s="73">
        <f t="shared" si="5"/>
        <v>1.5877209951920127E-3</v>
      </c>
      <c r="D179" t="s">
        <v>441</v>
      </c>
      <c r="E179" s="73">
        <f t="shared" si="4"/>
        <v>2.3803994426381793E-2</v>
      </c>
      <c r="F179" s="162">
        <v>121108</v>
      </c>
      <c r="G179" s="162"/>
      <c r="H179" s="162">
        <v>9320</v>
      </c>
      <c r="I179" s="68">
        <v>9035</v>
      </c>
      <c r="J179" s="68">
        <v>8800</v>
      </c>
      <c r="K179" s="68">
        <v>8540</v>
      </c>
      <c r="L179" s="68">
        <v>8390</v>
      </c>
      <c r="M179" s="68">
        <v>8295</v>
      </c>
      <c r="N179" s="84" t="s">
        <v>413</v>
      </c>
      <c r="O179" s="162">
        <v>121623</v>
      </c>
      <c r="P179" s="162">
        <v>121898</v>
      </c>
      <c r="Q179" s="162">
        <v>120227</v>
      </c>
      <c r="R179" s="162">
        <v>121108</v>
      </c>
      <c r="S179" s="163">
        <v>121.9</v>
      </c>
      <c r="T179" s="163">
        <v>123</v>
      </c>
      <c r="U179" s="163">
        <v>123.8</v>
      </c>
      <c r="V179" s="163">
        <v>124.2</v>
      </c>
      <c r="W179" s="163">
        <v>124.4</v>
      </c>
      <c r="X179" s="163">
        <v>124.5</v>
      </c>
      <c r="Y179" s="163"/>
      <c r="Z179" s="163"/>
      <c r="AA179" s="163"/>
    </row>
    <row r="180" spans="1:27" x14ac:dyDescent="0.25">
      <c r="A180" t="s">
        <v>518</v>
      </c>
      <c r="B180" s="95" t="s">
        <v>266</v>
      </c>
      <c r="C180" s="73">
        <f t="shared" si="5"/>
        <v>-1.0215307245010216E-3</v>
      </c>
      <c r="D180" t="s">
        <v>118</v>
      </c>
      <c r="E180" s="73">
        <f t="shared" si="4"/>
        <v>2.7096472786732072E-2</v>
      </c>
      <c r="F180" s="162">
        <v>45450</v>
      </c>
      <c r="G180" s="162"/>
      <c r="H180" s="162">
        <v>4685</v>
      </c>
      <c r="I180" s="68">
        <v>4515</v>
      </c>
      <c r="J180" s="68">
        <v>4365</v>
      </c>
      <c r="K180" s="68">
        <v>4250</v>
      </c>
      <c r="L180" s="68">
        <v>4170</v>
      </c>
      <c r="M180" s="68">
        <v>4105</v>
      </c>
      <c r="N180" s="84" t="s">
        <v>266</v>
      </c>
      <c r="O180" s="162">
        <v>44833</v>
      </c>
      <c r="P180" s="162">
        <v>45107</v>
      </c>
      <c r="Q180" s="162">
        <v>45165</v>
      </c>
      <c r="R180" s="162">
        <v>45450</v>
      </c>
      <c r="S180" s="163">
        <v>45</v>
      </c>
      <c r="T180" s="163">
        <v>44.9</v>
      </c>
      <c r="U180" s="163">
        <v>44.8</v>
      </c>
      <c r="V180" s="163">
        <v>44.8</v>
      </c>
      <c r="W180" s="163">
        <v>44.8</v>
      </c>
      <c r="X180" s="163">
        <v>44.7</v>
      </c>
      <c r="Y180" s="163"/>
      <c r="Z180" s="163"/>
      <c r="AA180" s="163"/>
    </row>
    <row r="181" spans="1:27" x14ac:dyDescent="0.25">
      <c r="A181" t="s">
        <v>526</v>
      </c>
      <c r="B181" s="95" t="s">
        <v>414</v>
      </c>
      <c r="C181" s="73">
        <f t="shared" si="5"/>
        <v>-2.2371880621799897E-3</v>
      </c>
      <c r="D181" t="s">
        <v>118</v>
      </c>
      <c r="E181" s="73">
        <f t="shared" si="4"/>
        <v>2.8077753779697623E-2</v>
      </c>
      <c r="F181" s="162">
        <v>18582</v>
      </c>
      <c r="G181" s="162"/>
      <c r="H181" s="162">
        <v>1500</v>
      </c>
      <c r="I181" s="68">
        <v>1470</v>
      </c>
      <c r="J181" s="68">
        <v>1425</v>
      </c>
      <c r="K181" s="68">
        <v>1410</v>
      </c>
      <c r="L181" s="68">
        <v>1335</v>
      </c>
      <c r="M181" s="68">
        <v>1305</v>
      </c>
      <c r="N181" s="84" t="s">
        <v>414</v>
      </c>
      <c r="O181" s="162">
        <v>18923</v>
      </c>
      <c r="P181" s="162">
        <v>18837</v>
      </c>
      <c r="Q181" s="162">
        <v>18661</v>
      </c>
      <c r="R181" s="162">
        <v>18582</v>
      </c>
      <c r="S181" s="163">
        <v>18.7</v>
      </c>
      <c r="T181" s="163">
        <v>18.3</v>
      </c>
      <c r="U181" s="163">
        <v>18</v>
      </c>
      <c r="V181" s="163">
        <v>17.7</v>
      </c>
      <c r="W181" s="163">
        <v>17.2</v>
      </c>
      <c r="X181" s="163">
        <v>16.8</v>
      </c>
      <c r="Y181" s="163"/>
      <c r="Z181" s="163"/>
      <c r="AA181" s="163"/>
    </row>
    <row r="182" spans="1:27" x14ac:dyDescent="0.25">
      <c r="A182" t="s">
        <v>517</v>
      </c>
      <c r="B182" s="95" t="s">
        <v>587</v>
      </c>
      <c r="C182" s="73">
        <f t="shared" si="5"/>
        <v>1.2900860518524667E-3</v>
      </c>
      <c r="D182" t="s">
        <v>467</v>
      </c>
      <c r="E182" s="73">
        <f t="shared" si="4"/>
        <v>2.6499865482916329E-2</v>
      </c>
      <c r="F182" s="162">
        <v>82608</v>
      </c>
      <c r="G182" s="162"/>
      <c r="H182" s="162">
        <v>8105</v>
      </c>
      <c r="I182" s="68">
        <v>7780</v>
      </c>
      <c r="J182" s="68">
        <v>7620</v>
      </c>
      <c r="K182" s="68">
        <v>7425</v>
      </c>
      <c r="L182" s="68">
        <v>7225</v>
      </c>
      <c r="M182" s="68">
        <v>7120</v>
      </c>
      <c r="N182" s="84" t="s">
        <v>551</v>
      </c>
      <c r="O182" s="162">
        <v>80823</v>
      </c>
      <c r="P182" s="162">
        <v>81163</v>
      </c>
      <c r="Q182" s="162">
        <v>81647</v>
      </c>
      <c r="R182" s="162">
        <v>82608</v>
      </c>
      <c r="S182" s="163">
        <v>81.900000000000006</v>
      </c>
      <c r="T182" s="163">
        <v>82.8</v>
      </c>
      <c r="U182" s="163">
        <v>84.1</v>
      </c>
      <c r="V182" s="163">
        <v>85.4</v>
      </c>
      <c r="W182" s="163">
        <v>86.6</v>
      </c>
      <c r="X182" s="163">
        <v>87.5</v>
      </c>
      <c r="Y182" s="163"/>
      <c r="Z182" s="163"/>
      <c r="AA182" s="163"/>
    </row>
    <row r="183" spans="1:27" x14ac:dyDescent="0.25">
      <c r="A183" t="s">
        <v>516</v>
      </c>
      <c r="B183" s="95" t="s">
        <v>112</v>
      </c>
      <c r="C183" s="73">
        <f t="shared" si="5"/>
        <v>-1.3149892335256506E-4</v>
      </c>
      <c r="D183" t="s">
        <v>441</v>
      </c>
      <c r="E183" s="73">
        <f t="shared" si="4"/>
        <v>2.10016155088853E-2</v>
      </c>
      <c r="F183" s="162">
        <v>34764</v>
      </c>
      <c r="G183" s="162"/>
      <c r="H183" s="162">
        <v>2645</v>
      </c>
      <c r="I183" s="68">
        <v>2555</v>
      </c>
      <c r="J183" s="68">
        <v>2550</v>
      </c>
      <c r="K183" s="68">
        <v>2460</v>
      </c>
      <c r="L183" s="68">
        <v>2430</v>
      </c>
      <c r="M183" s="68">
        <v>2385</v>
      </c>
      <c r="N183" s="84" t="s">
        <v>112</v>
      </c>
      <c r="O183" s="162">
        <v>33573</v>
      </c>
      <c r="P183" s="162">
        <v>33888</v>
      </c>
      <c r="Q183" s="162">
        <v>34386</v>
      </c>
      <c r="R183" s="162">
        <v>34764</v>
      </c>
      <c r="S183" s="163">
        <v>34.5</v>
      </c>
      <c r="T183" s="163">
        <v>34.700000000000003</v>
      </c>
      <c r="U183" s="163">
        <v>34.700000000000003</v>
      </c>
      <c r="V183" s="163">
        <v>34.799999999999997</v>
      </c>
      <c r="W183" s="163">
        <v>34.700000000000003</v>
      </c>
      <c r="X183" s="163">
        <v>34.6</v>
      </c>
      <c r="Y183" s="163"/>
      <c r="Z183" s="163"/>
      <c r="AA183" s="163"/>
    </row>
    <row r="184" spans="1:27" x14ac:dyDescent="0.25">
      <c r="A184" t="s">
        <v>528</v>
      </c>
      <c r="B184" s="95" t="s">
        <v>334</v>
      </c>
      <c r="C184" s="73">
        <f t="shared" si="5"/>
        <v>1.6311341829368547E-3</v>
      </c>
      <c r="D184" t="s">
        <v>441</v>
      </c>
      <c r="E184" s="73">
        <f t="shared" si="4"/>
        <v>2.4891101431238332E-2</v>
      </c>
      <c r="F184" s="162">
        <v>49177</v>
      </c>
      <c r="G184" s="162"/>
      <c r="H184" s="162">
        <v>3465</v>
      </c>
      <c r="I184" s="68">
        <v>3350</v>
      </c>
      <c r="J184" s="68">
        <v>3310</v>
      </c>
      <c r="K184" s="68">
        <v>3210</v>
      </c>
      <c r="L184" s="68">
        <v>3135</v>
      </c>
      <c r="M184" s="68">
        <v>3065</v>
      </c>
      <c r="N184" s="84" t="s">
        <v>334</v>
      </c>
      <c r="O184" s="162">
        <v>48548</v>
      </c>
      <c r="P184" s="162">
        <v>48785</v>
      </c>
      <c r="Q184" s="162">
        <v>48964</v>
      </c>
      <c r="R184" s="162">
        <v>49177</v>
      </c>
      <c r="S184" s="163">
        <v>49.5</v>
      </c>
      <c r="T184" s="163">
        <v>50.1</v>
      </c>
      <c r="U184" s="163">
        <v>50.3</v>
      </c>
      <c r="V184" s="163">
        <v>50.6</v>
      </c>
      <c r="W184" s="163">
        <v>50.6</v>
      </c>
      <c r="X184" s="163">
        <v>50.5</v>
      </c>
      <c r="Y184" s="163"/>
      <c r="Z184" s="163"/>
      <c r="AA184" s="163"/>
    </row>
    <row r="185" spans="1:27" x14ac:dyDescent="0.25">
      <c r="A185" t="s">
        <v>516</v>
      </c>
      <c r="B185" s="95" t="s">
        <v>308</v>
      </c>
      <c r="C185" s="73">
        <f t="shared" si="5"/>
        <v>-6.6001760046934584E-4</v>
      </c>
      <c r="D185" t="s">
        <v>467</v>
      </c>
      <c r="E185" s="73">
        <f t="shared" si="4"/>
        <v>4.0170419963481439E-2</v>
      </c>
      <c r="F185" s="162">
        <v>19480</v>
      </c>
      <c r="G185" s="162"/>
      <c r="H185" s="162">
        <v>1865</v>
      </c>
      <c r="I185" s="68">
        <v>1750</v>
      </c>
      <c r="J185" s="68">
        <v>1705</v>
      </c>
      <c r="K185" s="68">
        <v>1645</v>
      </c>
      <c r="L185" s="68">
        <v>1580</v>
      </c>
      <c r="M185" s="68">
        <v>1535</v>
      </c>
      <c r="N185" s="84" t="s">
        <v>308</v>
      </c>
      <c r="O185" s="162">
        <v>19401</v>
      </c>
      <c r="P185" s="162">
        <v>19349</v>
      </c>
      <c r="Q185" s="162">
        <v>19414</v>
      </c>
      <c r="R185" s="162">
        <v>19480</v>
      </c>
      <c r="S185" s="163">
        <v>19.3</v>
      </c>
      <c r="T185" s="163">
        <v>19.399999999999999</v>
      </c>
      <c r="U185" s="163">
        <v>19.3</v>
      </c>
      <c r="V185" s="163">
        <v>19.3</v>
      </c>
      <c r="W185" s="163">
        <v>19.3</v>
      </c>
      <c r="X185" s="163">
        <v>19.3</v>
      </c>
      <c r="Y185" s="163"/>
      <c r="Z185" s="163"/>
      <c r="AA185" s="163"/>
    </row>
    <row r="186" spans="1:27" x14ac:dyDescent="0.25">
      <c r="A186" t="s">
        <v>521</v>
      </c>
      <c r="B186" s="95" t="s">
        <v>113</v>
      </c>
      <c r="C186" s="73">
        <f t="shared" si="5"/>
        <v>-3.9710823745036147E-3</v>
      </c>
      <c r="D186" t="s">
        <v>118</v>
      </c>
      <c r="E186" s="73">
        <f t="shared" si="4"/>
        <v>2.3731288791529755E-2</v>
      </c>
      <c r="F186" s="162">
        <v>33672</v>
      </c>
      <c r="G186" s="162"/>
      <c r="H186" s="162">
        <v>2940</v>
      </c>
      <c r="I186" s="68">
        <v>2865</v>
      </c>
      <c r="J186" s="68">
        <v>2815</v>
      </c>
      <c r="K186" s="68">
        <v>2735</v>
      </c>
      <c r="L186" s="68">
        <v>2665</v>
      </c>
      <c r="M186" s="68">
        <v>2615</v>
      </c>
      <c r="N186" s="84" t="s">
        <v>113</v>
      </c>
      <c r="O186" s="162">
        <v>33179</v>
      </c>
      <c r="P186" s="162">
        <v>33127</v>
      </c>
      <c r="Q186" s="162">
        <v>33381</v>
      </c>
      <c r="R186" s="162">
        <v>33672</v>
      </c>
      <c r="S186" s="163">
        <v>32.1</v>
      </c>
      <c r="T186" s="163">
        <v>31.7</v>
      </c>
      <c r="U186" s="163">
        <v>31.8</v>
      </c>
      <c r="V186" s="163">
        <v>31.8</v>
      </c>
      <c r="W186" s="163">
        <v>31.6</v>
      </c>
      <c r="X186" s="163">
        <v>31.3</v>
      </c>
      <c r="Y186" s="163"/>
      <c r="Z186" s="163"/>
      <c r="AA186" s="163"/>
    </row>
    <row r="187" spans="1:27" x14ac:dyDescent="0.25">
      <c r="A187" t="s">
        <v>525</v>
      </c>
      <c r="B187" s="95" t="s">
        <v>602</v>
      </c>
      <c r="C187" s="73">
        <f t="shared" si="5"/>
        <v>-1.7478825985970017E-3</v>
      </c>
      <c r="D187" t="s">
        <v>441</v>
      </c>
      <c r="E187" s="73">
        <f t="shared" si="4"/>
        <v>2.1227621483375959E-2</v>
      </c>
      <c r="F187" s="162">
        <v>60890</v>
      </c>
      <c r="G187" s="162"/>
      <c r="H187" s="162">
        <v>4145</v>
      </c>
      <c r="I187" s="68">
        <v>4095</v>
      </c>
      <c r="J187" s="68">
        <v>4055</v>
      </c>
      <c r="K187" s="68">
        <v>3895</v>
      </c>
      <c r="L187" s="68">
        <v>3775</v>
      </c>
      <c r="M187" s="68">
        <v>3730</v>
      </c>
      <c r="N187" s="84" t="s">
        <v>602</v>
      </c>
      <c r="O187" s="162">
        <v>60956</v>
      </c>
      <c r="P187" s="162">
        <v>60873</v>
      </c>
      <c r="Q187" s="162">
        <v>60726</v>
      </c>
      <c r="R187" s="162">
        <v>60890</v>
      </c>
      <c r="S187" s="163">
        <v>60.1</v>
      </c>
      <c r="T187" s="163">
        <v>59.6</v>
      </c>
      <c r="U187" s="163">
        <v>59.4</v>
      </c>
      <c r="V187" s="163">
        <v>59</v>
      </c>
      <c r="W187" s="163">
        <v>58.4</v>
      </c>
      <c r="X187" s="163">
        <v>57.7</v>
      </c>
      <c r="Y187" s="163"/>
      <c r="Z187" s="163"/>
      <c r="AA187" s="163"/>
    </row>
    <row r="188" spans="1:27" x14ac:dyDescent="0.25">
      <c r="A188" t="s">
        <v>517</v>
      </c>
      <c r="B188" s="95" t="s">
        <v>379</v>
      </c>
      <c r="C188" s="73">
        <f t="shared" si="5"/>
        <v>-1.9410562102313189E-3</v>
      </c>
      <c r="D188" t="s">
        <v>467</v>
      </c>
      <c r="E188" s="73">
        <f t="shared" si="4"/>
        <v>1.7064846416382253E-2</v>
      </c>
      <c r="F188" s="162">
        <v>37314</v>
      </c>
      <c r="G188" s="162"/>
      <c r="H188" s="162">
        <v>3690</v>
      </c>
      <c r="I188" s="68">
        <v>3585</v>
      </c>
      <c r="J188" s="68">
        <v>3565</v>
      </c>
      <c r="K188" s="68">
        <v>3560</v>
      </c>
      <c r="L188" s="68">
        <v>3480</v>
      </c>
      <c r="M188" s="68">
        <v>3390</v>
      </c>
      <c r="N188" s="84" t="s">
        <v>379</v>
      </c>
      <c r="O188" s="162">
        <v>36963</v>
      </c>
      <c r="P188" s="162">
        <v>37172</v>
      </c>
      <c r="Q188" s="162">
        <v>37185</v>
      </c>
      <c r="R188" s="162">
        <v>37314</v>
      </c>
      <c r="S188" s="163">
        <v>36.799999999999997</v>
      </c>
      <c r="T188" s="163">
        <v>36.5</v>
      </c>
      <c r="U188" s="163">
        <v>36.299999999999997</v>
      </c>
      <c r="V188" s="163">
        <v>36.200000000000003</v>
      </c>
      <c r="W188" s="163">
        <v>36</v>
      </c>
      <c r="X188" s="163">
        <v>35.700000000000003</v>
      </c>
      <c r="Y188" s="163"/>
      <c r="Z188" s="163"/>
      <c r="AA188" s="163"/>
    </row>
    <row r="189" spans="1:27" x14ac:dyDescent="0.25">
      <c r="A189" t="s">
        <v>521</v>
      </c>
      <c r="B189" s="95" t="s">
        <v>603</v>
      </c>
      <c r="C189" s="73">
        <f t="shared" si="5"/>
        <v>-7.1038181422555585E-4</v>
      </c>
      <c r="D189" t="s">
        <v>467</v>
      </c>
      <c r="E189" s="73">
        <f t="shared" si="4"/>
        <v>2.4835276229092752E-2</v>
      </c>
      <c r="F189" s="163">
        <v>44644</v>
      </c>
      <c r="H189" s="162">
        <v>4280</v>
      </c>
      <c r="I189" s="68">
        <v>4110</v>
      </c>
      <c r="J189" s="68">
        <v>4030</v>
      </c>
      <c r="K189" s="68">
        <v>3945</v>
      </c>
      <c r="L189" s="68">
        <v>3855</v>
      </c>
      <c r="M189" s="68">
        <v>3790</v>
      </c>
      <c r="N189" s="84" t="s">
        <v>603</v>
      </c>
      <c r="O189" s="163">
        <v>43871</v>
      </c>
      <c r="P189" s="162">
        <v>43901</v>
      </c>
      <c r="Q189" s="162">
        <v>44130</v>
      </c>
      <c r="R189" s="162">
        <v>44644</v>
      </c>
      <c r="S189" s="163">
        <v>43.7</v>
      </c>
      <c r="T189" s="163">
        <v>43.7</v>
      </c>
      <c r="U189" s="163">
        <v>44.2</v>
      </c>
      <c r="V189" s="163">
        <v>44.6</v>
      </c>
      <c r="W189" s="163">
        <v>44.900000000000006</v>
      </c>
      <c r="X189" s="163">
        <v>45.2</v>
      </c>
      <c r="Y189" s="163"/>
      <c r="Z189" s="163"/>
      <c r="AA189" s="163"/>
    </row>
    <row r="190" spans="1:27" x14ac:dyDescent="0.25">
      <c r="A190" t="s">
        <v>519</v>
      </c>
      <c r="B190" s="95" t="s">
        <v>190</v>
      </c>
      <c r="C190" s="73">
        <f t="shared" si="5"/>
        <v>2.2618032329441169E-3</v>
      </c>
      <c r="D190" t="s">
        <v>118</v>
      </c>
      <c r="E190" s="73">
        <f t="shared" ref="E190:E253" si="6">SUM(H190,-M190)/(SUM(I190,J190,K190,L190,M190))</f>
        <v>2.8373954165150966E-2</v>
      </c>
      <c r="F190" s="162">
        <v>36349</v>
      </c>
      <c r="G190" s="162"/>
      <c r="H190" s="162">
        <v>2980</v>
      </c>
      <c r="I190" s="68">
        <v>2885</v>
      </c>
      <c r="J190" s="68">
        <v>2820</v>
      </c>
      <c r="K190" s="68">
        <v>2785</v>
      </c>
      <c r="L190" s="68">
        <v>2665</v>
      </c>
      <c r="M190" s="68">
        <v>2590</v>
      </c>
      <c r="N190" s="84" t="s">
        <v>190</v>
      </c>
      <c r="O190" s="162">
        <v>36028</v>
      </c>
      <c r="P190" s="162">
        <v>36072</v>
      </c>
      <c r="Q190" s="162">
        <v>36031</v>
      </c>
      <c r="R190" s="162">
        <v>36349</v>
      </c>
      <c r="S190" s="163">
        <v>36.6</v>
      </c>
      <c r="T190" s="163">
        <v>37</v>
      </c>
      <c r="U190" s="163">
        <v>37.5</v>
      </c>
      <c r="V190" s="163">
        <v>37.799999999999997</v>
      </c>
      <c r="W190" s="163">
        <v>38</v>
      </c>
      <c r="X190" s="163">
        <v>38.200000000000003</v>
      </c>
      <c r="Y190" s="163"/>
      <c r="Z190" s="163"/>
      <c r="AA190" s="163"/>
    </row>
    <row r="191" spans="1:27" x14ac:dyDescent="0.25">
      <c r="A191" t="s">
        <v>524</v>
      </c>
      <c r="B191" s="95" t="s">
        <v>438</v>
      </c>
      <c r="C191" s="73">
        <f t="shared" si="5"/>
        <v>-5.8946410473846404E-4</v>
      </c>
      <c r="D191" t="s">
        <v>467</v>
      </c>
      <c r="E191" s="73">
        <f t="shared" si="6"/>
        <v>3.005259203606311E-2</v>
      </c>
      <c r="F191" s="162">
        <v>13814</v>
      </c>
      <c r="G191" s="162"/>
      <c r="H191" s="162">
        <v>1445</v>
      </c>
      <c r="I191" s="68">
        <v>1390</v>
      </c>
      <c r="J191" s="68">
        <v>1380</v>
      </c>
      <c r="K191" s="68">
        <v>1335</v>
      </c>
      <c r="L191" s="68">
        <v>1305</v>
      </c>
      <c r="M191" s="68">
        <v>1245</v>
      </c>
      <c r="N191" s="84" t="s">
        <v>438</v>
      </c>
      <c r="O191" s="162">
        <v>13996</v>
      </c>
      <c r="P191" s="162">
        <v>13931</v>
      </c>
      <c r="Q191" s="162">
        <v>13896</v>
      </c>
      <c r="R191" s="162">
        <v>13814</v>
      </c>
      <c r="S191" s="163">
        <v>13.8</v>
      </c>
      <c r="T191" s="163">
        <v>13.7</v>
      </c>
      <c r="U191" s="163">
        <v>13.7</v>
      </c>
      <c r="V191" s="163">
        <v>13.8</v>
      </c>
      <c r="W191" s="163">
        <v>13.9</v>
      </c>
      <c r="X191" s="163">
        <v>13.8</v>
      </c>
      <c r="Y191" s="163"/>
      <c r="Z191" s="163"/>
      <c r="AA191" s="163"/>
    </row>
    <row r="192" spans="1:27" x14ac:dyDescent="0.25">
      <c r="A192" t="s">
        <v>526</v>
      </c>
      <c r="B192" s="95" t="s">
        <v>415</v>
      </c>
      <c r="C192" s="73">
        <f t="shared" si="5"/>
        <v>1.3418015922712228E-4</v>
      </c>
      <c r="D192" t="s">
        <v>467</v>
      </c>
      <c r="E192" s="73">
        <f t="shared" si="6"/>
        <v>2.8213166144200628E-2</v>
      </c>
      <c r="F192" s="162">
        <v>7985</v>
      </c>
      <c r="G192" s="162"/>
      <c r="H192" s="162">
        <v>695</v>
      </c>
      <c r="I192" s="68">
        <v>670</v>
      </c>
      <c r="J192" s="68">
        <v>660</v>
      </c>
      <c r="K192" s="68">
        <v>650</v>
      </c>
      <c r="L192" s="68">
        <v>605</v>
      </c>
      <c r="M192" s="68">
        <v>605</v>
      </c>
      <c r="N192" s="84" t="s">
        <v>415</v>
      </c>
      <c r="O192" s="162">
        <v>7808</v>
      </c>
      <c r="P192" s="162">
        <v>7843</v>
      </c>
      <c r="Q192" s="162">
        <v>7909</v>
      </c>
      <c r="R192" s="162">
        <v>7985</v>
      </c>
      <c r="S192" s="163">
        <v>7.8</v>
      </c>
      <c r="T192" s="163">
        <v>7.9</v>
      </c>
      <c r="U192" s="163">
        <v>8</v>
      </c>
      <c r="V192" s="163">
        <v>8.1999999999999993</v>
      </c>
      <c r="W192" s="163">
        <v>8.3000000000000007</v>
      </c>
      <c r="X192" s="163">
        <v>8.3000000000000007</v>
      </c>
      <c r="Y192" s="163"/>
      <c r="Z192" s="163"/>
      <c r="AA192" s="163"/>
    </row>
    <row r="193" spans="1:27" x14ac:dyDescent="0.25">
      <c r="A193" t="s">
        <v>519</v>
      </c>
      <c r="B193" s="95" t="s">
        <v>191</v>
      </c>
      <c r="C193" s="73">
        <f t="shared" si="5"/>
        <v>-6.6483670126861114E-4</v>
      </c>
      <c r="D193" t="s">
        <v>467</v>
      </c>
      <c r="E193" s="73">
        <f t="shared" si="6"/>
        <v>2.6244343891402715E-2</v>
      </c>
      <c r="F193" s="162">
        <v>25033</v>
      </c>
      <c r="G193" s="162"/>
      <c r="H193" s="162">
        <v>2380</v>
      </c>
      <c r="I193" s="68">
        <v>2320</v>
      </c>
      <c r="J193" s="68">
        <v>2305</v>
      </c>
      <c r="K193" s="68">
        <v>2190</v>
      </c>
      <c r="L193" s="68">
        <v>2145</v>
      </c>
      <c r="M193" s="68">
        <v>2090</v>
      </c>
      <c r="N193" s="84" t="s">
        <v>191</v>
      </c>
      <c r="O193" s="162">
        <v>24039</v>
      </c>
      <c r="P193" s="162">
        <v>24315</v>
      </c>
      <c r="Q193" s="162">
        <v>24648</v>
      </c>
      <c r="R193" s="162">
        <v>25033</v>
      </c>
      <c r="S193" s="163">
        <v>24.1</v>
      </c>
      <c r="T193" s="163">
        <v>24.3</v>
      </c>
      <c r="U193" s="163">
        <v>24.8</v>
      </c>
      <c r="V193" s="163">
        <v>25.2</v>
      </c>
      <c r="W193" s="163">
        <v>25.5</v>
      </c>
      <c r="X193" s="163">
        <v>25.7</v>
      </c>
      <c r="Y193" s="163"/>
      <c r="Z193" s="163"/>
      <c r="AA193" s="163"/>
    </row>
    <row r="194" spans="1:27" x14ac:dyDescent="0.25">
      <c r="A194" t="s">
        <v>526</v>
      </c>
      <c r="B194" s="95" t="s">
        <v>416</v>
      </c>
      <c r="C194" s="73">
        <f t="shared" si="5"/>
        <v>-9.1543371765055173E-4</v>
      </c>
      <c r="D194" t="s">
        <v>467</v>
      </c>
      <c r="E194" s="73">
        <f t="shared" si="6"/>
        <v>2.6604973973395025E-2</v>
      </c>
      <c r="F194" s="162">
        <v>17322</v>
      </c>
      <c r="G194" s="162"/>
      <c r="H194" s="162">
        <v>1860</v>
      </c>
      <c r="I194" s="68">
        <v>1790</v>
      </c>
      <c r="J194" s="68">
        <v>1775</v>
      </c>
      <c r="K194" s="68">
        <v>1750</v>
      </c>
      <c r="L194" s="68">
        <v>1700</v>
      </c>
      <c r="M194" s="68">
        <v>1630</v>
      </c>
      <c r="N194" s="84" t="s">
        <v>416</v>
      </c>
      <c r="O194" s="162">
        <v>17005</v>
      </c>
      <c r="P194" s="162">
        <v>17024</v>
      </c>
      <c r="Q194" s="162">
        <v>17171</v>
      </c>
      <c r="R194" s="162">
        <v>17322</v>
      </c>
      <c r="S194" s="163">
        <v>17.3</v>
      </c>
      <c r="T194" s="163">
        <v>17.3</v>
      </c>
      <c r="U194" s="163">
        <v>17.100000000000001</v>
      </c>
      <c r="V194" s="163">
        <v>17</v>
      </c>
      <c r="W194" s="163">
        <v>16.899999999999999</v>
      </c>
      <c r="X194" s="163">
        <v>16.8</v>
      </c>
      <c r="Y194" s="163"/>
      <c r="Z194" s="163"/>
      <c r="AA194" s="163"/>
    </row>
    <row r="195" spans="1:27" x14ac:dyDescent="0.25">
      <c r="A195" t="s">
        <v>524</v>
      </c>
      <c r="B195" s="95" t="s">
        <v>225</v>
      </c>
      <c r="C195" s="73">
        <f t="shared" ref="C195:C258" si="7">(SUM(U195*1000,-R195)/14)/R195</f>
        <v>3.1675690512344883E-3</v>
      </c>
      <c r="D195" t="s">
        <v>118</v>
      </c>
      <c r="E195" s="73">
        <f t="shared" si="6"/>
        <v>3.239556692242114E-2</v>
      </c>
      <c r="F195" s="162">
        <v>64538</v>
      </c>
      <c r="G195" s="162"/>
      <c r="H195" s="162">
        <v>5195</v>
      </c>
      <c r="I195" s="68">
        <v>4990</v>
      </c>
      <c r="J195" s="68">
        <v>4890</v>
      </c>
      <c r="K195" s="68">
        <v>4720</v>
      </c>
      <c r="L195" s="68">
        <v>4425</v>
      </c>
      <c r="M195" s="68">
        <v>4435</v>
      </c>
      <c r="N195" s="84" t="s">
        <v>225</v>
      </c>
      <c r="O195" s="162">
        <v>63055</v>
      </c>
      <c r="P195" s="162">
        <v>63499</v>
      </c>
      <c r="Q195" s="162">
        <v>63866</v>
      </c>
      <c r="R195" s="162">
        <v>64538</v>
      </c>
      <c r="S195" s="163">
        <v>65</v>
      </c>
      <c r="T195" s="163">
        <v>66.5</v>
      </c>
      <c r="U195" s="163">
        <v>67.400000000000006</v>
      </c>
      <c r="V195" s="163">
        <v>67.8</v>
      </c>
      <c r="W195" s="163">
        <v>68</v>
      </c>
      <c r="X195" s="163">
        <v>68</v>
      </c>
      <c r="Y195" s="163"/>
      <c r="Z195" s="163"/>
      <c r="AA195" s="163"/>
    </row>
    <row r="196" spans="1:27" x14ac:dyDescent="0.25">
      <c r="A196" t="s">
        <v>524</v>
      </c>
      <c r="B196" s="95" t="s">
        <v>309</v>
      </c>
      <c r="C196" s="73">
        <f t="shared" si="7"/>
        <v>1.9427557392953428E-3</v>
      </c>
      <c r="D196" t="s">
        <v>467</v>
      </c>
      <c r="E196" s="73">
        <f t="shared" si="6"/>
        <v>3.9223010833022043E-2</v>
      </c>
      <c r="F196" s="162">
        <v>29303</v>
      </c>
      <c r="G196" s="162"/>
      <c r="H196" s="162">
        <v>3030</v>
      </c>
      <c r="I196" s="68">
        <v>2915</v>
      </c>
      <c r="J196" s="68">
        <v>2800</v>
      </c>
      <c r="K196" s="68">
        <v>2640</v>
      </c>
      <c r="L196" s="68">
        <v>2525</v>
      </c>
      <c r="M196" s="68">
        <v>2505</v>
      </c>
      <c r="N196" s="84" t="s">
        <v>309</v>
      </c>
      <c r="O196" s="162">
        <v>28637</v>
      </c>
      <c r="P196" s="162">
        <v>28776</v>
      </c>
      <c r="Q196" s="162">
        <v>29151</v>
      </c>
      <c r="R196" s="162">
        <v>29303</v>
      </c>
      <c r="S196" s="163">
        <v>29</v>
      </c>
      <c r="T196" s="163">
        <v>29.5</v>
      </c>
      <c r="U196" s="163">
        <v>30.1</v>
      </c>
      <c r="V196" s="163">
        <v>30.5</v>
      </c>
      <c r="W196" s="163">
        <v>30.8</v>
      </c>
      <c r="X196" s="163">
        <v>31</v>
      </c>
      <c r="Y196" s="163"/>
      <c r="Z196" s="163"/>
      <c r="AA196" s="163"/>
    </row>
    <row r="197" spans="1:27" x14ac:dyDescent="0.25">
      <c r="A197" t="s">
        <v>519</v>
      </c>
      <c r="B197" s="95" t="s">
        <v>192</v>
      </c>
      <c r="C197" s="73">
        <f t="shared" si="7"/>
        <v>2.7125998085223662E-3</v>
      </c>
      <c r="D197" t="s">
        <v>467</v>
      </c>
      <c r="E197" s="73">
        <f t="shared" si="6"/>
        <v>3.0757689422355589E-2</v>
      </c>
      <c r="F197" s="162">
        <v>44317</v>
      </c>
      <c r="G197" s="162"/>
      <c r="H197" s="162">
        <v>4395</v>
      </c>
      <c r="I197" s="68">
        <v>4235</v>
      </c>
      <c r="J197" s="68">
        <v>4115</v>
      </c>
      <c r="K197" s="68">
        <v>3995</v>
      </c>
      <c r="L197" s="68">
        <v>3870</v>
      </c>
      <c r="M197" s="68">
        <v>3780</v>
      </c>
      <c r="N197" s="84" t="s">
        <v>192</v>
      </c>
      <c r="O197" s="162">
        <v>42947</v>
      </c>
      <c r="P197" s="162">
        <v>43175</v>
      </c>
      <c r="Q197" s="162">
        <v>43600</v>
      </c>
      <c r="R197" s="162">
        <v>44317</v>
      </c>
      <c r="S197" s="163">
        <v>44.3</v>
      </c>
      <c r="T197" s="163">
        <v>45.2</v>
      </c>
      <c r="U197" s="163">
        <v>46</v>
      </c>
      <c r="V197" s="163">
        <v>46.7</v>
      </c>
      <c r="W197" s="163">
        <v>47.3</v>
      </c>
      <c r="X197" s="163">
        <v>47.7</v>
      </c>
      <c r="Y197" s="163"/>
      <c r="Z197" s="163"/>
      <c r="AA197" s="163"/>
    </row>
    <row r="198" spans="1:27" x14ac:dyDescent="0.25">
      <c r="A198" t="s">
        <v>519</v>
      </c>
      <c r="B198" s="95" t="s">
        <v>193</v>
      </c>
      <c r="C198" s="73">
        <f t="shared" si="7"/>
        <v>7.9449283524534384E-3</v>
      </c>
      <c r="D198" t="s">
        <v>441</v>
      </c>
      <c r="E198" s="73">
        <f t="shared" si="6"/>
        <v>4.3809360828270728E-2</v>
      </c>
      <c r="F198" s="162">
        <v>179081</v>
      </c>
      <c r="G198" s="162"/>
      <c r="H198" s="162">
        <v>13390</v>
      </c>
      <c r="I198" s="68">
        <v>12620</v>
      </c>
      <c r="J198" s="68">
        <v>12180</v>
      </c>
      <c r="K198" s="68">
        <v>11730</v>
      </c>
      <c r="L198" s="68">
        <v>11075</v>
      </c>
      <c r="M198" s="68">
        <v>10830</v>
      </c>
      <c r="N198" s="84" t="s">
        <v>193</v>
      </c>
      <c r="O198" s="162">
        <v>176707</v>
      </c>
      <c r="P198" s="162">
        <v>177824</v>
      </c>
      <c r="Q198" s="162">
        <v>177359</v>
      </c>
      <c r="R198" s="162">
        <v>179081</v>
      </c>
      <c r="S198" s="163">
        <v>188.3</v>
      </c>
      <c r="T198" s="163">
        <v>195</v>
      </c>
      <c r="U198" s="163">
        <v>199</v>
      </c>
      <c r="V198" s="163">
        <v>201</v>
      </c>
      <c r="W198" s="163">
        <v>201.9</v>
      </c>
      <c r="X198" s="163">
        <v>201.9</v>
      </c>
      <c r="Y198" s="163"/>
      <c r="Z198" s="163"/>
      <c r="AA198" s="163"/>
    </row>
    <row r="199" spans="1:27" x14ac:dyDescent="0.25">
      <c r="A199" t="s">
        <v>521</v>
      </c>
      <c r="B199" s="95" t="s">
        <v>479</v>
      </c>
      <c r="C199" s="73">
        <f t="shared" si="7"/>
        <v>-6.1219762401138356E-4</v>
      </c>
      <c r="D199" t="s">
        <v>118</v>
      </c>
      <c r="E199" s="73">
        <f t="shared" si="6"/>
        <v>2.0790960451977401E-2</v>
      </c>
      <c r="F199" s="162">
        <v>86340</v>
      </c>
      <c r="G199" s="162"/>
      <c r="H199" s="162">
        <v>4660</v>
      </c>
      <c r="I199" s="68">
        <v>4605</v>
      </c>
      <c r="J199" s="68">
        <v>4555</v>
      </c>
      <c r="K199" s="68">
        <v>4465</v>
      </c>
      <c r="L199" s="68">
        <v>4300</v>
      </c>
      <c r="M199" s="68">
        <v>4200</v>
      </c>
      <c r="N199" s="84" t="s">
        <v>479</v>
      </c>
      <c r="O199" s="162">
        <v>84797</v>
      </c>
      <c r="P199" s="162">
        <v>85256</v>
      </c>
      <c r="Q199" s="162">
        <v>85440</v>
      </c>
      <c r="R199" s="162">
        <v>86340</v>
      </c>
      <c r="S199" s="163">
        <v>84.3</v>
      </c>
      <c r="T199" s="163">
        <v>84.8</v>
      </c>
      <c r="U199" s="163">
        <v>85.6</v>
      </c>
      <c r="V199" s="163">
        <v>86.7</v>
      </c>
      <c r="W199" s="163">
        <v>87.6</v>
      </c>
      <c r="X199" s="163">
        <v>88.6</v>
      </c>
      <c r="Y199" s="163"/>
      <c r="Z199" s="163"/>
      <c r="AA199" s="163"/>
    </row>
    <row r="200" spans="1:27" x14ac:dyDescent="0.25">
      <c r="A200" t="s">
        <v>520</v>
      </c>
      <c r="B200" s="95" t="s">
        <v>604</v>
      </c>
      <c r="C200" s="73">
        <f t="shared" si="7"/>
        <v>-2.7969726883843369E-3</v>
      </c>
      <c r="D200" t="s">
        <v>118</v>
      </c>
      <c r="E200" s="73">
        <f t="shared" si="6"/>
        <v>2.4655963302752295E-2</v>
      </c>
      <c r="F200" s="162">
        <v>45585</v>
      </c>
      <c r="G200" s="162"/>
      <c r="H200" s="162">
        <v>3750</v>
      </c>
      <c r="I200" s="68">
        <v>3650</v>
      </c>
      <c r="J200" s="68">
        <v>3575</v>
      </c>
      <c r="K200" s="68">
        <v>3495</v>
      </c>
      <c r="L200" s="68">
        <v>3400</v>
      </c>
      <c r="M200" s="68">
        <v>3320</v>
      </c>
      <c r="N200" s="84" t="s">
        <v>604</v>
      </c>
      <c r="O200" s="162">
        <v>45144</v>
      </c>
      <c r="P200" s="162">
        <v>45253</v>
      </c>
      <c r="Q200" s="162">
        <v>45481</v>
      </c>
      <c r="R200" s="162">
        <v>45585</v>
      </c>
      <c r="S200" s="163">
        <v>44.6</v>
      </c>
      <c r="T200" s="163">
        <v>44.2</v>
      </c>
      <c r="U200" s="163">
        <v>43.8</v>
      </c>
      <c r="V200" s="163">
        <v>43.3</v>
      </c>
      <c r="W200" s="163">
        <v>42.6</v>
      </c>
      <c r="X200" s="163">
        <v>41.900000000000006</v>
      </c>
      <c r="Y200" s="163"/>
      <c r="Z200" s="163"/>
      <c r="AA200" s="163"/>
    </row>
    <row r="201" spans="1:27" x14ac:dyDescent="0.25">
      <c r="A201" t="s">
        <v>528</v>
      </c>
      <c r="B201" s="95" t="s">
        <v>335</v>
      </c>
      <c r="C201" s="73">
        <f t="shared" si="7"/>
        <v>-2.4604831494184315E-3</v>
      </c>
      <c r="D201" s="193" t="s">
        <v>118</v>
      </c>
      <c r="E201" s="73">
        <f t="shared" si="6"/>
        <v>2.2277227722772276E-2</v>
      </c>
      <c r="F201" s="162">
        <v>7664</v>
      </c>
      <c r="G201" s="162"/>
      <c r="H201" s="162">
        <v>870</v>
      </c>
      <c r="I201" s="68">
        <v>835</v>
      </c>
      <c r="J201" s="68">
        <v>830</v>
      </c>
      <c r="K201" s="68">
        <v>820</v>
      </c>
      <c r="L201" s="68">
        <v>775</v>
      </c>
      <c r="M201" s="68">
        <v>780</v>
      </c>
      <c r="N201" s="84" t="s">
        <v>335</v>
      </c>
      <c r="O201" s="162">
        <v>7309</v>
      </c>
      <c r="P201" s="162">
        <v>7401</v>
      </c>
      <c r="Q201" s="162">
        <v>7581</v>
      </c>
      <c r="R201" s="162">
        <v>7664</v>
      </c>
      <c r="S201" s="163">
        <v>7.4</v>
      </c>
      <c r="T201" s="163">
        <v>7.4</v>
      </c>
      <c r="U201" s="163">
        <v>7.4</v>
      </c>
      <c r="V201" s="163">
        <v>7.4</v>
      </c>
      <c r="W201" s="163">
        <v>7.3</v>
      </c>
      <c r="X201" s="163">
        <v>7.2</v>
      </c>
      <c r="Y201" s="163"/>
      <c r="Z201" s="163"/>
      <c r="AA201" s="163"/>
    </row>
    <row r="202" spans="1:27" x14ac:dyDescent="0.25">
      <c r="A202" t="s">
        <v>516</v>
      </c>
      <c r="B202" s="95" t="s">
        <v>114</v>
      </c>
      <c r="C202" s="73">
        <f t="shared" si="7"/>
        <v>-5.5683871115278184E-3</v>
      </c>
      <c r="D202" t="s">
        <v>118</v>
      </c>
      <c r="E202" s="73">
        <f t="shared" si="6"/>
        <v>2.3702492848385777E-2</v>
      </c>
      <c r="F202" s="162">
        <v>31235</v>
      </c>
      <c r="G202" s="162"/>
      <c r="H202" s="162">
        <v>2640</v>
      </c>
      <c r="I202" s="68">
        <v>2570</v>
      </c>
      <c r="J202" s="68">
        <v>2540</v>
      </c>
      <c r="K202" s="68">
        <v>2440</v>
      </c>
      <c r="L202" s="68">
        <v>2335</v>
      </c>
      <c r="M202" s="68">
        <v>2350</v>
      </c>
      <c r="N202" s="84" t="s">
        <v>114</v>
      </c>
      <c r="O202" s="162">
        <v>31270</v>
      </c>
      <c r="P202" s="162">
        <v>31241</v>
      </c>
      <c r="Q202" s="162">
        <v>31214</v>
      </c>
      <c r="R202" s="162">
        <v>31235</v>
      </c>
      <c r="S202" s="163">
        <v>29.5</v>
      </c>
      <c r="T202" s="163">
        <v>29.1</v>
      </c>
      <c r="U202" s="163">
        <v>28.8</v>
      </c>
      <c r="V202" s="163">
        <v>28.9</v>
      </c>
      <c r="W202" s="163">
        <v>28.9</v>
      </c>
      <c r="X202" s="163">
        <v>29</v>
      </c>
      <c r="Y202" s="163"/>
      <c r="Z202" s="163"/>
      <c r="AA202" s="163"/>
    </row>
    <row r="203" spans="1:27" x14ac:dyDescent="0.25">
      <c r="A203" t="s">
        <v>523</v>
      </c>
      <c r="B203" s="95" t="s">
        <v>432</v>
      </c>
      <c r="C203" s="73">
        <f t="shared" si="7"/>
        <v>-1.5565116299813577E-3</v>
      </c>
      <c r="D203" t="s">
        <v>118</v>
      </c>
      <c r="E203" s="73">
        <f t="shared" si="6"/>
        <v>1.8738977072310405E-2</v>
      </c>
      <c r="F203" s="162">
        <v>48047</v>
      </c>
      <c r="G203" s="162"/>
      <c r="H203" s="162">
        <v>4800</v>
      </c>
      <c r="I203" s="68">
        <v>4705</v>
      </c>
      <c r="J203" s="68">
        <v>4640</v>
      </c>
      <c r="K203" s="68">
        <v>4530</v>
      </c>
      <c r="L203" s="68">
        <v>4430</v>
      </c>
      <c r="M203" s="68">
        <v>4375</v>
      </c>
      <c r="N203" s="84" t="s">
        <v>432</v>
      </c>
      <c r="O203" s="162">
        <v>46863</v>
      </c>
      <c r="P203" s="162">
        <v>47232</v>
      </c>
      <c r="Q203" s="162">
        <v>47583</v>
      </c>
      <c r="R203" s="162">
        <v>48047</v>
      </c>
      <c r="S203" s="163">
        <v>46.5</v>
      </c>
      <c r="T203" s="163">
        <v>46.8</v>
      </c>
      <c r="U203" s="163">
        <v>47</v>
      </c>
      <c r="V203" s="163">
        <v>47.2</v>
      </c>
      <c r="W203" s="163">
        <v>47.3</v>
      </c>
      <c r="X203" s="163">
        <v>47.1</v>
      </c>
      <c r="Y203" s="163"/>
      <c r="Z203" s="163"/>
      <c r="AA203" s="163"/>
    </row>
    <row r="204" spans="1:27" x14ac:dyDescent="0.25">
      <c r="A204" t="s">
        <v>521</v>
      </c>
      <c r="B204" s="95" t="s">
        <v>310</v>
      </c>
      <c r="C204" s="73">
        <f t="shared" si="7"/>
        <v>3.4424571866526693E-3</v>
      </c>
      <c r="D204" t="s">
        <v>118</v>
      </c>
      <c r="E204" s="73">
        <f t="shared" si="6"/>
        <v>3.6425449247207385E-2</v>
      </c>
      <c r="F204" s="163">
        <v>44362</v>
      </c>
      <c r="H204" s="162">
        <v>4580</v>
      </c>
      <c r="I204" s="68">
        <v>4455</v>
      </c>
      <c r="J204" s="68">
        <v>4305</v>
      </c>
      <c r="K204" s="68">
        <v>4070</v>
      </c>
      <c r="L204" s="68">
        <v>3930</v>
      </c>
      <c r="M204" s="68">
        <v>3830</v>
      </c>
      <c r="N204" s="84" t="s">
        <v>310</v>
      </c>
      <c r="O204" s="163">
        <v>42861</v>
      </c>
      <c r="P204" s="162">
        <v>43517</v>
      </c>
      <c r="Q204" s="162">
        <v>44062</v>
      </c>
      <c r="R204" s="162">
        <v>44362</v>
      </c>
      <c r="S204" s="163">
        <v>45</v>
      </c>
      <c r="T204" s="163">
        <v>45.8</v>
      </c>
      <c r="U204" s="163">
        <v>46.5</v>
      </c>
      <c r="V204" s="163">
        <v>46.900000000000006</v>
      </c>
      <c r="W204" s="163">
        <v>47.2</v>
      </c>
      <c r="X204" s="163">
        <v>47.5</v>
      </c>
      <c r="Y204" s="163"/>
      <c r="Z204" s="163"/>
      <c r="AA204" s="163"/>
    </row>
    <row r="205" spans="1:27" x14ac:dyDescent="0.25">
      <c r="A205" t="s">
        <v>517</v>
      </c>
      <c r="B205" s="95" t="s">
        <v>435</v>
      </c>
      <c r="C205" s="73">
        <f t="shared" si="7"/>
        <v>2.0175191409505422E-3</v>
      </c>
      <c r="D205" t="s">
        <v>467</v>
      </c>
      <c r="E205" s="73">
        <f t="shared" si="6"/>
        <v>2.6351658337119492E-2</v>
      </c>
      <c r="F205" s="162">
        <v>23827</v>
      </c>
      <c r="G205" s="162"/>
      <c r="H205" s="162">
        <v>2385</v>
      </c>
      <c r="I205" s="68">
        <v>2285</v>
      </c>
      <c r="J205" s="68">
        <v>2265</v>
      </c>
      <c r="K205" s="68">
        <v>2230</v>
      </c>
      <c r="L205" s="68">
        <v>2130</v>
      </c>
      <c r="M205" s="68">
        <v>2095</v>
      </c>
      <c r="N205" s="84" t="s">
        <v>435</v>
      </c>
      <c r="O205" s="162">
        <v>23198</v>
      </c>
      <c r="P205" s="162">
        <v>23376</v>
      </c>
      <c r="Q205" s="162">
        <v>23702</v>
      </c>
      <c r="R205" s="162">
        <v>23827</v>
      </c>
      <c r="S205" s="163">
        <v>23.6</v>
      </c>
      <c r="T205" s="163">
        <v>24</v>
      </c>
      <c r="U205" s="163">
        <v>24.5</v>
      </c>
      <c r="V205" s="163">
        <v>24.9</v>
      </c>
      <c r="W205" s="163">
        <v>25.1</v>
      </c>
      <c r="X205" s="163">
        <v>25.3</v>
      </c>
      <c r="Y205" s="163"/>
      <c r="Z205" s="163"/>
      <c r="AA205" s="163"/>
    </row>
    <row r="206" spans="1:27" x14ac:dyDescent="0.25">
      <c r="A206" t="s">
        <v>519</v>
      </c>
      <c r="B206" s="95" t="s">
        <v>194</v>
      </c>
      <c r="C206" s="73">
        <f t="shared" si="7"/>
        <v>1.9742836893793664E-3</v>
      </c>
      <c r="D206" t="s">
        <v>467</v>
      </c>
      <c r="E206" s="73">
        <f t="shared" si="6"/>
        <v>3.6206896551724141E-2</v>
      </c>
      <c r="F206" s="162">
        <v>28220</v>
      </c>
      <c r="G206" s="162"/>
      <c r="H206" s="162">
        <v>2585</v>
      </c>
      <c r="I206" s="68">
        <v>2475</v>
      </c>
      <c r="J206" s="68">
        <v>2405</v>
      </c>
      <c r="K206" s="68">
        <v>2315</v>
      </c>
      <c r="L206" s="68">
        <v>2240</v>
      </c>
      <c r="M206" s="68">
        <v>2165</v>
      </c>
      <c r="N206" s="84" t="s">
        <v>194</v>
      </c>
      <c r="O206" s="162">
        <v>27485</v>
      </c>
      <c r="P206" s="162">
        <v>27799</v>
      </c>
      <c r="Q206" s="162">
        <v>28021</v>
      </c>
      <c r="R206" s="162">
        <v>28220</v>
      </c>
      <c r="S206" s="163">
        <v>27.9</v>
      </c>
      <c r="T206" s="163">
        <v>28.4</v>
      </c>
      <c r="U206" s="163">
        <v>29</v>
      </c>
      <c r="V206" s="163">
        <v>29.4</v>
      </c>
      <c r="W206" s="163">
        <v>29.5</v>
      </c>
      <c r="X206" s="163">
        <v>29.7</v>
      </c>
      <c r="Y206" s="163"/>
      <c r="Z206" s="163"/>
      <c r="AA206" s="163"/>
    </row>
    <row r="207" spans="1:27" x14ac:dyDescent="0.25">
      <c r="A207" t="s">
        <v>521</v>
      </c>
      <c r="B207" s="95" t="s">
        <v>311</v>
      </c>
      <c r="C207" s="73">
        <f t="shared" si="7"/>
        <v>4.4907243989488962E-3</v>
      </c>
      <c r="D207" t="s">
        <v>467</v>
      </c>
      <c r="E207" s="73">
        <f t="shared" si="6"/>
        <v>2.7660853878532773E-2</v>
      </c>
      <c r="F207" s="162">
        <v>25497</v>
      </c>
      <c r="G207" s="162"/>
      <c r="H207" s="162">
        <v>1795</v>
      </c>
      <c r="I207" s="68">
        <v>1735</v>
      </c>
      <c r="J207" s="68">
        <v>1730</v>
      </c>
      <c r="K207" s="68">
        <v>1665</v>
      </c>
      <c r="L207" s="68">
        <v>1620</v>
      </c>
      <c r="M207" s="68">
        <v>1565</v>
      </c>
      <c r="N207" s="84" t="s">
        <v>311</v>
      </c>
      <c r="O207" s="162">
        <v>24432</v>
      </c>
      <c r="P207" s="162">
        <v>24861</v>
      </c>
      <c r="Q207" s="162">
        <v>25064</v>
      </c>
      <c r="R207" s="162">
        <v>25497</v>
      </c>
      <c r="S207" s="163">
        <v>25.5</v>
      </c>
      <c r="T207" s="163">
        <v>26.2</v>
      </c>
      <c r="U207" s="163">
        <v>27.1</v>
      </c>
      <c r="V207" s="163">
        <v>27.8</v>
      </c>
      <c r="W207" s="163">
        <v>28.4</v>
      </c>
      <c r="X207" s="163">
        <v>28.9</v>
      </c>
      <c r="Y207" s="163"/>
      <c r="Z207" s="163"/>
      <c r="AA207" s="163"/>
    </row>
    <row r="208" spans="1:27" x14ac:dyDescent="0.25">
      <c r="A208" t="s">
        <v>517</v>
      </c>
      <c r="B208" s="95" t="s">
        <v>380</v>
      </c>
      <c r="C208" s="73">
        <f t="shared" si="7"/>
        <v>-9.780629108051594E-4</v>
      </c>
      <c r="D208" t="s">
        <v>467</v>
      </c>
      <c r="E208" s="73">
        <f t="shared" si="6"/>
        <v>3.3298097251585626E-2</v>
      </c>
      <c r="F208" s="162">
        <v>19061</v>
      </c>
      <c r="G208" s="162"/>
      <c r="H208" s="162">
        <v>2110</v>
      </c>
      <c r="I208" s="68">
        <v>2025</v>
      </c>
      <c r="J208" s="68">
        <v>1950</v>
      </c>
      <c r="K208" s="68">
        <v>1875</v>
      </c>
      <c r="L208" s="68">
        <v>1815</v>
      </c>
      <c r="M208" s="68">
        <v>1795</v>
      </c>
      <c r="N208" s="84" t="s">
        <v>380</v>
      </c>
      <c r="O208" s="162">
        <v>18627</v>
      </c>
      <c r="P208" s="162">
        <v>18738</v>
      </c>
      <c r="Q208" s="162">
        <v>18842</v>
      </c>
      <c r="R208" s="162">
        <v>19061</v>
      </c>
      <c r="S208" s="163">
        <v>18.8</v>
      </c>
      <c r="T208" s="163">
        <v>18.8</v>
      </c>
      <c r="U208" s="163">
        <v>18.8</v>
      </c>
      <c r="V208" s="163">
        <v>18.8</v>
      </c>
      <c r="W208" s="163">
        <v>18.8</v>
      </c>
      <c r="X208" s="163">
        <v>18.7</v>
      </c>
      <c r="Y208" s="163"/>
      <c r="Z208" s="163"/>
      <c r="AA208" s="163"/>
    </row>
    <row r="209" spans="1:27" x14ac:dyDescent="0.25">
      <c r="A209" t="s">
        <v>517</v>
      </c>
      <c r="B209" s="95" t="s">
        <v>381</v>
      </c>
      <c r="C209" s="73">
        <f t="shared" si="7"/>
        <v>-3.5848932570036909E-3</v>
      </c>
      <c r="D209" t="s">
        <v>467</v>
      </c>
      <c r="E209" s="73">
        <v>2.7724174496884312E-2</v>
      </c>
      <c r="F209" s="162">
        <v>32513</v>
      </c>
      <c r="G209" s="162"/>
      <c r="H209" s="162">
        <v>3719.0218456798766</v>
      </c>
      <c r="I209" s="75">
        <v>3582.433832796527</v>
      </c>
      <c r="J209" s="75">
        <v>3476.0719787144658</v>
      </c>
      <c r="K209" s="75">
        <v>3390.6196611118889</v>
      </c>
      <c r="L209" s="75">
        <v>3296.3030387900853</v>
      </c>
      <c r="M209" s="75">
        <v>3247.8959529477665</v>
      </c>
      <c r="N209" s="84" t="s">
        <v>381</v>
      </c>
      <c r="O209" s="162">
        <v>31933.185828315363</v>
      </c>
      <c r="P209" s="162">
        <v>32090.360873827194</v>
      </c>
      <c r="Q209" s="162">
        <v>31.726648928721467</v>
      </c>
      <c r="R209" s="162">
        <v>32513</v>
      </c>
      <c r="S209" s="163">
        <v>31.244839658311164</v>
      </c>
      <c r="T209" s="163">
        <v>31.063030387900852</v>
      </c>
      <c r="U209" s="163">
        <v>30.881221117490547</v>
      </c>
      <c r="V209" s="163">
        <v>30.699411847080242</v>
      </c>
      <c r="W209" s="163">
        <v>30.417602576669935</v>
      </c>
      <c r="X209" s="163">
        <v>30.076697941464783</v>
      </c>
      <c r="Y209" s="163"/>
      <c r="Z209" s="163"/>
      <c r="AA209" s="163"/>
    </row>
    <row r="210" spans="1:27" x14ac:dyDescent="0.25">
      <c r="A210" t="s">
        <v>525</v>
      </c>
      <c r="B210" s="95" t="s">
        <v>123</v>
      </c>
      <c r="C210" s="73">
        <f t="shared" si="7"/>
        <v>-3.7228852639037803E-3</v>
      </c>
      <c r="D210" t="s">
        <v>441</v>
      </c>
      <c r="E210" s="73">
        <f t="shared" si="6"/>
        <v>1.735270379338176E-2</v>
      </c>
      <c r="F210" s="162">
        <v>38507</v>
      </c>
      <c r="G210" s="162"/>
      <c r="H210" s="162">
        <v>2655</v>
      </c>
      <c r="I210" s="68">
        <v>2555</v>
      </c>
      <c r="J210" s="68">
        <v>2530</v>
      </c>
      <c r="K210" s="68">
        <v>2460</v>
      </c>
      <c r="L210" s="68">
        <v>2405</v>
      </c>
      <c r="M210" s="68">
        <v>2440</v>
      </c>
      <c r="N210" s="84" t="s">
        <v>123</v>
      </c>
      <c r="O210" s="162">
        <v>38121</v>
      </c>
      <c r="P210" s="162">
        <v>38185</v>
      </c>
      <c r="Q210" s="162">
        <v>38277</v>
      </c>
      <c r="R210" s="162">
        <v>38507</v>
      </c>
      <c r="S210" s="163">
        <v>37.9</v>
      </c>
      <c r="T210" s="163">
        <v>37.200000000000003</v>
      </c>
      <c r="U210" s="163">
        <v>36.5</v>
      </c>
      <c r="V210" s="163">
        <v>35.799999999999997</v>
      </c>
      <c r="W210" s="163">
        <v>34.9</v>
      </c>
      <c r="X210" s="163">
        <v>34</v>
      </c>
      <c r="Y210" s="163"/>
      <c r="Z210" s="163"/>
      <c r="AA210" s="163"/>
    </row>
    <row r="211" spans="1:27" x14ac:dyDescent="0.25">
      <c r="A211" t="s">
        <v>519</v>
      </c>
      <c r="B211" s="95" t="s">
        <v>195</v>
      </c>
      <c r="C211" s="73">
        <f t="shared" si="7"/>
        <v>8.0290358590471417E-4</v>
      </c>
      <c r="D211" t="s">
        <v>467</v>
      </c>
      <c r="E211" s="73">
        <f t="shared" si="6"/>
        <v>3.5306898424769147E-2</v>
      </c>
      <c r="F211" s="162">
        <v>23931</v>
      </c>
      <c r="G211" s="162"/>
      <c r="H211" s="162">
        <v>2010</v>
      </c>
      <c r="I211" s="68">
        <v>1965</v>
      </c>
      <c r="J211" s="68">
        <v>1930</v>
      </c>
      <c r="K211" s="68">
        <v>1880</v>
      </c>
      <c r="L211" s="68">
        <v>1745</v>
      </c>
      <c r="M211" s="68">
        <v>1685</v>
      </c>
      <c r="N211" s="84" t="s">
        <v>195</v>
      </c>
      <c r="O211" s="162">
        <v>23594</v>
      </c>
      <c r="P211" s="162">
        <v>23619</v>
      </c>
      <c r="Q211" s="162">
        <v>23760</v>
      </c>
      <c r="R211" s="162">
        <v>23931</v>
      </c>
      <c r="S211" s="163">
        <v>24.2</v>
      </c>
      <c r="T211" s="163">
        <v>24.2</v>
      </c>
      <c r="U211" s="163">
        <v>24.2</v>
      </c>
      <c r="V211" s="163">
        <v>24.1</v>
      </c>
      <c r="W211" s="163">
        <v>24.1</v>
      </c>
      <c r="X211" s="163">
        <v>24</v>
      </c>
      <c r="Y211" s="163"/>
      <c r="Z211" s="163"/>
      <c r="AA211" s="163"/>
    </row>
    <row r="212" spans="1:27" x14ac:dyDescent="0.25">
      <c r="A212" t="s">
        <v>522</v>
      </c>
      <c r="B212" s="95" t="s">
        <v>153</v>
      </c>
      <c r="C212" s="73">
        <f t="shared" si="7"/>
        <v>-1.4512971671579325E-3</v>
      </c>
      <c r="D212" t="s">
        <v>118</v>
      </c>
      <c r="E212" s="73">
        <f t="shared" si="6"/>
        <v>2.0678246484698098E-2</v>
      </c>
      <c r="F212" s="162">
        <v>31745</v>
      </c>
      <c r="G212" s="162"/>
      <c r="H212" s="162">
        <v>2580</v>
      </c>
      <c r="I212" s="68">
        <v>2470</v>
      </c>
      <c r="J212" s="68">
        <v>2480</v>
      </c>
      <c r="K212" s="68">
        <v>2450</v>
      </c>
      <c r="L212" s="68">
        <v>2360</v>
      </c>
      <c r="M212" s="68">
        <v>2330</v>
      </c>
      <c r="N212" s="84" t="s">
        <v>153</v>
      </c>
      <c r="O212" s="162">
        <v>31855</v>
      </c>
      <c r="P212" s="162">
        <v>31843</v>
      </c>
      <c r="Q212" s="162">
        <v>31701</v>
      </c>
      <c r="R212" s="162">
        <v>31745</v>
      </c>
      <c r="S212" s="163">
        <v>31.7</v>
      </c>
      <c r="T212" s="163">
        <v>31.5</v>
      </c>
      <c r="U212" s="163">
        <v>31.1</v>
      </c>
      <c r="V212" s="163">
        <v>30.6</v>
      </c>
      <c r="W212" s="163">
        <v>30.1</v>
      </c>
      <c r="X212" s="163">
        <v>29.5</v>
      </c>
      <c r="Y212" s="163"/>
      <c r="Z212" s="163"/>
      <c r="AA212" s="163"/>
    </row>
    <row r="213" spans="1:27" x14ac:dyDescent="0.25">
      <c r="A213" t="s">
        <v>522</v>
      </c>
      <c r="B213" s="95" t="s">
        <v>154</v>
      </c>
      <c r="C213" s="73">
        <f t="shared" si="7"/>
        <v>-5.0121248629195429E-3</v>
      </c>
      <c r="D213" t="s">
        <v>467</v>
      </c>
      <c r="E213" s="73">
        <f t="shared" si="6"/>
        <v>3.2918800292611558E-2</v>
      </c>
      <c r="F213" s="162">
        <v>18498</v>
      </c>
      <c r="G213" s="162"/>
      <c r="H213" s="162">
        <v>1505</v>
      </c>
      <c r="I213" s="68">
        <v>1465</v>
      </c>
      <c r="J213" s="68">
        <v>1415</v>
      </c>
      <c r="K213" s="68">
        <v>1365</v>
      </c>
      <c r="L213" s="68">
        <v>1310</v>
      </c>
      <c r="M213" s="68">
        <v>1280</v>
      </c>
      <c r="N213" s="84" t="s">
        <v>154</v>
      </c>
      <c r="O213" s="162">
        <v>18069</v>
      </c>
      <c r="P213" s="162">
        <v>18231</v>
      </c>
      <c r="Q213" s="162">
        <v>18361</v>
      </c>
      <c r="R213" s="162">
        <v>18498</v>
      </c>
      <c r="S213" s="163">
        <v>17.600000000000001</v>
      </c>
      <c r="T213" s="163">
        <v>17.3</v>
      </c>
      <c r="U213" s="163">
        <v>17.2</v>
      </c>
      <c r="V213" s="163">
        <v>17.2</v>
      </c>
      <c r="W213" s="163">
        <v>17.100000000000001</v>
      </c>
      <c r="X213" s="163">
        <v>17</v>
      </c>
      <c r="Y213" s="163"/>
      <c r="Z213" s="163"/>
      <c r="AA213" s="163"/>
    </row>
    <row r="214" spans="1:27" x14ac:dyDescent="0.25">
      <c r="A214" t="s">
        <v>522</v>
      </c>
      <c r="B214" s="95" t="s">
        <v>155</v>
      </c>
      <c r="C214" s="73">
        <f t="shared" si="7"/>
        <v>-2.1968501500665241E-3</v>
      </c>
      <c r="D214" t="s">
        <v>467</v>
      </c>
      <c r="E214" s="73">
        <f t="shared" si="6"/>
        <v>2.3884349465744813E-2</v>
      </c>
      <c r="F214" s="162">
        <v>18468</v>
      </c>
      <c r="G214" s="162"/>
      <c r="H214" s="162">
        <v>1710</v>
      </c>
      <c r="I214" s="68">
        <v>1675</v>
      </c>
      <c r="J214" s="68">
        <v>1635</v>
      </c>
      <c r="K214" s="68">
        <v>1600</v>
      </c>
      <c r="L214" s="68">
        <v>1525</v>
      </c>
      <c r="M214" s="68">
        <v>1520</v>
      </c>
      <c r="N214" s="84" t="s">
        <v>155</v>
      </c>
      <c r="O214" s="162">
        <v>17817</v>
      </c>
      <c r="P214" s="162">
        <v>18002</v>
      </c>
      <c r="Q214" s="162">
        <v>18295</v>
      </c>
      <c r="R214" s="162">
        <v>18468</v>
      </c>
      <c r="S214" s="163">
        <v>17.8</v>
      </c>
      <c r="T214" s="163">
        <v>17.899999999999999</v>
      </c>
      <c r="U214" s="163">
        <v>17.899999999999999</v>
      </c>
      <c r="V214" s="163">
        <v>17.899999999999999</v>
      </c>
      <c r="W214" s="163">
        <v>17.7</v>
      </c>
      <c r="X214" s="163">
        <v>17.600000000000001</v>
      </c>
      <c r="Y214" s="163"/>
      <c r="Z214" s="163"/>
      <c r="AA214" s="163"/>
    </row>
    <row r="215" spans="1:27" x14ac:dyDescent="0.25">
      <c r="A215" t="s">
        <v>519</v>
      </c>
      <c r="B215" s="95" t="s">
        <v>196</v>
      </c>
      <c r="C215" s="73">
        <f t="shared" si="7"/>
        <v>-7.4065496094070417E-4</v>
      </c>
      <c r="D215" t="s">
        <v>118</v>
      </c>
      <c r="E215" s="73">
        <f t="shared" si="6"/>
        <v>2.4449877750611249E-2</v>
      </c>
      <c r="F215" s="162">
        <v>29607</v>
      </c>
      <c r="G215" s="162"/>
      <c r="H215" s="162">
        <v>2660</v>
      </c>
      <c r="I215" s="68">
        <v>2575</v>
      </c>
      <c r="J215" s="68">
        <v>2520</v>
      </c>
      <c r="K215" s="68">
        <v>2445</v>
      </c>
      <c r="L215" s="68">
        <v>2370</v>
      </c>
      <c r="M215" s="68">
        <v>2360</v>
      </c>
      <c r="N215" s="84" t="s">
        <v>196</v>
      </c>
      <c r="O215" s="162">
        <v>29700</v>
      </c>
      <c r="P215" s="162">
        <v>29595</v>
      </c>
      <c r="Q215" s="162">
        <v>29574</v>
      </c>
      <c r="R215" s="162">
        <v>29607</v>
      </c>
      <c r="S215" s="163">
        <v>29.1</v>
      </c>
      <c r="T215" s="163">
        <v>29</v>
      </c>
      <c r="U215" s="163">
        <v>29.3</v>
      </c>
      <c r="V215" s="163">
        <v>29.7</v>
      </c>
      <c r="W215" s="163">
        <v>30.1</v>
      </c>
      <c r="X215" s="163">
        <v>30.3</v>
      </c>
      <c r="Y215" s="163"/>
      <c r="Z215" s="163"/>
      <c r="AA215" s="163"/>
    </row>
    <row r="216" spans="1:27" x14ac:dyDescent="0.25">
      <c r="A216" t="s">
        <v>517</v>
      </c>
      <c r="B216" s="95" t="s">
        <v>382</v>
      </c>
      <c r="C216" s="73">
        <f t="shared" si="7"/>
        <v>2.1088303004419824E-3</v>
      </c>
      <c r="D216" t="s">
        <v>118</v>
      </c>
      <c r="E216" s="73">
        <f t="shared" si="6"/>
        <v>2.839047827036471E-2</v>
      </c>
      <c r="F216" s="162">
        <v>56531</v>
      </c>
      <c r="G216" s="162"/>
      <c r="H216" s="162">
        <v>4950</v>
      </c>
      <c r="I216" s="68">
        <v>4775</v>
      </c>
      <c r="J216" s="68">
        <v>4720</v>
      </c>
      <c r="K216" s="68">
        <v>4620</v>
      </c>
      <c r="L216" s="68">
        <v>4480</v>
      </c>
      <c r="M216" s="68">
        <v>4300</v>
      </c>
      <c r="N216" s="84" t="s">
        <v>382</v>
      </c>
      <c r="O216" s="162">
        <v>55610</v>
      </c>
      <c r="P216" s="162">
        <v>55975</v>
      </c>
      <c r="Q216" s="162">
        <v>56206</v>
      </c>
      <c r="R216" s="162">
        <v>56531</v>
      </c>
      <c r="S216" s="163">
        <v>57.9</v>
      </c>
      <c r="T216" s="163">
        <v>58.1</v>
      </c>
      <c r="U216" s="163">
        <v>58.2</v>
      </c>
      <c r="V216" s="163">
        <v>58.2</v>
      </c>
      <c r="W216" s="163">
        <v>58</v>
      </c>
      <c r="X216" s="163">
        <v>57.6</v>
      </c>
      <c r="Y216" s="163"/>
      <c r="Z216" s="163"/>
      <c r="AA216" s="163"/>
    </row>
    <row r="217" spans="1:27" x14ac:dyDescent="0.25">
      <c r="A217" t="s">
        <v>520</v>
      </c>
      <c r="B217" s="95" t="s">
        <v>133</v>
      </c>
      <c r="C217" s="73">
        <f t="shared" si="7"/>
        <v>-2.728531933002164E-3</v>
      </c>
      <c r="D217" t="s">
        <v>118</v>
      </c>
      <c r="E217" s="73">
        <f t="shared" si="6"/>
        <v>2.0299661672305461E-2</v>
      </c>
      <c r="F217" s="162">
        <v>25681</v>
      </c>
      <c r="G217" s="162"/>
      <c r="H217" s="162">
        <v>2230</v>
      </c>
      <c r="I217" s="68">
        <v>2155</v>
      </c>
      <c r="J217" s="68">
        <v>2120</v>
      </c>
      <c r="K217" s="68">
        <v>2035</v>
      </c>
      <c r="L217" s="68">
        <v>2015</v>
      </c>
      <c r="M217" s="68">
        <v>2020</v>
      </c>
      <c r="N217" s="84" t="s">
        <v>133</v>
      </c>
      <c r="O217" s="162">
        <v>25498</v>
      </c>
      <c r="P217" s="162">
        <v>25477</v>
      </c>
      <c r="Q217" s="162">
        <v>25464</v>
      </c>
      <c r="R217" s="162">
        <v>25681</v>
      </c>
      <c r="S217" s="163">
        <v>25</v>
      </c>
      <c r="T217" s="163">
        <v>24.8</v>
      </c>
      <c r="U217" s="163">
        <v>24.7</v>
      </c>
      <c r="V217" s="163">
        <v>24.5</v>
      </c>
      <c r="W217" s="163">
        <v>24.2</v>
      </c>
      <c r="X217" s="163">
        <v>24</v>
      </c>
      <c r="Y217" s="163"/>
      <c r="Z217" s="163"/>
      <c r="AA217" s="163"/>
    </row>
    <row r="218" spans="1:27" x14ac:dyDescent="0.25">
      <c r="A218" t="s">
        <v>518</v>
      </c>
      <c r="B218" s="95" t="s">
        <v>267</v>
      </c>
      <c r="C218" s="73">
        <f t="shared" si="7"/>
        <v>4.1180304556497011E-3</v>
      </c>
      <c r="D218" t="s">
        <v>467</v>
      </c>
      <c r="E218" s="73">
        <f t="shared" si="6"/>
        <v>4.3586550435865505E-2</v>
      </c>
      <c r="F218" s="162">
        <v>9644</v>
      </c>
      <c r="G218" s="162"/>
      <c r="H218" s="162">
        <v>920</v>
      </c>
      <c r="I218" s="68">
        <v>875</v>
      </c>
      <c r="J218" s="68">
        <v>850</v>
      </c>
      <c r="K218" s="68">
        <v>800</v>
      </c>
      <c r="L218" s="68">
        <v>745</v>
      </c>
      <c r="M218" s="68">
        <v>745</v>
      </c>
      <c r="N218" s="84" t="s">
        <v>267</v>
      </c>
      <c r="O218" s="162">
        <v>9755</v>
      </c>
      <c r="P218" s="162">
        <v>9742</v>
      </c>
      <c r="Q218" s="162">
        <v>9689</v>
      </c>
      <c r="R218" s="162">
        <v>9644</v>
      </c>
      <c r="S218" s="163">
        <v>9.9</v>
      </c>
      <c r="T218" s="163">
        <v>10</v>
      </c>
      <c r="U218" s="163">
        <v>10.199999999999999</v>
      </c>
      <c r="V218" s="163">
        <v>10.4</v>
      </c>
      <c r="W218" s="163">
        <v>10.5</v>
      </c>
      <c r="X218" s="163">
        <v>10.7</v>
      </c>
      <c r="Y218" s="163"/>
      <c r="Z218" s="163"/>
      <c r="AA218" s="163"/>
    </row>
    <row r="219" spans="1:27" x14ac:dyDescent="0.25">
      <c r="A219" t="s">
        <v>518</v>
      </c>
      <c r="B219" s="95" t="s">
        <v>268</v>
      </c>
      <c r="C219" s="73">
        <f t="shared" si="7"/>
        <v>7.4540334603279774E-4</v>
      </c>
      <c r="D219" t="s">
        <v>467</v>
      </c>
      <c r="E219" s="73">
        <f t="shared" si="6"/>
        <v>2.5067144136078783E-2</v>
      </c>
      <c r="F219" s="162">
        <v>12074</v>
      </c>
      <c r="G219" s="162"/>
      <c r="H219" s="162">
        <v>1220</v>
      </c>
      <c r="I219" s="68">
        <v>1160</v>
      </c>
      <c r="J219" s="68">
        <v>1150</v>
      </c>
      <c r="K219" s="68">
        <v>1105</v>
      </c>
      <c r="L219" s="68">
        <v>1090</v>
      </c>
      <c r="M219" s="68">
        <v>1080</v>
      </c>
      <c r="N219" s="84" t="s">
        <v>268</v>
      </c>
      <c r="O219" s="162">
        <v>11779</v>
      </c>
      <c r="P219" s="162">
        <v>11807</v>
      </c>
      <c r="Q219" s="162">
        <v>12009</v>
      </c>
      <c r="R219" s="162">
        <v>12074</v>
      </c>
      <c r="S219" s="163">
        <v>11.9</v>
      </c>
      <c r="T219" s="163">
        <v>12</v>
      </c>
      <c r="U219" s="163">
        <v>12.2</v>
      </c>
      <c r="V219" s="163">
        <v>12.4</v>
      </c>
      <c r="W219" s="163">
        <v>12.5</v>
      </c>
      <c r="X219" s="163">
        <v>12.7</v>
      </c>
      <c r="Y219" s="163"/>
      <c r="Z219" s="163"/>
      <c r="AA219" s="163"/>
    </row>
    <row r="220" spans="1:27" x14ac:dyDescent="0.25">
      <c r="A220" t="s">
        <v>520</v>
      </c>
      <c r="B220" s="95" t="s">
        <v>134</v>
      </c>
      <c r="C220" s="73">
        <f t="shared" si="7"/>
        <v>-3.0861977180841114E-3</v>
      </c>
      <c r="D220" t="s">
        <v>118</v>
      </c>
      <c r="E220" s="73">
        <f t="shared" si="6"/>
        <v>2.8253083963390369E-2</v>
      </c>
      <c r="F220" s="162">
        <v>29787</v>
      </c>
      <c r="G220" s="162"/>
      <c r="H220" s="162">
        <v>2715</v>
      </c>
      <c r="I220" s="68">
        <v>2660</v>
      </c>
      <c r="J220" s="68">
        <v>2600</v>
      </c>
      <c r="K220" s="68">
        <v>2510</v>
      </c>
      <c r="L220" s="68">
        <v>2435</v>
      </c>
      <c r="M220" s="68">
        <v>2360</v>
      </c>
      <c r="N220" s="84" t="s">
        <v>134</v>
      </c>
      <c r="O220" s="162">
        <v>29715</v>
      </c>
      <c r="P220" s="162">
        <v>29732</v>
      </c>
      <c r="Q220" s="162">
        <v>29812</v>
      </c>
      <c r="R220" s="162">
        <v>29787</v>
      </c>
      <c r="S220" s="163">
        <v>29.1</v>
      </c>
      <c r="T220" s="163">
        <v>28.7</v>
      </c>
      <c r="U220" s="163">
        <v>28.5</v>
      </c>
      <c r="V220" s="163">
        <v>28.2</v>
      </c>
      <c r="W220" s="163">
        <v>27.7</v>
      </c>
      <c r="X220" s="163">
        <v>27.2</v>
      </c>
      <c r="Y220" s="163"/>
      <c r="Z220" s="163"/>
      <c r="AA220" s="163"/>
    </row>
    <row r="221" spans="1:27" x14ac:dyDescent="0.25">
      <c r="A221" t="s">
        <v>517</v>
      </c>
      <c r="B221" s="95" t="s">
        <v>383</v>
      </c>
      <c r="C221" s="73">
        <f t="shared" si="7"/>
        <v>5.8858471746555674E-3</v>
      </c>
      <c r="D221" t="s">
        <v>441</v>
      </c>
      <c r="E221" s="73">
        <f t="shared" si="6"/>
        <v>2.7293716673080094E-2</v>
      </c>
      <c r="F221" s="162">
        <v>93311</v>
      </c>
      <c r="G221" s="162"/>
      <c r="H221" s="162">
        <v>8005</v>
      </c>
      <c r="I221" s="68">
        <v>7765</v>
      </c>
      <c r="J221" s="68">
        <v>7590</v>
      </c>
      <c r="K221" s="75">
        <v>7370</v>
      </c>
      <c r="L221" s="75">
        <v>6645</v>
      </c>
      <c r="M221" s="75">
        <v>7012</v>
      </c>
      <c r="N221" s="84" t="s">
        <v>383</v>
      </c>
      <c r="O221" s="162">
        <v>91437</v>
      </c>
      <c r="P221" s="162">
        <v>92021</v>
      </c>
      <c r="Q221" s="162">
        <v>92526</v>
      </c>
      <c r="R221" s="162">
        <v>93311</v>
      </c>
      <c r="S221" s="163">
        <v>95.3</v>
      </c>
      <c r="T221" s="163">
        <v>98.5</v>
      </c>
      <c r="U221" s="163">
        <v>101</v>
      </c>
      <c r="V221" s="163">
        <v>102.5</v>
      </c>
      <c r="W221" s="163">
        <v>103.3</v>
      </c>
      <c r="X221" s="163">
        <v>103.7</v>
      </c>
      <c r="Y221" s="163"/>
      <c r="Z221" s="163"/>
      <c r="AA221" s="163"/>
    </row>
    <row r="222" spans="1:27" x14ac:dyDescent="0.25">
      <c r="A222" t="s">
        <v>519</v>
      </c>
      <c r="B222" s="95" t="s">
        <v>197</v>
      </c>
      <c r="C222" s="73">
        <f t="shared" si="7"/>
        <v>-1.7881625813378212E-3</v>
      </c>
      <c r="D222" t="s">
        <v>118</v>
      </c>
      <c r="E222" s="73">
        <f t="shared" si="6"/>
        <v>2.3452768729641693E-2</v>
      </c>
      <c r="F222" s="162">
        <v>39386</v>
      </c>
      <c r="G222" s="162"/>
      <c r="H222" s="162">
        <v>3285</v>
      </c>
      <c r="I222" s="68">
        <v>3235</v>
      </c>
      <c r="J222" s="68">
        <v>3155</v>
      </c>
      <c r="K222" s="68">
        <v>3075</v>
      </c>
      <c r="L222" s="68">
        <v>2960</v>
      </c>
      <c r="M222" s="68">
        <v>2925</v>
      </c>
      <c r="N222" s="84" t="s">
        <v>197</v>
      </c>
      <c r="O222" s="162">
        <v>39462</v>
      </c>
      <c r="P222" s="162">
        <v>39391</v>
      </c>
      <c r="Q222" s="162">
        <v>39346</v>
      </c>
      <c r="R222" s="162">
        <v>39386</v>
      </c>
      <c r="S222" s="163">
        <v>39</v>
      </c>
      <c r="T222" s="163">
        <v>38.6</v>
      </c>
      <c r="U222" s="163">
        <v>38.4</v>
      </c>
      <c r="V222" s="163">
        <v>38.200000000000003</v>
      </c>
      <c r="W222" s="163">
        <v>37.700000000000003</v>
      </c>
      <c r="X222" s="163">
        <v>37.200000000000003</v>
      </c>
      <c r="Y222" s="163"/>
      <c r="Z222" s="163"/>
      <c r="AA222" s="163"/>
    </row>
    <row r="223" spans="1:27" x14ac:dyDescent="0.25">
      <c r="A223" t="s">
        <v>518</v>
      </c>
      <c r="B223" s="95" t="s">
        <v>269</v>
      </c>
      <c r="C223" s="73">
        <f t="shared" si="7"/>
        <v>3.165384421984211E-2</v>
      </c>
      <c r="D223" t="s">
        <v>467</v>
      </c>
      <c r="E223" s="73">
        <f t="shared" si="6"/>
        <v>3.4957020057306588E-2</v>
      </c>
      <c r="F223" s="162">
        <v>14205</v>
      </c>
      <c r="G223" s="162"/>
      <c r="H223" s="162">
        <v>1955</v>
      </c>
      <c r="I223" s="68">
        <v>1865</v>
      </c>
      <c r="J223" s="68">
        <v>1795</v>
      </c>
      <c r="K223" s="68">
        <v>1755</v>
      </c>
      <c r="L223" s="68">
        <v>1660</v>
      </c>
      <c r="M223" s="68">
        <v>1650</v>
      </c>
      <c r="N223" s="84" t="s">
        <v>269</v>
      </c>
      <c r="O223" s="162">
        <v>13915</v>
      </c>
      <c r="P223" s="162">
        <v>14007</v>
      </c>
      <c r="Q223" s="162">
        <v>14125</v>
      </c>
      <c r="R223" s="162">
        <v>14205</v>
      </c>
      <c r="S223" s="163">
        <v>15.8</v>
      </c>
      <c r="T223" s="163">
        <v>18.899999999999999</v>
      </c>
      <c r="U223" s="163">
        <v>20.5</v>
      </c>
      <c r="V223" s="163">
        <v>21.1</v>
      </c>
      <c r="W223" s="163">
        <v>22.1</v>
      </c>
      <c r="X223" s="163">
        <v>22.8</v>
      </c>
      <c r="Y223" s="163"/>
      <c r="Z223" s="163"/>
      <c r="AA223" s="163"/>
    </row>
    <row r="224" spans="1:27" x14ac:dyDescent="0.25">
      <c r="A224" t="s">
        <v>524</v>
      </c>
      <c r="B224" s="95" t="s">
        <v>226</v>
      </c>
      <c r="C224" s="73">
        <f t="shared" si="7"/>
        <v>3.7964004499437569E-3</v>
      </c>
      <c r="D224" t="s">
        <v>467</v>
      </c>
      <c r="E224" s="73">
        <f t="shared" si="6"/>
        <v>3.4001743679163032E-2</v>
      </c>
      <c r="F224" s="162">
        <v>10160</v>
      </c>
      <c r="G224" s="162"/>
      <c r="H224" s="162">
        <v>1270</v>
      </c>
      <c r="I224" s="68">
        <v>1215</v>
      </c>
      <c r="J224" s="68">
        <v>1185</v>
      </c>
      <c r="K224" s="68">
        <v>1155</v>
      </c>
      <c r="L224" s="68">
        <v>1105</v>
      </c>
      <c r="M224" s="68">
        <v>1075</v>
      </c>
      <c r="N224" s="84" t="s">
        <v>226</v>
      </c>
      <c r="O224" s="162">
        <v>10199</v>
      </c>
      <c r="P224" s="162">
        <v>10231</v>
      </c>
      <c r="Q224" s="162">
        <v>10138</v>
      </c>
      <c r="R224" s="162">
        <v>10160</v>
      </c>
      <c r="S224" s="163">
        <v>10.4</v>
      </c>
      <c r="T224" s="163">
        <v>10.5</v>
      </c>
      <c r="U224" s="163">
        <v>10.7</v>
      </c>
      <c r="V224" s="163">
        <v>10.9</v>
      </c>
      <c r="W224" s="163">
        <v>11</v>
      </c>
      <c r="X224" s="163">
        <v>11.2</v>
      </c>
      <c r="Y224" s="163"/>
      <c r="Z224" s="163"/>
      <c r="AA224" s="163"/>
    </row>
    <row r="225" spans="1:27" x14ac:dyDescent="0.25">
      <c r="A225" t="s">
        <v>519</v>
      </c>
      <c r="B225" s="95" t="s">
        <v>198</v>
      </c>
      <c r="C225" s="73">
        <f t="shared" si="7"/>
        <v>3.4778233265750098E-4</v>
      </c>
      <c r="D225" t="s">
        <v>467</v>
      </c>
      <c r="E225" s="73">
        <f t="shared" si="6"/>
        <v>3.4116755117513269E-2</v>
      </c>
      <c r="F225" s="162">
        <v>48265</v>
      </c>
      <c r="G225" s="162"/>
      <c r="H225" s="162">
        <v>4360</v>
      </c>
      <c r="I225" s="68">
        <v>4230</v>
      </c>
      <c r="J225" s="68">
        <v>4130</v>
      </c>
      <c r="K225" s="68">
        <v>3940</v>
      </c>
      <c r="L225" s="68">
        <v>3800</v>
      </c>
      <c r="M225" s="68">
        <v>3685</v>
      </c>
      <c r="N225" s="84" t="s">
        <v>198</v>
      </c>
      <c r="O225" s="162">
        <v>47532</v>
      </c>
      <c r="P225" s="162">
        <v>47886</v>
      </c>
      <c r="Q225" s="162">
        <v>48214</v>
      </c>
      <c r="R225" s="162">
        <v>48265</v>
      </c>
      <c r="S225" s="163">
        <v>47.7</v>
      </c>
      <c r="T225" s="163">
        <v>48.1</v>
      </c>
      <c r="U225" s="163">
        <v>48.5</v>
      </c>
      <c r="V225" s="163">
        <v>48.8</v>
      </c>
      <c r="W225" s="163">
        <v>48.9</v>
      </c>
      <c r="X225" s="163">
        <v>48.8</v>
      </c>
      <c r="Y225" s="163"/>
      <c r="Z225" s="163"/>
      <c r="AA225" s="163"/>
    </row>
    <row r="226" spans="1:27" x14ac:dyDescent="0.25">
      <c r="A226" t="s">
        <v>521</v>
      </c>
      <c r="B226" s="95" t="s">
        <v>312</v>
      </c>
      <c r="C226" s="73">
        <f t="shared" si="7"/>
        <v>1.7655304576183969E-3</v>
      </c>
      <c r="D226" t="s">
        <v>467</v>
      </c>
      <c r="E226" s="73">
        <f t="shared" si="6"/>
        <v>2.6728110599078342E-2</v>
      </c>
      <c r="F226" s="162">
        <v>32204</v>
      </c>
      <c r="G226" s="162"/>
      <c r="H226" s="162">
        <v>2330</v>
      </c>
      <c r="I226" s="68">
        <v>2275</v>
      </c>
      <c r="J226" s="68">
        <v>2230</v>
      </c>
      <c r="K226" s="68">
        <v>2175</v>
      </c>
      <c r="L226" s="68">
        <v>2130</v>
      </c>
      <c r="M226" s="68">
        <v>2040</v>
      </c>
      <c r="N226" s="84" t="s">
        <v>312</v>
      </c>
      <c r="O226" s="162">
        <v>32293</v>
      </c>
      <c r="P226" s="162">
        <v>32161</v>
      </c>
      <c r="Q226" s="162">
        <v>32171</v>
      </c>
      <c r="R226" s="162">
        <v>32204</v>
      </c>
      <c r="S226" s="163">
        <v>32.700000000000003</v>
      </c>
      <c r="T226" s="163">
        <v>32.9</v>
      </c>
      <c r="U226" s="163">
        <v>33</v>
      </c>
      <c r="V226" s="163">
        <v>33</v>
      </c>
      <c r="W226" s="163">
        <v>32.9</v>
      </c>
      <c r="X226" s="163">
        <v>32.799999999999997</v>
      </c>
      <c r="Y226" s="163"/>
      <c r="Z226" s="163"/>
      <c r="AA226" s="163"/>
    </row>
    <row r="227" spans="1:27" x14ac:dyDescent="0.25">
      <c r="A227" t="s">
        <v>526</v>
      </c>
      <c r="B227" s="95" t="s">
        <v>417</v>
      </c>
      <c r="C227" s="73">
        <f t="shared" si="7"/>
        <v>-1.2904890953671441E-4</v>
      </c>
      <c r="D227" t="s">
        <v>467</v>
      </c>
      <c r="E227" s="73">
        <f t="shared" si="6"/>
        <v>2.1669106881405564E-2</v>
      </c>
      <c r="F227" s="162">
        <v>44280</v>
      </c>
      <c r="G227" s="162"/>
      <c r="H227" s="162">
        <v>3660</v>
      </c>
      <c r="I227" s="68">
        <v>3540</v>
      </c>
      <c r="J227" s="68">
        <v>3485</v>
      </c>
      <c r="K227" s="68">
        <v>3430</v>
      </c>
      <c r="L227" s="68">
        <v>3330</v>
      </c>
      <c r="M227" s="68">
        <v>3290</v>
      </c>
      <c r="N227" s="84" t="s">
        <v>417</v>
      </c>
      <c r="O227" s="162">
        <v>43311</v>
      </c>
      <c r="P227" s="162">
        <v>43421</v>
      </c>
      <c r="Q227" s="162">
        <v>43660</v>
      </c>
      <c r="R227" s="162">
        <v>44280</v>
      </c>
      <c r="S227" s="163">
        <v>43.7</v>
      </c>
      <c r="T227" s="163">
        <v>43.9</v>
      </c>
      <c r="U227" s="163">
        <v>44.2</v>
      </c>
      <c r="V227" s="163">
        <v>44.6</v>
      </c>
      <c r="W227" s="163">
        <v>44.9</v>
      </c>
      <c r="X227" s="163">
        <v>45</v>
      </c>
      <c r="Y227" s="163"/>
      <c r="Z227" s="163"/>
      <c r="AA227" s="163"/>
    </row>
    <row r="228" spans="1:27" x14ac:dyDescent="0.25">
      <c r="A228" t="s">
        <v>525</v>
      </c>
      <c r="B228" s="95" t="s">
        <v>124</v>
      </c>
      <c r="C228" s="73">
        <f t="shared" si="7"/>
        <v>-4.1038790731438872E-3</v>
      </c>
      <c r="D228" t="s">
        <v>441</v>
      </c>
      <c r="E228" s="73">
        <f t="shared" si="6"/>
        <v>1.8779342723004695E-2</v>
      </c>
      <c r="F228" s="162">
        <v>12201</v>
      </c>
      <c r="G228" s="162"/>
      <c r="H228" s="162">
        <v>680</v>
      </c>
      <c r="I228" s="68">
        <v>650</v>
      </c>
      <c r="J228" s="68">
        <v>655</v>
      </c>
      <c r="K228" s="68">
        <v>650</v>
      </c>
      <c r="L228" s="68">
        <v>620</v>
      </c>
      <c r="M228" s="68">
        <v>620</v>
      </c>
      <c r="N228" s="84" t="s">
        <v>124</v>
      </c>
      <c r="O228" s="162">
        <v>12207</v>
      </c>
      <c r="P228" s="162">
        <v>12200</v>
      </c>
      <c r="Q228" s="162">
        <v>12176</v>
      </c>
      <c r="R228" s="162">
        <v>12201</v>
      </c>
      <c r="S228" s="163">
        <v>12</v>
      </c>
      <c r="T228" s="163">
        <v>11.8</v>
      </c>
      <c r="U228" s="163">
        <v>11.5</v>
      </c>
      <c r="V228" s="163">
        <v>11.1</v>
      </c>
      <c r="W228" s="163">
        <v>10.9</v>
      </c>
      <c r="X228" s="163">
        <v>10.7</v>
      </c>
      <c r="Y228" s="163"/>
      <c r="Z228" s="163"/>
      <c r="AA228" s="163"/>
    </row>
    <row r="229" spans="1:27" x14ac:dyDescent="0.25">
      <c r="A229" t="s">
        <v>521</v>
      </c>
      <c r="B229" s="95" t="s">
        <v>313</v>
      </c>
      <c r="C229" s="73">
        <f t="shared" si="7"/>
        <v>-1.9072543873166321E-4</v>
      </c>
      <c r="D229" t="s">
        <v>467</v>
      </c>
      <c r="E229" s="73">
        <f t="shared" si="6"/>
        <v>3.7660055234747677E-2</v>
      </c>
      <c r="F229" s="162">
        <v>56551</v>
      </c>
      <c r="G229" s="162"/>
      <c r="H229" s="162">
        <v>4470</v>
      </c>
      <c r="I229" s="68">
        <v>4255</v>
      </c>
      <c r="J229" s="68">
        <v>4135</v>
      </c>
      <c r="K229" s="68">
        <v>4005</v>
      </c>
      <c r="L229" s="68">
        <v>3800</v>
      </c>
      <c r="M229" s="68">
        <v>3720</v>
      </c>
      <c r="N229" s="84" t="s">
        <v>313</v>
      </c>
      <c r="O229" s="162">
        <v>54321</v>
      </c>
      <c r="P229" s="162">
        <v>55293</v>
      </c>
      <c r="Q229" s="162">
        <v>55674</v>
      </c>
      <c r="R229" s="162">
        <v>56551</v>
      </c>
      <c r="S229" s="163">
        <v>55.3</v>
      </c>
      <c r="T229" s="163">
        <v>55.5</v>
      </c>
      <c r="U229" s="163">
        <v>56.4</v>
      </c>
      <c r="V229" s="163">
        <v>57.4</v>
      </c>
      <c r="W229" s="163">
        <v>58.3</v>
      </c>
      <c r="X229" s="163">
        <v>59</v>
      </c>
      <c r="Y229" s="163"/>
      <c r="Z229" s="163"/>
      <c r="AA229" s="163"/>
    </row>
    <row r="230" spans="1:27" x14ac:dyDescent="0.25">
      <c r="A230" t="s">
        <v>518</v>
      </c>
      <c r="B230" s="95" t="s">
        <v>270</v>
      </c>
      <c r="C230" s="73">
        <f t="shared" si="7"/>
        <v>6.3786431970171576E-3</v>
      </c>
      <c r="D230" t="s">
        <v>118</v>
      </c>
      <c r="E230" s="73">
        <v>3.2581866052328448E-2</v>
      </c>
      <c r="F230" s="162">
        <v>92261</v>
      </c>
      <c r="G230" s="73"/>
      <c r="H230" s="162">
        <v>6745</v>
      </c>
      <c r="I230" s="162">
        <v>6460</v>
      </c>
      <c r="J230" s="162">
        <v>6295</v>
      </c>
      <c r="K230" s="162">
        <v>6020</v>
      </c>
      <c r="L230" s="162">
        <v>5855</v>
      </c>
      <c r="M230" s="162">
        <v>5755</v>
      </c>
      <c r="N230" s="73" t="s">
        <v>270</v>
      </c>
      <c r="O230" s="162">
        <v>89895</v>
      </c>
      <c r="P230" s="162">
        <v>91141</v>
      </c>
      <c r="Q230" s="162">
        <v>91793</v>
      </c>
      <c r="R230" s="162">
        <v>92261</v>
      </c>
      <c r="S230" s="163">
        <v>95</v>
      </c>
      <c r="T230" s="163">
        <v>98.2</v>
      </c>
      <c r="U230" s="163">
        <v>100.5</v>
      </c>
      <c r="V230" s="163">
        <v>102.10000000000001</v>
      </c>
      <c r="W230" s="163">
        <v>103.2</v>
      </c>
      <c r="X230" s="163">
        <v>104.1</v>
      </c>
      <c r="Y230" s="163"/>
      <c r="Z230" s="163"/>
      <c r="AA230" s="163"/>
    </row>
    <row r="231" spans="1:27" x14ac:dyDescent="0.25">
      <c r="A231" t="s">
        <v>519</v>
      </c>
      <c r="B231" s="95" t="s">
        <v>199</v>
      </c>
      <c r="C231" s="73">
        <f t="shared" si="7"/>
        <v>1.1643911192673337E-3</v>
      </c>
      <c r="D231" t="s">
        <v>467</v>
      </c>
      <c r="E231" s="73">
        <f t="shared" si="6"/>
        <v>2.1027092600080875E-2</v>
      </c>
      <c r="F231" s="162">
        <v>24599</v>
      </c>
      <c r="G231" s="162"/>
      <c r="H231" s="162">
        <v>2640</v>
      </c>
      <c r="I231" s="68">
        <v>2545</v>
      </c>
      <c r="J231" s="68">
        <v>2550</v>
      </c>
      <c r="K231" s="68">
        <v>2485</v>
      </c>
      <c r="L231" s="68">
        <v>2405</v>
      </c>
      <c r="M231" s="68">
        <v>2380</v>
      </c>
      <c r="N231" s="84" t="s">
        <v>199</v>
      </c>
      <c r="O231" s="162">
        <v>24200</v>
      </c>
      <c r="P231" s="162">
        <v>24129</v>
      </c>
      <c r="Q231" s="162">
        <v>24365</v>
      </c>
      <c r="R231" s="162">
        <v>24599</v>
      </c>
      <c r="S231" s="163">
        <v>24.6</v>
      </c>
      <c r="T231" s="163">
        <v>24.8</v>
      </c>
      <c r="U231" s="163">
        <v>25</v>
      </c>
      <c r="V231" s="163">
        <v>25.2</v>
      </c>
      <c r="W231" s="163">
        <v>25.2</v>
      </c>
      <c r="X231" s="163">
        <v>25.1</v>
      </c>
      <c r="Y231" s="163"/>
      <c r="Z231" s="163"/>
      <c r="AA231" s="163"/>
    </row>
    <row r="232" spans="1:27" x14ac:dyDescent="0.25">
      <c r="A232" t="s">
        <v>522</v>
      </c>
      <c r="B232" s="95" t="s">
        <v>156</v>
      </c>
      <c r="C232" s="73">
        <f t="shared" si="7"/>
        <v>-4.5319370472744704E-4</v>
      </c>
      <c r="D232" t="s">
        <v>467</v>
      </c>
      <c r="E232" s="73">
        <f t="shared" si="6"/>
        <v>3.1035727174305305E-2</v>
      </c>
      <c r="F232" s="162">
        <v>38142</v>
      </c>
      <c r="G232" s="162"/>
      <c r="H232" s="162">
        <v>3045</v>
      </c>
      <c r="I232" s="68">
        <v>2940</v>
      </c>
      <c r="J232" s="68">
        <v>2855</v>
      </c>
      <c r="K232" s="68">
        <v>2770</v>
      </c>
      <c r="L232" s="68">
        <v>2675</v>
      </c>
      <c r="M232" s="68">
        <v>2615</v>
      </c>
      <c r="N232" s="84" t="s">
        <v>156</v>
      </c>
      <c r="O232" s="162">
        <v>37512</v>
      </c>
      <c r="P232" s="162">
        <v>37694</v>
      </c>
      <c r="Q232" s="162">
        <v>37911</v>
      </c>
      <c r="R232" s="162">
        <v>38142</v>
      </c>
      <c r="S232" s="163">
        <v>37.299999999999997</v>
      </c>
      <c r="T232" s="163">
        <v>37.6</v>
      </c>
      <c r="U232" s="163">
        <v>37.9</v>
      </c>
      <c r="V232" s="163">
        <v>38.1</v>
      </c>
      <c r="W232" s="163">
        <v>38.200000000000003</v>
      </c>
      <c r="X232" s="163">
        <v>38.200000000000003</v>
      </c>
      <c r="Y232" s="163"/>
      <c r="Z232" s="163"/>
      <c r="AA232" s="163"/>
    </row>
    <row r="233" spans="1:27" x14ac:dyDescent="0.25">
      <c r="A233" t="s">
        <v>528</v>
      </c>
      <c r="B233" s="95" t="s">
        <v>336</v>
      </c>
      <c r="C233" s="73">
        <f t="shared" si="7"/>
        <v>1.7979446719140477E-3</v>
      </c>
      <c r="D233" t="s">
        <v>467</v>
      </c>
      <c r="E233" s="73">
        <f t="shared" si="6"/>
        <v>2.6258205689277898E-2</v>
      </c>
      <c r="F233" s="162">
        <v>22923</v>
      </c>
      <c r="G233" s="162"/>
      <c r="H233" s="162">
        <v>2000</v>
      </c>
      <c r="I233" s="68">
        <v>1915</v>
      </c>
      <c r="J233" s="68">
        <v>1880</v>
      </c>
      <c r="K233" s="68">
        <v>1815</v>
      </c>
      <c r="L233" s="68">
        <v>1770</v>
      </c>
      <c r="M233" s="68">
        <v>1760</v>
      </c>
      <c r="N233" s="84" t="s">
        <v>336</v>
      </c>
      <c r="O233" s="162">
        <v>22670</v>
      </c>
      <c r="P233" s="162">
        <v>22724</v>
      </c>
      <c r="Q233" s="162">
        <v>22896</v>
      </c>
      <c r="R233" s="162">
        <v>22923</v>
      </c>
      <c r="S233" s="163">
        <v>23.4</v>
      </c>
      <c r="T233" s="163">
        <v>23.6</v>
      </c>
      <c r="U233" s="163">
        <v>23.5</v>
      </c>
      <c r="V233" s="163">
        <v>23.7</v>
      </c>
      <c r="W233" s="163">
        <v>24</v>
      </c>
      <c r="X233" s="163">
        <v>24.2</v>
      </c>
      <c r="Y233" s="163"/>
      <c r="Z233" s="163"/>
      <c r="AA233" s="163"/>
    </row>
    <row r="234" spans="1:27" x14ac:dyDescent="0.25">
      <c r="A234" t="s">
        <v>519</v>
      </c>
      <c r="B234" s="95" t="s">
        <v>200</v>
      </c>
      <c r="C234" s="73">
        <f t="shared" si="7"/>
        <v>-2.4143586005830903E-3</v>
      </c>
      <c r="D234" t="s">
        <v>118</v>
      </c>
      <c r="E234" s="73">
        <f t="shared" si="6"/>
        <v>3.4753363228699555E-2</v>
      </c>
      <c r="F234" s="162">
        <v>31360</v>
      </c>
      <c r="G234" s="162"/>
      <c r="H234" s="162">
        <v>3005</v>
      </c>
      <c r="I234" s="68">
        <v>2855</v>
      </c>
      <c r="J234" s="68">
        <v>2755</v>
      </c>
      <c r="K234" s="68">
        <v>2670</v>
      </c>
      <c r="L234" s="68">
        <v>2560</v>
      </c>
      <c r="M234" s="68">
        <v>2540</v>
      </c>
      <c r="N234" s="84" t="s">
        <v>200</v>
      </c>
      <c r="O234" s="162">
        <v>31304</v>
      </c>
      <c r="P234" s="162">
        <v>31408</v>
      </c>
      <c r="Q234" s="162">
        <v>31417</v>
      </c>
      <c r="R234" s="162">
        <v>31360</v>
      </c>
      <c r="S234" s="163">
        <v>31.1</v>
      </c>
      <c r="T234" s="163">
        <v>30.7</v>
      </c>
      <c r="U234" s="163">
        <v>30.3</v>
      </c>
      <c r="V234" s="163">
        <v>29.9</v>
      </c>
      <c r="W234" s="163">
        <v>29.6</v>
      </c>
      <c r="X234" s="163">
        <v>29.2</v>
      </c>
      <c r="Y234" s="163"/>
      <c r="Z234" s="163"/>
      <c r="AA234" s="163"/>
    </row>
    <row r="235" spans="1:27" x14ac:dyDescent="0.25">
      <c r="A235" t="s">
        <v>524</v>
      </c>
      <c r="B235" s="95" t="s">
        <v>227</v>
      </c>
      <c r="C235" s="73">
        <f t="shared" si="7"/>
        <v>5.938692476813828E-4</v>
      </c>
      <c r="D235" t="s">
        <v>467</v>
      </c>
      <c r="E235" s="73">
        <f t="shared" si="6"/>
        <v>2.8391167192429023E-2</v>
      </c>
      <c r="F235" s="162">
        <v>5653</v>
      </c>
      <c r="G235" s="162"/>
      <c r="H235" s="162">
        <v>690</v>
      </c>
      <c r="I235" s="68">
        <v>665</v>
      </c>
      <c r="J235" s="68">
        <v>660</v>
      </c>
      <c r="K235" s="68">
        <v>630</v>
      </c>
      <c r="L235" s="68">
        <v>615</v>
      </c>
      <c r="M235" s="68">
        <v>600</v>
      </c>
      <c r="N235" s="84" t="s">
        <v>227</v>
      </c>
      <c r="O235" s="162">
        <v>5258</v>
      </c>
      <c r="P235" s="162">
        <v>5441</v>
      </c>
      <c r="Q235" s="162">
        <v>5556</v>
      </c>
      <c r="R235" s="162">
        <v>5653</v>
      </c>
      <c r="S235" s="163">
        <v>5.3</v>
      </c>
      <c r="T235" s="163">
        <v>5.5</v>
      </c>
      <c r="U235" s="163">
        <v>5.7</v>
      </c>
      <c r="V235" s="163">
        <v>6</v>
      </c>
      <c r="W235" s="163">
        <v>6.2</v>
      </c>
      <c r="X235" s="163">
        <v>6.3</v>
      </c>
      <c r="Y235" s="163"/>
      <c r="Z235" s="163"/>
      <c r="AA235" s="163"/>
    </row>
    <row r="236" spans="1:27" x14ac:dyDescent="0.25">
      <c r="A236" t="s">
        <v>517</v>
      </c>
      <c r="B236" s="95" t="s">
        <v>384</v>
      </c>
      <c r="C236" s="73">
        <f t="shared" si="7"/>
        <v>1.221599164792113E-3</v>
      </c>
      <c r="D236" t="s">
        <v>467</v>
      </c>
      <c r="E236" s="73">
        <f t="shared" si="6"/>
        <v>2.7048528241845664E-2</v>
      </c>
      <c r="F236" s="162">
        <v>13273</v>
      </c>
      <c r="G236" s="162"/>
      <c r="H236" s="162">
        <v>1365</v>
      </c>
      <c r="I236" s="68">
        <v>1320</v>
      </c>
      <c r="J236" s="68">
        <v>1280</v>
      </c>
      <c r="K236" s="68">
        <v>1240</v>
      </c>
      <c r="L236" s="68">
        <v>1250</v>
      </c>
      <c r="M236" s="68">
        <v>1195</v>
      </c>
      <c r="N236" s="84" t="s">
        <v>384</v>
      </c>
      <c r="O236" s="162">
        <v>13060</v>
      </c>
      <c r="P236" s="162">
        <v>13110</v>
      </c>
      <c r="Q236" s="162">
        <v>13127</v>
      </c>
      <c r="R236" s="162">
        <v>13273</v>
      </c>
      <c r="S236" s="163">
        <v>13.6</v>
      </c>
      <c r="T236" s="163">
        <v>13.6</v>
      </c>
      <c r="U236" s="163">
        <v>13.5</v>
      </c>
      <c r="V236" s="163">
        <v>13.3</v>
      </c>
      <c r="W236" s="163">
        <v>13.1</v>
      </c>
      <c r="X236" s="163">
        <v>13</v>
      </c>
      <c r="Y236" s="163"/>
      <c r="Z236" s="163"/>
      <c r="AA236" s="163"/>
    </row>
    <row r="237" spans="1:27" x14ac:dyDescent="0.25">
      <c r="A237" t="s">
        <v>519</v>
      </c>
      <c r="B237" s="95" t="s">
        <v>201</v>
      </c>
      <c r="C237" s="73">
        <f t="shared" si="7"/>
        <v>9.3913546905787112E-4</v>
      </c>
      <c r="D237" t="s">
        <v>118</v>
      </c>
      <c r="E237" s="73">
        <f t="shared" si="6"/>
        <v>3.0743801652892561E-2</v>
      </c>
      <c r="F237" s="162">
        <v>43429</v>
      </c>
      <c r="G237" s="162"/>
      <c r="H237" s="162">
        <v>3280</v>
      </c>
      <c r="I237" s="68">
        <v>3180</v>
      </c>
      <c r="J237" s="68">
        <v>3150</v>
      </c>
      <c r="K237" s="68">
        <v>3065</v>
      </c>
      <c r="L237" s="68">
        <v>2915</v>
      </c>
      <c r="M237" s="68">
        <v>2815</v>
      </c>
      <c r="N237" s="84" t="s">
        <v>201</v>
      </c>
      <c r="O237" s="162">
        <v>43686</v>
      </c>
      <c r="P237" s="162">
        <v>43759</v>
      </c>
      <c r="Q237" s="162">
        <v>43525</v>
      </c>
      <c r="R237" s="162">
        <v>43429</v>
      </c>
      <c r="S237" s="163">
        <v>43.8</v>
      </c>
      <c r="T237" s="163">
        <v>43.8</v>
      </c>
      <c r="U237" s="163">
        <v>44</v>
      </c>
      <c r="V237" s="163">
        <v>44.1</v>
      </c>
      <c r="W237" s="163">
        <v>44.1</v>
      </c>
      <c r="X237" s="163">
        <v>44</v>
      </c>
      <c r="Y237" s="163"/>
      <c r="Z237" s="163"/>
      <c r="AA237" s="163"/>
    </row>
    <row r="238" spans="1:27" x14ac:dyDescent="0.25">
      <c r="A238" t="s">
        <v>524</v>
      </c>
      <c r="B238" s="95" t="s">
        <v>228</v>
      </c>
      <c r="C238" s="73">
        <f t="shared" si="7"/>
        <v>2.2491081123002946E-3</v>
      </c>
      <c r="D238" t="s">
        <v>467</v>
      </c>
      <c r="E238" s="73">
        <f t="shared" si="6"/>
        <v>3.5280508964719494E-2</v>
      </c>
      <c r="F238" s="162">
        <v>20262</v>
      </c>
      <c r="G238" s="162"/>
      <c r="H238" s="162">
        <v>1905</v>
      </c>
      <c r="I238" s="68">
        <v>1860</v>
      </c>
      <c r="J238" s="68">
        <v>1800</v>
      </c>
      <c r="K238" s="68">
        <v>1745</v>
      </c>
      <c r="L238" s="68">
        <v>1640</v>
      </c>
      <c r="M238" s="68">
        <v>1600</v>
      </c>
      <c r="N238" s="84" t="s">
        <v>228</v>
      </c>
      <c r="O238" s="162">
        <v>20012</v>
      </c>
      <c r="P238" s="162">
        <v>20115</v>
      </c>
      <c r="Q238" s="162">
        <v>20203</v>
      </c>
      <c r="R238" s="162">
        <v>20262</v>
      </c>
      <c r="S238" s="163">
        <v>20.5</v>
      </c>
      <c r="T238" s="163">
        <v>20.6</v>
      </c>
      <c r="U238" s="163">
        <v>20.9</v>
      </c>
      <c r="V238" s="163">
        <v>21.1</v>
      </c>
      <c r="W238" s="163">
        <v>21.2</v>
      </c>
      <c r="X238" s="163">
        <v>21.3</v>
      </c>
      <c r="Y238" s="163"/>
      <c r="Z238" s="163"/>
      <c r="AA238" s="163"/>
    </row>
    <row r="239" spans="1:27" x14ac:dyDescent="0.25">
      <c r="A239" t="s">
        <v>521</v>
      </c>
      <c r="B239" s="95" t="s">
        <v>314</v>
      </c>
      <c r="C239" s="73">
        <f t="shared" si="7"/>
        <v>5.9896583620179847E-4</v>
      </c>
      <c r="D239" t="s">
        <v>118</v>
      </c>
      <c r="E239" s="73">
        <f t="shared" si="6"/>
        <v>1.9341801385681295E-2</v>
      </c>
      <c r="F239" s="162">
        <v>47105</v>
      </c>
      <c r="G239" s="162"/>
      <c r="H239" s="162">
        <v>3695</v>
      </c>
      <c r="I239" s="68">
        <v>3580</v>
      </c>
      <c r="J239" s="68">
        <v>3510</v>
      </c>
      <c r="K239" s="68">
        <v>3490</v>
      </c>
      <c r="L239" s="68">
        <v>3380</v>
      </c>
      <c r="M239" s="68">
        <v>3360</v>
      </c>
      <c r="N239" s="84" t="s">
        <v>314</v>
      </c>
      <c r="O239" s="162">
        <v>46255</v>
      </c>
      <c r="P239" s="162">
        <v>46169</v>
      </c>
      <c r="Q239" s="162">
        <v>46671</v>
      </c>
      <c r="R239" s="162">
        <v>47105</v>
      </c>
      <c r="S239" s="163">
        <v>46.9</v>
      </c>
      <c r="T239" s="163">
        <v>47.3</v>
      </c>
      <c r="U239" s="163">
        <v>47.5</v>
      </c>
      <c r="V239" s="163">
        <v>47.5</v>
      </c>
      <c r="W239" s="163">
        <v>47.5</v>
      </c>
      <c r="X239" s="163">
        <v>47.5</v>
      </c>
      <c r="Y239" s="163"/>
      <c r="Z239" s="163"/>
      <c r="AA239" s="163"/>
    </row>
    <row r="240" spans="1:27" x14ac:dyDescent="0.25">
      <c r="A240" t="s">
        <v>522</v>
      </c>
      <c r="B240" s="95" t="s">
        <v>157</v>
      </c>
      <c r="C240" s="73">
        <f t="shared" si="7"/>
        <v>-6.5385118347064202E-5</v>
      </c>
      <c r="D240" t="s">
        <v>467</v>
      </c>
      <c r="E240" s="73">
        <f t="shared" si="6"/>
        <v>2.5052192066805846E-2</v>
      </c>
      <c r="F240" s="162">
        <v>38235</v>
      </c>
      <c r="G240" s="162"/>
      <c r="H240" s="162">
        <v>3105</v>
      </c>
      <c r="I240" s="68">
        <v>3050</v>
      </c>
      <c r="J240" s="68">
        <v>2950</v>
      </c>
      <c r="K240" s="68">
        <v>2880</v>
      </c>
      <c r="L240" s="68">
        <v>2745</v>
      </c>
      <c r="M240" s="68">
        <v>2745</v>
      </c>
      <c r="N240" s="84" t="s">
        <v>157</v>
      </c>
      <c r="O240" s="162">
        <v>38296</v>
      </c>
      <c r="P240" s="162">
        <v>38181</v>
      </c>
      <c r="Q240" s="162">
        <v>38204</v>
      </c>
      <c r="R240" s="162">
        <v>38235</v>
      </c>
      <c r="S240" s="163">
        <v>38.299999999999997</v>
      </c>
      <c r="T240" s="163">
        <v>38.200000000000003</v>
      </c>
      <c r="U240" s="163">
        <v>38.200000000000003</v>
      </c>
      <c r="V240" s="163">
        <v>38.299999999999997</v>
      </c>
      <c r="W240" s="163">
        <v>38.4</v>
      </c>
      <c r="X240" s="163">
        <v>38.299999999999997</v>
      </c>
      <c r="Y240" s="163"/>
      <c r="Z240" s="163"/>
      <c r="AA240" s="163"/>
    </row>
    <row r="241" spans="1:27" x14ac:dyDescent="0.25">
      <c r="A241" t="s">
        <v>521</v>
      </c>
      <c r="B241" s="95" t="s">
        <v>315</v>
      </c>
      <c r="C241" s="73">
        <f t="shared" si="7"/>
        <v>1.3602456117468232E-2</v>
      </c>
      <c r="D241" t="s">
        <v>118</v>
      </c>
      <c r="E241" s="73">
        <f t="shared" si="6"/>
        <v>4.2886492039034413E-2</v>
      </c>
      <c r="F241" s="162">
        <v>56954</v>
      </c>
      <c r="G241" s="162"/>
      <c r="H241" s="162">
        <v>4475</v>
      </c>
      <c r="I241" s="68">
        <v>4220</v>
      </c>
      <c r="J241" s="68">
        <v>4005</v>
      </c>
      <c r="K241" s="68">
        <v>3875</v>
      </c>
      <c r="L241" s="68">
        <v>3730</v>
      </c>
      <c r="M241" s="68">
        <v>3640</v>
      </c>
      <c r="N241" s="84" t="s">
        <v>315</v>
      </c>
      <c r="O241" s="162">
        <v>53486</v>
      </c>
      <c r="P241" s="162">
        <v>54271</v>
      </c>
      <c r="Q241" s="162">
        <v>55220</v>
      </c>
      <c r="R241" s="162">
        <v>56954</v>
      </c>
      <c r="S241" s="163">
        <v>62.2</v>
      </c>
      <c r="T241" s="163">
        <v>65.8</v>
      </c>
      <c r="U241" s="163">
        <v>67.8</v>
      </c>
      <c r="V241" s="163">
        <v>69.099999999999994</v>
      </c>
      <c r="W241" s="163">
        <v>69.8</v>
      </c>
      <c r="X241" s="163">
        <v>70.5</v>
      </c>
      <c r="Y241" s="163"/>
      <c r="Z241" s="163"/>
      <c r="AA241" s="163"/>
    </row>
    <row r="242" spans="1:27" x14ac:dyDescent="0.25">
      <c r="A242" t="s">
        <v>526</v>
      </c>
      <c r="B242" s="95" t="s">
        <v>418</v>
      </c>
      <c r="C242" s="73">
        <f t="shared" si="7"/>
        <v>-2.6470465630080453E-3</v>
      </c>
      <c r="D242" t="s">
        <v>118</v>
      </c>
      <c r="E242" s="73">
        <f t="shared" si="6"/>
        <v>2.2545454545454546E-2</v>
      </c>
      <c r="F242" s="162">
        <v>20562</v>
      </c>
      <c r="G242" s="162"/>
      <c r="H242" s="162">
        <v>1490</v>
      </c>
      <c r="I242" s="68">
        <v>1445</v>
      </c>
      <c r="J242" s="68">
        <v>1385</v>
      </c>
      <c r="K242" s="68">
        <v>1365</v>
      </c>
      <c r="L242" s="68">
        <v>1345</v>
      </c>
      <c r="M242" s="68">
        <v>1335</v>
      </c>
      <c r="N242" s="84" t="s">
        <v>418</v>
      </c>
      <c r="O242" s="162">
        <v>20616</v>
      </c>
      <c r="P242" s="162">
        <v>20589</v>
      </c>
      <c r="Q242" s="162">
        <v>20580</v>
      </c>
      <c r="R242" s="162">
        <v>20562</v>
      </c>
      <c r="S242" s="163">
        <v>20.3</v>
      </c>
      <c r="T242" s="163">
        <v>20</v>
      </c>
      <c r="U242" s="163">
        <v>19.8</v>
      </c>
      <c r="V242" s="163">
        <v>19.5</v>
      </c>
      <c r="W242" s="163">
        <v>19.3</v>
      </c>
      <c r="X242" s="163">
        <v>19</v>
      </c>
      <c r="Y242" s="163"/>
      <c r="Z242" s="163"/>
      <c r="AA242" s="163"/>
    </row>
    <row r="243" spans="1:27" x14ac:dyDescent="0.25">
      <c r="A243" t="s">
        <v>526</v>
      </c>
      <c r="B243" s="95" t="s">
        <v>419</v>
      </c>
      <c r="C243" s="73">
        <f t="shared" si="7"/>
        <v>4.5425667857565593E-3</v>
      </c>
      <c r="D243" t="s">
        <v>441</v>
      </c>
      <c r="E243" s="73">
        <f t="shared" si="6"/>
        <v>2.6834481120873901E-2</v>
      </c>
      <c r="F243" s="162">
        <v>59139</v>
      </c>
      <c r="G243" s="162"/>
      <c r="H243" s="162">
        <v>4610</v>
      </c>
      <c r="I243" s="68">
        <v>4425</v>
      </c>
      <c r="J243" s="68">
        <v>4320</v>
      </c>
      <c r="K243" s="68">
        <v>4180</v>
      </c>
      <c r="L243" s="68">
        <v>4085</v>
      </c>
      <c r="M243" s="68">
        <v>4045</v>
      </c>
      <c r="N243" s="84" t="s">
        <v>419</v>
      </c>
      <c r="O243" s="162">
        <v>58194</v>
      </c>
      <c r="P243" s="162">
        <v>58293</v>
      </c>
      <c r="Q243" s="162">
        <v>58763</v>
      </c>
      <c r="R243" s="162">
        <v>59139</v>
      </c>
      <c r="S243" s="163">
        <v>60.6</v>
      </c>
      <c r="T243" s="163">
        <v>62</v>
      </c>
      <c r="U243" s="163">
        <v>62.9</v>
      </c>
      <c r="V243" s="163">
        <v>63.5</v>
      </c>
      <c r="W243" s="163">
        <v>63.8</v>
      </c>
      <c r="X243" s="163">
        <v>63.9</v>
      </c>
      <c r="Y243" s="163"/>
      <c r="Z243" s="163"/>
      <c r="AA243" s="163"/>
    </row>
    <row r="244" spans="1:27" x14ac:dyDescent="0.25">
      <c r="A244" t="s">
        <v>517</v>
      </c>
      <c r="B244" s="95" t="s">
        <v>385</v>
      </c>
      <c r="C244" s="73">
        <f t="shared" si="7"/>
        <v>1.2529706037376438E-3</v>
      </c>
      <c r="D244" t="s">
        <v>441</v>
      </c>
      <c r="E244" s="73">
        <f t="shared" si="6"/>
        <v>2.2381535233432417E-2</v>
      </c>
      <c r="F244" s="162">
        <v>77245</v>
      </c>
      <c r="G244" s="162"/>
      <c r="H244" s="162">
        <v>6130</v>
      </c>
      <c r="I244" s="68">
        <v>5945</v>
      </c>
      <c r="J244" s="68">
        <v>5850</v>
      </c>
      <c r="K244" s="68">
        <v>5750</v>
      </c>
      <c r="L244" s="68">
        <v>5560</v>
      </c>
      <c r="M244" s="68">
        <v>5490</v>
      </c>
      <c r="N244" s="84" t="s">
        <v>385</v>
      </c>
      <c r="O244" s="162">
        <v>77072</v>
      </c>
      <c r="P244" s="162">
        <v>77186</v>
      </c>
      <c r="Q244" s="162">
        <v>77200</v>
      </c>
      <c r="R244" s="162">
        <v>77245</v>
      </c>
      <c r="S244" s="163">
        <v>76.8</v>
      </c>
      <c r="T244" s="163">
        <v>77.400000000000006</v>
      </c>
      <c r="U244" s="163">
        <v>78.599999999999994</v>
      </c>
      <c r="V244" s="163">
        <v>79.8</v>
      </c>
      <c r="W244" s="163">
        <v>80.8</v>
      </c>
      <c r="X244" s="163">
        <v>81.5</v>
      </c>
      <c r="Y244" s="163"/>
      <c r="Z244" s="163"/>
      <c r="AA244" s="163"/>
    </row>
    <row r="245" spans="1:27" x14ac:dyDescent="0.25">
      <c r="A245" t="s">
        <v>521</v>
      </c>
      <c r="B245" s="95" t="s">
        <v>316</v>
      </c>
      <c r="C245" s="73">
        <f t="shared" si="7"/>
        <v>8.3720349383465936E-3</v>
      </c>
      <c r="D245" t="s">
        <v>441</v>
      </c>
      <c r="E245" s="73">
        <f t="shared" si="6"/>
        <v>4.2871778705965799E-2</v>
      </c>
      <c r="F245" s="162">
        <v>655473</v>
      </c>
      <c r="G245" s="162"/>
      <c r="H245" s="162">
        <v>58340</v>
      </c>
      <c r="I245" s="68">
        <v>54665</v>
      </c>
      <c r="J245" s="68">
        <v>52950</v>
      </c>
      <c r="K245" s="68">
        <v>50425</v>
      </c>
      <c r="L245" s="68">
        <v>48280</v>
      </c>
      <c r="M245" s="68">
        <v>47460</v>
      </c>
      <c r="N245" s="84" t="s">
        <v>316</v>
      </c>
      <c r="O245" s="162">
        <v>644527</v>
      </c>
      <c r="P245" s="162">
        <v>651446</v>
      </c>
      <c r="Q245" s="162">
        <v>651631</v>
      </c>
      <c r="R245" s="162">
        <v>655473</v>
      </c>
      <c r="S245" s="163">
        <v>686.2</v>
      </c>
      <c r="T245" s="163">
        <v>712.8</v>
      </c>
      <c r="U245" s="163">
        <v>732.3</v>
      </c>
      <c r="V245" s="163">
        <v>746.1</v>
      </c>
      <c r="W245" s="163">
        <v>756</v>
      </c>
      <c r="X245" s="163">
        <v>764.3</v>
      </c>
      <c r="Y245" s="163"/>
      <c r="Z245" s="163"/>
      <c r="AA245" s="163"/>
    </row>
    <row r="246" spans="1:27" x14ac:dyDescent="0.25">
      <c r="A246" t="s">
        <v>519</v>
      </c>
      <c r="B246" s="95" t="s">
        <v>202</v>
      </c>
      <c r="C246" s="73">
        <f t="shared" si="7"/>
        <v>1.7897819720143183E-3</v>
      </c>
      <c r="D246" t="s">
        <v>467</v>
      </c>
      <c r="E246" s="73">
        <f t="shared" si="6"/>
        <v>4.3478260869565216E-2</v>
      </c>
      <c r="F246" s="162">
        <v>1756</v>
      </c>
      <c r="G246" s="162"/>
      <c r="H246" s="162">
        <v>185</v>
      </c>
      <c r="I246" s="68">
        <v>175</v>
      </c>
      <c r="J246" s="68">
        <v>165</v>
      </c>
      <c r="K246" s="68">
        <v>160</v>
      </c>
      <c r="L246" s="68">
        <v>155</v>
      </c>
      <c r="M246" s="68">
        <v>150</v>
      </c>
      <c r="N246" s="84" t="s">
        <v>202</v>
      </c>
      <c r="O246" s="162">
        <v>1654</v>
      </c>
      <c r="P246" s="162">
        <v>1698</v>
      </c>
      <c r="Q246" s="162">
        <v>1726</v>
      </c>
      <c r="R246" s="162">
        <v>1756</v>
      </c>
      <c r="S246" s="163">
        <v>1.7</v>
      </c>
      <c r="T246" s="163">
        <v>1.7</v>
      </c>
      <c r="U246" s="163">
        <v>1.8</v>
      </c>
      <c r="V246" s="163">
        <v>1.8</v>
      </c>
      <c r="W246" s="163">
        <v>1.9</v>
      </c>
      <c r="X246" s="163">
        <v>1.9</v>
      </c>
      <c r="Y246" s="163"/>
      <c r="Z246" s="163"/>
      <c r="AA246" s="163"/>
    </row>
    <row r="247" spans="1:27" x14ac:dyDescent="0.25">
      <c r="A247" t="s">
        <v>526</v>
      </c>
      <c r="B247" s="95" t="s">
        <v>386</v>
      </c>
      <c r="C247" s="73">
        <f t="shared" si="7"/>
        <v>-1.073676869146014E-3</v>
      </c>
      <c r="D247" t="s">
        <v>118</v>
      </c>
      <c r="E247" s="73">
        <f t="shared" si="6"/>
        <v>2.4186046511627906E-2</v>
      </c>
      <c r="F247" s="162">
        <v>23351</v>
      </c>
      <c r="G247" s="162"/>
      <c r="H247" s="162">
        <v>2300</v>
      </c>
      <c r="I247" s="68">
        <v>2245</v>
      </c>
      <c r="J247" s="68">
        <v>2210</v>
      </c>
      <c r="K247" s="68">
        <v>2165</v>
      </c>
      <c r="L247" s="68">
        <v>2090</v>
      </c>
      <c r="M247" s="68">
        <v>2040</v>
      </c>
      <c r="N247" s="84" t="s">
        <v>386</v>
      </c>
      <c r="O247" s="162">
        <v>22585</v>
      </c>
      <c r="P247" s="162">
        <v>22917</v>
      </c>
      <c r="Q247" s="162">
        <v>23080</v>
      </c>
      <c r="R247" s="162">
        <v>23351</v>
      </c>
      <c r="S247" s="163">
        <v>22.8</v>
      </c>
      <c r="T247" s="163">
        <v>22.9</v>
      </c>
      <c r="U247" s="163">
        <v>23</v>
      </c>
      <c r="V247" s="163">
        <v>23.1</v>
      </c>
      <c r="W247" s="163">
        <v>23</v>
      </c>
      <c r="X247" s="163">
        <v>23</v>
      </c>
      <c r="Y247" s="163"/>
      <c r="Z247" s="163"/>
      <c r="AA247" s="163"/>
    </row>
    <row r="248" spans="1:27" x14ac:dyDescent="0.25">
      <c r="A248" t="s">
        <v>518</v>
      </c>
      <c r="B248" s="95" t="s">
        <v>271</v>
      </c>
      <c r="C248" s="73">
        <f t="shared" si="7"/>
        <v>-8.0990308617307828E-4</v>
      </c>
      <c r="D248" t="s">
        <v>118</v>
      </c>
      <c r="E248" s="73">
        <f t="shared" si="6"/>
        <v>2.1500457456541628E-2</v>
      </c>
      <c r="F248" s="162">
        <v>46831</v>
      </c>
      <c r="G248" s="162"/>
      <c r="H248" s="162">
        <v>4665</v>
      </c>
      <c r="I248" s="68">
        <v>4525</v>
      </c>
      <c r="J248" s="68">
        <v>4470</v>
      </c>
      <c r="K248" s="68">
        <v>4385</v>
      </c>
      <c r="L248" s="68">
        <v>4285</v>
      </c>
      <c r="M248" s="68">
        <v>4195</v>
      </c>
      <c r="N248" s="84" t="s">
        <v>271</v>
      </c>
      <c r="O248" s="162">
        <v>46563</v>
      </c>
      <c r="P248" s="162">
        <v>46523</v>
      </c>
      <c r="Q248" s="162">
        <v>46532</v>
      </c>
      <c r="R248" s="162">
        <v>46831</v>
      </c>
      <c r="S248" s="163">
        <v>46.5</v>
      </c>
      <c r="T248" s="163">
        <v>46.3</v>
      </c>
      <c r="U248" s="163">
        <v>46.3</v>
      </c>
      <c r="V248" s="163">
        <v>46.4</v>
      </c>
      <c r="W248" s="163">
        <v>46.5</v>
      </c>
      <c r="X248" s="163">
        <v>46.5</v>
      </c>
      <c r="Y248" s="163"/>
      <c r="Z248" s="163"/>
      <c r="AA248" s="163"/>
    </row>
    <row r="249" spans="1:27" x14ac:dyDescent="0.25">
      <c r="A249" t="s">
        <v>519</v>
      </c>
      <c r="B249" s="95" t="s">
        <v>203</v>
      </c>
      <c r="C249" s="73">
        <f t="shared" si="7"/>
        <v>3.9997785589725139E-3</v>
      </c>
      <c r="D249" t="s">
        <v>467</v>
      </c>
      <c r="E249" s="73">
        <f t="shared" si="6"/>
        <v>2.5670945157526253E-2</v>
      </c>
      <c r="F249" s="162">
        <v>10322</v>
      </c>
      <c r="G249" s="162"/>
      <c r="H249" s="162">
        <v>925</v>
      </c>
      <c r="I249" s="68">
        <v>910</v>
      </c>
      <c r="J249" s="68">
        <v>890</v>
      </c>
      <c r="K249" s="68">
        <v>850</v>
      </c>
      <c r="L249" s="68">
        <v>820</v>
      </c>
      <c r="M249" s="68">
        <v>815</v>
      </c>
      <c r="N249" s="84" t="s">
        <v>203</v>
      </c>
      <c r="O249" s="162">
        <v>9874</v>
      </c>
      <c r="P249" s="162">
        <v>9866</v>
      </c>
      <c r="Q249" s="162">
        <v>10128</v>
      </c>
      <c r="R249" s="162">
        <v>10322</v>
      </c>
      <c r="S249" s="163">
        <v>10.4</v>
      </c>
      <c r="T249" s="163">
        <v>10.7</v>
      </c>
      <c r="U249" s="163">
        <v>10.9</v>
      </c>
      <c r="V249" s="163">
        <v>11.1</v>
      </c>
      <c r="W249" s="163">
        <v>11.3</v>
      </c>
      <c r="X249" s="163">
        <v>11.4</v>
      </c>
      <c r="Y249" s="163"/>
      <c r="Z249" s="163"/>
      <c r="AA249" s="163"/>
    </row>
    <row r="250" spans="1:27" x14ac:dyDescent="0.25">
      <c r="A250" t="s">
        <v>521</v>
      </c>
      <c r="B250" s="95" t="s">
        <v>317</v>
      </c>
      <c r="C250" s="73">
        <f t="shared" si="7"/>
        <v>3.7873429327106453E-4</v>
      </c>
      <c r="D250" s="177" t="s">
        <v>118</v>
      </c>
      <c r="E250" s="73">
        <f t="shared" si="6"/>
        <v>3.0795390137918006E-2</v>
      </c>
      <c r="F250" s="162">
        <v>79777</v>
      </c>
      <c r="G250" s="162"/>
      <c r="H250" s="162">
        <v>5890</v>
      </c>
      <c r="I250" s="68">
        <v>5595</v>
      </c>
      <c r="J250" s="68">
        <v>5450</v>
      </c>
      <c r="K250" s="68">
        <v>5265</v>
      </c>
      <c r="L250" s="68">
        <v>5080</v>
      </c>
      <c r="M250" s="68">
        <v>5075</v>
      </c>
      <c r="N250" s="84" t="s">
        <v>317</v>
      </c>
      <c r="O250" s="162">
        <v>78094</v>
      </c>
      <c r="P250" s="162">
        <v>78778</v>
      </c>
      <c r="Q250" s="162">
        <v>79279</v>
      </c>
      <c r="R250" s="162">
        <v>79777</v>
      </c>
      <c r="S250" s="163">
        <v>78.7</v>
      </c>
      <c r="T250" s="163">
        <v>79.400000000000006</v>
      </c>
      <c r="U250" s="163">
        <v>80.2</v>
      </c>
      <c r="V250" s="163">
        <v>80.7</v>
      </c>
      <c r="W250" s="163">
        <v>81</v>
      </c>
      <c r="X250" s="163">
        <v>81.2</v>
      </c>
      <c r="Y250" s="163"/>
      <c r="Z250" s="163"/>
      <c r="AA250" s="163"/>
    </row>
    <row r="251" spans="1:27" x14ac:dyDescent="0.25">
      <c r="A251" t="s">
        <v>520</v>
      </c>
      <c r="B251" s="95" t="s">
        <v>135</v>
      </c>
      <c r="C251" s="73">
        <f t="shared" si="7"/>
        <v>-3.3292978208232446E-3</v>
      </c>
      <c r="D251" t="s">
        <v>118</v>
      </c>
      <c r="E251" s="73">
        <f t="shared" si="6"/>
        <v>1.7094017094017096E-2</v>
      </c>
      <c r="F251" s="162">
        <v>944</v>
      </c>
      <c r="G251" s="162"/>
      <c r="H251" s="162">
        <v>115</v>
      </c>
      <c r="I251" s="68">
        <v>125</v>
      </c>
      <c r="J251" s="68">
        <v>130</v>
      </c>
      <c r="K251" s="68">
        <v>110</v>
      </c>
      <c r="L251" s="68">
        <v>115</v>
      </c>
      <c r="M251" s="68">
        <v>105</v>
      </c>
      <c r="N251" s="84" t="s">
        <v>135</v>
      </c>
      <c r="O251" s="162">
        <v>936</v>
      </c>
      <c r="P251" s="162">
        <v>944</v>
      </c>
      <c r="Q251" s="162">
        <v>931</v>
      </c>
      <c r="R251" s="162">
        <v>944</v>
      </c>
      <c r="S251" s="163">
        <v>0.9</v>
      </c>
      <c r="T251" s="163">
        <v>0.9</v>
      </c>
      <c r="U251" s="163">
        <v>0.9</v>
      </c>
      <c r="V251" s="163">
        <v>0.8</v>
      </c>
      <c r="W251" s="163">
        <v>0.8</v>
      </c>
      <c r="X251" s="163">
        <v>0.8</v>
      </c>
      <c r="Y251" s="163"/>
      <c r="Z251" s="163"/>
      <c r="AA251" s="163"/>
    </row>
    <row r="252" spans="1:27" x14ac:dyDescent="0.25">
      <c r="A252" t="s">
        <v>528</v>
      </c>
      <c r="B252" s="95" t="s">
        <v>337</v>
      </c>
      <c r="C252" s="73">
        <f t="shared" si="7"/>
        <v>-2.8377366697476779E-3</v>
      </c>
      <c r="D252" t="s">
        <v>118</v>
      </c>
      <c r="E252" s="73">
        <f t="shared" si="6"/>
        <v>2.1938350458206055E-2</v>
      </c>
      <c r="F252" s="162">
        <v>34157</v>
      </c>
      <c r="G252" s="162"/>
      <c r="H252" s="162">
        <v>3870</v>
      </c>
      <c r="I252" s="68">
        <v>3770</v>
      </c>
      <c r="J252" s="68">
        <v>3685</v>
      </c>
      <c r="K252" s="68">
        <v>3615</v>
      </c>
      <c r="L252" s="68">
        <v>3460</v>
      </c>
      <c r="M252" s="68">
        <v>3475</v>
      </c>
      <c r="N252" s="84" t="s">
        <v>337</v>
      </c>
      <c r="O252" s="162">
        <v>33789</v>
      </c>
      <c r="P252" s="162">
        <v>33839</v>
      </c>
      <c r="Q252" s="162">
        <v>34065</v>
      </c>
      <c r="R252" s="162">
        <v>34157</v>
      </c>
      <c r="S252" s="163">
        <v>33</v>
      </c>
      <c r="T252" s="163">
        <v>32.700000000000003</v>
      </c>
      <c r="U252" s="163">
        <v>32.799999999999997</v>
      </c>
      <c r="V252" s="163">
        <v>33.1</v>
      </c>
      <c r="W252" s="163">
        <v>33.299999999999997</v>
      </c>
      <c r="X252" s="163">
        <v>33.4</v>
      </c>
      <c r="Y252" s="163"/>
      <c r="Z252" s="163"/>
      <c r="AA252" s="163"/>
    </row>
    <row r="253" spans="1:27" x14ac:dyDescent="0.25">
      <c r="A253" t="s">
        <v>521</v>
      </c>
      <c r="B253" s="95" t="s">
        <v>443</v>
      </c>
      <c r="C253" s="73">
        <f t="shared" si="7"/>
        <v>7.2148102187574985E-3</v>
      </c>
      <c r="D253" t="s">
        <v>441</v>
      </c>
      <c r="E253" s="73">
        <f t="shared" si="6"/>
        <v>4.8582635050811195E-2</v>
      </c>
      <c r="F253" s="162">
        <v>553039</v>
      </c>
      <c r="G253" s="162"/>
      <c r="H253" s="162">
        <v>52570</v>
      </c>
      <c r="I253" s="68">
        <v>48735</v>
      </c>
      <c r="J253" s="68">
        <v>46785</v>
      </c>
      <c r="K253" s="68">
        <v>44635</v>
      </c>
      <c r="L253" s="68">
        <v>42535</v>
      </c>
      <c r="M253" s="68">
        <v>41670</v>
      </c>
      <c r="N253" s="84" t="s">
        <v>443</v>
      </c>
      <c r="O253" s="162">
        <v>537988</v>
      </c>
      <c r="P253" s="162">
        <v>545339</v>
      </c>
      <c r="Q253" s="162">
        <v>548320</v>
      </c>
      <c r="R253" s="162">
        <v>553039</v>
      </c>
      <c r="S253" s="163">
        <v>575.29999999999995</v>
      </c>
      <c r="T253" s="163">
        <v>594.70000000000005</v>
      </c>
      <c r="U253" s="163">
        <v>608.9</v>
      </c>
      <c r="V253" s="163">
        <v>619.5</v>
      </c>
      <c r="W253" s="163">
        <v>627</v>
      </c>
      <c r="X253" s="163">
        <v>633</v>
      </c>
      <c r="Y253" s="163"/>
      <c r="Z253" s="163"/>
      <c r="AA253" s="163"/>
    </row>
    <row r="254" spans="1:27" x14ac:dyDescent="0.25">
      <c r="A254" t="s">
        <v>517</v>
      </c>
      <c r="B254" s="95" t="s">
        <v>480</v>
      </c>
      <c r="C254" s="73">
        <f t="shared" si="7"/>
        <v>4.5995653709634586E-3</v>
      </c>
      <c r="D254" t="s">
        <v>441</v>
      </c>
      <c r="E254" s="73">
        <f t="shared" ref="E254:E315" si="8">SUM(H254,-M254)/(SUM(I254,J254,K254,L254,M254))</f>
        <v>3.4644896624098781E-2</v>
      </c>
      <c r="F254" s="162">
        <v>156521</v>
      </c>
      <c r="G254" s="162"/>
      <c r="H254" s="162">
        <v>16455</v>
      </c>
      <c r="I254" s="68">
        <v>15825</v>
      </c>
      <c r="J254" s="68">
        <v>15370</v>
      </c>
      <c r="K254" s="75">
        <v>14785</v>
      </c>
      <c r="L254" s="75">
        <v>13480</v>
      </c>
      <c r="M254" s="75">
        <v>13913</v>
      </c>
      <c r="N254" s="84" t="s">
        <v>480</v>
      </c>
      <c r="O254" s="162">
        <v>154231</v>
      </c>
      <c r="P254" s="162">
        <v>155081</v>
      </c>
      <c r="Q254" s="162">
        <v>155490</v>
      </c>
      <c r="R254" s="162">
        <v>156521</v>
      </c>
      <c r="S254" s="163">
        <v>160.19999999999999</v>
      </c>
      <c r="T254" s="163">
        <v>164</v>
      </c>
      <c r="U254" s="163">
        <v>166.6</v>
      </c>
      <c r="V254" s="163">
        <v>168.3</v>
      </c>
      <c r="W254" s="163">
        <v>169.2</v>
      </c>
      <c r="X254" s="163">
        <v>169.7</v>
      </c>
      <c r="Y254" s="163"/>
      <c r="Z254" s="163"/>
      <c r="AA254" s="163"/>
    </row>
    <row r="255" spans="1:27" x14ac:dyDescent="0.25">
      <c r="A255" t="s">
        <v>526</v>
      </c>
      <c r="B255" s="95" t="s">
        <v>420</v>
      </c>
      <c r="C255" s="73">
        <f t="shared" si="7"/>
        <v>-8.5645769099006511E-4</v>
      </c>
      <c r="D255" t="s">
        <v>118</v>
      </c>
      <c r="E255" s="73">
        <f t="shared" si="8"/>
        <v>1.6260162601626018E-2</v>
      </c>
      <c r="F255" s="162">
        <v>10425</v>
      </c>
      <c r="G255" s="162"/>
      <c r="H255" s="162">
        <v>655</v>
      </c>
      <c r="I255" s="68">
        <v>650</v>
      </c>
      <c r="J255" s="68">
        <v>625</v>
      </c>
      <c r="K255" s="68">
        <v>605</v>
      </c>
      <c r="L255" s="68">
        <v>590</v>
      </c>
      <c r="M255" s="68">
        <v>605</v>
      </c>
      <c r="N255" s="84" t="s">
        <v>420</v>
      </c>
      <c r="O255" s="162">
        <v>10505</v>
      </c>
      <c r="P255" s="162">
        <v>10546</v>
      </c>
      <c r="Q255" s="162">
        <v>10477</v>
      </c>
      <c r="R255" s="162">
        <v>10425</v>
      </c>
      <c r="S255" s="163">
        <v>10.6</v>
      </c>
      <c r="T255" s="163">
        <v>10.4</v>
      </c>
      <c r="U255" s="163">
        <v>10.3</v>
      </c>
      <c r="V255" s="163">
        <v>10.1</v>
      </c>
      <c r="W255" s="163">
        <v>9.9</v>
      </c>
      <c r="X255" s="163">
        <v>9.6</v>
      </c>
      <c r="Y255" s="163"/>
      <c r="Z255" s="163"/>
      <c r="AA255" s="163"/>
    </row>
    <row r="256" spans="1:27" x14ac:dyDescent="0.25">
      <c r="A256" t="s">
        <v>517</v>
      </c>
      <c r="B256" s="95" t="s">
        <v>387</v>
      </c>
      <c r="C256" s="73">
        <f t="shared" si="7"/>
        <v>-3.4173820258202197E-3</v>
      </c>
      <c r="D256" t="s">
        <v>467</v>
      </c>
      <c r="E256" s="73">
        <f t="shared" si="8"/>
        <v>2.5482344375682562E-2</v>
      </c>
      <c r="F256" s="162">
        <v>29722</v>
      </c>
      <c r="G256" s="162"/>
      <c r="H256" s="162">
        <v>2980</v>
      </c>
      <c r="I256" s="68">
        <v>2900</v>
      </c>
      <c r="J256" s="68">
        <v>2845</v>
      </c>
      <c r="K256" s="68">
        <v>2720</v>
      </c>
      <c r="L256" s="68">
        <v>2640</v>
      </c>
      <c r="M256" s="68">
        <v>2630</v>
      </c>
      <c r="N256" s="84" t="s">
        <v>387</v>
      </c>
      <c r="O256" s="162">
        <v>28982</v>
      </c>
      <c r="P256" s="162">
        <v>29202</v>
      </c>
      <c r="Q256" s="162">
        <v>29498</v>
      </c>
      <c r="R256" s="162">
        <v>29722</v>
      </c>
      <c r="S256" s="163">
        <v>28.5</v>
      </c>
      <c r="T256" s="163">
        <v>28.3</v>
      </c>
      <c r="U256" s="163">
        <v>28.3</v>
      </c>
      <c r="V256" s="163">
        <v>28.4</v>
      </c>
      <c r="W256" s="163">
        <v>28.3</v>
      </c>
      <c r="X256" s="163">
        <v>28.3</v>
      </c>
      <c r="Y256" s="163"/>
      <c r="Z256" s="163"/>
      <c r="AA256" s="163"/>
    </row>
    <row r="257" spans="1:27" x14ac:dyDescent="0.25">
      <c r="A257" t="s">
        <v>526</v>
      </c>
      <c r="B257" s="95" t="s">
        <v>421</v>
      </c>
      <c r="C257" s="73">
        <f t="shared" si="7"/>
        <v>-1.1119832548403977E-3</v>
      </c>
      <c r="D257" t="s">
        <v>441</v>
      </c>
      <c r="E257" s="73">
        <f t="shared" si="8"/>
        <v>2.331895863280626E-2</v>
      </c>
      <c r="F257" s="162">
        <v>91728</v>
      </c>
      <c r="G257" s="162"/>
      <c r="H257" s="162">
        <v>6750</v>
      </c>
      <c r="I257" s="68">
        <v>6510</v>
      </c>
      <c r="J257" s="68">
        <v>6415</v>
      </c>
      <c r="K257" s="68">
        <v>6250</v>
      </c>
      <c r="L257" s="68">
        <v>6110</v>
      </c>
      <c r="M257" s="68">
        <v>6020</v>
      </c>
      <c r="N257" s="84" t="s">
        <v>421</v>
      </c>
      <c r="O257" s="162">
        <v>92627</v>
      </c>
      <c r="P257" s="162">
        <v>92487</v>
      </c>
      <c r="Q257" s="162">
        <v>91743</v>
      </c>
      <c r="R257" s="162">
        <v>91728</v>
      </c>
      <c r="S257" s="163">
        <v>90.7</v>
      </c>
      <c r="T257" s="163">
        <v>90.2</v>
      </c>
      <c r="U257" s="163">
        <v>90.3</v>
      </c>
      <c r="V257" s="163">
        <v>90.3</v>
      </c>
      <c r="W257" s="163">
        <v>90.3</v>
      </c>
      <c r="X257" s="163">
        <v>90.2</v>
      </c>
      <c r="Y257" s="163"/>
      <c r="Z257" s="163"/>
      <c r="AA257" s="163"/>
    </row>
    <row r="258" spans="1:27" x14ac:dyDescent="0.25">
      <c r="A258" t="s">
        <v>521</v>
      </c>
      <c r="B258" s="95" t="s">
        <v>318</v>
      </c>
      <c r="C258" s="73">
        <f t="shared" si="7"/>
        <v>1.4070518126138058E-3</v>
      </c>
      <c r="D258" t="s">
        <v>118</v>
      </c>
      <c r="E258" s="73">
        <f t="shared" si="8"/>
        <v>1.9318181818181818E-2</v>
      </c>
      <c r="F258" s="162">
        <v>25890</v>
      </c>
      <c r="G258" s="162"/>
      <c r="H258" s="162">
        <v>1855</v>
      </c>
      <c r="I258" s="68">
        <v>1825</v>
      </c>
      <c r="J258" s="68">
        <v>1820</v>
      </c>
      <c r="K258" s="68">
        <v>1765</v>
      </c>
      <c r="L258" s="68">
        <v>1705</v>
      </c>
      <c r="M258" s="68">
        <v>1685</v>
      </c>
      <c r="N258" s="84" t="s">
        <v>318</v>
      </c>
      <c r="O258" s="162">
        <v>25018</v>
      </c>
      <c r="P258" s="162">
        <v>25214</v>
      </c>
      <c r="Q258" s="162">
        <v>25597</v>
      </c>
      <c r="R258" s="162">
        <v>25890</v>
      </c>
      <c r="S258" s="163">
        <v>25.5</v>
      </c>
      <c r="T258" s="163">
        <v>26.1</v>
      </c>
      <c r="U258" s="163">
        <v>26.4</v>
      </c>
      <c r="V258" s="163">
        <v>26.6</v>
      </c>
      <c r="W258" s="163">
        <v>26.8</v>
      </c>
      <c r="X258" s="163">
        <v>27</v>
      </c>
      <c r="Y258" s="163"/>
      <c r="Z258" s="163"/>
      <c r="AA258" s="163"/>
    </row>
    <row r="259" spans="1:27" x14ac:dyDescent="0.25">
      <c r="A259" t="s">
        <v>528</v>
      </c>
      <c r="B259" s="95" t="s">
        <v>338</v>
      </c>
      <c r="C259" s="73">
        <f t="shared" ref="C259:C322" si="9">(SUM(U259*1000,-R259)/14)/R259</f>
        <v>-2.2722782058881641E-3</v>
      </c>
      <c r="D259" t="s">
        <v>118</v>
      </c>
      <c r="E259" s="73">
        <f t="shared" si="8"/>
        <v>1.7571261226083563E-2</v>
      </c>
      <c r="F259" s="162">
        <v>23136</v>
      </c>
      <c r="G259" s="162"/>
      <c r="H259" s="162">
        <v>2695</v>
      </c>
      <c r="I259" s="68">
        <v>2660</v>
      </c>
      <c r="J259" s="68">
        <v>2620</v>
      </c>
      <c r="K259" s="68">
        <v>2555</v>
      </c>
      <c r="L259" s="68">
        <v>2500</v>
      </c>
      <c r="M259" s="68">
        <v>2470</v>
      </c>
      <c r="N259" s="84" t="s">
        <v>338</v>
      </c>
      <c r="O259" s="162">
        <v>23391</v>
      </c>
      <c r="P259" s="162">
        <v>23230</v>
      </c>
      <c r="Q259" s="162">
        <v>23166</v>
      </c>
      <c r="R259" s="162">
        <v>23136</v>
      </c>
      <c r="S259" s="163">
        <v>22.9</v>
      </c>
      <c r="T259" s="163">
        <v>22.6</v>
      </c>
      <c r="U259" s="163">
        <v>22.4</v>
      </c>
      <c r="V259" s="163">
        <v>21.9</v>
      </c>
      <c r="W259" s="163">
        <v>21.4</v>
      </c>
      <c r="X259" s="163">
        <v>20.9</v>
      </c>
      <c r="Y259" s="163"/>
      <c r="Z259" s="163"/>
      <c r="AA259" s="163"/>
    </row>
    <row r="260" spans="1:27" x14ac:dyDescent="0.25">
      <c r="A260" t="s">
        <v>520</v>
      </c>
      <c r="B260" s="95" t="s">
        <v>136</v>
      </c>
      <c r="C260" s="73">
        <f t="shared" si="9"/>
        <v>-2.302498760586128E-3</v>
      </c>
      <c r="D260" t="s">
        <v>441</v>
      </c>
      <c r="E260" s="73">
        <f t="shared" si="8"/>
        <v>2.4166009981612818E-2</v>
      </c>
      <c r="F260" s="162">
        <v>55902</v>
      </c>
      <c r="G260" s="162"/>
      <c r="H260" s="162">
        <v>4115</v>
      </c>
      <c r="I260" s="68">
        <v>3970</v>
      </c>
      <c r="J260" s="68">
        <v>3925</v>
      </c>
      <c r="K260" s="68">
        <v>3810</v>
      </c>
      <c r="L260" s="68">
        <v>3675</v>
      </c>
      <c r="M260" s="68">
        <v>3655</v>
      </c>
      <c r="N260" s="84" t="s">
        <v>136</v>
      </c>
      <c r="O260" s="162">
        <v>55939</v>
      </c>
      <c r="P260" s="162">
        <v>56214</v>
      </c>
      <c r="Q260" s="162">
        <v>56040</v>
      </c>
      <c r="R260" s="162">
        <v>55902</v>
      </c>
      <c r="S260" s="163">
        <v>55</v>
      </c>
      <c r="T260" s="163">
        <v>54.5</v>
      </c>
      <c r="U260" s="163">
        <v>54.1</v>
      </c>
      <c r="V260" s="163">
        <v>53.1</v>
      </c>
      <c r="W260" s="163">
        <v>52</v>
      </c>
      <c r="X260" s="163">
        <v>50.6</v>
      </c>
      <c r="Y260" s="163"/>
      <c r="Z260" s="163"/>
      <c r="AA260" s="163"/>
    </row>
    <row r="261" spans="1:27" x14ac:dyDescent="0.25">
      <c r="A261" t="s">
        <v>524</v>
      </c>
      <c r="B261" s="95" t="s">
        <v>229</v>
      </c>
      <c r="C261" s="73">
        <f t="shared" si="9"/>
        <v>-3.1991315343398721E-4</v>
      </c>
      <c r="D261" t="s">
        <v>118</v>
      </c>
      <c r="E261" s="73">
        <f t="shared" si="8"/>
        <v>2.4193548387096774E-2</v>
      </c>
      <c r="F261" s="162">
        <v>47111</v>
      </c>
      <c r="G261" s="162"/>
      <c r="H261" s="162">
        <v>4975</v>
      </c>
      <c r="I261" s="68">
        <v>4830</v>
      </c>
      <c r="J261" s="68">
        <v>4720</v>
      </c>
      <c r="K261" s="68">
        <v>4555</v>
      </c>
      <c r="L261" s="68">
        <v>4415</v>
      </c>
      <c r="M261" s="68">
        <v>4420</v>
      </c>
      <c r="N261" s="84" t="s">
        <v>229</v>
      </c>
      <c r="O261" s="162">
        <v>46194</v>
      </c>
      <c r="P261" s="162">
        <v>46620</v>
      </c>
      <c r="Q261" s="162">
        <v>46906</v>
      </c>
      <c r="R261" s="162">
        <v>47111</v>
      </c>
      <c r="S261" s="163">
        <v>46.5</v>
      </c>
      <c r="T261" s="163">
        <v>46.6</v>
      </c>
      <c r="U261" s="163">
        <v>46.9</v>
      </c>
      <c r="V261" s="163">
        <v>47.2</v>
      </c>
      <c r="W261" s="163">
        <v>47.5</v>
      </c>
      <c r="X261" s="163">
        <v>47.5</v>
      </c>
      <c r="Y261" s="163"/>
      <c r="Z261" s="163"/>
      <c r="AA261" s="163"/>
    </row>
    <row r="262" spans="1:27" x14ac:dyDescent="0.25">
      <c r="A262" t="s">
        <v>517</v>
      </c>
      <c r="B262" s="95" t="s">
        <v>388</v>
      </c>
      <c r="C262" s="73">
        <f t="shared" si="9"/>
        <v>5.4348220177365906E-3</v>
      </c>
      <c r="D262" t="s">
        <v>467</v>
      </c>
      <c r="E262" s="73">
        <f t="shared" si="8"/>
        <v>3.0165912518853696E-2</v>
      </c>
      <c r="F262" s="162">
        <v>19701</v>
      </c>
      <c r="G262" s="162"/>
      <c r="H262" s="162">
        <v>2190</v>
      </c>
      <c r="I262" s="68">
        <v>2135</v>
      </c>
      <c r="J262" s="68">
        <v>2040</v>
      </c>
      <c r="K262" s="68">
        <v>1980</v>
      </c>
      <c r="L262" s="68">
        <v>1900</v>
      </c>
      <c r="M262" s="68">
        <v>1890</v>
      </c>
      <c r="N262" s="84" t="s">
        <v>388</v>
      </c>
      <c r="O262" s="162">
        <v>19321</v>
      </c>
      <c r="P262" s="162">
        <v>19395</v>
      </c>
      <c r="Q262" s="162">
        <v>19428</v>
      </c>
      <c r="R262" s="162">
        <v>19701</v>
      </c>
      <c r="S262" s="163">
        <v>20.100000000000001</v>
      </c>
      <c r="T262" s="163">
        <v>20.8</v>
      </c>
      <c r="U262" s="163">
        <v>21.2</v>
      </c>
      <c r="V262" s="163">
        <v>21.5</v>
      </c>
      <c r="W262" s="163">
        <v>21.6</v>
      </c>
      <c r="X262" s="163">
        <v>21.8</v>
      </c>
      <c r="Y262" s="163"/>
      <c r="Z262" s="163"/>
      <c r="AA262" s="163"/>
    </row>
    <row r="263" spans="1:27" x14ac:dyDescent="0.25">
      <c r="A263" t="s">
        <v>517</v>
      </c>
      <c r="B263" s="95" t="s">
        <v>389</v>
      </c>
      <c r="C263" s="73">
        <f t="shared" si="9"/>
        <v>-2.7124773960216998E-3</v>
      </c>
      <c r="D263" t="s">
        <v>467</v>
      </c>
      <c r="E263" s="73">
        <f t="shared" si="8"/>
        <v>2.4798512089274645E-2</v>
      </c>
      <c r="F263" s="162">
        <v>17775</v>
      </c>
      <c r="G263" s="162"/>
      <c r="H263" s="162">
        <v>1755</v>
      </c>
      <c r="I263" s="68">
        <v>1680</v>
      </c>
      <c r="J263" s="68">
        <v>1640</v>
      </c>
      <c r="K263" s="68">
        <v>1600</v>
      </c>
      <c r="L263" s="68">
        <v>1590</v>
      </c>
      <c r="M263" s="68">
        <v>1555</v>
      </c>
      <c r="N263" s="84" t="s">
        <v>389</v>
      </c>
      <c r="O263" s="162">
        <v>16911</v>
      </c>
      <c r="P263" s="162">
        <v>17279</v>
      </c>
      <c r="Q263" s="162">
        <v>17552</v>
      </c>
      <c r="R263" s="162">
        <v>17775</v>
      </c>
      <c r="S263" s="163">
        <v>17</v>
      </c>
      <c r="T263" s="163">
        <v>17</v>
      </c>
      <c r="U263" s="163">
        <v>17.100000000000001</v>
      </c>
      <c r="V263" s="163">
        <v>17.2</v>
      </c>
      <c r="W263" s="163">
        <v>17.100000000000001</v>
      </c>
      <c r="X263" s="163">
        <v>17.100000000000001</v>
      </c>
      <c r="Y263" s="163"/>
      <c r="Z263" s="163"/>
      <c r="AA263" s="163"/>
    </row>
    <row r="264" spans="1:27" x14ac:dyDescent="0.25">
      <c r="A264" t="s">
        <v>525</v>
      </c>
      <c r="B264" s="95" t="s">
        <v>125</v>
      </c>
      <c r="C264" s="73">
        <f t="shared" si="9"/>
        <v>-4.3584371537139805E-3</v>
      </c>
      <c r="D264" t="s">
        <v>441</v>
      </c>
      <c r="E264" s="73">
        <f t="shared" si="8"/>
        <v>2.337540906965872E-2</v>
      </c>
      <c r="F264" s="162">
        <v>31843</v>
      </c>
      <c r="G264" s="162"/>
      <c r="H264" s="162">
        <v>2305</v>
      </c>
      <c r="I264" s="68">
        <v>2220</v>
      </c>
      <c r="J264" s="68">
        <v>2155</v>
      </c>
      <c r="K264" s="68">
        <v>2165</v>
      </c>
      <c r="L264" s="68">
        <v>2100</v>
      </c>
      <c r="M264" s="68">
        <v>2055</v>
      </c>
      <c r="N264" s="84" t="s">
        <v>125</v>
      </c>
      <c r="O264" s="162">
        <v>31801</v>
      </c>
      <c r="P264" s="162">
        <v>31708</v>
      </c>
      <c r="Q264" s="162">
        <v>31754</v>
      </c>
      <c r="R264" s="162">
        <v>31843</v>
      </c>
      <c r="S264" s="163">
        <v>31.6</v>
      </c>
      <c r="T264" s="163">
        <v>30.8</v>
      </c>
      <c r="U264" s="163">
        <v>29.9</v>
      </c>
      <c r="V264" s="163">
        <v>28.9</v>
      </c>
      <c r="W264" s="163">
        <v>28.1</v>
      </c>
      <c r="X264" s="163">
        <v>27.5</v>
      </c>
      <c r="Y264" s="163"/>
      <c r="Z264" s="163"/>
      <c r="AA264" s="163"/>
    </row>
    <row r="265" spans="1:27" x14ac:dyDescent="0.25">
      <c r="A265" t="s">
        <v>522</v>
      </c>
      <c r="B265" s="95" t="s">
        <v>158</v>
      </c>
      <c r="C265" s="73">
        <f t="shared" si="9"/>
        <v>-7.4813792191258778E-4</v>
      </c>
      <c r="D265" t="s">
        <v>467</v>
      </c>
      <c r="E265" s="73">
        <f t="shared" si="8"/>
        <v>3.1806615776081425E-2</v>
      </c>
      <c r="F265" s="162">
        <v>17281</v>
      </c>
      <c r="G265" s="162"/>
      <c r="H265" s="162">
        <v>1725</v>
      </c>
      <c r="I265" s="68">
        <v>1680</v>
      </c>
      <c r="J265" s="68">
        <v>1620</v>
      </c>
      <c r="K265" s="68">
        <v>1570</v>
      </c>
      <c r="L265" s="68">
        <v>1515</v>
      </c>
      <c r="M265" s="68">
        <v>1475</v>
      </c>
      <c r="N265" s="84" t="s">
        <v>158</v>
      </c>
      <c r="O265" s="162">
        <v>17005</v>
      </c>
      <c r="P265" s="162">
        <v>17123</v>
      </c>
      <c r="Q265" s="162">
        <v>17261</v>
      </c>
      <c r="R265" s="162">
        <v>17281</v>
      </c>
      <c r="S265" s="163">
        <v>17.100000000000001</v>
      </c>
      <c r="T265" s="163">
        <v>17.100000000000001</v>
      </c>
      <c r="U265" s="163">
        <v>17.100000000000001</v>
      </c>
      <c r="V265" s="163">
        <v>17.100000000000001</v>
      </c>
      <c r="W265" s="163">
        <v>17.100000000000001</v>
      </c>
      <c r="X265" s="163">
        <v>17.100000000000001</v>
      </c>
      <c r="Y265" s="163"/>
      <c r="Z265" s="163"/>
      <c r="AA265" s="163"/>
    </row>
    <row r="266" spans="1:27" x14ac:dyDescent="0.25">
      <c r="A266" t="s">
        <v>518</v>
      </c>
      <c r="B266" s="95" t="s">
        <v>272</v>
      </c>
      <c r="C266" s="73">
        <f t="shared" si="9"/>
        <v>-4.9458558933777592E-4</v>
      </c>
      <c r="D266" t="s">
        <v>118</v>
      </c>
      <c r="E266" s="73">
        <f t="shared" si="8"/>
        <v>1.6986706056129987E-2</v>
      </c>
      <c r="F266" s="162">
        <v>21952</v>
      </c>
      <c r="G266" s="162"/>
      <c r="H266" s="162">
        <v>1455</v>
      </c>
      <c r="I266" s="68">
        <v>1380</v>
      </c>
      <c r="J266" s="68">
        <v>1365</v>
      </c>
      <c r="K266" s="68">
        <v>1340</v>
      </c>
      <c r="L266" s="68">
        <v>1345</v>
      </c>
      <c r="M266" s="68">
        <v>1340</v>
      </c>
      <c r="N266" s="84" t="s">
        <v>272</v>
      </c>
      <c r="O266" s="162">
        <v>21702</v>
      </c>
      <c r="P266" s="162">
        <v>21718</v>
      </c>
      <c r="Q266" s="162">
        <v>21743</v>
      </c>
      <c r="R266" s="162">
        <v>21952</v>
      </c>
      <c r="S266" s="163">
        <v>21.9</v>
      </c>
      <c r="T266" s="163">
        <v>21.8</v>
      </c>
      <c r="U266" s="163">
        <v>21.8</v>
      </c>
      <c r="V266" s="163">
        <v>21.9</v>
      </c>
      <c r="W266" s="163">
        <v>22</v>
      </c>
      <c r="X266" s="163">
        <v>22.1</v>
      </c>
      <c r="Y266" s="163"/>
      <c r="Z266" s="163"/>
      <c r="AA266" s="163"/>
    </row>
    <row r="267" spans="1:27" x14ac:dyDescent="0.25">
      <c r="A267" t="s">
        <v>517</v>
      </c>
      <c r="B267" s="95" t="s">
        <v>390</v>
      </c>
      <c r="C267" s="73">
        <f t="shared" si="9"/>
        <v>8.6765922735195216E-3</v>
      </c>
      <c r="D267" t="s">
        <v>118</v>
      </c>
      <c r="E267" s="73">
        <f t="shared" si="8"/>
        <v>1.9766852508869743E-2</v>
      </c>
      <c r="F267" s="162">
        <v>24343</v>
      </c>
      <c r="G267" s="162"/>
      <c r="H267" s="162">
        <v>2100</v>
      </c>
      <c r="I267" s="68">
        <v>2030</v>
      </c>
      <c r="J267" s="68">
        <v>2025</v>
      </c>
      <c r="K267" s="68">
        <v>1980</v>
      </c>
      <c r="L267" s="68">
        <v>1925</v>
      </c>
      <c r="M267" s="68">
        <v>1905</v>
      </c>
      <c r="N267" s="84" t="s">
        <v>390</v>
      </c>
      <c r="O267" s="162">
        <v>25053</v>
      </c>
      <c r="P267" s="162">
        <v>24626</v>
      </c>
      <c r="Q267" s="162">
        <v>24310</v>
      </c>
      <c r="R267" s="162">
        <v>24343</v>
      </c>
      <c r="S267" s="163">
        <v>26.7</v>
      </c>
      <c r="T267" s="163">
        <v>27.2</v>
      </c>
      <c r="U267" s="163">
        <v>27.3</v>
      </c>
      <c r="V267" s="163">
        <v>27.3</v>
      </c>
      <c r="W267" s="163">
        <v>27.3</v>
      </c>
      <c r="X267" s="163">
        <v>27.3</v>
      </c>
      <c r="Y267" s="163"/>
      <c r="Z267" s="163"/>
      <c r="AA267" s="163"/>
    </row>
    <row r="268" spans="1:27" x14ac:dyDescent="0.25">
      <c r="A268" t="s">
        <v>522</v>
      </c>
      <c r="B268" s="95" t="s">
        <v>159</v>
      </c>
      <c r="C268" s="73">
        <f t="shared" si="9"/>
        <v>8.9082166325025374E-4</v>
      </c>
      <c r="D268" t="s">
        <v>118</v>
      </c>
      <c r="E268" s="73">
        <f t="shared" si="8"/>
        <v>2.5057530043467145E-2</v>
      </c>
      <c r="F268" s="162">
        <v>44742</v>
      </c>
      <c r="G268" s="162"/>
      <c r="H268" s="162">
        <v>4260</v>
      </c>
      <c r="I268" s="68">
        <v>4095</v>
      </c>
      <c r="J268" s="68">
        <v>4020</v>
      </c>
      <c r="K268" s="68">
        <v>3895</v>
      </c>
      <c r="L268" s="68">
        <v>3775</v>
      </c>
      <c r="M268" s="68">
        <v>3770</v>
      </c>
      <c r="N268" s="84" t="s">
        <v>159</v>
      </c>
      <c r="O268" s="162">
        <v>43931</v>
      </c>
      <c r="P268" s="162">
        <v>44156</v>
      </c>
      <c r="Q268" s="162">
        <v>44341</v>
      </c>
      <c r="R268" s="162">
        <v>44742</v>
      </c>
      <c r="S268" s="163">
        <v>44.4</v>
      </c>
      <c r="T268" s="163">
        <v>44.9</v>
      </c>
      <c r="U268" s="163">
        <v>45.3</v>
      </c>
      <c r="V268" s="163">
        <v>45.6</v>
      </c>
      <c r="W268" s="163">
        <v>45.8</v>
      </c>
      <c r="X268" s="163">
        <v>46</v>
      </c>
      <c r="Y268" s="163"/>
      <c r="Z268" s="163"/>
      <c r="AA268" s="163"/>
    </row>
    <row r="269" spans="1:27" x14ac:dyDescent="0.25">
      <c r="A269" t="s">
        <v>526</v>
      </c>
      <c r="B269" s="95" t="s">
        <v>422</v>
      </c>
      <c r="C269" s="73">
        <f t="shared" si="9"/>
        <v>-4.0567075312530586E-3</v>
      </c>
      <c r="D269" t="s">
        <v>118</v>
      </c>
      <c r="E269" s="73">
        <f t="shared" si="8"/>
        <v>2.4918032786885248E-2</v>
      </c>
      <c r="F269" s="162">
        <v>24809</v>
      </c>
      <c r="G269" s="162"/>
      <c r="H269" s="162">
        <v>1640</v>
      </c>
      <c r="I269" s="68">
        <v>1565</v>
      </c>
      <c r="J269" s="68">
        <v>1590</v>
      </c>
      <c r="K269" s="68">
        <v>1535</v>
      </c>
      <c r="L269" s="68">
        <v>1485</v>
      </c>
      <c r="M269" s="68">
        <v>1450</v>
      </c>
      <c r="N269" s="84" t="s">
        <v>422</v>
      </c>
      <c r="O269" s="162">
        <v>24956</v>
      </c>
      <c r="P269" s="162">
        <v>24990</v>
      </c>
      <c r="Q269" s="162">
        <v>24875</v>
      </c>
      <c r="R269" s="162">
        <v>24809</v>
      </c>
      <c r="S269" s="163">
        <v>24.4</v>
      </c>
      <c r="T269" s="163">
        <v>24</v>
      </c>
      <c r="U269" s="163">
        <v>23.4</v>
      </c>
      <c r="V269" s="163">
        <v>22.8</v>
      </c>
      <c r="W269" s="163">
        <v>22</v>
      </c>
      <c r="X269" s="163">
        <v>21.3</v>
      </c>
      <c r="Y269" s="163"/>
      <c r="Z269" s="163"/>
      <c r="AA269" s="163"/>
    </row>
    <row r="270" spans="1:27" x14ac:dyDescent="0.25">
      <c r="A270" t="s">
        <v>524</v>
      </c>
      <c r="B270" s="95" t="s">
        <v>230</v>
      </c>
      <c r="C270" s="73">
        <f t="shared" si="9"/>
        <v>-4.784751860797663E-4</v>
      </c>
      <c r="D270" t="s">
        <v>467</v>
      </c>
      <c r="E270" s="73">
        <f t="shared" si="8"/>
        <v>3.080013391362571E-2</v>
      </c>
      <c r="F270" s="162">
        <v>65237</v>
      </c>
      <c r="G270" s="162"/>
      <c r="H270" s="162">
        <v>6565</v>
      </c>
      <c r="I270" s="68">
        <v>6365</v>
      </c>
      <c r="J270" s="68">
        <v>6185</v>
      </c>
      <c r="K270" s="68">
        <v>5950</v>
      </c>
      <c r="L270" s="68">
        <v>5725</v>
      </c>
      <c r="M270" s="68">
        <v>5645</v>
      </c>
      <c r="N270" s="84" t="s">
        <v>230</v>
      </c>
      <c r="O270" s="162">
        <v>64372</v>
      </c>
      <c r="P270" s="162">
        <v>64857</v>
      </c>
      <c r="Q270" s="162">
        <v>65108</v>
      </c>
      <c r="R270" s="162">
        <v>65237</v>
      </c>
      <c r="S270" s="163">
        <v>64.400000000000006</v>
      </c>
      <c r="T270" s="163">
        <v>64.599999999999994</v>
      </c>
      <c r="U270" s="163">
        <v>64.8</v>
      </c>
      <c r="V270" s="163">
        <v>65</v>
      </c>
      <c r="W270" s="163">
        <v>65</v>
      </c>
      <c r="X270" s="163">
        <v>64.900000000000006</v>
      </c>
      <c r="Y270" s="163"/>
      <c r="Z270" s="163"/>
      <c r="AA270" s="163"/>
    </row>
    <row r="271" spans="1:27" x14ac:dyDescent="0.25">
      <c r="A271" t="s">
        <v>520</v>
      </c>
      <c r="B271" s="95" t="s">
        <v>440</v>
      </c>
      <c r="C271" s="73">
        <f t="shared" si="9"/>
        <v>7.0951605784335596E-4</v>
      </c>
      <c r="D271" t="s">
        <v>118</v>
      </c>
      <c r="E271" s="73">
        <f t="shared" si="8"/>
        <v>2.0543008169149446E-2</v>
      </c>
      <c r="F271" s="162">
        <v>90303</v>
      </c>
      <c r="G271" s="162"/>
      <c r="H271" s="162">
        <v>8880</v>
      </c>
      <c r="I271" s="68">
        <v>8630</v>
      </c>
      <c r="J271" s="68">
        <v>8545</v>
      </c>
      <c r="K271" s="75">
        <v>8347.5</v>
      </c>
      <c r="L271" s="75">
        <v>8072.5</v>
      </c>
      <c r="M271" s="68">
        <v>8025</v>
      </c>
      <c r="N271" s="84" t="s">
        <v>440</v>
      </c>
      <c r="O271" s="162">
        <v>89705</v>
      </c>
      <c r="P271" s="162">
        <v>89951</v>
      </c>
      <c r="Q271" s="162">
        <v>89999</v>
      </c>
      <c r="R271" s="162">
        <v>90303</v>
      </c>
      <c r="S271" s="163">
        <v>90</v>
      </c>
      <c r="T271" s="163">
        <v>90.5</v>
      </c>
      <c r="U271" s="163">
        <v>91.2</v>
      </c>
      <c r="V271" s="163">
        <v>91.7</v>
      </c>
      <c r="W271" s="163">
        <v>91.5</v>
      </c>
      <c r="X271" s="163">
        <v>90.9</v>
      </c>
      <c r="Y271" s="163"/>
      <c r="Z271" s="163"/>
      <c r="AA271" s="163"/>
    </row>
    <row r="272" spans="1:27" x14ac:dyDescent="0.25">
      <c r="A272" t="s">
        <v>528</v>
      </c>
      <c r="B272" s="95" t="s">
        <v>339</v>
      </c>
      <c r="C272" s="73">
        <f t="shared" si="9"/>
        <v>-5.2164430673733761E-4</v>
      </c>
      <c r="D272" t="s">
        <v>118</v>
      </c>
      <c r="E272" s="73">
        <f t="shared" si="8"/>
        <v>2.2083805209513023E-2</v>
      </c>
      <c r="F272" s="162">
        <v>54498</v>
      </c>
      <c r="G272" s="162"/>
      <c r="H272" s="162">
        <v>3790</v>
      </c>
      <c r="I272" s="68">
        <v>3680</v>
      </c>
      <c r="J272" s="68">
        <v>3610</v>
      </c>
      <c r="K272" s="68">
        <v>3515</v>
      </c>
      <c r="L272" s="68">
        <v>3455</v>
      </c>
      <c r="M272" s="68">
        <v>3400</v>
      </c>
      <c r="N272" s="84" t="s">
        <v>339</v>
      </c>
      <c r="O272" s="162">
        <v>54579</v>
      </c>
      <c r="P272" s="162">
        <v>54434</v>
      </c>
      <c r="Q272" s="162">
        <v>54463</v>
      </c>
      <c r="R272" s="162">
        <v>54498</v>
      </c>
      <c r="S272" s="163">
        <v>53.6</v>
      </c>
      <c r="T272" s="163">
        <v>53.7</v>
      </c>
      <c r="U272" s="163">
        <v>54.1</v>
      </c>
      <c r="V272" s="163">
        <v>53.9</v>
      </c>
      <c r="W272" s="163">
        <v>53.6</v>
      </c>
      <c r="X272" s="163">
        <v>53.2</v>
      </c>
      <c r="Y272" s="163"/>
      <c r="Z272" s="163"/>
      <c r="AA272" s="163"/>
    </row>
    <row r="273" spans="1:27" x14ac:dyDescent="0.25">
      <c r="A273" t="s">
        <v>520</v>
      </c>
      <c r="B273" s="95" t="s">
        <v>137</v>
      </c>
      <c r="C273" s="73">
        <f t="shared" si="9"/>
        <v>-5.2377115229653506E-3</v>
      </c>
      <c r="D273" t="s">
        <v>467</v>
      </c>
      <c r="E273" s="73">
        <f t="shared" si="8"/>
        <v>2.7272727272727271E-2</v>
      </c>
      <c r="F273" s="162">
        <v>4964</v>
      </c>
      <c r="G273" s="162"/>
      <c r="H273" s="162">
        <v>710</v>
      </c>
      <c r="I273" s="68">
        <v>685</v>
      </c>
      <c r="J273" s="68">
        <v>685</v>
      </c>
      <c r="K273" s="68">
        <v>670</v>
      </c>
      <c r="L273" s="68">
        <v>640</v>
      </c>
      <c r="M273" s="68">
        <v>620</v>
      </c>
      <c r="N273" s="84" t="s">
        <v>137</v>
      </c>
      <c r="O273" s="162">
        <v>4889</v>
      </c>
      <c r="P273" s="162">
        <v>4898</v>
      </c>
      <c r="Q273" s="162">
        <v>4870</v>
      </c>
      <c r="R273" s="162">
        <v>4964</v>
      </c>
      <c r="S273" s="163">
        <v>4.9000000000000004</v>
      </c>
      <c r="T273" s="163">
        <v>4.7</v>
      </c>
      <c r="U273" s="163">
        <v>4.5999999999999996</v>
      </c>
      <c r="V273" s="163">
        <v>4.3</v>
      </c>
      <c r="W273" s="163">
        <v>4</v>
      </c>
      <c r="X273" s="163">
        <v>3.7</v>
      </c>
      <c r="Y273" s="163"/>
      <c r="Z273" s="163"/>
      <c r="AA273" s="163"/>
    </row>
    <row r="274" spans="1:27" x14ac:dyDescent="0.25">
      <c r="A274" t="s">
        <v>518</v>
      </c>
      <c r="B274" s="95" t="s">
        <v>273</v>
      </c>
      <c r="C274" s="73">
        <f t="shared" si="9"/>
        <v>-9.9133882917666703E-4</v>
      </c>
      <c r="D274" t="s">
        <v>118</v>
      </c>
      <c r="E274" s="73">
        <f t="shared" si="8"/>
        <v>2.5065274151436032E-2</v>
      </c>
      <c r="F274" s="162">
        <v>13690</v>
      </c>
      <c r="G274" s="162"/>
      <c r="H274" s="162">
        <v>2060</v>
      </c>
      <c r="I274" s="68">
        <v>2005</v>
      </c>
      <c r="J274" s="68">
        <v>1980</v>
      </c>
      <c r="K274" s="68">
        <v>1915</v>
      </c>
      <c r="L274" s="68">
        <v>1855</v>
      </c>
      <c r="M274" s="68">
        <v>1820</v>
      </c>
      <c r="N274" s="84" t="s">
        <v>273</v>
      </c>
      <c r="O274" s="162">
        <v>13551</v>
      </c>
      <c r="P274" s="162">
        <v>13583</v>
      </c>
      <c r="Q274" s="162">
        <v>13656</v>
      </c>
      <c r="R274" s="162">
        <v>13690</v>
      </c>
      <c r="S274" s="163">
        <v>13.6</v>
      </c>
      <c r="T274" s="163">
        <v>13.6</v>
      </c>
      <c r="U274" s="163">
        <v>13.5</v>
      </c>
      <c r="V274" s="163">
        <v>13.4</v>
      </c>
      <c r="W274" s="163">
        <v>13.2</v>
      </c>
      <c r="X274" s="163">
        <v>13.1</v>
      </c>
      <c r="Y274" s="163"/>
      <c r="Z274" s="163"/>
      <c r="AA274" s="163"/>
    </row>
    <row r="275" spans="1:27" x14ac:dyDescent="0.25">
      <c r="A275" t="s">
        <v>521</v>
      </c>
      <c r="B275" s="95" t="s">
        <v>319</v>
      </c>
      <c r="C275" s="73">
        <f t="shared" si="9"/>
        <v>1.0542962572482868E-3</v>
      </c>
      <c r="D275" t="s">
        <v>467</v>
      </c>
      <c r="E275" s="73">
        <f t="shared" si="8"/>
        <v>3.1089853091902972E-2</v>
      </c>
      <c r="F275" s="162">
        <v>37940</v>
      </c>
      <c r="G275" s="162"/>
      <c r="H275" s="162">
        <v>3240</v>
      </c>
      <c r="I275" s="68">
        <v>3090</v>
      </c>
      <c r="J275" s="68">
        <v>3045</v>
      </c>
      <c r="K275" s="68">
        <v>2910</v>
      </c>
      <c r="L275" s="68">
        <v>2805</v>
      </c>
      <c r="M275" s="68">
        <v>2785</v>
      </c>
      <c r="N275" s="84" t="s">
        <v>319</v>
      </c>
      <c r="O275" s="162">
        <v>37061</v>
      </c>
      <c r="P275" s="162">
        <v>37391</v>
      </c>
      <c r="Q275" s="162">
        <v>37791</v>
      </c>
      <c r="R275" s="162">
        <v>37940</v>
      </c>
      <c r="S275" s="163">
        <v>37.4</v>
      </c>
      <c r="T275" s="163">
        <v>37.9</v>
      </c>
      <c r="U275" s="163">
        <v>38.5</v>
      </c>
      <c r="V275" s="163">
        <v>39.200000000000003</v>
      </c>
      <c r="W275" s="163">
        <v>39.799999999999997</v>
      </c>
      <c r="X275" s="163">
        <v>40.299999999999997</v>
      </c>
      <c r="Y275" s="163"/>
      <c r="Z275" s="163"/>
      <c r="AA275" s="163"/>
    </row>
    <row r="276" spans="1:27" x14ac:dyDescent="0.25">
      <c r="A276" t="s">
        <v>528</v>
      </c>
      <c r="B276" s="95" t="s">
        <v>340</v>
      </c>
      <c r="C276" s="73">
        <f t="shared" si="9"/>
        <v>-2.9528464790485936E-3</v>
      </c>
      <c r="D276" t="s">
        <v>467</v>
      </c>
      <c r="E276" s="73">
        <f t="shared" si="8"/>
        <v>2.2922636103151862E-2</v>
      </c>
      <c r="F276" s="162">
        <v>26391</v>
      </c>
      <c r="G276" s="162"/>
      <c r="H276" s="162">
        <v>2265</v>
      </c>
      <c r="I276" s="68">
        <v>2200</v>
      </c>
      <c r="J276" s="68">
        <v>2150</v>
      </c>
      <c r="K276" s="68">
        <v>2085</v>
      </c>
      <c r="L276" s="68">
        <v>2010</v>
      </c>
      <c r="M276" s="68">
        <v>2025</v>
      </c>
      <c r="N276" s="84" t="s">
        <v>340</v>
      </c>
      <c r="O276" s="162">
        <v>25794</v>
      </c>
      <c r="P276" s="162">
        <v>25722</v>
      </c>
      <c r="Q276" s="162">
        <v>26085</v>
      </c>
      <c r="R276" s="162">
        <v>26391</v>
      </c>
      <c r="S276" s="163">
        <v>25.7</v>
      </c>
      <c r="T276" s="163">
        <v>25.5</v>
      </c>
      <c r="U276" s="163">
        <v>25.3</v>
      </c>
      <c r="V276" s="163">
        <v>25.1</v>
      </c>
      <c r="W276" s="163">
        <v>25.1</v>
      </c>
      <c r="X276" s="163">
        <v>25</v>
      </c>
      <c r="Y276" s="163"/>
      <c r="Z276" s="163"/>
      <c r="AA276" s="163"/>
    </row>
    <row r="277" spans="1:27" x14ac:dyDescent="0.25">
      <c r="A277" t="s">
        <v>519</v>
      </c>
      <c r="B277" s="95" t="s">
        <v>204</v>
      </c>
      <c r="C277" s="73">
        <f t="shared" si="9"/>
        <v>1.5698030057756584E-3</v>
      </c>
      <c r="D277" t="s">
        <v>441</v>
      </c>
      <c r="E277" s="73">
        <f t="shared" si="8"/>
        <v>2.2988505747126436E-2</v>
      </c>
      <c r="F277" s="162">
        <v>42271</v>
      </c>
      <c r="G277" s="162"/>
      <c r="H277" s="162">
        <v>3380</v>
      </c>
      <c r="I277" s="68">
        <v>3240</v>
      </c>
      <c r="J277" s="68">
        <v>3220</v>
      </c>
      <c r="K277" s="68">
        <v>3150</v>
      </c>
      <c r="L277" s="68">
        <v>3030</v>
      </c>
      <c r="M277" s="68">
        <v>3020</v>
      </c>
      <c r="N277" s="84" t="s">
        <v>204</v>
      </c>
      <c r="O277" s="162">
        <v>41995</v>
      </c>
      <c r="P277" s="162">
        <v>42216</v>
      </c>
      <c r="Q277" s="162">
        <v>41920</v>
      </c>
      <c r="R277" s="162">
        <v>42271</v>
      </c>
      <c r="S277" s="163">
        <v>42.4</v>
      </c>
      <c r="T277" s="163">
        <v>42.7</v>
      </c>
      <c r="U277" s="163">
        <v>43.2</v>
      </c>
      <c r="V277" s="163">
        <v>43.4</v>
      </c>
      <c r="W277" s="163">
        <v>43.4</v>
      </c>
      <c r="X277" s="163">
        <v>43.4</v>
      </c>
      <c r="Y277" s="163"/>
      <c r="Z277" s="163"/>
      <c r="AA277" s="163"/>
    </row>
    <row r="278" spans="1:27" x14ac:dyDescent="0.25">
      <c r="A278" t="s">
        <v>517</v>
      </c>
      <c r="B278" s="95" t="s">
        <v>391</v>
      </c>
      <c r="C278" s="73">
        <f t="shared" si="9"/>
        <v>4.2933773103788842E-3</v>
      </c>
      <c r="D278" t="s">
        <v>441</v>
      </c>
      <c r="E278" s="73">
        <v>2.7798490601497174E-2</v>
      </c>
      <c r="F278" s="162">
        <v>224455</v>
      </c>
      <c r="G278" s="162"/>
      <c r="H278" s="162">
        <v>16575.73799187789</v>
      </c>
      <c r="I278" s="162">
        <v>15844.207043831397</v>
      </c>
      <c r="J278" s="162">
        <v>15670.187998879708</v>
      </c>
      <c r="K278" s="162">
        <v>15325.164192690099</v>
      </c>
      <c r="L278" s="162">
        <v>14731.647528357373</v>
      </c>
      <c r="M278" s="162">
        <v>14462.126102786724</v>
      </c>
      <c r="N278" s="84" t="s">
        <v>391</v>
      </c>
      <c r="O278" s="162">
        <v>218767.9571488587</v>
      </c>
      <c r="P278" s="162">
        <v>221239.22951967511</v>
      </c>
      <c r="Q278" s="162">
        <v>221.40666573309059</v>
      </c>
      <c r="R278" s="162">
        <v>224455</v>
      </c>
      <c r="S278" s="163">
        <v>225.58657050833216</v>
      </c>
      <c r="T278" s="163">
        <v>231.86647528357372</v>
      </c>
      <c r="U278" s="163">
        <v>237.94638005881529</v>
      </c>
      <c r="V278" s="163">
        <v>242.82628483405685</v>
      </c>
      <c r="W278" s="163">
        <v>246.50618960929842</v>
      </c>
      <c r="X278" s="163">
        <v>249.2961419969192</v>
      </c>
      <c r="Y278" s="163"/>
      <c r="Z278" s="163"/>
      <c r="AA278" s="163"/>
    </row>
    <row r="279" spans="1:27" x14ac:dyDescent="0.25">
      <c r="A279" t="s">
        <v>522</v>
      </c>
      <c r="B279" s="95" t="s">
        <v>160</v>
      </c>
      <c r="C279" s="73">
        <f t="shared" si="9"/>
        <v>-3.2198527494132047E-3</v>
      </c>
      <c r="D279" t="s">
        <v>467</v>
      </c>
      <c r="E279" s="73">
        <f t="shared" si="8"/>
        <v>2.6433915211970076E-2</v>
      </c>
      <c r="F279" s="162">
        <v>21363</v>
      </c>
      <c r="G279" s="162"/>
      <c r="H279" s="162">
        <v>2185</v>
      </c>
      <c r="I279" s="68">
        <v>2115</v>
      </c>
      <c r="J279" s="68">
        <v>2055</v>
      </c>
      <c r="K279" s="68">
        <v>1985</v>
      </c>
      <c r="L279" s="68">
        <v>1950</v>
      </c>
      <c r="M279" s="68">
        <v>1920</v>
      </c>
      <c r="N279" s="84" t="s">
        <v>160</v>
      </c>
      <c r="O279" s="162">
        <v>21275</v>
      </c>
      <c r="P279" s="162">
        <v>21265</v>
      </c>
      <c r="Q279" s="162">
        <v>21315</v>
      </c>
      <c r="R279" s="162">
        <v>21363</v>
      </c>
      <c r="S279" s="163">
        <v>20.9</v>
      </c>
      <c r="T279" s="163">
        <v>20.6</v>
      </c>
      <c r="U279" s="163">
        <v>20.399999999999999</v>
      </c>
      <c r="V279" s="163">
        <v>20.100000000000001</v>
      </c>
      <c r="W279" s="163">
        <v>19.8</v>
      </c>
      <c r="X279" s="163">
        <v>19.5</v>
      </c>
      <c r="Y279" s="163"/>
      <c r="Z279" s="163"/>
      <c r="AA279" s="163"/>
    </row>
    <row r="280" spans="1:27" x14ac:dyDescent="0.25">
      <c r="A280" t="s">
        <v>522</v>
      </c>
      <c r="B280" s="95" t="s">
        <v>161</v>
      </c>
      <c r="C280" s="73">
        <f t="shared" si="9"/>
        <v>-3.6374190213499758E-3</v>
      </c>
      <c r="D280" t="s">
        <v>118</v>
      </c>
      <c r="E280" s="73">
        <f t="shared" si="8"/>
        <v>2.3658639628221376E-2</v>
      </c>
      <c r="F280" s="162">
        <v>33717</v>
      </c>
      <c r="G280" s="162"/>
      <c r="H280" s="162">
        <v>2500</v>
      </c>
      <c r="I280" s="68">
        <v>2470</v>
      </c>
      <c r="J280" s="68">
        <v>2455</v>
      </c>
      <c r="K280" s="68">
        <v>2410</v>
      </c>
      <c r="L280" s="68">
        <v>2280</v>
      </c>
      <c r="M280" s="68">
        <v>2220</v>
      </c>
      <c r="N280" s="84" t="s">
        <v>161</v>
      </c>
      <c r="O280" s="162">
        <v>33785</v>
      </c>
      <c r="P280" s="162">
        <v>33768</v>
      </c>
      <c r="Q280" s="162">
        <v>33699</v>
      </c>
      <c r="R280" s="162">
        <v>33717</v>
      </c>
      <c r="S280" s="163">
        <v>33</v>
      </c>
      <c r="T280" s="163">
        <v>32.4</v>
      </c>
      <c r="U280" s="163">
        <v>32</v>
      </c>
      <c r="V280" s="163">
        <v>31.7</v>
      </c>
      <c r="W280" s="163">
        <v>31.3</v>
      </c>
      <c r="X280" s="163">
        <v>30.8</v>
      </c>
      <c r="Y280" s="163"/>
      <c r="Z280" s="163"/>
      <c r="AA280" s="163"/>
    </row>
    <row r="281" spans="1:27" x14ac:dyDescent="0.25">
      <c r="A281" t="s">
        <v>516</v>
      </c>
      <c r="B281" s="95" t="s">
        <v>115</v>
      </c>
      <c r="C281" s="73">
        <f t="shared" si="9"/>
        <v>-6.1621373216635684E-4</v>
      </c>
      <c r="D281" t="s">
        <v>467</v>
      </c>
      <c r="E281" s="73">
        <f t="shared" si="8"/>
        <v>4.3106954046360307E-2</v>
      </c>
      <c r="F281" s="162">
        <v>34195</v>
      </c>
      <c r="G281" s="162"/>
      <c r="H281" s="162">
        <v>2805</v>
      </c>
      <c r="I281" s="68">
        <v>2655</v>
      </c>
      <c r="J281" s="68">
        <v>2560</v>
      </c>
      <c r="K281" s="68">
        <v>2445</v>
      </c>
      <c r="L281" s="68">
        <v>2360</v>
      </c>
      <c r="M281" s="68">
        <v>2275</v>
      </c>
      <c r="N281" s="84" t="s">
        <v>115</v>
      </c>
      <c r="O281" s="162">
        <v>33695</v>
      </c>
      <c r="P281" s="162">
        <v>33829</v>
      </c>
      <c r="Q281" s="162">
        <v>33978</v>
      </c>
      <c r="R281" s="162">
        <v>34195</v>
      </c>
      <c r="S281" s="163">
        <v>33.299999999999997</v>
      </c>
      <c r="T281" s="163">
        <v>33.6</v>
      </c>
      <c r="U281" s="163">
        <v>33.9</v>
      </c>
      <c r="V281" s="163">
        <v>34.1</v>
      </c>
      <c r="W281" s="163">
        <v>34.200000000000003</v>
      </c>
      <c r="X281" s="163">
        <v>34.200000000000003</v>
      </c>
      <c r="Y281" s="163"/>
      <c r="Z281" s="163"/>
      <c r="AA281" s="163"/>
    </row>
    <row r="282" spans="1:27" x14ac:dyDescent="0.25">
      <c r="A282" t="s">
        <v>520</v>
      </c>
      <c r="B282" s="95" t="s">
        <v>138</v>
      </c>
      <c r="C282" s="73">
        <f t="shared" si="9"/>
        <v>-4.619142007645476E-3</v>
      </c>
      <c r="D282" t="s">
        <v>118</v>
      </c>
      <c r="E282" s="73">
        <f t="shared" si="8"/>
        <v>2.4745912505523642E-2</v>
      </c>
      <c r="F282" s="162">
        <v>32288</v>
      </c>
      <c r="G282" s="162"/>
      <c r="H282" s="162">
        <v>2425</v>
      </c>
      <c r="I282" s="68">
        <v>2370</v>
      </c>
      <c r="J282" s="68">
        <v>2360</v>
      </c>
      <c r="K282" s="68">
        <v>2255</v>
      </c>
      <c r="L282" s="68">
        <v>2185</v>
      </c>
      <c r="M282" s="68">
        <v>2145</v>
      </c>
      <c r="N282" s="84" t="s">
        <v>138</v>
      </c>
      <c r="O282" s="162">
        <v>31764</v>
      </c>
      <c r="P282" s="162">
        <v>32016</v>
      </c>
      <c r="Q282" s="162">
        <v>32060</v>
      </c>
      <c r="R282" s="162">
        <v>32288</v>
      </c>
      <c r="S282" s="163">
        <v>31.1</v>
      </c>
      <c r="T282" s="163">
        <v>30.6</v>
      </c>
      <c r="U282" s="163">
        <v>30.2</v>
      </c>
      <c r="V282" s="163">
        <v>29.7</v>
      </c>
      <c r="W282" s="163">
        <v>29.1</v>
      </c>
      <c r="X282" s="163">
        <v>28.6</v>
      </c>
      <c r="Y282" s="163"/>
      <c r="Z282" s="163"/>
      <c r="AA282" s="163"/>
    </row>
    <row r="283" spans="1:27" x14ac:dyDescent="0.25">
      <c r="A283" t="s">
        <v>518</v>
      </c>
      <c r="B283" s="95" t="s">
        <v>274</v>
      </c>
      <c r="C283" s="73">
        <f t="shared" si="9"/>
        <v>1.2535024332694293E-3</v>
      </c>
      <c r="D283" t="s">
        <v>467</v>
      </c>
      <c r="E283" s="73">
        <f t="shared" si="8"/>
        <v>3.7475345167652857E-2</v>
      </c>
      <c r="F283" s="162">
        <v>13562</v>
      </c>
      <c r="G283" s="162"/>
      <c r="H283" s="162">
        <v>1140</v>
      </c>
      <c r="I283" s="68">
        <v>1090</v>
      </c>
      <c r="J283" s="68">
        <v>1045</v>
      </c>
      <c r="K283" s="68">
        <v>1000</v>
      </c>
      <c r="L283" s="68">
        <v>985</v>
      </c>
      <c r="M283" s="68">
        <v>950</v>
      </c>
      <c r="N283" s="84" t="s">
        <v>274</v>
      </c>
      <c r="O283" s="162">
        <v>13536</v>
      </c>
      <c r="P283" s="162">
        <v>13654</v>
      </c>
      <c r="Q283" s="162">
        <v>13632</v>
      </c>
      <c r="R283" s="162">
        <v>13562</v>
      </c>
      <c r="S283" s="163">
        <v>13.6</v>
      </c>
      <c r="T283" s="163">
        <v>13.7</v>
      </c>
      <c r="U283" s="163">
        <v>13.8</v>
      </c>
      <c r="V283" s="163">
        <v>13.9</v>
      </c>
      <c r="W283" s="163">
        <v>13.9</v>
      </c>
      <c r="X283" s="163">
        <v>13.9</v>
      </c>
      <c r="Y283" s="163"/>
      <c r="Z283" s="163"/>
      <c r="AA283" s="163"/>
    </row>
    <row r="284" spans="1:27" x14ac:dyDescent="0.25">
      <c r="A284" t="s">
        <v>518</v>
      </c>
      <c r="B284" s="95" t="s">
        <v>275</v>
      </c>
      <c r="C284" s="73">
        <f t="shared" si="9"/>
        <v>1.1052777010223818E-3</v>
      </c>
      <c r="D284" t="s">
        <v>467</v>
      </c>
      <c r="E284" s="73">
        <f t="shared" si="8"/>
        <v>3.1549520766773163E-2</v>
      </c>
      <c r="F284" s="162">
        <v>31020</v>
      </c>
      <c r="G284" s="162"/>
      <c r="H284" s="162">
        <v>2765</v>
      </c>
      <c r="I284" s="68">
        <v>2625</v>
      </c>
      <c r="J284" s="68">
        <v>2575</v>
      </c>
      <c r="K284" s="68">
        <v>2495</v>
      </c>
      <c r="L284" s="68">
        <v>2455</v>
      </c>
      <c r="M284" s="68">
        <v>2370</v>
      </c>
      <c r="N284" s="84" t="s">
        <v>275</v>
      </c>
      <c r="O284" s="162">
        <v>29450</v>
      </c>
      <c r="P284" s="162">
        <v>29469</v>
      </c>
      <c r="Q284" s="162">
        <v>30206</v>
      </c>
      <c r="R284" s="162">
        <v>31020</v>
      </c>
      <c r="S284" s="163">
        <v>30.6</v>
      </c>
      <c r="T284" s="163">
        <v>31.1</v>
      </c>
      <c r="U284" s="163">
        <v>31.5</v>
      </c>
      <c r="V284" s="163">
        <v>31.8</v>
      </c>
      <c r="W284" s="163">
        <v>31.9</v>
      </c>
      <c r="X284" s="163">
        <v>31.8</v>
      </c>
      <c r="Y284" s="163"/>
      <c r="Z284" s="163"/>
      <c r="AA284" s="163"/>
    </row>
    <row r="285" spans="1:27" x14ac:dyDescent="0.25">
      <c r="A285" t="s">
        <v>523</v>
      </c>
      <c r="B285" s="95" t="s">
        <v>433</v>
      </c>
      <c r="C285" s="73">
        <f t="shared" si="9"/>
        <v>4.4530532369503571E-3</v>
      </c>
      <c r="D285" t="s">
        <v>467</v>
      </c>
      <c r="E285" s="73">
        <f t="shared" si="8"/>
        <v>4.2609853528628498E-2</v>
      </c>
      <c r="F285" s="162">
        <v>21462</v>
      </c>
      <c r="G285" s="162"/>
      <c r="H285" s="162">
        <v>1715</v>
      </c>
      <c r="I285" s="68">
        <v>1610</v>
      </c>
      <c r="J285" s="68">
        <v>1570</v>
      </c>
      <c r="K285" s="68">
        <v>1490</v>
      </c>
      <c r="L285" s="68">
        <v>1445</v>
      </c>
      <c r="M285" s="68">
        <v>1395</v>
      </c>
      <c r="N285" s="84" t="s">
        <v>433</v>
      </c>
      <c r="O285" s="162">
        <v>20768</v>
      </c>
      <c r="P285" s="162">
        <v>21018</v>
      </c>
      <c r="Q285" s="162">
        <v>21227</v>
      </c>
      <c r="R285" s="162">
        <v>21462</v>
      </c>
      <c r="S285" s="163">
        <v>21.4</v>
      </c>
      <c r="T285" s="163">
        <v>22.2</v>
      </c>
      <c r="U285" s="163">
        <v>22.8</v>
      </c>
      <c r="V285" s="163">
        <v>23.1</v>
      </c>
      <c r="W285" s="163">
        <v>23.5</v>
      </c>
      <c r="X285" s="163">
        <v>23.7</v>
      </c>
      <c r="Y285" s="163"/>
      <c r="Z285" s="163"/>
      <c r="AA285" s="163"/>
    </row>
    <row r="286" spans="1:27" x14ac:dyDescent="0.25">
      <c r="A286" t="s">
        <v>524</v>
      </c>
      <c r="B286" s="95" t="s">
        <v>231</v>
      </c>
      <c r="C286" s="73">
        <f t="shared" si="9"/>
        <v>1.2641983851817796E-2</v>
      </c>
      <c r="D286" t="s">
        <v>441</v>
      </c>
      <c r="E286" s="73">
        <f t="shared" si="8"/>
        <v>4.7552310801121177E-2</v>
      </c>
      <c r="F286" s="162">
        <v>361686</v>
      </c>
      <c r="G286" s="162"/>
      <c r="H286" s="162">
        <v>35415</v>
      </c>
      <c r="I286" s="68">
        <v>33420</v>
      </c>
      <c r="J286" s="68">
        <v>32250</v>
      </c>
      <c r="K286" s="68">
        <v>30715</v>
      </c>
      <c r="L286" s="68">
        <v>28905</v>
      </c>
      <c r="M286" s="68">
        <v>28120</v>
      </c>
      <c r="N286" s="84" t="s">
        <v>231</v>
      </c>
      <c r="O286" s="162">
        <v>352795</v>
      </c>
      <c r="P286" s="162">
        <v>357669</v>
      </c>
      <c r="Q286" s="162">
        <v>359370</v>
      </c>
      <c r="R286" s="162">
        <v>361686</v>
      </c>
      <c r="S286" s="163">
        <v>388</v>
      </c>
      <c r="T286" s="163">
        <v>412.3</v>
      </c>
      <c r="U286" s="163">
        <v>425.7</v>
      </c>
      <c r="V286" s="163">
        <v>433.2</v>
      </c>
      <c r="W286" s="163">
        <v>437.5</v>
      </c>
      <c r="X286" s="163">
        <v>440.8</v>
      </c>
      <c r="Y286" s="163"/>
      <c r="Z286" s="163"/>
      <c r="AA286" s="163"/>
    </row>
    <row r="287" spans="1:27" x14ac:dyDescent="0.25">
      <c r="A287" t="s">
        <v>524</v>
      </c>
      <c r="B287" s="95" t="s">
        <v>232</v>
      </c>
      <c r="C287" s="73">
        <f t="shared" si="9"/>
        <v>-1.2574446438573829E-4</v>
      </c>
      <c r="D287" t="s">
        <v>467</v>
      </c>
      <c r="E287" s="73">
        <f t="shared" si="8"/>
        <v>2.6483472720031861E-2</v>
      </c>
      <c r="F287" s="162">
        <v>49988</v>
      </c>
      <c r="G287" s="162"/>
      <c r="H287" s="162">
        <v>5465</v>
      </c>
      <c r="I287" s="68">
        <v>5285</v>
      </c>
      <c r="J287" s="68">
        <v>5180</v>
      </c>
      <c r="K287" s="68">
        <v>4995</v>
      </c>
      <c r="L287" s="68">
        <v>4850</v>
      </c>
      <c r="M287" s="68">
        <v>4800</v>
      </c>
      <c r="N287" s="84" t="s">
        <v>232</v>
      </c>
      <c r="O287" s="162">
        <v>49526</v>
      </c>
      <c r="P287" s="162">
        <v>49644</v>
      </c>
      <c r="Q287" s="162">
        <v>49946</v>
      </c>
      <c r="R287" s="162">
        <v>49988</v>
      </c>
      <c r="S287" s="163">
        <v>48.4</v>
      </c>
      <c r="T287" s="163">
        <v>48.8</v>
      </c>
      <c r="U287" s="163">
        <v>49.9</v>
      </c>
      <c r="V287" s="163">
        <v>51.1</v>
      </c>
      <c r="W287" s="163">
        <v>51.9</v>
      </c>
      <c r="X287" s="163">
        <v>52.3</v>
      </c>
      <c r="Y287" s="163"/>
      <c r="Z287" s="163"/>
      <c r="AA287" s="163"/>
    </row>
    <row r="288" spans="1:27" x14ac:dyDescent="0.25">
      <c r="A288" t="s">
        <v>526</v>
      </c>
      <c r="B288" s="95" t="s">
        <v>423</v>
      </c>
      <c r="C288" s="73">
        <f t="shared" si="9"/>
        <v>4.0638934356832428E-3</v>
      </c>
      <c r="D288" t="s">
        <v>441</v>
      </c>
      <c r="E288" s="73">
        <f t="shared" si="8"/>
        <v>1.2987012987012988E-2</v>
      </c>
      <c r="F288" s="162">
        <v>10124</v>
      </c>
      <c r="G288" s="162"/>
      <c r="H288" s="162">
        <v>650</v>
      </c>
      <c r="I288" s="68">
        <v>630</v>
      </c>
      <c r="J288" s="68">
        <v>615</v>
      </c>
      <c r="K288" s="68">
        <v>620</v>
      </c>
      <c r="L288" s="68">
        <v>605</v>
      </c>
      <c r="M288" s="68">
        <v>610</v>
      </c>
      <c r="N288" s="84" t="s">
        <v>423</v>
      </c>
      <c r="O288" s="162">
        <v>10094</v>
      </c>
      <c r="P288" s="162">
        <v>10119</v>
      </c>
      <c r="Q288" s="162">
        <v>10084</v>
      </c>
      <c r="R288" s="162">
        <v>10124</v>
      </c>
      <c r="S288" s="163">
        <v>10.5</v>
      </c>
      <c r="T288" s="163">
        <v>10.6</v>
      </c>
      <c r="U288" s="163">
        <v>10.7</v>
      </c>
      <c r="V288" s="163">
        <v>10.7</v>
      </c>
      <c r="W288" s="163">
        <v>10.7</v>
      </c>
      <c r="X288" s="163">
        <v>10.6</v>
      </c>
      <c r="Y288" s="163"/>
      <c r="Z288" s="163"/>
      <c r="AA288" s="163"/>
    </row>
    <row r="289" spans="1:27" x14ac:dyDescent="0.25">
      <c r="A289" t="s">
        <v>526</v>
      </c>
      <c r="B289" s="95" t="s">
        <v>424</v>
      </c>
      <c r="C289" s="73">
        <f t="shared" si="9"/>
        <v>-1.6430514822797782E-3</v>
      </c>
      <c r="D289" t="s">
        <v>118</v>
      </c>
      <c r="E289" s="73">
        <f t="shared" si="8"/>
        <v>1.6260162601626018E-2</v>
      </c>
      <c r="F289" s="162">
        <v>16172</v>
      </c>
      <c r="G289" s="162"/>
      <c r="H289" s="162">
        <v>1560</v>
      </c>
      <c r="I289" s="68">
        <v>1515</v>
      </c>
      <c r="J289" s="68">
        <v>1500</v>
      </c>
      <c r="K289" s="68">
        <v>1460</v>
      </c>
      <c r="L289" s="68">
        <v>1465</v>
      </c>
      <c r="M289" s="68">
        <v>1440</v>
      </c>
      <c r="N289" s="84" t="s">
        <v>424</v>
      </c>
      <c r="O289" s="162">
        <v>16475</v>
      </c>
      <c r="P289" s="162">
        <v>16356</v>
      </c>
      <c r="Q289" s="162">
        <v>16365</v>
      </c>
      <c r="R289" s="162">
        <v>16172</v>
      </c>
      <c r="S289" s="163">
        <v>16.5</v>
      </c>
      <c r="T289" s="163">
        <v>16.3</v>
      </c>
      <c r="U289" s="163">
        <v>15.8</v>
      </c>
      <c r="V289" s="163">
        <v>15.2</v>
      </c>
      <c r="W289" s="163">
        <v>14.7</v>
      </c>
      <c r="X289" s="163">
        <v>14.1</v>
      </c>
      <c r="Y289" s="163"/>
      <c r="Z289" s="163"/>
      <c r="AA289" s="163"/>
    </row>
    <row r="290" spans="1:27" x14ac:dyDescent="0.25">
      <c r="A290" t="s">
        <v>517</v>
      </c>
      <c r="B290" s="95" t="s">
        <v>393</v>
      </c>
      <c r="C290" s="73">
        <f t="shared" si="9"/>
        <v>3.8652071888279504E-4</v>
      </c>
      <c r="D290" t="s">
        <v>118</v>
      </c>
      <c r="E290" s="73">
        <f t="shared" si="8"/>
        <v>1.5407190022010272E-2</v>
      </c>
      <c r="F290" s="162">
        <v>31231</v>
      </c>
      <c r="G290" s="162"/>
      <c r="H290" s="162">
        <v>2885</v>
      </c>
      <c r="I290" s="68">
        <v>2825</v>
      </c>
      <c r="J290" s="68">
        <v>2775</v>
      </c>
      <c r="K290" s="68">
        <v>2695</v>
      </c>
      <c r="L290" s="68">
        <v>2660</v>
      </c>
      <c r="M290" s="68">
        <v>2675</v>
      </c>
      <c r="N290" s="84" t="s">
        <v>393</v>
      </c>
      <c r="O290" s="162">
        <v>30892</v>
      </c>
      <c r="P290" s="162">
        <v>31152</v>
      </c>
      <c r="Q290" s="162">
        <v>31221</v>
      </c>
      <c r="R290" s="162">
        <v>31231</v>
      </c>
      <c r="S290" s="163">
        <v>31</v>
      </c>
      <c r="T290" s="163">
        <v>31.3</v>
      </c>
      <c r="U290" s="163">
        <v>31.4</v>
      </c>
      <c r="V290" s="163">
        <v>31.4</v>
      </c>
      <c r="W290" s="163">
        <v>31.4</v>
      </c>
      <c r="X290" s="163">
        <v>31.2</v>
      </c>
      <c r="Y290" s="163"/>
      <c r="Z290" s="163"/>
      <c r="AA290" s="163"/>
    </row>
    <row r="291" spans="1:27" x14ac:dyDescent="0.25">
      <c r="A291" t="s">
        <v>525</v>
      </c>
      <c r="B291" s="95" t="s">
        <v>126</v>
      </c>
      <c r="C291" s="73">
        <f t="shared" si="9"/>
        <v>-2.7872535152674931E-3</v>
      </c>
      <c r="D291" t="s">
        <v>441</v>
      </c>
      <c r="E291" s="73">
        <f t="shared" si="8"/>
        <v>1.2135922330097087E-2</v>
      </c>
      <c r="F291" s="162">
        <v>27472</v>
      </c>
      <c r="G291" s="162"/>
      <c r="H291" s="162">
        <v>1725</v>
      </c>
      <c r="I291" s="68">
        <v>1685</v>
      </c>
      <c r="J291" s="68">
        <v>1670</v>
      </c>
      <c r="K291" s="68">
        <v>1635</v>
      </c>
      <c r="L291" s="68">
        <v>1625</v>
      </c>
      <c r="M291" s="68">
        <v>1625</v>
      </c>
      <c r="N291" s="84" t="s">
        <v>126</v>
      </c>
      <c r="O291" s="162">
        <v>27474</v>
      </c>
      <c r="P291" s="162">
        <v>27397</v>
      </c>
      <c r="Q291" s="162">
        <v>27417</v>
      </c>
      <c r="R291" s="162">
        <v>27472</v>
      </c>
      <c r="S291" s="163">
        <v>27.3</v>
      </c>
      <c r="T291" s="163">
        <v>26.9</v>
      </c>
      <c r="U291" s="163">
        <v>26.4</v>
      </c>
      <c r="V291" s="163">
        <v>25.9</v>
      </c>
      <c r="W291" s="163">
        <v>25.5</v>
      </c>
      <c r="X291" s="163">
        <v>25</v>
      </c>
      <c r="Y291" s="163"/>
      <c r="Z291" s="163"/>
      <c r="AA291" s="163"/>
    </row>
    <row r="292" spans="1:27" x14ac:dyDescent="0.25">
      <c r="A292" t="s">
        <v>524</v>
      </c>
      <c r="B292" s="95" t="s">
        <v>233</v>
      </c>
      <c r="C292" s="73">
        <f t="shared" si="9"/>
        <v>2.8860242113574659E-3</v>
      </c>
      <c r="D292" t="s">
        <v>441</v>
      </c>
      <c r="E292" s="73">
        <f t="shared" si="8"/>
        <v>2.0160460810532813E-2</v>
      </c>
      <c r="F292" s="162">
        <v>67666</v>
      </c>
      <c r="G292" s="162"/>
      <c r="H292" s="162">
        <v>5280</v>
      </c>
      <c r="I292" s="68">
        <v>5060</v>
      </c>
      <c r="J292" s="68">
        <v>4965</v>
      </c>
      <c r="K292" s="68">
        <v>4810</v>
      </c>
      <c r="L292" s="68">
        <v>4680</v>
      </c>
      <c r="M292" s="68">
        <v>4790</v>
      </c>
      <c r="N292" s="84" t="s">
        <v>233</v>
      </c>
      <c r="O292" s="162">
        <v>65599</v>
      </c>
      <c r="P292" s="162">
        <v>66424</v>
      </c>
      <c r="Q292" s="162">
        <v>66912</v>
      </c>
      <c r="R292" s="162">
        <v>67666</v>
      </c>
      <c r="S292" s="163">
        <v>68</v>
      </c>
      <c r="T292" s="163">
        <v>69.3</v>
      </c>
      <c r="U292" s="163">
        <v>70.400000000000006</v>
      </c>
      <c r="V292" s="163">
        <v>71.2</v>
      </c>
      <c r="W292" s="163">
        <v>71.599999999999994</v>
      </c>
      <c r="X292" s="163">
        <v>72</v>
      </c>
      <c r="Y292" s="163"/>
      <c r="Z292" s="163"/>
      <c r="AA292" s="163"/>
    </row>
    <row r="293" spans="1:27" x14ac:dyDescent="0.25">
      <c r="A293" t="s">
        <v>528</v>
      </c>
      <c r="B293" s="95" t="s">
        <v>341</v>
      </c>
      <c r="C293" s="73">
        <f t="shared" si="9"/>
        <v>4.903563255966002E-4</v>
      </c>
      <c r="D293" t="s">
        <v>467</v>
      </c>
      <c r="E293" s="73">
        <f t="shared" si="8"/>
        <v>2.5743453173546382E-2</v>
      </c>
      <c r="F293" s="162">
        <v>21850</v>
      </c>
      <c r="G293" s="162"/>
      <c r="H293" s="162">
        <v>2440</v>
      </c>
      <c r="I293" s="68">
        <v>2385</v>
      </c>
      <c r="J293" s="68">
        <v>2330</v>
      </c>
      <c r="K293" s="68">
        <v>2240</v>
      </c>
      <c r="L293" s="68">
        <v>2160</v>
      </c>
      <c r="M293" s="68">
        <v>2150</v>
      </c>
      <c r="N293" s="84" t="s">
        <v>341</v>
      </c>
      <c r="O293" s="162">
        <v>21839</v>
      </c>
      <c r="P293" s="162">
        <v>21901</v>
      </c>
      <c r="Q293" s="162">
        <v>21953</v>
      </c>
      <c r="R293" s="162">
        <v>21850</v>
      </c>
      <c r="S293" s="163">
        <v>21.7</v>
      </c>
      <c r="T293" s="163">
        <v>21.8</v>
      </c>
      <c r="U293" s="163">
        <v>22</v>
      </c>
      <c r="V293" s="163">
        <v>22</v>
      </c>
      <c r="W293" s="163">
        <v>22.1</v>
      </c>
      <c r="X293" s="163">
        <v>22.1</v>
      </c>
      <c r="Y293" s="163"/>
      <c r="Z293" s="163"/>
      <c r="AA293" s="163"/>
    </row>
    <row r="294" spans="1:27" x14ac:dyDescent="0.25">
      <c r="A294" t="s">
        <v>517</v>
      </c>
      <c r="B294" s="95" t="s">
        <v>394</v>
      </c>
      <c r="C294" s="73">
        <f t="shared" si="9"/>
        <v>3.5657377350783153E-3</v>
      </c>
      <c r="D294" t="s">
        <v>467</v>
      </c>
      <c r="E294" s="73">
        <f t="shared" si="8"/>
        <v>2.5068786303882606E-2</v>
      </c>
      <c r="F294" s="162">
        <v>45813</v>
      </c>
      <c r="G294" s="162"/>
      <c r="H294" s="162">
        <v>3545</v>
      </c>
      <c r="I294" s="68">
        <v>3435</v>
      </c>
      <c r="J294" s="68">
        <v>3355</v>
      </c>
      <c r="K294" s="68">
        <v>3275</v>
      </c>
      <c r="L294" s="68">
        <v>3155</v>
      </c>
      <c r="M294" s="68">
        <v>3135</v>
      </c>
      <c r="N294" s="84" t="s">
        <v>394</v>
      </c>
      <c r="O294" s="162">
        <v>45358</v>
      </c>
      <c r="P294" s="162">
        <v>45481</v>
      </c>
      <c r="Q294" s="162">
        <v>45500</v>
      </c>
      <c r="R294" s="162">
        <v>45813</v>
      </c>
      <c r="S294" s="163">
        <v>46.3</v>
      </c>
      <c r="T294" s="163">
        <v>47.1</v>
      </c>
      <c r="U294" s="163">
        <v>48.1</v>
      </c>
      <c r="V294" s="163">
        <v>49</v>
      </c>
      <c r="W294" s="163">
        <v>49.7</v>
      </c>
      <c r="X294" s="163">
        <v>50</v>
      </c>
      <c r="Y294" s="163"/>
      <c r="Z294" s="163"/>
      <c r="AA294" s="163"/>
    </row>
    <row r="295" spans="1:27" x14ac:dyDescent="0.25">
      <c r="A295" t="s">
        <v>518</v>
      </c>
      <c r="B295" s="95" t="s">
        <v>276</v>
      </c>
      <c r="C295" s="73">
        <f t="shared" si="9"/>
        <v>3.679239575140149E-3</v>
      </c>
      <c r="D295" t="s">
        <v>118</v>
      </c>
      <c r="E295" s="73">
        <f t="shared" si="8"/>
        <v>3.3366834170854273E-2</v>
      </c>
      <c r="F295" s="162">
        <v>68473</v>
      </c>
      <c r="G295" s="162"/>
      <c r="H295" s="162">
        <v>5530</v>
      </c>
      <c r="I295" s="68">
        <v>5325</v>
      </c>
      <c r="J295" s="68">
        <v>5165</v>
      </c>
      <c r="K295" s="68">
        <v>4915</v>
      </c>
      <c r="L295" s="68">
        <v>4770</v>
      </c>
      <c r="M295" s="68">
        <v>4700</v>
      </c>
      <c r="N295" s="84" t="s">
        <v>276</v>
      </c>
      <c r="O295" s="162">
        <v>68356</v>
      </c>
      <c r="P295" s="162">
        <v>68590</v>
      </c>
      <c r="Q295" s="162">
        <v>68617</v>
      </c>
      <c r="R295" s="162">
        <v>68473</v>
      </c>
      <c r="S295" s="163">
        <v>70</v>
      </c>
      <c r="T295" s="163">
        <v>70.900000000000006</v>
      </c>
      <c r="U295" s="163">
        <v>72</v>
      </c>
      <c r="V295" s="163">
        <v>72.599999999999994</v>
      </c>
      <c r="W295" s="163">
        <v>73</v>
      </c>
      <c r="X295" s="163">
        <v>73.2</v>
      </c>
      <c r="Y295" s="163"/>
      <c r="Z295" s="163"/>
      <c r="AA295" s="163"/>
    </row>
    <row r="296" spans="1:27" x14ac:dyDescent="0.25">
      <c r="A296" t="s">
        <v>526</v>
      </c>
      <c r="B296" s="95" t="s">
        <v>425</v>
      </c>
      <c r="C296" s="73">
        <f t="shared" si="9"/>
        <v>2.4283252389158704E-3</v>
      </c>
      <c r="D296" t="s">
        <v>441</v>
      </c>
      <c r="E296" s="73">
        <f t="shared" si="8"/>
        <v>2.23463687150838E-2</v>
      </c>
      <c r="F296" s="162">
        <v>102128</v>
      </c>
      <c r="G296" s="162"/>
      <c r="H296" s="162">
        <v>7530</v>
      </c>
      <c r="I296" s="68">
        <v>7260</v>
      </c>
      <c r="J296" s="68">
        <v>7180</v>
      </c>
      <c r="K296" s="68">
        <v>6965</v>
      </c>
      <c r="L296" s="68">
        <v>6750</v>
      </c>
      <c r="M296" s="68">
        <v>6750</v>
      </c>
      <c r="N296" s="84" t="s">
        <v>425</v>
      </c>
      <c r="O296" s="162">
        <v>101578</v>
      </c>
      <c r="P296" s="162">
        <v>101869</v>
      </c>
      <c r="Q296" s="162">
        <v>101988</v>
      </c>
      <c r="R296" s="162">
        <v>102128</v>
      </c>
      <c r="S296" s="163">
        <v>103.6</v>
      </c>
      <c r="T296" s="163">
        <v>104.7</v>
      </c>
      <c r="U296" s="163">
        <v>105.6</v>
      </c>
      <c r="V296" s="163">
        <v>106.1</v>
      </c>
      <c r="W296" s="163">
        <v>106.1</v>
      </c>
      <c r="X296" s="163">
        <v>105.9</v>
      </c>
      <c r="Y296" s="163"/>
      <c r="Z296" s="163"/>
      <c r="AA296" s="163"/>
    </row>
    <row r="297" spans="1:27" x14ac:dyDescent="0.25">
      <c r="A297" t="s">
        <v>526</v>
      </c>
      <c r="B297" s="95" t="s">
        <v>426</v>
      </c>
      <c r="C297" s="73">
        <f t="shared" si="9"/>
        <v>-4.1779833920286939E-3</v>
      </c>
      <c r="D297" t="s">
        <v>441</v>
      </c>
      <c r="E297" s="73">
        <f t="shared" si="8"/>
        <v>2.7584020291693087E-2</v>
      </c>
      <c r="F297" s="162">
        <v>43972</v>
      </c>
      <c r="G297" s="162"/>
      <c r="H297" s="162">
        <v>3405</v>
      </c>
      <c r="I297" s="68">
        <v>3325</v>
      </c>
      <c r="J297" s="68">
        <v>3260</v>
      </c>
      <c r="K297" s="68">
        <v>3160</v>
      </c>
      <c r="L297" s="68">
        <v>3055</v>
      </c>
      <c r="M297" s="68">
        <v>2970</v>
      </c>
      <c r="N297" s="84" t="s">
        <v>426</v>
      </c>
      <c r="O297" s="162">
        <v>43312</v>
      </c>
      <c r="P297" s="162">
        <v>43596</v>
      </c>
      <c r="Q297" s="162">
        <v>43713</v>
      </c>
      <c r="R297" s="162">
        <v>43972</v>
      </c>
      <c r="S297" s="163">
        <v>42.6</v>
      </c>
      <c r="T297" s="163">
        <v>41.9</v>
      </c>
      <c r="U297" s="163">
        <v>41.4</v>
      </c>
      <c r="V297" s="163">
        <v>41.2</v>
      </c>
      <c r="W297" s="163">
        <v>40.799999999999997</v>
      </c>
      <c r="X297" s="163">
        <v>40.200000000000003</v>
      </c>
      <c r="Y297" s="163"/>
      <c r="Z297" s="163"/>
      <c r="AA297" s="163"/>
    </row>
    <row r="298" spans="1:27" x14ac:dyDescent="0.25">
      <c r="A298" t="s">
        <v>524</v>
      </c>
      <c r="B298" s="95" t="s">
        <v>605</v>
      </c>
      <c r="C298" s="73">
        <f t="shared" si="9"/>
        <v>1.3473879626862224E-3</v>
      </c>
      <c r="D298" t="s">
        <v>118</v>
      </c>
      <c r="E298" s="73">
        <f t="shared" si="8"/>
        <v>3.1617967727867423E-2</v>
      </c>
      <c r="F298" s="162">
        <v>58791</v>
      </c>
      <c r="G298" s="162"/>
      <c r="H298" s="162">
        <v>5060</v>
      </c>
      <c r="I298" s="68">
        <v>4855</v>
      </c>
      <c r="J298" s="68">
        <v>4755</v>
      </c>
      <c r="K298" s="68">
        <v>4570</v>
      </c>
      <c r="L298" s="68">
        <v>4415</v>
      </c>
      <c r="M298" s="68">
        <v>4335</v>
      </c>
      <c r="N298" s="84" t="s">
        <v>605</v>
      </c>
      <c r="O298" s="162">
        <v>55703</v>
      </c>
      <c r="P298" s="162">
        <v>56740</v>
      </c>
      <c r="Q298" s="162">
        <v>57829</v>
      </c>
      <c r="R298" s="162">
        <v>58791</v>
      </c>
      <c r="S298" s="163">
        <v>57.5</v>
      </c>
      <c r="T298" s="163">
        <v>58.8</v>
      </c>
      <c r="U298" s="163">
        <v>59.9</v>
      </c>
      <c r="V298" s="163">
        <v>60.8</v>
      </c>
      <c r="W298" s="163">
        <v>61.599999999999994</v>
      </c>
      <c r="X298" s="163">
        <v>62.199999999999996</v>
      </c>
      <c r="Y298" s="163"/>
      <c r="Z298" s="163"/>
      <c r="AA298" s="163"/>
    </row>
    <row r="299" spans="1:27" x14ac:dyDescent="0.25">
      <c r="A299" t="s">
        <v>521</v>
      </c>
      <c r="B299" s="95" t="s">
        <v>320</v>
      </c>
      <c r="C299" s="73">
        <f t="shared" si="9"/>
        <v>7.1371743724391414E-4</v>
      </c>
      <c r="D299" t="s">
        <v>118</v>
      </c>
      <c r="E299" s="73">
        <f t="shared" si="8"/>
        <v>2.3088023088023088E-2</v>
      </c>
      <c r="F299" s="162">
        <v>74159</v>
      </c>
      <c r="G299" s="162"/>
      <c r="H299" s="162">
        <v>4510</v>
      </c>
      <c r="I299" s="68">
        <v>4310</v>
      </c>
      <c r="J299" s="68">
        <v>4290</v>
      </c>
      <c r="K299" s="68">
        <v>4165</v>
      </c>
      <c r="L299" s="68">
        <v>3995</v>
      </c>
      <c r="M299" s="68">
        <v>4030</v>
      </c>
      <c r="N299" s="84" t="s">
        <v>320</v>
      </c>
      <c r="O299" s="162">
        <v>72455</v>
      </c>
      <c r="P299" s="162">
        <v>73403</v>
      </c>
      <c r="Q299" s="162">
        <v>73924</v>
      </c>
      <c r="R299" s="162">
        <v>74159</v>
      </c>
      <c r="S299" s="163">
        <v>73.599999999999994</v>
      </c>
      <c r="T299" s="163">
        <v>74.400000000000006</v>
      </c>
      <c r="U299" s="163">
        <v>74.900000000000006</v>
      </c>
      <c r="V299" s="163">
        <v>75.2</v>
      </c>
      <c r="W299" s="163">
        <v>75.2</v>
      </c>
      <c r="X299" s="163">
        <v>75.099999999999994</v>
      </c>
      <c r="Y299" s="163"/>
      <c r="Z299" s="163"/>
      <c r="AA299" s="163"/>
    </row>
    <row r="300" spans="1:27" x14ac:dyDescent="0.25">
      <c r="A300" t="s">
        <v>520</v>
      </c>
      <c r="B300" s="95" t="s">
        <v>139</v>
      </c>
      <c r="C300" s="73">
        <f t="shared" si="9"/>
        <v>-5.7333970377448631E-3</v>
      </c>
      <c r="D300" t="s">
        <v>118</v>
      </c>
      <c r="E300" s="73">
        <f t="shared" si="8"/>
        <v>3.5502958579881658E-2</v>
      </c>
      <c r="F300" s="162">
        <v>1196</v>
      </c>
      <c r="G300" s="162"/>
      <c r="H300" s="162">
        <v>190</v>
      </c>
      <c r="I300" s="68">
        <v>175</v>
      </c>
      <c r="J300" s="68">
        <v>180</v>
      </c>
      <c r="K300" s="68">
        <v>170</v>
      </c>
      <c r="L300" s="68">
        <v>160</v>
      </c>
      <c r="M300" s="68">
        <v>160</v>
      </c>
      <c r="N300" s="84" t="s">
        <v>139</v>
      </c>
      <c r="O300" s="162">
        <v>1139</v>
      </c>
      <c r="P300" s="162">
        <v>1161</v>
      </c>
      <c r="Q300" s="162">
        <v>1194</v>
      </c>
      <c r="R300" s="162">
        <v>1196</v>
      </c>
      <c r="S300" s="163">
        <v>1.1000000000000001</v>
      </c>
      <c r="T300" s="163">
        <v>1.1000000000000001</v>
      </c>
      <c r="U300" s="163">
        <v>1.1000000000000001</v>
      </c>
      <c r="V300" s="163">
        <v>1.1000000000000001</v>
      </c>
      <c r="W300" s="163">
        <v>1.1000000000000001</v>
      </c>
      <c r="X300" s="163">
        <v>1</v>
      </c>
      <c r="Y300" s="163"/>
      <c r="Z300" s="163"/>
      <c r="AA300" s="163"/>
    </row>
    <row r="301" spans="1:27" x14ac:dyDescent="0.25">
      <c r="A301" t="s">
        <v>528</v>
      </c>
      <c r="B301" s="95" t="s">
        <v>342</v>
      </c>
      <c r="C301" s="73">
        <f t="shared" si="9"/>
        <v>2.1637736211953647E-4</v>
      </c>
      <c r="D301" t="s">
        <v>441</v>
      </c>
      <c r="E301" s="73">
        <f t="shared" si="8"/>
        <v>2.6701119724375538E-2</v>
      </c>
      <c r="F301" s="162">
        <v>44565</v>
      </c>
      <c r="G301" s="162"/>
      <c r="H301" s="162">
        <v>2540</v>
      </c>
      <c r="I301" s="68">
        <v>2425</v>
      </c>
      <c r="J301" s="68">
        <v>2370</v>
      </c>
      <c r="K301" s="68">
        <v>2350</v>
      </c>
      <c r="L301" s="68">
        <v>2235</v>
      </c>
      <c r="M301" s="68">
        <v>2230</v>
      </c>
      <c r="N301" s="84" t="s">
        <v>342</v>
      </c>
      <c r="O301" s="162">
        <v>44372</v>
      </c>
      <c r="P301" s="162">
        <v>44466</v>
      </c>
      <c r="Q301" s="162">
        <v>44358</v>
      </c>
      <c r="R301" s="162">
        <v>44565</v>
      </c>
      <c r="S301" s="163">
        <v>44.5</v>
      </c>
      <c r="T301" s="163">
        <v>44.7</v>
      </c>
      <c r="U301" s="163">
        <v>44.7</v>
      </c>
      <c r="V301" s="163">
        <v>44.7</v>
      </c>
      <c r="W301" s="163">
        <v>44.4</v>
      </c>
      <c r="X301" s="163">
        <v>44.3</v>
      </c>
      <c r="Y301" s="163"/>
      <c r="Z301" s="163"/>
      <c r="AA301" s="163"/>
    </row>
    <row r="302" spans="1:27" x14ac:dyDescent="0.25">
      <c r="A302" t="s">
        <v>526</v>
      </c>
      <c r="B302" s="95" t="s">
        <v>427</v>
      </c>
      <c r="C302" s="73">
        <f t="shared" si="9"/>
        <v>-3.0181086519114686E-3</v>
      </c>
      <c r="D302" t="s">
        <v>467</v>
      </c>
      <c r="E302" s="73">
        <f t="shared" si="8"/>
        <v>2.5302530253025302E-2</v>
      </c>
      <c r="F302" s="162">
        <v>12425</v>
      </c>
      <c r="G302" s="162"/>
      <c r="H302" s="162">
        <v>975</v>
      </c>
      <c r="I302" s="68">
        <v>975</v>
      </c>
      <c r="J302" s="68">
        <v>950</v>
      </c>
      <c r="K302" s="68">
        <v>900</v>
      </c>
      <c r="L302" s="68">
        <v>860</v>
      </c>
      <c r="M302" s="68">
        <v>860</v>
      </c>
      <c r="N302" s="84" t="s">
        <v>427</v>
      </c>
      <c r="O302" s="162">
        <v>12452</v>
      </c>
      <c r="P302" s="162">
        <v>12487</v>
      </c>
      <c r="Q302" s="162">
        <v>12466</v>
      </c>
      <c r="R302" s="162">
        <v>12425</v>
      </c>
      <c r="S302" s="163">
        <v>12.2</v>
      </c>
      <c r="T302" s="163">
        <v>12.2</v>
      </c>
      <c r="U302" s="163">
        <v>11.9</v>
      </c>
      <c r="V302" s="163">
        <v>11.6</v>
      </c>
      <c r="W302" s="163">
        <v>11.3</v>
      </c>
      <c r="X302" s="163">
        <v>10.9</v>
      </c>
      <c r="Y302" s="163"/>
      <c r="Z302" s="163"/>
      <c r="AA302" s="163"/>
    </row>
    <row r="303" spans="1:27" x14ac:dyDescent="0.25">
      <c r="A303" t="s">
        <v>521</v>
      </c>
      <c r="B303" s="95" t="s">
        <v>321</v>
      </c>
      <c r="C303" s="73">
        <f t="shared" si="9"/>
        <v>1.5999375634121594E-3</v>
      </c>
      <c r="D303" t="s">
        <v>467</v>
      </c>
      <c r="E303" s="73">
        <f t="shared" si="8"/>
        <v>3.7472035794183442E-2</v>
      </c>
      <c r="F303" s="162">
        <v>25626</v>
      </c>
      <c r="G303" s="162"/>
      <c r="H303" s="162">
        <v>2015</v>
      </c>
      <c r="I303" s="68">
        <v>1895</v>
      </c>
      <c r="J303" s="68">
        <v>1840</v>
      </c>
      <c r="K303" s="68">
        <v>1775</v>
      </c>
      <c r="L303" s="68">
        <v>1750</v>
      </c>
      <c r="M303" s="68">
        <v>1680</v>
      </c>
      <c r="N303" s="84" t="s">
        <v>321</v>
      </c>
      <c r="O303" s="162">
        <v>25476</v>
      </c>
      <c r="P303" s="162">
        <v>25598</v>
      </c>
      <c r="Q303" s="162">
        <v>25650</v>
      </c>
      <c r="R303" s="162">
        <v>25626</v>
      </c>
      <c r="S303" s="163">
        <v>25.8</v>
      </c>
      <c r="T303" s="163">
        <v>26</v>
      </c>
      <c r="U303" s="163">
        <v>26.2</v>
      </c>
      <c r="V303" s="163">
        <v>26.4</v>
      </c>
      <c r="W303" s="163">
        <v>26.6</v>
      </c>
      <c r="X303" s="163">
        <v>26.6</v>
      </c>
      <c r="Y303" s="163"/>
      <c r="Z303" s="163"/>
      <c r="AA303" s="163"/>
    </row>
    <row r="304" spans="1:27" x14ac:dyDescent="0.25">
      <c r="A304" t="s">
        <v>519</v>
      </c>
      <c r="B304" s="95" t="s">
        <v>205</v>
      </c>
      <c r="C304" s="73">
        <f t="shared" si="9"/>
        <v>-5.6008961433829415E-4</v>
      </c>
      <c r="D304" t="s">
        <v>467</v>
      </c>
      <c r="E304" s="73">
        <f t="shared" si="8"/>
        <v>3.4778465936160075E-2</v>
      </c>
      <c r="F304" s="162">
        <v>24996</v>
      </c>
      <c r="G304" s="162"/>
      <c r="H304" s="162">
        <v>2335</v>
      </c>
      <c r="I304" s="68">
        <v>2210</v>
      </c>
      <c r="J304" s="68">
        <v>2175</v>
      </c>
      <c r="K304" s="68">
        <v>2120</v>
      </c>
      <c r="L304" s="68">
        <v>2020</v>
      </c>
      <c r="M304" s="68">
        <v>1970</v>
      </c>
      <c r="N304" s="84" t="s">
        <v>205</v>
      </c>
      <c r="O304" s="162">
        <v>24401</v>
      </c>
      <c r="P304" s="162">
        <v>24562</v>
      </c>
      <c r="Q304" s="162">
        <v>24790</v>
      </c>
      <c r="R304" s="162">
        <v>24996</v>
      </c>
      <c r="S304" s="163">
        <v>24.7</v>
      </c>
      <c r="T304" s="163">
        <v>24.8</v>
      </c>
      <c r="U304" s="163">
        <v>24.8</v>
      </c>
      <c r="V304" s="163">
        <v>24.8</v>
      </c>
      <c r="W304" s="163">
        <v>24.7</v>
      </c>
      <c r="X304" s="163">
        <v>24.3</v>
      </c>
      <c r="Y304" s="163"/>
      <c r="Z304" s="163"/>
      <c r="AA304" s="163"/>
    </row>
    <row r="305" spans="1:27" x14ac:dyDescent="0.25">
      <c r="A305" t="s">
        <v>517</v>
      </c>
      <c r="B305" s="95" t="s">
        <v>395</v>
      </c>
      <c r="C305" s="73">
        <f t="shared" si="9"/>
        <v>7.1276619184099405E-3</v>
      </c>
      <c r="D305" t="s">
        <v>118</v>
      </c>
      <c r="E305" s="73">
        <v>3.7529524571280858E-2</v>
      </c>
      <c r="F305" s="162">
        <v>31766</v>
      </c>
      <c r="G305" s="162"/>
      <c r="H305" s="162">
        <v>3354.7339308220135</v>
      </c>
      <c r="I305" s="75">
        <v>3232.7289595294778</v>
      </c>
      <c r="J305" s="75">
        <v>3089.1874387340708</v>
      </c>
      <c r="K305" s="75">
        <v>2957.2605377398122</v>
      </c>
      <c r="L305" s="75">
        <v>2835.4117070438315</v>
      </c>
      <c r="M305" s="75">
        <v>2795.1774961489987</v>
      </c>
      <c r="N305" s="84" t="s">
        <v>395</v>
      </c>
      <c r="O305" s="162">
        <v>31204.531578210335</v>
      </c>
      <c r="P305" s="162">
        <v>31382.98935723288</v>
      </c>
      <c r="Q305" s="162">
        <v>31.039532278392382</v>
      </c>
      <c r="R305" s="162">
        <v>31766</v>
      </c>
      <c r="S305" s="163">
        <v>34.935842319002944</v>
      </c>
      <c r="T305" s="163">
        <v>34.935842319002944</v>
      </c>
      <c r="U305" s="163">
        <v>34.935842319002944</v>
      </c>
      <c r="V305" s="163">
        <v>35.069696120991452</v>
      </c>
      <c r="W305" s="163">
        <v>35.069696120991452</v>
      </c>
      <c r="X305" s="163">
        <v>35.069696120991452</v>
      </c>
      <c r="Y305" s="163"/>
      <c r="Z305" s="163"/>
      <c r="AA305" s="163"/>
    </row>
    <row r="306" spans="1:27" x14ac:dyDescent="0.25">
      <c r="A306" t="s">
        <v>520</v>
      </c>
      <c r="B306" s="95" t="s">
        <v>606</v>
      </c>
      <c r="C306" s="73">
        <f t="shared" si="9"/>
        <v>-6.0463165426357067E-3</v>
      </c>
      <c r="D306" t="s">
        <v>118</v>
      </c>
      <c r="E306" s="73">
        <f t="shared" si="8"/>
        <v>1.8461368896726553E-2</v>
      </c>
      <c r="F306" s="162">
        <v>46321</v>
      </c>
      <c r="G306" s="162"/>
      <c r="H306" s="162">
        <v>3830</v>
      </c>
      <c r="I306" s="68">
        <v>3753</v>
      </c>
      <c r="J306" s="68">
        <v>3736</v>
      </c>
      <c r="K306" s="68">
        <v>3624</v>
      </c>
      <c r="L306" s="68">
        <v>3538</v>
      </c>
      <c r="M306" s="68">
        <v>3495</v>
      </c>
      <c r="N306" s="84" t="s">
        <v>606</v>
      </c>
      <c r="O306" s="162">
        <v>46133</v>
      </c>
      <c r="P306" s="162">
        <v>46062</v>
      </c>
      <c r="Q306" s="162">
        <v>46149</v>
      </c>
      <c r="R306" s="162">
        <v>46321</v>
      </c>
      <c r="S306" s="163">
        <v>44.4</v>
      </c>
      <c r="T306" s="163">
        <v>43.3</v>
      </c>
      <c r="U306" s="163">
        <v>42.4</v>
      </c>
      <c r="V306" s="163">
        <v>41.5</v>
      </c>
      <c r="W306" s="163">
        <v>40.700000000000003</v>
      </c>
      <c r="X306" s="163">
        <v>39.799999999999997</v>
      </c>
      <c r="Y306" s="163"/>
      <c r="Z306" s="163"/>
      <c r="AA306" s="163"/>
    </row>
    <row r="307" spans="1:27" x14ac:dyDescent="0.25">
      <c r="A307" t="s">
        <v>517</v>
      </c>
      <c r="B307" s="95" t="s">
        <v>396</v>
      </c>
      <c r="C307" s="73">
        <f t="shared" si="9"/>
        <v>-2.9615044928980611E-3</v>
      </c>
      <c r="D307" t="s">
        <v>467</v>
      </c>
      <c r="E307" s="73">
        <f t="shared" si="8"/>
        <v>2.75049115913556E-2</v>
      </c>
      <c r="F307" s="162">
        <v>17631</v>
      </c>
      <c r="G307" s="162"/>
      <c r="H307" s="162">
        <v>1645</v>
      </c>
      <c r="I307" s="68">
        <v>1600</v>
      </c>
      <c r="J307" s="68">
        <v>1585</v>
      </c>
      <c r="K307" s="68">
        <v>1545</v>
      </c>
      <c r="L307" s="68">
        <v>1470</v>
      </c>
      <c r="M307" s="68">
        <v>1435</v>
      </c>
      <c r="N307" s="84" t="s">
        <v>396</v>
      </c>
      <c r="O307" s="162">
        <v>17253</v>
      </c>
      <c r="P307" s="162">
        <v>17455</v>
      </c>
      <c r="Q307" s="162">
        <v>17544</v>
      </c>
      <c r="R307" s="162">
        <v>17631</v>
      </c>
      <c r="S307" s="163">
        <v>17</v>
      </c>
      <c r="T307" s="163">
        <v>16.899999999999999</v>
      </c>
      <c r="U307" s="163">
        <v>16.899999999999999</v>
      </c>
      <c r="V307" s="163">
        <v>17</v>
      </c>
      <c r="W307" s="163">
        <v>17</v>
      </c>
      <c r="X307" s="163">
        <v>16.899999999999999</v>
      </c>
      <c r="Y307" s="163"/>
      <c r="Z307" s="163"/>
      <c r="AA307" s="163"/>
    </row>
    <row r="308" spans="1:27" x14ac:dyDescent="0.25">
      <c r="A308" t="s">
        <v>517</v>
      </c>
      <c r="B308" s="95" t="s">
        <v>397</v>
      </c>
      <c r="C308" s="73">
        <f t="shared" si="9"/>
        <v>4.8472024014566215E-3</v>
      </c>
      <c r="D308" t="s">
        <v>118</v>
      </c>
      <c r="E308" s="73">
        <f t="shared" si="8"/>
        <v>2.185792349726776E-2</v>
      </c>
      <c r="F308" s="162">
        <v>49351</v>
      </c>
      <c r="G308" s="162"/>
      <c r="H308" s="162">
        <v>4685</v>
      </c>
      <c r="I308" s="68">
        <v>4595</v>
      </c>
      <c r="J308" s="68">
        <v>4490</v>
      </c>
      <c r="K308" s="68">
        <v>4395</v>
      </c>
      <c r="L308" s="68">
        <v>4275</v>
      </c>
      <c r="M308" s="68">
        <v>4205</v>
      </c>
      <c r="N308" s="84" t="s">
        <v>397</v>
      </c>
      <c r="O308" s="162">
        <v>48256</v>
      </c>
      <c r="P308" s="162">
        <v>48653</v>
      </c>
      <c r="Q308" s="162">
        <v>48815</v>
      </c>
      <c r="R308" s="162">
        <v>49351</v>
      </c>
      <c r="S308" s="163">
        <v>49.7</v>
      </c>
      <c r="T308" s="163">
        <v>51.2</v>
      </c>
      <c r="U308" s="163">
        <v>52.7</v>
      </c>
      <c r="V308" s="163">
        <v>54.1</v>
      </c>
      <c r="W308" s="163">
        <v>55.4</v>
      </c>
      <c r="X308" s="163">
        <v>56.5</v>
      </c>
      <c r="Y308" s="163"/>
      <c r="Z308" s="163"/>
      <c r="AA308" s="163"/>
    </row>
    <row r="309" spans="1:27" x14ac:dyDescent="0.25">
      <c r="A309" t="s">
        <v>521</v>
      </c>
      <c r="B309" s="95" t="s">
        <v>322</v>
      </c>
      <c r="C309" s="73">
        <f t="shared" si="9"/>
        <v>2.6485417065543432E-3</v>
      </c>
      <c r="D309" t="s">
        <v>467</v>
      </c>
      <c r="E309" s="73">
        <f t="shared" si="8"/>
        <v>3.9796390559925961E-2</v>
      </c>
      <c r="F309" s="162">
        <v>31338</v>
      </c>
      <c r="G309" s="162"/>
      <c r="H309" s="162">
        <v>2445</v>
      </c>
      <c r="I309" s="68">
        <v>2315</v>
      </c>
      <c r="J309" s="68">
        <v>2245</v>
      </c>
      <c r="K309" s="68">
        <v>2160</v>
      </c>
      <c r="L309" s="68">
        <v>2070</v>
      </c>
      <c r="M309" s="68">
        <v>2015</v>
      </c>
      <c r="N309" s="84" t="s">
        <v>322</v>
      </c>
      <c r="O309" s="162">
        <v>28311</v>
      </c>
      <c r="P309" s="162">
        <v>29122</v>
      </c>
      <c r="Q309" s="162">
        <v>30479</v>
      </c>
      <c r="R309" s="162">
        <v>31338</v>
      </c>
      <c r="S309" s="163">
        <v>30.6</v>
      </c>
      <c r="T309" s="163">
        <v>31.7</v>
      </c>
      <c r="U309" s="163">
        <v>32.5</v>
      </c>
      <c r="V309" s="163">
        <v>33</v>
      </c>
      <c r="W309" s="163">
        <v>33.4</v>
      </c>
      <c r="X309" s="163">
        <v>33.700000000000003</v>
      </c>
      <c r="Y309" s="163"/>
      <c r="Z309" s="163"/>
      <c r="AA309" s="163"/>
    </row>
    <row r="310" spans="1:27" x14ac:dyDescent="0.25">
      <c r="A310" t="s">
        <v>519</v>
      </c>
      <c r="B310" s="95" t="s">
        <v>206</v>
      </c>
      <c r="C310" s="73">
        <f t="shared" si="9"/>
        <v>7.6502497602587774E-3</v>
      </c>
      <c r="D310" t="s">
        <v>118</v>
      </c>
      <c r="E310" s="73">
        <f t="shared" si="8"/>
        <v>3.2138442521631644E-2</v>
      </c>
      <c r="F310" s="162">
        <v>39924</v>
      </c>
      <c r="G310" s="162"/>
      <c r="H310" s="162">
        <v>2665</v>
      </c>
      <c r="I310" s="68">
        <v>2550</v>
      </c>
      <c r="J310" s="68">
        <v>2530</v>
      </c>
      <c r="K310" s="68">
        <v>2455</v>
      </c>
      <c r="L310" s="68">
        <v>2325</v>
      </c>
      <c r="M310" s="68">
        <v>2275</v>
      </c>
      <c r="N310" s="84" t="s">
        <v>206</v>
      </c>
      <c r="O310" s="162">
        <v>38781</v>
      </c>
      <c r="P310" s="162">
        <v>39607</v>
      </c>
      <c r="Q310" s="162">
        <v>39635</v>
      </c>
      <c r="R310" s="162">
        <v>39924</v>
      </c>
      <c r="S310" s="163">
        <v>41.6</v>
      </c>
      <c r="T310" s="163">
        <v>42.9</v>
      </c>
      <c r="U310" s="163">
        <v>44.2</v>
      </c>
      <c r="V310" s="163">
        <v>44.9</v>
      </c>
      <c r="W310" s="163">
        <v>45.3</v>
      </c>
      <c r="X310" s="163">
        <v>45.6</v>
      </c>
      <c r="Y310" s="163"/>
      <c r="Z310" s="163"/>
      <c r="AA310" s="163"/>
    </row>
    <row r="311" spans="1:27" x14ac:dyDescent="0.25">
      <c r="A311" t="s">
        <v>521</v>
      </c>
      <c r="B311" s="95" t="s">
        <v>323</v>
      </c>
      <c r="C311" s="73">
        <f t="shared" si="9"/>
        <v>-3.9660579228924554E-3</v>
      </c>
      <c r="D311" t="s">
        <v>467</v>
      </c>
      <c r="E311" s="73">
        <f t="shared" si="8"/>
        <v>2.2058823529411766E-2</v>
      </c>
      <c r="F311" s="162">
        <v>27105</v>
      </c>
      <c r="G311" s="162"/>
      <c r="H311" s="162">
        <v>2625</v>
      </c>
      <c r="I311" s="68">
        <v>2555</v>
      </c>
      <c r="J311" s="68">
        <v>2540</v>
      </c>
      <c r="K311" s="68">
        <v>2440</v>
      </c>
      <c r="L311" s="68">
        <v>2350</v>
      </c>
      <c r="M311" s="68">
        <v>2355</v>
      </c>
      <c r="N311" s="84" t="s">
        <v>323</v>
      </c>
      <c r="O311" s="162">
        <v>26189</v>
      </c>
      <c r="P311" s="162">
        <v>26187</v>
      </c>
      <c r="Q311" s="162">
        <v>26949</v>
      </c>
      <c r="R311" s="162">
        <v>27105</v>
      </c>
      <c r="S311" s="163">
        <v>25.6</v>
      </c>
      <c r="T311" s="163">
        <v>25.5</v>
      </c>
      <c r="U311" s="163">
        <v>25.6</v>
      </c>
      <c r="V311" s="163">
        <v>26</v>
      </c>
      <c r="W311" s="163">
        <v>26.3</v>
      </c>
      <c r="X311" s="163">
        <v>26.3</v>
      </c>
      <c r="Y311" s="163"/>
      <c r="Z311" s="163"/>
      <c r="AA311" s="163"/>
    </row>
    <row r="312" spans="1:27" x14ac:dyDescent="0.25">
      <c r="A312" t="s">
        <v>518</v>
      </c>
      <c r="B312" s="95" t="s">
        <v>277</v>
      </c>
      <c r="C312" s="73">
        <f t="shared" si="9"/>
        <v>3.555566542242438E-3</v>
      </c>
      <c r="D312" t="s">
        <v>467</v>
      </c>
      <c r="E312" s="73">
        <f t="shared" si="8"/>
        <v>3.9975772259236826E-2</v>
      </c>
      <c r="F312" s="162">
        <v>17337</v>
      </c>
      <c r="G312" s="162"/>
      <c r="H312" s="162">
        <v>1865</v>
      </c>
      <c r="I312" s="68">
        <v>1790</v>
      </c>
      <c r="J312" s="68">
        <v>1710</v>
      </c>
      <c r="K312" s="68">
        <v>1660</v>
      </c>
      <c r="L312" s="68">
        <v>1560</v>
      </c>
      <c r="M312" s="68">
        <v>1535</v>
      </c>
      <c r="N312" s="84" t="s">
        <v>277</v>
      </c>
      <c r="O312" s="162">
        <v>17306</v>
      </c>
      <c r="P312" s="162">
        <v>17430</v>
      </c>
      <c r="Q312" s="162">
        <v>17312</v>
      </c>
      <c r="R312" s="162">
        <v>17337</v>
      </c>
      <c r="S312" s="163">
        <v>17.7</v>
      </c>
      <c r="T312" s="163">
        <v>18</v>
      </c>
      <c r="U312" s="163">
        <v>18.2</v>
      </c>
      <c r="V312" s="163">
        <v>18.399999999999999</v>
      </c>
      <c r="W312" s="163">
        <v>18.600000000000001</v>
      </c>
      <c r="X312" s="163">
        <v>18.8</v>
      </c>
      <c r="Y312" s="163"/>
      <c r="Z312" s="163"/>
      <c r="AA312" s="163"/>
    </row>
    <row r="313" spans="1:27" x14ac:dyDescent="0.25">
      <c r="A313" t="s">
        <v>526</v>
      </c>
      <c r="B313" s="95" t="s">
        <v>428</v>
      </c>
      <c r="C313" s="73">
        <f t="shared" si="9"/>
        <v>-7.7183264852103241E-4</v>
      </c>
      <c r="D313" t="s">
        <v>441</v>
      </c>
      <c r="E313" s="73">
        <f t="shared" si="8"/>
        <v>2.7473993064817286E-2</v>
      </c>
      <c r="F313" s="162">
        <v>50344</v>
      </c>
      <c r="G313" s="162"/>
      <c r="H313" s="162">
        <v>4140</v>
      </c>
      <c r="I313" s="68">
        <v>3915</v>
      </c>
      <c r="J313" s="68">
        <v>3815</v>
      </c>
      <c r="K313" s="68">
        <v>3735</v>
      </c>
      <c r="L313" s="68">
        <v>3655</v>
      </c>
      <c r="M313" s="68">
        <v>3625</v>
      </c>
      <c r="N313" s="84" t="s">
        <v>428</v>
      </c>
      <c r="O313" s="162">
        <v>49841</v>
      </c>
      <c r="P313" s="162">
        <v>50138</v>
      </c>
      <c r="Q313" s="162">
        <v>50011</v>
      </c>
      <c r="R313" s="162">
        <v>50344</v>
      </c>
      <c r="S313" s="163">
        <v>50.1</v>
      </c>
      <c r="T313" s="163">
        <v>49.9</v>
      </c>
      <c r="U313" s="163">
        <v>49.8</v>
      </c>
      <c r="V313" s="163">
        <v>49.6</v>
      </c>
      <c r="W313" s="163">
        <v>49.4</v>
      </c>
      <c r="X313" s="163">
        <v>49.2</v>
      </c>
      <c r="Y313" s="163"/>
      <c r="Z313" s="163"/>
      <c r="AA313" s="163"/>
    </row>
    <row r="314" spans="1:27" x14ac:dyDescent="0.25">
      <c r="A314" t="s">
        <v>518</v>
      </c>
      <c r="B314" s="95" t="s">
        <v>278</v>
      </c>
      <c r="C314" s="73">
        <f t="shared" si="9"/>
        <v>8.0320594406797143E-3</v>
      </c>
      <c r="D314" t="s">
        <v>118</v>
      </c>
      <c r="E314" s="73">
        <f t="shared" si="8"/>
        <v>3.5677352637021716E-2</v>
      </c>
      <c r="F314" s="162">
        <v>20765</v>
      </c>
      <c r="G314" s="162"/>
      <c r="H314" s="162">
        <v>2170</v>
      </c>
      <c r="I314" s="68">
        <v>2055</v>
      </c>
      <c r="J314" s="68">
        <v>2010</v>
      </c>
      <c r="K314" s="68">
        <v>1915</v>
      </c>
      <c r="L314" s="68">
        <v>1865</v>
      </c>
      <c r="M314" s="68">
        <v>1825</v>
      </c>
      <c r="N314" s="84" t="s">
        <v>278</v>
      </c>
      <c r="O314" s="162">
        <v>19331</v>
      </c>
      <c r="P314" s="162">
        <v>19651</v>
      </c>
      <c r="Q314" s="162">
        <v>20445</v>
      </c>
      <c r="R314" s="162">
        <v>20765</v>
      </c>
      <c r="S314" s="163">
        <v>21.1</v>
      </c>
      <c r="T314" s="163">
        <v>22.1</v>
      </c>
      <c r="U314" s="163">
        <v>23.1</v>
      </c>
      <c r="V314" s="163">
        <v>23.9</v>
      </c>
      <c r="W314" s="163">
        <v>24.6</v>
      </c>
      <c r="X314" s="163">
        <v>25.1</v>
      </c>
      <c r="Y314" s="163"/>
      <c r="Z314" s="163"/>
      <c r="AA314" s="163"/>
    </row>
    <row r="315" spans="1:27" x14ac:dyDescent="0.25">
      <c r="A315" t="s">
        <v>519</v>
      </c>
      <c r="B315" s="95" t="s">
        <v>607</v>
      </c>
      <c r="C315" s="73">
        <f t="shared" si="9"/>
        <v>-9.346410978184377E-5</v>
      </c>
      <c r="D315" t="s">
        <v>467</v>
      </c>
      <c r="E315" s="73">
        <f t="shared" si="8"/>
        <v>2.1619571401479232E-2</v>
      </c>
      <c r="F315" s="75">
        <v>51968</v>
      </c>
      <c r="G315" s="162"/>
      <c r="H315" s="162">
        <v>5630</v>
      </c>
      <c r="I315" s="162">
        <v>5535</v>
      </c>
      <c r="J315" s="162">
        <v>5425</v>
      </c>
      <c r="K315" s="162">
        <v>5275</v>
      </c>
      <c r="L315" s="162">
        <v>5070</v>
      </c>
      <c r="M315" s="162">
        <v>5060</v>
      </c>
      <c r="N315" s="84" t="s">
        <v>607</v>
      </c>
      <c r="O315" s="75">
        <v>50661</v>
      </c>
      <c r="P315" s="162">
        <v>51156</v>
      </c>
      <c r="Q315" s="162">
        <v>51496</v>
      </c>
      <c r="R315" s="162">
        <v>51968</v>
      </c>
      <c r="S315" s="163">
        <v>51.099999999999994</v>
      </c>
      <c r="T315" s="163">
        <v>51.400000000000006</v>
      </c>
      <c r="U315" s="163">
        <v>51.9</v>
      </c>
      <c r="V315" s="163">
        <v>52.3</v>
      </c>
      <c r="W315" s="163">
        <v>52.699999999999996</v>
      </c>
      <c r="X315" s="163">
        <v>52.7</v>
      </c>
      <c r="Y315" s="163"/>
      <c r="Z315" s="163"/>
      <c r="AA315" s="163"/>
    </row>
    <row r="316" spans="1:27" x14ac:dyDescent="0.25">
      <c r="A316" t="s">
        <v>519</v>
      </c>
      <c r="B316" s="95" t="s">
        <v>207</v>
      </c>
      <c r="C316" s="73">
        <f t="shared" si="9"/>
        <v>-1.7598606625784682E-3</v>
      </c>
      <c r="D316" t="s">
        <v>467</v>
      </c>
      <c r="E316" s="73">
        <f t="shared" ref="E316:E347" si="10">SUM(H316,-M316)/(SUM(I316,J316,K316,L316,M316))</f>
        <v>3.3143448990160536E-2</v>
      </c>
      <c r="F316" s="162">
        <v>19685</v>
      </c>
      <c r="G316" s="162"/>
      <c r="H316" s="162">
        <v>2130</v>
      </c>
      <c r="I316" s="68">
        <v>2080</v>
      </c>
      <c r="J316" s="68">
        <v>2005</v>
      </c>
      <c r="K316" s="68">
        <v>1930</v>
      </c>
      <c r="L316" s="68">
        <v>1830</v>
      </c>
      <c r="M316" s="68">
        <v>1810</v>
      </c>
      <c r="N316" s="84" t="s">
        <v>207</v>
      </c>
      <c r="O316" s="162">
        <v>19073</v>
      </c>
      <c r="P316" s="162">
        <v>19318</v>
      </c>
      <c r="Q316" s="162">
        <v>19581</v>
      </c>
      <c r="R316" s="162">
        <v>19685</v>
      </c>
      <c r="S316" s="163">
        <v>19.100000000000001</v>
      </c>
      <c r="T316" s="163">
        <v>19.2</v>
      </c>
      <c r="U316" s="163">
        <v>19.2</v>
      </c>
      <c r="V316" s="163">
        <v>19.3</v>
      </c>
      <c r="W316" s="163">
        <v>19.3</v>
      </c>
      <c r="X316" s="163">
        <v>19.3</v>
      </c>
      <c r="Y316" s="163"/>
      <c r="Z316" s="163"/>
      <c r="AA316" s="163"/>
    </row>
    <row r="317" spans="1:27" x14ac:dyDescent="0.25">
      <c r="A317" t="s">
        <v>525</v>
      </c>
      <c r="B317" s="95" t="s">
        <v>608</v>
      </c>
      <c r="C317" s="73">
        <f t="shared" si="9"/>
        <v>-4.6708209759294432E-3</v>
      </c>
      <c r="D317" t="s">
        <v>118</v>
      </c>
      <c r="E317" s="73">
        <f t="shared" si="10"/>
        <v>3.3153750518027353E-2</v>
      </c>
      <c r="F317" s="162">
        <v>64305</v>
      </c>
      <c r="G317" s="162"/>
      <c r="H317" s="162">
        <v>5320</v>
      </c>
      <c r="I317" s="68">
        <v>5155</v>
      </c>
      <c r="J317" s="68">
        <v>5030</v>
      </c>
      <c r="K317" s="68">
        <v>4810</v>
      </c>
      <c r="L317" s="68">
        <v>4615</v>
      </c>
      <c r="M317" s="68">
        <v>4520</v>
      </c>
      <c r="N317" s="84" t="s">
        <v>608</v>
      </c>
      <c r="O317" s="162">
        <v>61464</v>
      </c>
      <c r="P317" s="162">
        <v>63359</v>
      </c>
      <c r="Q317" s="162">
        <v>63678</v>
      </c>
      <c r="R317" s="162">
        <v>64305</v>
      </c>
      <c r="S317" s="163">
        <v>61.099999999999994</v>
      </c>
      <c r="T317" s="163">
        <v>60.599999999999994</v>
      </c>
      <c r="U317" s="163">
        <v>60.1</v>
      </c>
      <c r="V317" s="163">
        <v>59.400000000000006</v>
      </c>
      <c r="W317" s="163">
        <v>58.7</v>
      </c>
      <c r="X317" s="163">
        <v>57.8</v>
      </c>
      <c r="Y317" s="163"/>
      <c r="Z317" s="163"/>
      <c r="AA317" s="163"/>
    </row>
    <row r="318" spans="1:27" x14ac:dyDescent="0.25">
      <c r="A318" t="s">
        <v>516</v>
      </c>
      <c r="B318" s="95" t="s">
        <v>116</v>
      </c>
      <c r="C318" s="73">
        <f t="shared" si="9"/>
        <v>-4.5013925171096094E-3</v>
      </c>
      <c r="D318" t="s">
        <v>118</v>
      </c>
      <c r="E318" s="73">
        <f t="shared" si="10"/>
        <v>3.7305122494432075E-2</v>
      </c>
      <c r="F318" s="162">
        <v>19851</v>
      </c>
      <c r="G318" s="162"/>
      <c r="H318" s="162">
        <v>1995</v>
      </c>
      <c r="I318" s="68">
        <v>1915</v>
      </c>
      <c r="J318" s="68">
        <v>1860</v>
      </c>
      <c r="K318" s="68">
        <v>1810</v>
      </c>
      <c r="L318" s="68">
        <v>1735</v>
      </c>
      <c r="M318" s="68">
        <v>1660</v>
      </c>
      <c r="N318" s="84" t="s">
        <v>116</v>
      </c>
      <c r="O318" s="162">
        <v>19345</v>
      </c>
      <c r="P318" s="162">
        <v>19480</v>
      </c>
      <c r="Q318" s="162">
        <v>19661</v>
      </c>
      <c r="R318" s="162">
        <v>19851</v>
      </c>
      <c r="S318" s="163">
        <v>18.7</v>
      </c>
      <c r="T318" s="163">
        <v>18.600000000000001</v>
      </c>
      <c r="U318" s="163">
        <v>18.600000000000001</v>
      </c>
      <c r="V318" s="163">
        <v>18.399999999999999</v>
      </c>
      <c r="W318" s="163">
        <v>17.899999999999999</v>
      </c>
      <c r="X318" s="163">
        <v>17.3</v>
      </c>
      <c r="Y318" s="163"/>
      <c r="Z318" s="163"/>
      <c r="AA318" s="163"/>
    </row>
    <row r="319" spans="1:27" x14ac:dyDescent="0.25">
      <c r="A319" t="s">
        <v>519</v>
      </c>
      <c r="B319" s="95" t="s">
        <v>208</v>
      </c>
      <c r="C319" s="73">
        <f t="shared" si="9"/>
        <v>2.1746403479424555E-3</v>
      </c>
      <c r="D319" t="s">
        <v>118</v>
      </c>
      <c r="E319" s="73">
        <f t="shared" si="10"/>
        <v>1.9675925925925927E-2</v>
      </c>
      <c r="F319" s="162">
        <v>14945</v>
      </c>
      <c r="G319" s="162"/>
      <c r="H319" s="162">
        <v>935</v>
      </c>
      <c r="I319" s="68">
        <v>915</v>
      </c>
      <c r="J319" s="68">
        <v>895</v>
      </c>
      <c r="K319" s="68">
        <v>840</v>
      </c>
      <c r="L319" s="68">
        <v>820</v>
      </c>
      <c r="M319" s="68">
        <v>850</v>
      </c>
      <c r="N319" s="84" t="s">
        <v>208</v>
      </c>
      <c r="O319" s="162">
        <v>14937</v>
      </c>
      <c r="P319" s="162">
        <v>14953</v>
      </c>
      <c r="Q319" s="162">
        <v>15014</v>
      </c>
      <c r="R319" s="162">
        <v>14945</v>
      </c>
      <c r="S319" s="163">
        <v>15.3</v>
      </c>
      <c r="T319" s="163">
        <v>15.3</v>
      </c>
      <c r="U319" s="163">
        <v>15.4</v>
      </c>
      <c r="V319" s="163">
        <v>15.5</v>
      </c>
      <c r="W319" s="163">
        <v>15.5</v>
      </c>
      <c r="X319" s="163">
        <v>15.5</v>
      </c>
      <c r="Y319" s="163"/>
      <c r="Z319" s="163"/>
      <c r="AA319" s="163"/>
    </row>
    <row r="320" spans="1:27" x14ac:dyDescent="0.25">
      <c r="A320" t="s">
        <v>525</v>
      </c>
      <c r="B320" s="95" t="s">
        <v>609</v>
      </c>
      <c r="C320" s="73">
        <f t="shared" si="9"/>
        <v>-9.1041945380205564E-3</v>
      </c>
      <c r="D320" t="s">
        <v>118</v>
      </c>
      <c r="E320" s="73">
        <f t="shared" si="10"/>
        <v>1.9270833333333334E-2</v>
      </c>
      <c r="F320" s="162">
        <v>26589</v>
      </c>
      <c r="G320" s="162"/>
      <c r="H320" s="162">
        <v>2020</v>
      </c>
      <c r="I320" s="68">
        <v>1985</v>
      </c>
      <c r="J320" s="68">
        <v>1975</v>
      </c>
      <c r="K320" s="68">
        <v>1915</v>
      </c>
      <c r="L320" s="68">
        <v>1890</v>
      </c>
      <c r="M320" s="68">
        <v>1835</v>
      </c>
      <c r="N320" s="84" t="s">
        <v>609</v>
      </c>
      <c r="O320" s="162">
        <v>25244</v>
      </c>
      <c r="P320" s="162">
        <v>25663</v>
      </c>
      <c r="Q320" s="162">
        <v>26215</v>
      </c>
      <c r="R320" s="162">
        <v>26589</v>
      </c>
      <c r="S320" s="163">
        <v>23.8</v>
      </c>
      <c r="T320" s="163">
        <v>23.5</v>
      </c>
      <c r="U320" s="163">
        <v>23.2</v>
      </c>
      <c r="V320" s="163">
        <v>22.8</v>
      </c>
      <c r="W320" s="163">
        <v>22.4</v>
      </c>
      <c r="X320" s="163">
        <v>21.8</v>
      </c>
      <c r="Y320" s="163"/>
      <c r="Z320" s="163"/>
      <c r="AA320" s="163"/>
    </row>
    <row r="321" spans="1:27" x14ac:dyDescent="0.25">
      <c r="A321" t="s">
        <v>521</v>
      </c>
      <c r="B321" s="95" t="s">
        <v>324</v>
      </c>
      <c r="C321" s="73">
        <f t="shared" si="9"/>
        <v>2.8022285749845378E-3</v>
      </c>
      <c r="D321" t="s">
        <v>467</v>
      </c>
      <c r="E321" s="73">
        <f t="shared" si="10"/>
        <v>2.6674937965260544E-2</v>
      </c>
      <c r="F321" s="162">
        <v>112487</v>
      </c>
      <c r="G321" s="162"/>
      <c r="H321" s="162">
        <v>12225</v>
      </c>
      <c r="I321" s="68">
        <v>11800</v>
      </c>
      <c r="J321" s="68">
        <v>11660</v>
      </c>
      <c r="K321" s="68">
        <v>11300</v>
      </c>
      <c r="L321" s="68">
        <v>10940</v>
      </c>
      <c r="M321" s="68">
        <v>10720</v>
      </c>
      <c r="N321" s="84" t="s">
        <v>324</v>
      </c>
      <c r="O321" s="162">
        <v>108576</v>
      </c>
      <c r="P321" s="162">
        <v>110252</v>
      </c>
      <c r="Q321" s="162">
        <v>111382</v>
      </c>
      <c r="R321" s="162">
        <v>112487</v>
      </c>
      <c r="S321" s="163">
        <v>111.5</v>
      </c>
      <c r="T321" s="163">
        <v>114.2</v>
      </c>
      <c r="U321" s="163">
        <v>116.9</v>
      </c>
      <c r="V321" s="163">
        <v>119.3</v>
      </c>
      <c r="W321" s="163">
        <v>121.3</v>
      </c>
      <c r="X321" s="163">
        <v>122.9</v>
      </c>
      <c r="Y321" s="163"/>
      <c r="Z321" s="163"/>
      <c r="AA321" s="163"/>
    </row>
    <row r="322" spans="1:27" x14ac:dyDescent="0.25">
      <c r="A322" t="s">
        <v>520</v>
      </c>
      <c r="B322" s="95" t="s">
        <v>140</v>
      </c>
      <c r="C322" s="73">
        <f t="shared" si="9"/>
        <v>8.6975429441182872E-4</v>
      </c>
      <c r="D322" t="s">
        <v>118</v>
      </c>
      <c r="E322" s="73">
        <f t="shared" si="10"/>
        <v>2.4529128339903637E-2</v>
      </c>
      <c r="F322" s="162">
        <v>26280</v>
      </c>
      <c r="G322" s="162"/>
      <c r="H322" s="162">
        <v>2475</v>
      </c>
      <c r="I322" s="68">
        <v>2385</v>
      </c>
      <c r="J322" s="68">
        <v>2340</v>
      </c>
      <c r="K322" s="68">
        <v>2290</v>
      </c>
      <c r="L322" s="68">
        <v>2205</v>
      </c>
      <c r="M322" s="68">
        <v>2195</v>
      </c>
      <c r="N322" s="84" t="s">
        <v>140</v>
      </c>
      <c r="O322" s="162">
        <v>25837</v>
      </c>
      <c r="P322" s="162">
        <v>25899</v>
      </c>
      <c r="Q322" s="162">
        <v>26130</v>
      </c>
      <c r="R322" s="162">
        <v>26280</v>
      </c>
      <c r="S322" s="163">
        <v>26.2</v>
      </c>
      <c r="T322" s="163">
        <v>26.4</v>
      </c>
      <c r="U322" s="163">
        <v>26.6</v>
      </c>
      <c r="V322" s="163">
        <v>26.8</v>
      </c>
      <c r="W322" s="163">
        <v>26.9</v>
      </c>
      <c r="X322" s="163">
        <v>26.9</v>
      </c>
      <c r="Y322" s="163"/>
      <c r="Z322" s="163"/>
      <c r="AA322" s="163"/>
    </row>
    <row r="323" spans="1:27" x14ac:dyDescent="0.25">
      <c r="A323" t="s">
        <v>521</v>
      </c>
      <c r="B323" s="95" t="s">
        <v>325</v>
      </c>
      <c r="C323" s="73">
        <f t="shared" ref="C323:C347" si="11">(SUM(U323*1000,-R323)/14)/R323</f>
        <v>3.5432544457815215E-3</v>
      </c>
      <c r="D323" t="s">
        <v>467</v>
      </c>
      <c r="E323" s="73">
        <f t="shared" si="10"/>
        <v>2.9456193353474321E-2</v>
      </c>
      <c r="F323" s="162">
        <v>14958</v>
      </c>
      <c r="G323" s="162"/>
      <c r="H323" s="162">
        <v>1460</v>
      </c>
      <c r="I323" s="68">
        <v>1400</v>
      </c>
      <c r="J323" s="68">
        <v>1375</v>
      </c>
      <c r="K323" s="68">
        <v>1315</v>
      </c>
      <c r="L323" s="68">
        <v>1265</v>
      </c>
      <c r="M323" s="68">
        <v>1265</v>
      </c>
      <c r="N323" s="84" t="s">
        <v>325</v>
      </c>
      <c r="O323" s="162">
        <v>14628</v>
      </c>
      <c r="P323" s="162">
        <v>14734</v>
      </c>
      <c r="Q323" s="162">
        <v>14900</v>
      </c>
      <c r="R323" s="162">
        <v>14958</v>
      </c>
      <c r="S323" s="163">
        <v>15</v>
      </c>
      <c r="T323" s="163">
        <v>15.4</v>
      </c>
      <c r="U323" s="163">
        <v>15.7</v>
      </c>
      <c r="V323" s="163">
        <v>16</v>
      </c>
      <c r="W323" s="163">
        <v>16.2</v>
      </c>
      <c r="X323" s="163">
        <v>16.3</v>
      </c>
      <c r="Y323" s="163"/>
      <c r="Z323" s="163"/>
      <c r="AA323" s="163"/>
    </row>
    <row r="324" spans="1:27" x14ac:dyDescent="0.25">
      <c r="A324" t="s">
        <v>522</v>
      </c>
      <c r="B324" s="95" t="s">
        <v>162</v>
      </c>
      <c r="C324" s="73">
        <f t="shared" si="11"/>
        <v>-7.0434374293482354E-4</v>
      </c>
      <c r="D324" t="s">
        <v>467</v>
      </c>
      <c r="E324" s="73">
        <f t="shared" si="10"/>
        <v>4.0101522842639591E-2</v>
      </c>
      <c r="F324" s="162">
        <v>24643</v>
      </c>
      <c r="G324" s="162"/>
      <c r="H324" s="162">
        <v>2205</v>
      </c>
      <c r="I324" s="68">
        <v>2110</v>
      </c>
      <c r="J324" s="68">
        <v>2050</v>
      </c>
      <c r="K324" s="68">
        <v>1985</v>
      </c>
      <c r="L324" s="68">
        <v>1895</v>
      </c>
      <c r="M324" s="68">
        <v>1810</v>
      </c>
      <c r="N324" s="84" t="s">
        <v>162</v>
      </c>
      <c r="O324" s="162">
        <v>24345</v>
      </c>
      <c r="P324" s="162">
        <v>24413</v>
      </c>
      <c r="Q324" s="162">
        <v>24538</v>
      </c>
      <c r="R324" s="162">
        <v>24643</v>
      </c>
      <c r="S324" s="163">
        <v>24.5</v>
      </c>
      <c r="T324" s="163">
        <v>24.3</v>
      </c>
      <c r="U324" s="163">
        <v>24.4</v>
      </c>
      <c r="V324" s="163">
        <v>24.3</v>
      </c>
      <c r="W324" s="163">
        <v>24.3</v>
      </c>
      <c r="X324" s="163">
        <v>24.2</v>
      </c>
      <c r="Y324" s="163"/>
      <c r="Z324" s="163"/>
      <c r="AA324" s="163"/>
    </row>
    <row r="325" spans="1:27" x14ac:dyDescent="0.25">
      <c r="A325" t="s">
        <v>519</v>
      </c>
      <c r="B325" s="95" t="s">
        <v>209</v>
      </c>
      <c r="C325" s="73">
        <f t="shared" si="11"/>
        <v>-3.7024751123873106E-3</v>
      </c>
      <c r="D325" t="s">
        <v>118</v>
      </c>
      <c r="E325" s="73">
        <f t="shared" si="10"/>
        <v>2.7991387265456781E-2</v>
      </c>
      <c r="F325" s="162">
        <v>41343</v>
      </c>
      <c r="G325" s="162"/>
      <c r="H325" s="162">
        <v>3525</v>
      </c>
      <c r="I325" s="68">
        <v>3435</v>
      </c>
      <c r="J325" s="68">
        <v>3350</v>
      </c>
      <c r="K325" s="68">
        <v>3240</v>
      </c>
      <c r="L325" s="68">
        <v>3160</v>
      </c>
      <c r="M325" s="68">
        <v>3070</v>
      </c>
      <c r="N325" s="84" t="s">
        <v>209</v>
      </c>
      <c r="O325" s="162">
        <v>40937</v>
      </c>
      <c r="P325" s="162">
        <v>41080</v>
      </c>
      <c r="Q325" s="162">
        <v>41261</v>
      </c>
      <c r="R325" s="162">
        <v>41343</v>
      </c>
      <c r="S325" s="163">
        <v>40</v>
      </c>
      <c r="T325" s="163">
        <v>39.5</v>
      </c>
      <c r="U325" s="163">
        <v>39.200000000000003</v>
      </c>
      <c r="V325" s="163">
        <v>39.200000000000003</v>
      </c>
      <c r="W325" s="163">
        <v>39.299999999999997</v>
      </c>
      <c r="X325" s="163">
        <v>39.200000000000003</v>
      </c>
      <c r="Y325" s="163"/>
      <c r="Z325" s="163"/>
      <c r="AA325" s="163"/>
    </row>
    <row r="326" spans="1:27" x14ac:dyDescent="0.25">
      <c r="A326" t="s">
        <v>518</v>
      </c>
      <c r="B326" s="95" t="s">
        <v>279</v>
      </c>
      <c r="C326" s="73">
        <f t="shared" si="11"/>
        <v>8.6578319855877713E-4</v>
      </c>
      <c r="D326" t="s">
        <v>467</v>
      </c>
      <c r="E326" s="73">
        <f t="shared" si="10"/>
        <v>2.342987308818744E-2</v>
      </c>
      <c r="F326" s="162">
        <v>24503</v>
      </c>
      <c r="G326" s="162"/>
      <c r="H326" s="162">
        <v>3340</v>
      </c>
      <c r="I326" s="68">
        <v>3230</v>
      </c>
      <c r="J326" s="68">
        <v>3135</v>
      </c>
      <c r="K326" s="68">
        <v>3045</v>
      </c>
      <c r="L326" s="68">
        <v>2975</v>
      </c>
      <c r="M326" s="68">
        <v>2980</v>
      </c>
      <c r="N326" s="84" t="s">
        <v>279</v>
      </c>
      <c r="O326" s="162">
        <v>24018</v>
      </c>
      <c r="P326" s="162">
        <v>24321</v>
      </c>
      <c r="Q326" s="162">
        <v>24463</v>
      </c>
      <c r="R326" s="162">
        <v>24503</v>
      </c>
      <c r="S326" s="163">
        <v>24.2</v>
      </c>
      <c r="T326" s="163">
        <v>24.5</v>
      </c>
      <c r="U326" s="163">
        <v>24.8</v>
      </c>
      <c r="V326" s="163">
        <v>25.1</v>
      </c>
      <c r="W326" s="163">
        <v>25.4</v>
      </c>
      <c r="X326" s="163">
        <v>25.6</v>
      </c>
      <c r="Y326" s="163"/>
      <c r="Z326" s="163"/>
      <c r="AA326" s="163"/>
    </row>
    <row r="327" spans="1:27" x14ac:dyDescent="0.25">
      <c r="A327" t="s">
        <v>524</v>
      </c>
      <c r="B327" s="95" t="s">
        <v>234</v>
      </c>
      <c r="C327" s="73">
        <f t="shared" si="11"/>
        <v>1.128668171557562E-3</v>
      </c>
      <c r="D327" t="s">
        <v>467</v>
      </c>
      <c r="E327" s="73">
        <f t="shared" si="10"/>
        <v>2.572653644592663E-2</v>
      </c>
      <c r="F327" s="162">
        <v>23922</v>
      </c>
      <c r="G327" s="162"/>
      <c r="H327" s="162">
        <v>2255</v>
      </c>
      <c r="I327" s="68">
        <v>2200</v>
      </c>
      <c r="J327" s="68">
        <v>2185</v>
      </c>
      <c r="K327" s="68">
        <v>2115</v>
      </c>
      <c r="L327" s="68">
        <v>2010</v>
      </c>
      <c r="M327" s="68">
        <v>1985</v>
      </c>
      <c r="N327" s="84" t="s">
        <v>234</v>
      </c>
      <c r="O327" s="162">
        <v>23763</v>
      </c>
      <c r="P327" s="162">
        <v>23897</v>
      </c>
      <c r="Q327" s="162">
        <v>23925</v>
      </c>
      <c r="R327" s="162">
        <v>23922</v>
      </c>
      <c r="S327" s="163">
        <v>24</v>
      </c>
      <c r="T327" s="163">
        <v>24.2</v>
      </c>
      <c r="U327" s="163">
        <v>24.3</v>
      </c>
      <c r="V327" s="163">
        <v>24.4</v>
      </c>
      <c r="W327" s="163">
        <v>24.4</v>
      </c>
      <c r="X327" s="163">
        <v>24.3</v>
      </c>
      <c r="Y327" s="163"/>
      <c r="Z327" s="163"/>
      <c r="AA327" s="163"/>
    </row>
    <row r="328" spans="1:27" x14ac:dyDescent="0.25">
      <c r="A328" t="s">
        <v>519</v>
      </c>
      <c r="B328" s="95" t="s">
        <v>210</v>
      </c>
      <c r="C328" s="73">
        <f t="shared" si="11"/>
        <v>-4.3331587013254076E-4</v>
      </c>
      <c r="D328" t="s">
        <v>118</v>
      </c>
      <c r="E328" s="73">
        <f t="shared" si="10"/>
        <v>2.553191489361702E-2</v>
      </c>
      <c r="F328" s="162">
        <v>29177</v>
      </c>
      <c r="G328" s="162"/>
      <c r="H328" s="162">
        <v>2540</v>
      </c>
      <c r="I328" s="68">
        <v>2460</v>
      </c>
      <c r="J328" s="68">
        <v>2405</v>
      </c>
      <c r="K328" s="68">
        <v>2350</v>
      </c>
      <c r="L328" s="68">
        <v>2295</v>
      </c>
      <c r="M328" s="68">
        <v>2240</v>
      </c>
      <c r="N328" s="84" t="s">
        <v>210</v>
      </c>
      <c r="O328" s="162">
        <v>28907</v>
      </c>
      <c r="P328" s="162">
        <v>28851</v>
      </c>
      <c r="Q328" s="162">
        <v>29022</v>
      </c>
      <c r="R328" s="162">
        <v>29177</v>
      </c>
      <c r="S328" s="163">
        <v>29.4</v>
      </c>
      <c r="T328" s="163">
        <v>29.1</v>
      </c>
      <c r="U328" s="163">
        <v>29</v>
      </c>
      <c r="V328" s="163">
        <v>29</v>
      </c>
      <c r="W328" s="163">
        <v>28.8</v>
      </c>
      <c r="X328" s="163">
        <v>28.6</v>
      </c>
      <c r="Y328" s="163"/>
      <c r="Z328" s="163"/>
      <c r="AA328" s="163"/>
    </row>
    <row r="329" spans="1:27" x14ac:dyDescent="0.25">
      <c r="A329" t="s">
        <v>517</v>
      </c>
      <c r="B329" s="95" t="s">
        <v>398</v>
      </c>
      <c r="C329" s="73">
        <f t="shared" si="11"/>
        <v>-1.6949152542372881E-3</v>
      </c>
      <c r="D329" t="s">
        <v>467</v>
      </c>
      <c r="E329" s="73">
        <f t="shared" si="10"/>
        <v>2.3432552248258392E-2</v>
      </c>
      <c r="F329" s="162">
        <v>22125</v>
      </c>
      <c r="G329" s="162"/>
      <c r="H329" s="162">
        <v>1710</v>
      </c>
      <c r="I329" s="68">
        <v>1665</v>
      </c>
      <c r="J329" s="68">
        <v>1615</v>
      </c>
      <c r="K329" s="68">
        <v>1565</v>
      </c>
      <c r="L329" s="68">
        <v>1525</v>
      </c>
      <c r="M329" s="68">
        <v>1525</v>
      </c>
      <c r="N329" s="84" t="s">
        <v>398</v>
      </c>
      <c r="O329" s="162">
        <v>21861</v>
      </c>
      <c r="P329" s="162">
        <v>21879</v>
      </c>
      <c r="Q329" s="162">
        <v>22028</v>
      </c>
      <c r="R329" s="162">
        <v>22125</v>
      </c>
      <c r="S329" s="163">
        <v>21.8</v>
      </c>
      <c r="T329" s="163">
        <v>21.7</v>
      </c>
      <c r="U329" s="163">
        <v>21.6</v>
      </c>
      <c r="V329" s="163">
        <v>21.6</v>
      </c>
      <c r="W329" s="163">
        <v>21.7</v>
      </c>
      <c r="X329" s="163">
        <v>21.7</v>
      </c>
      <c r="Y329" s="163"/>
      <c r="Z329" s="163"/>
      <c r="AA329" s="163"/>
    </row>
    <row r="330" spans="1:27" x14ac:dyDescent="0.25">
      <c r="A330" t="s">
        <v>524</v>
      </c>
      <c r="B330" s="95" t="s">
        <v>235</v>
      </c>
      <c r="C330" s="73">
        <f t="shared" si="11"/>
        <v>7.037630385273117E-4</v>
      </c>
      <c r="D330" t="s">
        <v>467</v>
      </c>
      <c r="E330" s="73">
        <f t="shared" si="10"/>
        <v>3.4288103700606316E-2</v>
      </c>
      <c r="F330" s="162">
        <v>52879</v>
      </c>
      <c r="G330" s="162"/>
      <c r="H330" s="162">
        <v>5285</v>
      </c>
      <c r="I330" s="68">
        <v>5105</v>
      </c>
      <c r="J330" s="68">
        <v>4990</v>
      </c>
      <c r="K330" s="68">
        <v>4805</v>
      </c>
      <c r="L330" s="68">
        <v>4550</v>
      </c>
      <c r="M330" s="68">
        <v>4465</v>
      </c>
      <c r="N330" s="84" t="s">
        <v>235</v>
      </c>
      <c r="O330" s="162">
        <v>52204</v>
      </c>
      <c r="P330" s="162">
        <v>52320</v>
      </c>
      <c r="Q330" s="162">
        <v>52694</v>
      </c>
      <c r="R330" s="162">
        <v>52879</v>
      </c>
      <c r="S330" s="163">
        <v>52.6</v>
      </c>
      <c r="T330" s="163">
        <v>53</v>
      </c>
      <c r="U330" s="163">
        <v>53.4</v>
      </c>
      <c r="V330" s="163">
        <v>53.7</v>
      </c>
      <c r="W330" s="163">
        <v>53.9</v>
      </c>
      <c r="X330" s="163">
        <v>53.9</v>
      </c>
      <c r="Y330" s="163"/>
      <c r="Z330" s="163"/>
      <c r="AA330" s="163"/>
    </row>
    <row r="331" spans="1:27" x14ac:dyDescent="0.25">
      <c r="A331" t="s">
        <v>518</v>
      </c>
      <c r="B331" s="95" t="s">
        <v>280</v>
      </c>
      <c r="C331" s="73">
        <f t="shared" si="11"/>
        <v>9.1580682581354178E-5</v>
      </c>
      <c r="D331" t="s">
        <v>467</v>
      </c>
      <c r="E331" s="73">
        <f t="shared" si="10"/>
        <v>2.6153846153846153E-2</v>
      </c>
      <c r="F331" s="162">
        <v>16379</v>
      </c>
      <c r="G331" s="162"/>
      <c r="H331" s="162">
        <v>1420</v>
      </c>
      <c r="I331" s="68">
        <v>1360</v>
      </c>
      <c r="J331" s="68">
        <v>1320</v>
      </c>
      <c r="K331" s="68">
        <v>1300</v>
      </c>
      <c r="L331" s="68">
        <v>1270</v>
      </c>
      <c r="M331" s="68">
        <v>1250</v>
      </c>
      <c r="N331" s="84" t="s">
        <v>280</v>
      </c>
      <c r="O331" s="162">
        <v>16332</v>
      </c>
      <c r="P331" s="162">
        <v>16293</v>
      </c>
      <c r="Q331" s="162">
        <v>16333</v>
      </c>
      <c r="R331" s="162">
        <v>16379</v>
      </c>
      <c r="S331" s="163">
        <v>16.3</v>
      </c>
      <c r="T331" s="163">
        <v>16.3</v>
      </c>
      <c r="U331" s="163">
        <v>16.399999999999999</v>
      </c>
      <c r="V331" s="163">
        <v>16.5</v>
      </c>
      <c r="W331" s="163">
        <v>16.5</v>
      </c>
      <c r="X331" s="163">
        <v>16.5</v>
      </c>
      <c r="Y331" s="163"/>
      <c r="Z331" s="163"/>
      <c r="AA331" s="163"/>
    </row>
    <row r="332" spans="1:27" x14ac:dyDescent="0.25">
      <c r="A332" t="s">
        <v>524</v>
      </c>
      <c r="B332" s="95" t="s">
        <v>236</v>
      </c>
      <c r="C332" s="73">
        <f t="shared" si="11"/>
        <v>8.8687344938696098E-3</v>
      </c>
      <c r="D332" t="s">
        <v>467</v>
      </c>
      <c r="E332" s="73">
        <f t="shared" si="10"/>
        <v>3.5055350553505532E-2</v>
      </c>
      <c r="F332" s="162">
        <v>13877</v>
      </c>
      <c r="G332" s="162"/>
      <c r="H332" s="162">
        <v>1190</v>
      </c>
      <c r="I332" s="68">
        <v>1160</v>
      </c>
      <c r="J332" s="68">
        <v>1135</v>
      </c>
      <c r="K332" s="68">
        <v>1100</v>
      </c>
      <c r="L332" s="68">
        <v>1025</v>
      </c>
      <c r="M332" s="68">
        <v>1000</v>
      </c>
      <c r="N332" s="84" t="s">
        <v>236</v>
      </c>
      <c r="O332" s="162">
        <v>13165</v>
      </c>
      <c r="P332" s="162">
        <v>13334</v>
      </c>
      <c r="Q332" s="162">
        <v>13639</v>
      </c>
      <c r="R332" s="162">
        <v>13877</v>
      </c>
      <c r="S332" s="163">
        <v>14.3</v>
      </c>
      <c r="T332" s="163">
        <v>14.9</v>
      </c>
      <c r="U332" s="163">
        <v>15.6</v>
      </c>
      <c r="V332" s="163">
        <v>16.2</v>
      </c>
      <c r="W332" s="163">
        <v>16.7</v>
      </c>
      <c r="X332" s="163">
        <v>17.100000000000001</v>
      </c>
      <c r="Y332" s="163"/>
      <c r="Z332" s="163"/>
      <c r="AA332" s="163"/>
    </row>
    <row r="333" spans="1:27" x14ac:dyDescent="0.25">
      <c r="A333" t="s">
        <v>518</v>
      </c>
      <c r="B333" s="95" t="s">
        <v>281</v>
      </c>
      <c r="C333" s="73">
        <f t="shared" si="11"/>
        <v>5.5317810343871402E-3</v>
      </c>
      <c r="D333" t="s">
        <v>441</v>
      </c>
      <c r="E333" s="73">
        <f t="shared" si="10"/>
        <v>3.8837539992890156E-2</v>
      </c>
      <c r="F333" s="162">
        <v>157131</v>
      </c>
      <c r="G333" s="162"/>
      <c r="H333" s="162">
        <v>12795</v>
      </c>
      <c r="I333" s="68">
        <v>12080</v>
      </c>
      <c r="J333" s="68">
        <v>11580</v>
      </c>
      <c r="K333" s="68">
        <v>11180</v>
      </c>
      <c r="L333" s="68">
        <v>10810</v>
      </c>
      <c r="M333" s="68">
        <v>10610</v>
      </c>
      <c r="N333" s="84" t="s">
        <v>281</v>
      </c>
      <c r="O333" s="162">
        <v>155799</v>
      </c>
      <c r="P333" s="162">
        <v>156783</v>
      </c>
      <c r="Q333" s="162">
        <v>156901</v>
      </c>
      <c r="R333" s="162">
        <v>157131</v>
      </c>
      <c r="S333" s="163">
        <v>161.1</v>
      </c>
      <c r="T333" s="163">
        <v>166.2</v>
      </c>
      <c r="U333" s="163">
        <v>169.3</v>
      </c>
      <c r="V333" s="163">
        <v>171.3</v>
      </c>
      <c r="W333" s="163">
        <v>173</v>
      </c>
      <c r="X333" s="163">
        <v>174.3</v>
      </c>
      <c r="Y333" s="163"/>
      <c r="Z333" s="163"/>
      <c r="AA333" s="163"/>
    </row>
    <row r="334" spans="1:27" x14ac:dyDescent="0.25">
      <c r="A334" t="s">
        <v>519</v>
      </c>
      <c r="B334" s="95" t="s">
        <v>211</v>
      </c>
      <c r="C334" s="73">
        <f t="shared" si="11"/>
        <v>-1.5595341428285277E-3</v>
      </c>
      <c r="D334" t="s">
        <v>467</v>
      </c>
      <c r="E334" s="73">
        <f t="shared" si="10"/>
        <v>2.2624434389140271E-2</v>
      </c>
      <c r="F334" s="162">
        <v>29954</v>
      </c>
      <c r="G334" s="162"/>
      <c r="H334" s="162">
        <v>3090</v>
      </c>
      <c r="I334" s="68">
        <v>3000</v>
      </c>
      <c r="J334" s="68">
        <v>2930</v>
      </c>
      <c r="K334" s="68">
        <v>2885</v>
      </c>
      <c r="L334" s="68">
        <v>2785</v>
      </c>
      <c r="M334" s="68">
        <v>2765</v>
      </c>
      <c r="N334" s="84" t="s">
        <v>211</v>
      </c>
      <c r="O334" s="162">
        <v>28441</v>
      </c>
      <c r="P334" s="162">
        <v>28844</v>
      </c>
      <c r="Q334" s="162">
        <v>29447</v>
      </c>
      <c r="R334" s="162">
        <v>29954</v>
      </c>
      <c r="S334" s="163">
        <v>28.9</v>
      </c>
      <c r="T334" s="163">
        <v>29.1</v>
      </c>
      <c r="U334" s="163">
        <v>29.3</v>
      </c>
      <c r="V334" s="163">
        <v>29.3</v>
      </c>
      <c r="W334" s="163">
        <v>29.2</v>
      </c>
      <c r="X334" s="163">
        <v>29</v>
      </c>
      <c r="Y334" s="163"/>
      <c r="Z334" s="163"/>
      <c r="AA334" s="163"/>
    </row>
    <row r="335" spans="1:27" x14ac:dyDescent="0.25">
      <c r="A335" t="s">
        <v>518</v>
      </c>
      <c r="B335" s="95" t="s">
        <v>282</v>
      </c>
      <c r="C335" s="73">
        <f t="shared" si="11"/>
        <v>1.6580215668094988E-3</v>
      </c>
      <c r="D335" t="s">
        <v>118</v>
      </c>
      <c r="E335" s="73">
        <f t="shared" si="10"/>
        <v>3.2702237521514632E-2</v>
      </c>
      <c r="F335" s="162">
        <v>17103</v>
      </c>
      <c r="G335" s="162"/>
      <c r="H335" s="162">
        <v>1925</v>
      </c>
      <c r="I335" s="68">
        <v>1850</v>
      </c>
      <c r="J335" s="68">
        <v>1810</v>
      </c>
      <c r="K335" s="68">
        <v>1740</v>
      </c>
      <c r="L335" s="68">
        <v>1675</v>
      </c>
      <c r="M335" s="68">
        <v>1640</v>
      </c>
      <c r="N335" s="84" t="s">
        <v>282</v>
      </c>
      <c r="O335" s="162">
        <v>17004</v>
      </c>
      <c r="P335" s="162">
        <v>17116</v>
      </c>
      <c r="Q335" s="162">
        <v>17168</v>
      </c>
      <c r="R335" s="162">
        <v>17103</v>
      </c>
      <c r="S335" s="163">
        <v>17.2</v>
      </c>
      <c r="T335" s="163">
        <v>17.3</v>
      </c>
      <c r="U335" s="163">
        <v>17.5</v>
      </c>
      <c r="V335" s="163">
        <v>17.5</v>
      </c>
      <c r="W335" s="163">
        <v>17.600000000000001</v>
      </c>
      <c r="X335" s="163">
        <v>17.600000000000001</v>
      </c>
      <c r="Y335" s="163"/>
      <c r="Z335" s="163"/>
      <c r="AA335" s="163"/>
    </row>
    <row r="336" spans="1:27" x14ac:dyDescent="0.25">
      <c r="A336" t="s">
        <v>523</v>
      </c>
      <c r="B336" s="95" t="s">
        <v>434</v>
      </c>
      <c r="C336" s="73">
        <f t="shared" si="11"/>
        <v>-3.7948341290243602E-3</v>
      </c>
      <c r="D336" t="s">
        <v>467</v>
      </c>
      <c r="E336" s="73">
        <f t="shared" si="10"/>
        <v>2.5162689804772233E-2</v>
      </c>
      <c r="F336" s="162">
        <v>23340</v>
      </c>
      <c r="G336" s="162"/>
      <c r="H336" s="162">
        <v>2495</v>
      </c>
      <c r="I336" s="68">
        <v>2420</v>
      </c>
      <c r="J336" s="68">
        <v>2345</v>
      </c>
      <c r="K336" s="68">
        <v>2315</v>
      </c>
      <c r="L336" s="68">
        <v>2240</v>
      </c>
      <c r="M336" s="68">
        <v>2205</v>
      </c>
      <c r="N336" s="84" t="s">
        <v>434</v>
      </c>
      <c r="O336" s="162">
        <v>22312</v>
      </c>
      <c r="P336" s="162">
        <v>22674</v>
      </c>
      <c r="Q336" s="162">
        <v>22879</v>
      </c>
      <c r="R336" s="162">
        <v>23340</v>
      </c>
      <c r="S336" s="163">
        <v>21.8</v>
      </c>
      <c r="T336" s="163">
        <v>21.9</v>
      </c>
      <c r="U336" s="163">
        <v>22.1</v>
      </c>
      <c r="V336" s="163">
        <v>22.5</v>
      </c>
      <c r="W336" s="163">
        <v>22.8</v>
      </c>
      <c r="X336" s="163">
        <v>23.1</v>
      </c>
      <c r="Y336" s="163"/>
      <c r="Z336" s="163"/>
      <c r="AA336" s="163"/>
    </row>
    <row r="337" spans="1:27" x14ac:dyDescent="0.25">
      <c r="A337" t="s">
        <v>524</v>
      </c>
      <c r="B337" s="95" t="s">
        <v>237</v>
      </c>
      <c r="C337" s="73">
        <f t="shared" si="11"/>
        <v>4.0409202730328124E-3</v>
      </c>
      <c r="D337" t="s">
        <v>118</v>
      </c>
      <c r="E337" s="73">
        <f t="shared" si="10"/>
        <v>2.5676855895196506E-2</v>
      </c>
      <c r="F337" s="162">
        <v>65968</v>
      </c>
      <c r="G337" s="162"/>
      <c r="H337" s="162">
        <v>6235</v>
      </c>
      <c r="I337" s="68">
        <v>5995</v>
      </c>
      <c r="J337" s="68">
        <v>5865</v>
      </c>
      <c r="K337" s="68">
        <v>5710</v>
      </c>
      <c r="L337" s="68">
        <v>5555</v>
      </c>
      <c r="M337" s="68">
        <v>5500</v>
      </c>
      <c r="N337" s="84" t="s">
        <v>237</v>
      </c>
      <c r="O337" s="162">
        <v>63960</v>
      </c>
      <c r="P337" s="162">
        <v>64798</v>
      </c>
      <c r="Q337" s="162">
        <v>65043</v>
      </c>
      <c r="R337" s="162">
        <v>65968</v>
      </c>
      <c r="S337" s="163">
        <v>66.8</v>
      </c>
      <c r="T337" s="163">
        <v>68.5</v>
      </c>
      <c r="U337" s="163">
        <v>69.7</v>
      </c>
      <c r="V337" s="163">
        <v>70.599999999999994</v>
      </c>
      <c r="W337" s="163">
        <v>71.099999999999994</v>
      </c>
      <c r="X337" s="163">
        <v>71.2</v>
      </c>
      <c r="Y337" s="163"/>
      <c r="Z337" s="163"/>
      <c r="AA337" s="163"/>
    </row>
    <row r="338" spans="1:27" x14ac:dyDescent="0.25">
      <c r="A338" t="s">
        <v>519</v>
      </c>
      <c r="B338" s="95" t="s">
        <v>212</v>
      </c>
      <c r="C338" s="73">
        <f t="shared" si="11"/>
        <v>-2.6287915878669189E-3</v>
      </c>
      <c r="D338" t="s">
        <v>118</v>
      </c>
      <c r="E338" s="73">
        <f t="shared" si="10"/>
        <v>0.10106382978723404</v>
      </c>
      <c r="F338" s="162">
        <v>44643</v>
      </c>
      <c r="G338" s="162"/>
      <c r="H338" s="162">
        <v>3315</v>
      </c>
      <c r="I338" s="68">
        <v>2395</v>
      </c>
      <c r="J338" s="68">
        <v>2305</v>
      </c>
      <c r="K338" s="68">
        <v>2240</v>
      </c>
      <c r="L338" s="68">
        <v>2165</v>
      </c>
      <c r="M338" s="68">
        <v>2175</v>
      </c>
      <c r="N338" s="84" t="s">
        <v>212</v>
      </c>
      <c r="O338" s="162">
        <v>43507</v>
      </c>
      <c r="P338" s="162">
        <v>43684</v>
      </c>
      <c r="Q338" s="162">
        <v>44096</v>
      </c>
      <c r="R338" s="162">
        <v>44643</v>
      </c>
      <c r="S338" s="163">
        <v>43.2</v>
      </c>
      <c r="T338" s="163">
        <v>43.1</v>
      </c>
      <c r="U338" s="163">
        <v>43</v>
      </c>
      <c r="V338" s="163">
        <v>42.9</v>
      </c>
      <c r="W338" s="163">
        <v>42.8</v>
      </c>
      <c r="X338" s="163">
        <v>42.6</v>
      </c>
      <c r="Y338" s="163"/>
      <c r="Z338" s="163"/>
      <c r="AA338" s="163"/>
    </row>
    <row r="339" spans="1:27" x14ac:dyDescent="0.25">
      <c r="A339" t="s">
        <v>521</v>
      </c>
      <c r="B339" s="95" t="s">
        <v>326</v>
      </c>
      <c r="C339" s="73">
        <f t="shared" si="11"/>
        <v>7.239758349066999E-3</v>
      </c>
      <c r="D339" t="s">
        <v>441</v>
      </c>
      <c r="E339" s="73">
        <f t="shared" si="10"/>
        <v>3.9111914289402347E-2</v>
      </c>
      <c r="F339" s="162">
        <v>125754</v>
      </c>
      <c r="G339" s="162"/>
      <c r="H339" s="162">
        <v>8665</v>
      </c>
      <c r="I339" s="68">
        <v>8355</v>
      </c>
      <c r="J339" s="68">
        <v>8135</v>
      </c>
      <c r="K339" s="68">
        <v>7775</v>
      </c>
      <c r="L339" s="68">
        <v>7320</v>
      </c>
      <c r="M339" s="68">
        <v>7150</v>
      </c>
      <c r="N339" s="84" t="s">
        <v>326</v>
      </c>
      <c r="O339" s="162">
        <v>124947</v>
      </c>
      <c r="P339" s="162">
        <v>125320</v>
      </c>
      <c r="Q339" s="162">
        <v>125267</v>
      </c>
      <c r="R339" s="162">
        <v>125754</v>
      </c>
      <c r="S339" s="163">
        <v>128.9</v>
      </c>
      <c r="T339" s="163">
        <v>134.30000000000001</v>
      </c>
      <c r="U339" s="163">
        <v>138.5</v>
      </c>
      <c r="V339" s="163">
        <v>141.30000000000001</v>
      </c>
      <c r="W339" s="163">
        <v>143.4</v>
      </c>
      <c r="X339" s="163">
        <v>145</v>
      </c>
      <c r="Y339" s="163"/>
      <c r="Z339" s="163"/>
      <c r="AA339" s="163"/>
    </row>
    <row r="340" spans="1:27" x14ac:dyDescent="0.25">
      <c r="A340" t="s">
        <v>521</v>
      </c>
      <c r="B340" s="95" t="s">
        <v>327</v>
      </c>
      <c r="C340" s="73">
        <f t="shared" si="11"/>
        <v>3.8483400672883411E-3</v>
      </c>
      <c r="D340" t="s">
        <v>467</v>
      </c>
      <c r="E340" s="73">
        <f t="shared" si="10"/>
        <v>2.3543990086741014E-2</v>
      </c>
      <c r="F340" s="162">
        <v>9299</v>
      </c>
      <c r="G340" s="162"/>
      <c r="H340" s="162">
        <v>885</v>
      </c>
      <c r="I340" s="68">
        <v>840</v>
      </c>
      <c r="J340" s="68">
        <v>815</v>
      </c>
      <c r="K340" s="68">
        <v>805</v>
      </c>
      <c r="L340" s="68">
        <v>785</v>
      </c>
      <c r="M340" s="68">
        <v>790</v>
      </c>
      <c r="N340" s="84" t="s">
        <v>327</v>
      </c>
      <c r="O340" s="162">
        <v>8451</v>
      </c>
      <c r="P340" s="162">
        <v>8582</v>
      </c>
      <c r="Q340" s="162">
        <v>8843</v>
      </c>
      <c r="R340" s="162">
        <v>9299</v>
      </c>
      <c r="S340" s="163">
        <v>8.9</v>
      </c>
      <c r="T340" s="163">
        <v>9.1999999999999993</v>
      </c>
      <c r="U340" s="163">
        <v>9.8000000000000007</v>
      </c>
      <c r="V340" s="163">
        <v>10.3</v>
      </c>
      <c r="W340" s="163">
        <v>10.8</v>
      </c>
      <c r="X340" s="163">
        <v>11.2</v>
      </c>
      <c r="Y340" s="163"/>
      <c r="Z340" s="163"/>
      <c r="AA340" s="163"/>
    </row>
    <row r="341" spans="1:27" x14ac:dyDescent="0.25">
      <c r="A341" t="s">
        <v>521</v>
      </c>
      <c r="B341" s="95" t="s">
        <v>328</v>
      </c>
      <c r="C341" s="73">
        <f t="shared" si="11"/>
        <v>7.3368853174949778E-3</v>
      </c>
      <c r="D341" t="s">
        <v>467</v>
      </c>
      <c r="E341" s="73">
        <f t="shared" si="10"/>
        <v>3.2872423689016439E-2</v>
      </c>
      <c r="F341" s="162">
        <v>45796</v>
      </c>
      <c r="G341" s="162"/>
      <c r="H341" s="162">
        <v>4215</v>
      </c>
      <c r="I341" s="68">
        <v>4075</v>
      </c>
      <c r="J341" s="68">
        <v>4005</v>
      </c>
      <c r="K341" s="68">
        <v>3845</v>
      </c>
      <c r="L341" s="68">
        <v>3655</v>
      </c>
      <c r="M341" s="68">
        <v>3585</v>
      </c>
      <c r="N341" s="84" t="s">
        <v>328</v>
      </c>
      <c r="O341" s="162">
        <v>42767</v>
      </c>
      <c r="P341" s="162">
        <v>43899</v>
      </c>
      <c r="Q341" s="162">
        <v>45064</v>
      </c>
      <c r="R341" s="162">
        <v>45796</v>
      </c>
      <c r="S341" s="163">
        <v>45.5</v>
      </c>
      <c r="T341" s="163">
        <v>47.9</v>
      </c>
      <c r="U341" s="163">
        <v>50.5</v>
      </c>
      <c r="V341" s="163">
        <v>53.1</v>
      </c>
      <c r="W341" s="163">
        <v>55.3</v>
      </c>
      <c r="X341" s="163">
        <v>57.1</v>
      </c>
      <c r="Y341" s="163"/>
      <c r="Z341" s="163"/>
      <c r="AA341" s="163"/>
    </row>
    <row r="342" spans="1:27" x14ac:dyDescent="0.25">
      <c r="A342" t="s">
        <v>517</v>
      </c>
      <c r="B342" s="95" t="s">
        <v>399</v>
      </c>
      <c r="C342" s="73">
        <f t="shared" si="11"/>
        <v>1.4249768922666118E-3</v>
      </c>
      <c r="D342" t="s">
        <v>467</v>
      </c>
      <c r="E342" s="73">
        <f t="shared" si="10"/>
        <v>2.5765678172095283E-2</v>
      </c>
      <c r="F342" s="162">
        <v>22256</v>
      </c>
      <c r="G342" s="162"/>
      <c r="H342" s="162">
        <v>2255</v>
      </c>
      <c r="I342" s="68">
        <v>2170</v>
      </c>
      <c r="J342" s="68">
        <v>2110</v>
      </c>
      <c r="K342" s="68">
        <v>2020</v>
      </c>
      <c r="L342" s="68">
        <v>1995</v>
      </c>
      <c r="M342" s="68">
        <v>1990</v>
      </c>
      <c r="N342" s="84" t="s">
        <v>399</v>
      </c>
      <c r="O342" s="162">
        <v>21624</v>
      </c>
      <c r="P342" s="162">
        <v>21885</v>
      </c>
      <c r="Q342" s="162">
        <v>21988</v>
      </c>
      <c r="R342" s="162">
        <v>22256</v>
      </c>
      <c r="S342" s="163">
        <v>21.8</v>
      </c>
      <c r="T342" s="163">
        <v>22.2</v>
      </c>
      <c r="U342" s="163">
        <v>22.7</v>
      </c>
      <c r="V342" s="163">
        <v>23.1</v>
      </c>
      <c r="W342" s="163">
        <v>23.4</v>
      </c>
      <c r="X342" s="163">
        <v>23.6</v>
      </c>
      <c r="Y342" s="163"/>
      <c r="Z342" s="163"/>
      <c r="AA342" s="163"/>
    </row>
    <row r="343" spans="1:27" x14ac:dyDescent="0.25">
      <c r="A343" t="s">
        <v>519</v>
      </c>
      <c r="B343" s="95" t="s">
        <v>213</v>
      </c>
      <c r="C343" s="73">
        <f t="shared" si="11"/>
        <v>-3.9906706987220984E-5</v>
      </c>
      <c r="D343" t="s">
        <v>441</v>
      </c>
      <c r="E343" s="73">
        <f t="shared" si="10"/>
        <v>3.3010296789824346E-2</v>
      </c>
      <c r="F343" s="162">
        <v>48327</v>
      </c>
      <c r="G343" s="162"/>
      <c r="H343" s="162">
        <v>3645</v>
      </c>
      <c r="I343" s="68">
        <v>3485</v>
      </c>
      <c r="J343" s="68">
        <v>3430</v>
      </c>
      <c r="K343" s="68">
        <v>3325</v>
      </c>
      <c r="L343" s="68">
        <v>3170</v>
      </c>
      <c r="M343" s="68">
        <v>3100</v>
      </c>
      <c r="N343" s="84" t="s">
        <v>213</v>
      </c>
      <c r="O343" s="162">
        <v>47605</v>
      </c>
      <c r="P343" s="162">
        <v>47912</v>
      </c>
      <c r="Q343" s="162">
        <v>48111</v>
      </c>
      <c r="R343" s="162">
        <v>48327</v>
      </c>
      <c r="S343" s="163">
        <v>47.9</v>
      </c>
      <c r="T343" s="163">
        <v>48.2</v>
      </c>
      <c r="U343" s="163">
        <v>48.3</v>
      </c>
      <c r="V343" s="163">
        <v>48.2</v>
      </c>
      <c r="W343" s="163">
        <v>47.9</v>
      </c>
      <c r="X343" s="163">
        <v>47.5</v>
      </c>
      <c r="Y343" s="163"/>
      <c r="Z343" s="163"/>
      <c r="AA343" s="163"/>
    </row>
    <row r="344" spans="1:27" x14ac:dyDescent="0.25">
      <c r="A344" t="s">
        <v>522</v>
      </c>
      <c r="B344" s="95" t="s">
        <v>163</v>
      </c>
      <c r="C344" s="73">
        <f t="shared" si="11"/>
        <v>-2.2160424089684538E-3</v>
      </c>
      <c r="D344" t="s">
        <v>467</v>
      </c>
      <c r="E344" s="73">
        <f t="shared" si="10"/>
        <v>2.1822149481723951E-2</v>
      </c>
      <c r="F344" s="162">
        <v>23014</v>
      </c>
      <c r="G344" s="162"/>
      <c r="H344" s="162">
        <v>1965</v>
      </c>
      <c r="I344" s="68">
        <v>1910</v>
      </c>
      <c r="J344" s="68">
        <v>1875</v>
      </c>
      <c r="K344" s="68">
        <v>1835</v>
      </c>
      <c r="L344" s="68">
        <v>1780</v>
      </c>
      <c r="M344" s="68">
        <v>1765</v>
      </c>
      <c r="N344" s="84" t="s">
        <v>163</v>
      </c>
      <c r="O344" s="162">
        <v>22502</v>
      </c>
      <c r="P344" s="162">
        <v>22679</v>
      </c>
      <c r="Q344" s="162">
        <v>22823</v>
      </c>
      <c r="R344" s="162">
        <v>23014</v>
      </c>
      <c r="S344" s="163">
        <v>22.4</v>
      </c>
      <c r="T344" s="163">
        <v>22.4</v>
      </c>
      <c r="U344" s="163">
        <v>22.3</v>
      </c>
      <c r="V344" s="163">
        <v>22.2</v>
      </c>
      <c r="W344" s="163">
        <v>22.2</v>
      </c>
      <c r="X344" s="163">
        <v>22.1</v>
      </c>
      <c r="Y344" s="163"/>
      <c r="Z344" s="163"/>
      <c r="AA344" s="163"/>
    </row>
    <row r="345" spans="1:27" x14ac:dyDescent="0.25">
      <c r="A345" t="s">
        <v>521</v>
      </c>
      <c r="B345" s="95" t="s">
        <v>329</v>
      </c>
      <c r="C345" s="73">
        <f t="shared" si="11"/>
        <v>4.830825388316677E-3</v>
      </c>
      <c r="D345" t="s">
        <v>118</v>
      </c>
      <c r="E345" s="73">
        <f t="shared" si="10"/>
        <v>2.1876981610653139E-2</v>
      </c>
      <c r="F345" s="162">
        <v>44772</v>
      </c>
      <c r="G345" s="162"/>
      <c r="H345" s="162">
        <v>3375</v>
      </c>
      <c r="I345" s="68">
        <v>3280</v>
      </c>
      <c r="J345" s="68">
        <v>3255</v>
      </c>
      <c r="K345" s="68">
        <v>3160</v>
      </c>
      <c r="L345" s="68">
        <v>3045</v>
      </c>
      <c r="M345" s="68">
        <v>3030</v>
      </c>
      <c r="N345" s="84" t="s">
        <v>329</v>
      </c>
      <c r="O345" s="162">
        <v>44654</v>
      </c>
      <c r="P345" s="162">
        <v>44721</v>
      </c>
      <c r="Q345" s="162">
        <v>44775</v>
      </c>
      <c r="R345" s="162">
        <v>44772</v>
      </c>
      <c r="S345" s="163">
        <v>46.2</v>
      </c>
      <c r="T345" s="163">
        <v>47.3</v>
      </c>
      <c r="U345" s="163">
        <v>47.8</v>
      </c>
      <c r="V345" s="163">
        <v>48.2</v>
      </c>
      <c r="W345" s="163">
        <v>48.4</v>
      </c>
      <c r="X345" s="163">
        <v>48.6</v>
      </c>
      <c r="Y345" s="163"/>
      <c r="Z345" s="163"/>
      <c r="AA345" s="163"/>
    </row>
    <row r="346" spans="1:27" x14ac:dyDescent="0.25">
      <c r="A346" t="s">
        <v>522</v>
      </c>
      <c r="B346" s="95" t="s">
        <v>164</v>
      </c>
      <c r="C346" s="73">
        <f t="shared" si="11"/>
        <v>6.2082087226562714E-3</v>
      </c>
      <c r="D346" t="s">
        <v>441</v>
      </c>
      <c r="E346" s="73">
        <f t="shared" si="10"/>
        <v>3.8448490331335516E-2</v>
      </c>
      <c r="F346" s="162">
        <v>130645</v>
      </c>
      <c r="G346" s="162"/>
      <c r="H346" s="162">
        <v>9905</v>
      </c>
      <c r="I346" s="68">
        <v>9440</v>
      </c>
      <c r="J346" s="68">
        <v>9210</v>
      </c>
      <c r="K346" s="68">
        <v>8885</v>
      </c>
      <c r="L346" s="68">
        <v>8475</v>
      </c>
      <c r="M346" s="68">
        <v>8205</v>
      </c>
      <c r="N346" s="84" t="s">
        <v>164</v>
      </c>
      <c r="O346" s="162">
        <v>127492</v>
      </c>
      <c r="P346" s="162">
        <v>128707</v>
      </c>
      <c r="Q346" s="162">
        <v>129840</v>
      </c>
      <c r="R346" s="162">
        <v>130645</v>
      </c>
      <c r="S346" s="163">
        <v>135.80000000000001</v>
      </c>
      <c r="T346" s="163">
        <v>139.80000000000001</v>
      </c>
      <c r="U346" s="163">
        <v>142</v>
      </c>
      <c r="V346" s="163">
        <v>142.9</v>
      </c>
      <c r="W346" s="163">
        <v>143</v>
      </c>
      <c r="X346" s="163">
        <v>142.9</v>
      </c>
      <c r="Y346" s="163"/>
      <c r="Z346" s="163"/>
      <c r="AA346" s="163"/>
    </row>
    <row r="347" spans="1:27" x14ac:dyDescent="0.25">
      <c r="B347" s="95" t="s">
        <v>442</v>
      </c>
      <c r="C347" s="73">
        <f t="shared" si="11"/>
        <v>2.7728114748027345E-3</v>
      </c>
      <c r="D347" t="s">
        <v>118</v>
      </c>
      <c r="E347" s="73">
        <f t="shared" si="10"/>
        <v>3.2962361418668588E-2</v>
      </c>
      <c r="F347" s="162">
        <f>SUM(F2:F346)</f>
        <v>17591394</v>
      </c>
      <c r="G347" s="162"/>
      <c r="H347" s="162">
        <f t="shared" ref="H347:M347" si="12">SUM(H2:H346)</f>
        <v>1573687.8294356531</v>
      </c>
      <c r="I347" s="162">
        <f t="shared" si="12"/>
        <v>1507362.9204593194</v>
      </c>
      <c r="J347" s="162">
        <f t="shared" si="12"/>
        <v>1469497.976473883</v>
      </c>
      <c r="K347" s="162">
        <f t="shared" si="12"/>
        <v>1416888.0464920879</v>
      </c>
      <c r="L347" s="162">
        <f t="shared" si="12"/>
        <v>1359918.0955048313</v>
      </c>
      <c r="M347" s="162">
        <f t="shared" si="12"/>
        <v>1339868.1585212154</v>
      </c>
      <c r="N347" s="84" t="s">
        <v>442</v>
      </c>
      <c r="O347" s="162">
        <f t="shared" ref="O347:X347" si="13">SUM(O2:O346)</f>
        <v>17282733.12603277</v>
      </c>
      <c r="P347" s="162">
        <f t="shared" si="13"/>
        <v>17407610.913177427</v>
      </c>
      <c r="Q347" s="162">
        <f t="shared" si="13"/>
        <v>17111229.180394903</v>
      </c>
      <c r="R347" s="162">
        <f t="shared" si="13"/>
        <v>17591394</v>
      </c>
      <c r="S347" s="162">
        <f t="shared" si="13"/>
        <v>17734.244692620079</v>
      </c>
      <c r="T347" s="162">
        <f t="shared" si="13"/>
        <v>18035.512680296892</v>
      </c>
      <c r="U347" s="162">
        <f t="shared" si="13"/>
        <v>18274.280667973664</v>
      </c>
      <c r="V347" s="162">
        <f t="shared" si="13"/>
        <v>18425.68250945245</v>
      </c>
      <c r="W347" s="162">
        <f t="shared" si="13"/>
        <v>18500.150497129252</v>
      </c>
      <c r="X347" s="162">
        <f t="shared" si="13"/>
        <v>18531.784490967639</v>
      </c>
      <c r="Y347" s="163"/>
      <c r="Z347" s="163"/>
      <c r="AA347" s="163"/>
    </row>
    <row r="348" spans="1:27" x14ac:dyDescent="0.25">
      <c r="B348" s="95"/>
      <c r="C348" s="73"/>
      <c r="E348" s="73"/>
      <c r="F348" s="68"/>
      <c r="G348" s="68"/>
      <c r="H348" s="68"/>
      <c r="I348" s="68"/>
      <c r="J348" s="68"/>
      <c r="K348" s="68"/>
      <c r="L348" s="68"/>
      <c r="M348" s="68"/>
      <c r="N348" s="84"/>
      <c r="O348" s="68"/>
      <c r="P348" s="68"/>
      <c r="Q348" s="162"/>
      <c r="R348" s="163"/>
      <c r="S348" s="163"/>
      <c r="T348" s="163"/>
      <c r="U348" s="163"/>
      <c r="V348" s="163"/>
      <c r="W348" s="163"/>
      <c r="X348" s="163"/>
      <c r="Y348" s="163"/>
      <c r="Z348" s="163"/>
      <c r="AA348" s="163"/>
    </row>
    <row r="349" spans="1:27" x14ac:dyDescent="0.25">
      <c r="B349" s="95"/>
      <c r="C349" s="73"/>
      <c r="E349" s="73"/>
      <c r="F349" s="68"/>
      <c r="G349" s="68"/>
      <c r="H349" s="68"/>
      <c r="I349" s="68"/>
      <c r="J349" s="68"/>
      <c r="K349" s="68"/>
      <c r="L349" s="68"/>
      <c r="M349" s="68"/>
      <c r="N349" s="84"/>
      <c r="O349" s="68"/>
      <c r="P349" s="68"/>
      <c r="Q349" s="162"/>
      <c r="R349" s="163"/>
      <c r="S349" s="163"/>
      <c r="T349" s="163"/>
      <c r="U349" s="163"/>
      <c r="V349" s="163"/>
      <c r="W349" s="163"/>
      <c r="X349" s="163"/>
      <c r="Y349" s="163"/>
      <c r="Z349" s="163"/>
      <c r="AA349" s="163"/>
    </row>
    <row r="350" spans="1:27" x14ac:dyDescent="0.25">
      <c r="B350" s="95"/>
      <c r="C350" s="73"/>
      <c r="E350" s="73"/>
      <c r="F350" s="162"/>
      <c r="G350" s="162"/>
      <c r="H350" s="162"/>
      <c r="I350" s="68"/>
      <c r="J350" s="68"/>
      <c r="K350" s="68"/>
      <c r="L350" s="68"/>
      <c r="M350" s="68"/>
      <c r="N350" s="84"/>
      <c r="O350" s="162"/>
      <c r="P350" s="163"/>
      <c r="Q350" s="162"/>
      <c r="R350" s="163"/>
      <c r="S350" s="163"/>
      <c r="T350" s="163"/>
      <c r="U350" s="163"/>
      <c r="V350" s="163"/>
      <c r="W350" s="163"/>
      <c r="X350" s="163"/>
      <c r="Y350" s="163"/>
      <c r="Z350" s="163"/>
      <c r="AA350" s="163"/>
    </row>
    <row r="351" spans="1:27" x14ac:dyDescent="0.25">
      <c r="A351" t="s">
        <v>525</v>
      </c>
      <c r="B351" s="95" t="s">
        <v>119</v>
      </c>
      <c r="C351" s="73">
        <f>(SUM(AA351,-Q351)/10)/Q351</f>
        <v>-0.1</v>
      </c>
      <c r="D351" t="s">
        <v>441</v>
      </c>
      <c r="E351" s="73">
        <f>SUM(H351,-M351)/(SUM(I351,J351,K351,L351,M351))</f>
        <v>1.0849909584086799E-2</v>
      </c>
      <c r="F351" s="162">
        <v>11679</v>
      </c>
      <c r="G351" s="162"/>
      <c r="H351" s="162">
        <v>570</v>
      </c>
      <c r="I351" s="68">
        <v>575</v>
      </c>
      <c r="J351" s="68">
        <v>570</v>
      </c>
      <c r="K351" s="68">
        <v>555</v>
      </c>
      <c r="L351" s="68">
        <v>525</v>
      </c>
      <c r="M351" s="68">
        <v>540</v>
      </c>
      <c r="N351" s="84" t="s">
        <v>119</v>
      </c>
      <c r="O351" s="162">
        <v>11713</v>
      </c>
      <c r="P351" s="162">
        <v>11679</v>
      </c>
      <c r="Q351" s="162">
        <v>11.7</v>
      </c>
      <c r="R351" s="163">
        <v>11.7</v>
      </c>
      <c r="S351" s="163">
        <v>11.6</v>
      </c>
      <c r="T351" s="163">
        <v>11.5</v>
      </c>
      <c r="U351" s="163">
        <v>11.4</v>
      </c>
      <c r="V351" s="163">
        <v>11.3</v>
      </c>
      <c r="W351" s="163">
        <v>11.2</v>
      </c>
      <c r="X351" s="163">
        <v>11.1</v>
      </c>
      <c r="Y351" s="163"/>
      <c r="Z351" s="163"/>
      <c r="AA351" s="163"/>
    </row>
    <row r="352" spans="1:27" x14ac:dyDescent="0.25">
      <c r="A352" t="s">
        <v>525</v>
      </c>
      <c r="B352" s="95" t="s">
        <v>120</v>
      </c>
      <c r="C352" s="73">
        <f>(SUM(AA352,-Q352)/10)/Q352</f>
        <v>-9.9999999999999992E-2</v>
      </c>
      <c r="D352" t="s">
        <v>441</v>
      </c>
      <c r="E352" s="73">
        <f>SUM(H352,-M352)/(SUM(I352,J352,K352,L352,M352))</f>
        <v>5.2015604681404422E-3</v>
      </c>
      <c r="F352" s="162">
        <v>24665</v>
      </c>
      <c r="G352" s="162"/>
      <c r="H352" s="162">
        <v>1580</v>
      </c>
      <c r="I352" s="68">
        <v>1590</v>
      </c>
      <c r="J352" s="68">
        <v>1565</v>
      </c>
      <c r="K352" s="68">
        <v>1510</v>
      </c>
      <c r="L352" s="68">
        <v>1485</v>
      </c>
      <c r="M352" s="68">
        <v>1540</v>
      </c>
      <c r="N352" s="84" t="s">
        <v>120</v>
      </c>
      <c r="O352" s="162">
        <v>24709</v>
      </c>
      <c r="P352" s="162">
        <v>24665</v>
      </c>
      <c r="Q352" s="162">
        <v>24.7</v>
      </c>
      <c r="R352" s="163">
        <v>24.5</v>
      </c>
      <c r="S352" s="163">
        <v>24.2</v>
      </c>
      <c r="T352" s="163">
        <v>24</v>
      </c>
      <c r="U352" s="163">
        <v>23.8</v>
      </c>
      <c r="V352" s="163">
        <v>23.5</v>
      </c>
      <c r="W352" s="163">
        <v>23.3</v>
      </c>
      <c r="X352" s="163">
        <v>23.1</v>
      </c>
      <c r="Y352" s="163"/>
      <c r="Z352" s="163"/>
      <c r="AA352" s="163"/>
    </row>
    <row r="353" spans="1:27" x14ac:dyDescent="0.25">
      <c r="A353" t="s">
        <v>525</v>
      </c>
      <c r="B353" s="95" t="s">
        <v>122</v>
      </c>
      <c r="C353" s="73">
        <f>(SUM(AA353,-Q353)/10)/Q353</f>
        <v>-0.1</v>
      </c>
      <c r="D353" t="s">
        <v>118</v>
      </c>
      <c r="E353" s="73">
        <f>SUM(H353,-M353)/(SUM(I353,J353,K353,L353,M353))</f>
        <v>0</v>
      </c>
      <c r="F353" s="162">
        <v>9541</v>
      </c>
      <c r="G353" s="162"/>
      <c r="H353" s="162">
        <v>850</v>
      </c>
      <c r="I353" s="68">
        <v>855</v>
      </c>
      <c r="J353" s="68">
        <v>850</v>
      </c>
      <c r="K353" s="68">
        <v>825</v>
      </c>
      <c r="L353" s="68">
        <v>835</v>
      </c>
      <c r="M353" s="68">
        <v>850</v>
      </c>
      <c r="N353" s="84" t="s">
        <v>122</v>
      </c>
      <c r="O353" s="162">
        <v>9617</v>
      </c>
      <c r="P353" s="162">
        <v>9541</v>
      </c>
      <c r="Q353" s="162">
        <v>9.6</v>
      </c>
      <c r="R353" s="163">
        <v>9.5</v>
      </c>
      <c r="S353" s="163">
        <v>9.4</v>
      </c>
      <c r="T353" s="163">
        <v>9.3000000000000007</v>
      </c>
      <c r="U353" s="163">
        <v>9.1999999999999993</v>
      </c>
      <c r="V353" s="163">
        <v>9.1</v>
      </c>
      <c r="W353" s="163">
        <v>9</v>
      </c>
      <c r="X353" s="163">
        <v>8.9</v>
      </c>
      <c r="Y353" s="163"/>
      <c r="Z353" s="163"/>
      <c r="AA353" s="163"/>
    </row>
    <row r="354" spans="1:27" x14ac:dyDescent="0.25">
      <c r="A354" s="86" t="s">
        <v>525</v>
      </c>
      <c r="B354" s="95" t="s">
        <v>754</v>
      </c>
      <c r="C354" s="73">
        <f>(SUM(AA354,-Q354)/10)/Q354</f>
        <v>-9.9999999999999992E-2</v>
      </c>
      <c r="D354" t="s">
        <v>441</v>
      </c>
      <c r="E354" s="73">
        <f>SUM(H354,-M354)/(SUM(I354,J354,K354,L354,M354))</f>
        <v>4.7716428084526247E-3</v>
      </c>
      <c r="F354" s="162">
        <f>SUM(F351:F353)</f>
        <v>45885</v>
      </c>
      <c r="G354" s="162"/>
      <c r="H354" s="162">
        <f>SUM(H351:H353)</f>
        <v>3000</v>
      </c>
      <c r="I354" s="162">
        <f>SUM(I351:I353)</f>
        <v>3020</v>
      </c>
      <c r="J354" s="162">
        <f t="shared" ref="J354:X354" si="14">SUM(J351:J353)</f>
        <v>2985</v>
      </c>
      <c r="K354" s="162">
        <f t="shared" si="14"/>
        <v>2890</v>
      </c>
      <c r="L354" s="162">
        <f t="shared" si="14"/>
        <v>2845</v>
      </c>
      <c r="M354" s="162">
        <f t="shared" si="14"/>
        <v>2930</v>
      </c>
      <c r="N354" s="87" t="s">
        <v>754</v>
      </c>
      <c r="O354" s="162">
        <f t="shared" si="14"/>
        <v>46039</v>
      </c>
      <c r="P354" s="162">
        <f t="shared" si="14"/>
        <v>45885</v>
      </c>
      <c r="Q354" s="162">
        <f t="shared" si="14"/>
        <v>46</v>
      </c>
      <c r="R354" s="163">
        <f t="shared" si="14"/>
        <v>45.7</v>
      </c>
      <c r="S354" s="163">
        <f t="shared" si="14"/>
        <v>45.199999999999996</v>
      </c>
      <c r="T354" s="163">
        <f t="shared" si="14"/>
        <v>44.8</v>
      </c>
      <c r="U354" s="163">
        <f t="shared" si="14"/>
        <v>44.400000000000006</v>
      </c>
      <c r="V354" s="163">
        <f t="shared" si="14"/>
        <v>43.9</v>
      </c>
      <c r="W354" s="163">
        <f t="shared" si="14"/>
        <v>43.5</v>
      </c>
      <c r="X354" s="163">
        <f t="shared" si="14"/>
        <v>43.1</v>
      </c>
      <c r="Y354" s="163"/>
      <c r="Z354" s="163"/>
      <c r="AA354" s="163"/>
    </row>
    <row r="355" spans="1:27" x14ac:dyDescent="0.25">
      <c r="A355" s="201"/>
      <c r="B355" s="95"/>
      <c r="C355" s="73"/>
      <c r="E355" s="73"/>
      <c r="F355" s="162"/>
      <c r="G355" s="162"/>
      <c r="H355" s="162"/>
      <c r="I355" s="68"/>
      <c r="J355" s="68"/>
      <c r="K355" s="68"/>
      <c r="L355" s="68"/>
      <c r="M355" s="68"/>
      <c r="N355" s="84"/>
      <c r="O355" s="162"/>
      <c r="P355" s="163"/>
      <c r="Q355" s="162"/>
      <c r="R355" s="163"/>
      <c r="S355" s="163"/>
      <c r="T355" s="163"/>
      <c r="U355" s="163"/>
      <c r="V355" s="163"/>
      <c r="W355" s="163"/>
      <c r="X355" s="163"/>
      <c r="Y355" s="163"/>
      <c r="Z355" s="163"/>
      <c r="AA355" s="163"/>
    </row>
    <row r="356" spans="1:27" x14ac:dyDescent="0.25">
      <c r="A356" t="s">
        <v>517</v>
      </c>
      <c r="B356" s="95" t="s">
        <v>369</v>
      </c>
      <c r="C356" s="73">
        <f>(SUM(AA356,-Q356)/10)/Q356</f>
        <v>-9.9999999999999992E-2</v>
      </c>
      <c r="D356" t="s">
        <v>467</v>
      </c>
      <c r="E356" s="73">
        <f>SUM(H356,-M356)/(SUM(I356,J356,K356,L356,M356))</f>
        <v>3.3571428571428572E-2</v>
      </c>
      <c r="F356" s="162">
        <v>14344</v>
      </c>
      <c r="G356" s="162"/>
      <c r="H356" s="162">
        <v>1550</v>
      </c>
      <c r="I356" s="68">
        <v>1485</v>
      </c>
      <c r="J356" s="68">
        <v>1445</v>
      </c>
      <c r="K356" s="68">
        <v>1395</v>
      </c>
      <c r="L356" s="68">
        <v>1360</v>
      </c>
      <c r="M356" s="68">
        <v>1315</v>
      </c>
      <c r="N356" s="84" t="s">
        <v>369</v>
      </c>
      <c r="O356" s="162">
        <v>14192</v>
      </c>
      <c r="P356" s="162">
        <v>14344</v>
      </c>
      <c r="Q356" s="162">
        <v>14</v>
      </c>
      <c r="R356" s="163">
        <v>13.9</v>
      </c>
      <c r="S356" s="163">
        <v>13.9</v>
      </c>
      <c r="T356" s="163">
        <v>13.9</v>
      </c>
      <c r="U356" s="163">
        <v>13.8</v>
      </c>
      <c r="V356" s="163">
        <v>13.8</v>
      </c>
      <c r="W356" s="163">
        <v>13.7</v>
      </c>
      <c r="X356" s="163">
        <v>13.7</v>
      </c>
      <c r="Y356" s="163"/>
      <c r="Z356" s="163"/>
      <c r="AA356" s="163"/>
    </row>
    <row r="357" spans="1:27" x14ac:dyDescent="0.25">
      <c r="B357" s="95"/>
      <c r="C357" s="73"/>
      <c r="E357" s="73"/>
      <c r="F357" s="162"/>
      <c r="G357" s="162"/>
      <c r="H357" s="162"/>
      <c r="I357" s="68"/>
      <c r="J357" s="68"/>
      <c r="K357" s="68"/>
      <c r="L357" s="68"/>
      <c r="M357" s="68"/>
      <c r="N357" s="84"/>
      <c r="O357" s="162"/>
      <c r="P357" s="163"/>
      <c r="Q357" s="162"/>
      <c r="R357" s="163"/>
      <c r="S357" s="163"/>
      <c r="T357" s="163"/>
      <c r="U357" s="163"/>
      <c r="V357" s="163"/>
      <c r="W357" s="163"/>
      <c r="X357" s="163"/>
      <c r="Y357" s="163"/>
      <c r="Z357" s="163"/>
      <c r="AA357" s="163"/>
    </row>
    <row r="358" spans="1:27" x14ac:dyDescent="0.25">
      <c r="A358" t="s">
        <v>517</v>
      </c>
      <c r="B358" s="95" t="s">
        <v>353</v>
      </c>
      <c r="C358" s="73">
        <f>(SUM(AA358,-Q358)/10)/Q358</f>
        <v>-0.1</v>
      </c>
      <c r="D358" t="s">
        <v>118</v>
      </c>
      <c r="E358" s="73">
        <f>SUM(H358,-M358)/(SUM(I358,J358,K358,L358,M358))</f>
        <v>2.5382755842062853E-2</v>
      </c>
      <c r="F358" s="162">
        <v>30808</v>
      </c>
      <c r="G358" s="162"/>
      <c r="H358" s="162">
        <v>2695</v>
      </c>
      <c r="I358" s="68">
        <v>2635</v>
      </c>
      <c r="J358" s="68">
        <v>2555</v>
      </c>
      <c r="K358" s="68">
        <v>2460</v>
      </c>
      <c r="L358" s="68">
        <v>2380</v>
      </c>
      <c r="M358" s="68">
        <v>2380</v>
      </c>
      <c r="N358" s="84" t="s">
        <v>353</v>
      </c>
      <c r="O358" s="162">
        <v>30738</v>
      </c>
      <c r="P358" s="162">
        <v>30808</v>
      </c>
      <c r="Q358" s="162">
        <v>30.9</v>
      </c>
      <c r="R358" s="163">
        <v>31</v>
      </c>
      <c r="S358" s="163">
        <v>31.1</v>
      </c>
      <c r="T358" s="163">
        <v>31.2</v>
      </c>
      <c r="U358" s="163">
        <v>31.3</v>
      </c>
      <c r="V358" s="163">
        <v>31.4</v>
      </c>
      <c r="W358" s="163">
        <v>31.5</v>
      </c>
      <c r="X358" s="163">
        <v>31.6</v>
      </c>
      <c r="Y358" s="163"/>
      <c r="Z358" s="163"/>
      <c r="AA358" s="163"/>
    </row>
    <row r="359" spans="1:27" x14ac:dyDescent="0.25">
      <c r="A359" t="s">
        <v>517</v>
      </c>
      <c r="B359" s="95" t="s">
        <v>353</v>
      </c>
      <c r="C359" s="73">
        <f>(SUM(AA359,-Q359)/10)/Q359</f>
        <v>-0.1</v>
      </c>
      <c r="D359" t="s">
        <v>118</v>
      </c>
      <c r="E359" s="73">
        <f>SUM(H359,-M359)/(SUM(I359,J359,K359,L359,M359))</f>
        <v>2.6023661599622498E-2</v>
      </c>
      <c r="F359" s="162">
        <f>SUM(F358,2150/14282*F356)</f>
        <v>32967.333426690937</v>
      </c>
      <c r="G359" s="162"/>
      <c r="H359" s="162">
        <f t="shared" ref="H359:M359" si="15">SUM(H358,2150/14282*H356)</f>
        <v>2928.3356672734913</v>
      </c>
      <c r="I359" s="162">
        <f t="shared" si="15"/>
        <v>2858.550623162022</v>
      </c>
      <c r="J359" s="162">
        <f t="shared" si="15"/>
        <v>2772.5290575549643</v>
      </c>
      <c r="K359" s="162">
        <f t="shared" si="15"/>
        <v>2670.0021005461422</v>
      </c>
      <c r="L359" s="162">
        <f t="shared" si="15"/>
        <v>2584.7332306399662</v>
      </c>
      <c r="M359" s="162">
        <f t="shared" si="15"/>
        <v>2577.9589693320263</v>
      </c>
      <c r="N359" s="84" t="s">
        <v>353</v>
      </c>
      <c r="O359" s="162">
        <f t="shared" ref="O359:X359" si="16">SUM(O358,2150/14282*O356)</f>
        <v>32874.451477384122</v>
      </c>
      <c r="P359" s="162">
        <f t="shared" si="16"/>
        <v>32967.333426690937</v>
      </c>
      <c r="Q359" s="162">
        <f t="shared" si="16"/>
        <v>33.007547962470241</v>
      </c>
      <c r="R359" s="163">
        <f t="shared" si="16"/>
        <v>33.0924940484526</v>
      </c>
      <c r="S359" s="163">
        <f t="shared" si="16"/>
        <v>33.192494048452602</v>
      </c>
      <c r="T359" s="163">
        <f t="shared" si="16"/>
        <v>33.292494048452596</v>
      </c>
      <c r="U359" s="163">
        <f t="shared" si="16"/>
        <v>33.377440134434956</v>
      </c>
      <c r="V359" s="163">
        <f t="shared" si="16"/>
        <v>33.47744013443495</v>
      </c>
      <c r="W359" s="163">
        <f t="shared" si="16"/>
        <v>33.562386220417309</v>
      </c>
      <c r="X359" s="163">
        <f t="shared" si="16"/>
        <v>33.662386220417311</v>
      </c>
      <c r="Y359" s="163"/>
      <c r="Z359" s="163"/>
      <c r="AA359" s="163"/>
    </row>
    <row r="360" spans="1:27" x14ac:dyDescent="0.25">
      <c r="B360" s="95"/>
      <c r="C360" s="73"/>
      <c r="E360" s="73"/>
      <c r="F360" s="162"/>
      <c r="G360" s="162"/>
      <c r="H360" s="162"/>
      <c r="I360" s="68"/>
      <c r="J360" s="68"/>
      <c r="K360" s="68"/>
      <c r="L360" s="68"/>
      <c r="M360" s="68"/>
      <c r="N360" s="84"/>
      <c r="O360" s="162"/>
      <c r="P360" s="163"/>
      <c r="Q360" s="162"/>
      <c r="R360" s="163"/>
      <c r="S360" s="163"/>
      <c r="T360" s="163"/>
      <c r="U360" s="163"/>
      <c r="V360" s="163"/>
      <c r="W360" s="163"/>
      <c r="X360" s="163"/>
      <c r="Y360" s="163"/>
      <c r="Z360" s="163"/>
      <c r="AA360" s="163"/>
    </row>
    <row r="361" spans="1:27" x14ac:dyDescent="0.25">
      <c r="A361" t="s">
        <v>517</v>
      </c>
      <c r="B361" s="95" t="s">
        <v>381</v>
      </c>
      <c r="C361" s="73">
        <f>(SUM(AA361,-Q361)/10)/Q361</f>
        <v>-0.1</v>
      </c>
      <c r="D361" t="s">
        <v>467</v>
      </c>
      <c r="E361" s="73">
        <f>SUM(H361,-M361)/(SUM(I361,J361,K361,L361,M361))</f>
        <v>2.6539278131634821E-2</v>
      </c>
      <c r="F361" s="162">
        <v>26223</v>
      </c>
      <c r="G361" s="162"/>
      <c r="H361" s="162">
        <v>3085</v>
      </c>
      <c r="I361" s="68">
        <v>2975</v>
      </c>
      <c r="J361" s="68">
        <v>2885</v>
      </c>
      <c r="K361" s="68">
        <v>2820</v>
      </c>
      <c r="L361" s="68">
        <v>2740</v>
      </c>
      <c r="M361" s="68">
        <v>2710</v>
      </c>
      <c r="N361" s="84" t="s">
        <v>381</v>
      </c>
      <c r="O361" s="162">
        <v>26128</v>
      </c>
      <c r="P361" s="162">
        <v>26223</v>
      </c>
      <c r="Q361" s="162">
        <v>26</v>
      </c>
      <c r="R361" s="163">
        <v>25.9</v>
      </c>
      <c r="S361" s="163">
        <v>25.8</v>
      </c>
      <c r="T361" s="163">
        <v>25.7</v>
      </c>
      <c r="U361" s="163">
        <v>25.6</v>
      </c>
      <c r="V361" s="163">
        <v>25.6</v>
      </c>
      <c r="W361" s="163">
        <v>25.6</v>
      </c>
      <c r="X361" s="163">
        <v>25.5</v>
      </c>
      <c r="Y361" s="163"/>
      <c r="Z361" s="163"/>
      <c r="AA361" s="163"/>
    </row>
    <row r="362" spans="1:27" x14ac:dyDescent="0.25">
      <c r="A362" t="s">
        <v>517</v>
      </c>
      <c r="B362" s="95" t="s">
        <v>381</v>
      </c>
      <c r="C362" s="73">
        <f>(SUM(AA362,-Q362)/10)/Q362</f>
        <v>-9.9999999999999992E-2</v>
      </c>
      <c r="D362" t="s">
        <v>467</v>
      </c>
      <c r="E362" s="73">
        <f>SUM(H362,-M362)/(SUM(I362,J362,K362,L362,M362))</f>
        <v>2.7724174496884312E-2</v>
      </c>
      <c r="F362" s="162">
        <f>SUM(F361,5842/14282*F356)</f>
        <v>32090.360873827194</v>
      </c>
      <c r="G362" s="162"/>
      <c r="H362" s="162">
        <f t="shared" ref="H362:M362" si="17">SUM(H361,5842/14282*H356)</f>
        <v>3719.0218456798766</v>
      </c>
      <c r="I362" s="162">
        <f t="shared" si="17"/>
        <v>3582.433832796527</v>
      </c>
      <c r="J362" s="162">
        <f t="shared" si="17"/>
        <v>3476.0719787144658</v>
      </c>
      <c r="K362" s="162">
        <f t="shared" si="17"/>
        <v>3390.6196611118889</v>
      </c>
      <c r="L362" s="162">
        <f t="shared" si="17"/>
        <v>3296.3030387900853</v>
      </c>
      <c r="M362" s="162">
        <f t="shared" si="17"/>
        <v>3247.8959529477665</v>
      </c>
      <c r="N362" s="84" t="s">
        <v>381</v>
      </c>
      <c r="O362" s="162">
        <f t="shared" ref="O362:X362" si="18">SUM(O361,5842/14282*O356)</f>
        <v>31933.185828315363</v>
      </c>
      <c r="P362" s="162">
        <f t="shared" si="18"/>
        <v>32090.360873827194</v>
      </c>
      <c r="Q362" s="162">
        <f t="shared" si="18"/>
        <v>31.726648928721467</v>
      </c>
      <c r="R362" s="163">
        <f t="shared" si="18"/>
        <v>31.585744293516314</v>
      </c>
      <c r="S362" s="163">
        <f t="shared" si="18"/>
        <v>31.485744293516316</v>
      </c>
      <c r="T362" s="163">
        <f t="shared" si="18"/>
        <v>31.385744293516314</v>
      </c>
      <c r="U362" s="163">
        <f t="shared" si="18"/>
        <v>31.244839658311164</v>
      </c>
      <c r="V362" s="163">
        <f t="shared" si="18"/>
        <v>31.244839658311164</v>
      </c>
      <c r="W362" s="163">
        <f t="shared" si="18"/>
        <v>31.203935023106009</v>
      </c>
      <c r="X362" s="163">
        <f t="shared" si="18"/>
        <v>31.103935023106008</v>
      </c>
      <c r="Y362" s="163"/>
      <c r="Z362" s="163"/>
      <c r="AA362" s="163"/>
    </row>
    <row r="363" spans="1:27" x14ac:dyDescent="0.25">
      <c r="B363" s="95"/>
      <c r="C363" s="73"/>
      <c r="E363" s="73"/>
      <c r="F363" s="162"/>
      <c r="G363" s="162"/>
      <c r="H363" s="162"/>
      <c r="I363" s="68"/>
      <c r="J363" s="68"/>
      <c r="K363" s="68"/>
      <c r="L363" s="68"/>
      <c r="M363" s="68"/>
      <c r="N363" s="84"/>
      <c r="O363" s="162"/>
      <c r="P363" s="163"/>
      <c r="Q363" s="162"/>
      <c r="R363" s="163"/>
      <c r="S363" s="163"/>
      <c r="T363" s="163"/>
      <c r="U363" s="163"/>
      <c r="V363" s="163"/>
      <c r="W363" s="163"/>
      <c r="X363" s="163"/>
      <c r="Y363" s="163"/>
      <c r="Z363" s="163"/>
      <c r="AA363" s="163"/>
    </row>
    <row r="364" spans="1:27" x14ac:dyDescent="0.25">
      <c r="A364" t="s">
        <v>517</v>
      </c>
      <c r="B364" s="95" t="s">
        <v>391</v>
      </c>
      <c r="C364" s="73">
        <f>(SUM(AA364,-Q364)/10)/Q364</f>
        <v>-0.1</v>
      </c>
      <c r="D364" t="s">
        <v>441</v>
      </c>
      <c r="E364" s="73">
        <f>SUM(H364,-M364)/(SUM(I364,J364,K364,L364,M364))</f>
        <v>2.7744590468604804E-2</v>
      </c>
      <c r="F364" s="162">
        <v>219798</v>
      </c>
      <c r="G364" s="162"/>
      <c r="H364" s="162">
        <v>16420</v>
      </c>
      <c r="I364" s="68">
        <v>15695</v>
      </c>
      <c r="J364" s="68">
        <v>15525</v>
      </c>
      <c r="K364" s="68">
        <v>15185</v>
      </c>
      <c r="L364" s="68">
        <v>14595</v>
      </c>
      <c r="M364" s="68">
        <v>14330</v>
      </c>
      <c r="N364" s="84" t="s">
        <v>391</v>
      </c>
      <c r="O364" s="162">
        <v>217342</v>
      </c>
      <c r="P364" s="162">
        <v>219798</v>
      </c>
      <c r="Q364" s="162">
        <v>220</v>
      </c>
      <c r="R364" s="163">
        <v>221.4</v>
      </c>
      <c r="S364" s="163">
        <v>222.3</v>
      </c>
      <c r="T364" s="163">
        <v>222.8</v>
      </c>
      <c r="U364" s="163">
        <v>223.5</v>
      </c>
      <c r="V364" s="163">
        <v>224.2</v>
      </c>
      <c r="W364" s="163">
        <v>225.3</v>
      </c>
      <c r="X364" s="163">
        <v>226.5</v>
      </c>
      <c r="Y364" s="163"/>
      <c r="Z364" s="163"/>
      <c r="AA364" s="163"/>
    </row>
    <row r="365" spans="1:27" x14ac:dyDescent="0.25">
      <c r="A365" t="s">
        <v>517</v>
      </c>
      <c r="B365" s="95" t="s">
        <v>391</v>
      </c>
      <c r="C365" s="73">
        <f>(SUM(AA365,-Q365)/10)/Q365</f>
        <v>-9.9999999999999992E-2</v>
      </c>
      <c r="D365" t="s">
        <v>441</v>
      </c>
      <c r="E365" s="73">
        <f>SUM(H365,-M365)/(SUM(I365,J365,K365,L365,M365))</f>
        <v>2.7798490601497174E-2</v>
      </c>
      <c r="F365" s="162">
        <f>SUM(F364,1435/14282*F356)</f>
        <v>221239.22951967511</v>
      </c>
      <c r="G365" s="68"/>
      <c r="H365" s="162">
        <f t="shared" ref="H365:M365" si="19">SUM(H364,1435/14282*H356)</f>
        <v>16575.73799187789</v>
      </c>
      <c r="I365" s="162">
        <f t="shared" si="19"/>
        <v>15844.207043831397</v>
      </c>
      <c r="J365" s="162">
        <f t="shared" si="19"/>
        <v>15670.187998879708</v>
      </c>
      <c r="K365" s="162">
        <f t="shared" si="19"/>
        <v>15325.164192690099</v>
      </c>
      <c r="L365" s="162">
        <f t="shared" si="19"/>
        <v>14731.647528357373</v>
      </c>
      <c r="M365" s="162">
        <f t="shared" si="19"/>
        <v>14462.126102786724</v>
      </c>
      <c r="N365" s="84" t="s">
        <v>391</v>
      </c>
      <c r="O365" s="162">
        <f t="shared" ref="O365:X365" si="20">SUM(O364,1435/14282*O356)</f>
        <v>218767.9571488587</v>
      </c>
      <c r="P365" s="162">
        <f t="shared" si="20"/>
        <v>221239.22951967511</v>
      </c>
      <c r="Q365" s="162">
        <f t="shared" si="20"/>
        <v>221.40666573309059</v>
      </c>
      <c r="R365" s="163">
        <f t="shared" si="20"/>
        <v>222.7966181207114</v>
      </c>
      <c r="S365" s="163">
        <f t="shared" si="20"/>
        <v>223.69661812071141</v>
      </c>
      <c r="T365" s="163">
        <f t="shared" si="20"/>
        <v>224.19661812071141</v>
      </c>
      <c r="U365" s="163">
        <f t="shared" si="20"/>
        <v>224.88657050833217</v>
      </c>
      <c r="V365" s="163">
        <f t="shared" si="20"/>
        <v>225.58657050833216</v>
      </c>
      <c r="W365" s="163">
        <f t="shared" si="20"/>
        <v>226.67652289595296</v>
      </c>
      <c r="X365" s="163">
        <f t="shared" si="20"/>
        <v>227.87652289595295</v>
      </c>
      <c r="Y365" s="163"/>
      <c r="Z365" s="163"/>
      <c r="AA365" s="163"/>
    </row>
    <row r="366" spans="1:27" x14ac:dyDescent="0.25">
      <c r="B366" s="95"/>
      <c r="C366" s="73"/>
      <c r="E366" s="73"/>
      <c r="F366" s="162"/>
      <c r="G366" s="162"/>
      <c r="H366" s="162"/>
      <c r="I366" s="68"/>
      <c r="J366" s="68"/>
      <c r="K366" s="68"/>
      <c r="L366" s="68"/>
      <c r="M366" s="68"/>
      <c r="N366" s="84"/>
      <c r="O366" s="162"/>
      <c r="P366" s="163"/>
      <c r="Q366" s="162"/>
      <c r="R366" s="163"/>
      <c r="S366" s="163"/>
      <c r="T366" s="163"/>
      <c r="U366" s="163"/>
      <c r="V366" s="163"/>
      <c r="W366" s="163"/>
      <c r="X366" s="163"/>
      <c r="Y366" s="163"/>
      <c r="Z366" s="163"/>
      <c r="AA366" s="163"/>
    </row>
    <row r="367" spans="1:27" x14ac:dyDescent="0.25">
      <c r="A367" t="s">
        <v>517</v>
      </c>
      <c r="B367" s="95" t="s">
        <v>395</v>
      </c>
      <c r="C367" s="73">
        <f>(SUM(AA367,-Q367)/10)/Q367</f>
        <v>-9.9999999999999992E-2</v>
      </c>
      <c r="D367" t="s">
        <v>118</v>
      </c>
      <c r="E367" s="73">
        <f>SUM(H367,-M367)/(SUM(I367,J367,K367,L367,M367))</f>
        <v>3.8277511961722487E-2</v>
      </c>
      <c r="F367" s="162">
        <v>26527</v>
      </c>
      <c r="G367" s="162"/>
      <c r="H367" s="162">
        <v>2830</v>
      </c>
      <c r="I367" s="68">
        <v>2730</v>
      </c>
      <c r="J367" s="68">
        <v>2600</v>
      </c>
      <c r="K367" s="68">
        <v>2485</v>
      </c>
      <c r="L367" s="68">
        <v>2375</v>
      </c>
      <c r="M367" s="68">
        <v>2350</v>
      </c>
      <c r="N367" s="84" t="s">
        <v>395</v>
      </c>
      <c r="O367" s="162">
        <v>26400</v>
      </c>
      <c r="P367" s="162">
        <v>26527</v>
      </c>
      <c r="Q367" s="162">
        <v>26.3</v>
      </c>
      <c r="R367" s="163">
        <v>26.2</v>
      </c>
      <c r="S367" s="163">
        <v>26.2</v>
      </c>
      <c r="T367" s="163">
        <v>26.1</v>
      </c>
      <c r="U367" s="163">
        <v>26.1</v>
      </c>
      <c r="V367" s="163">
        <v>26.1</v>
      </c>
      <c r="W367" s="163">
        <v>26.1</v>
      </c>
      <c r="X367" s="163">
        <v>26.1</v>
      </c>
      <c r="Y367" s="163"/>
      <c r="Z367" s="163"/>
      <c r="AA367" s="163"/>
    </row>
    <row r="368" spans="1:27" x14ac:dyDescent="0.25">
      <c r="A368" t="s">
        <v>517</v>
      </c>
      <c r="B368" s="95" t="s">
        <v>395</v>
      </c>
      <c r="C368" s="73">
        <f>(SUM(AA368,-Q368)/10)/Q368</f>
        <v>-0.1</v>
      </c>
      <c r="D368" t="s">
        <v>118</v>
      </c>
      <c r="E368" s="73">
        <f>SUM(H368,-M368)/(SUM(I368,J368,K368,L368,M368))</f>
        <v>3.7529524571280858E-2</v>
      </c>
      <c r="F368" s="162">
        <f>SUM(F367,4835/14282*F356)</f>
        <v>31382.98935723288</v>
      </c>
      <c r="G368" s="162"/>
      <c r="H368" s="162">
        <f t="shared" ref="H368:M368" si="21">SUM(H367,4835/14282*H356)</f>
        <v>3354.7339308220135</v>
      </c>
      <c r="I368" s="162">
        <f t="shared" si="21"/>
        <v>3232.7289595294778</v>
      </c>
      <c r="J368" s="162">
        <f t="shared" si="21"/>
        <v>3089.1874387340708</v>
      </c>
      <c r="K368" s="162">
        <f t="shared" si="21"/>
        <v>2957.2605377398122</v>
      </c>
      <c r="L368" s="162">
        <f t="shared" si="21"/>
        <v>2835.4117070438315</v>
      </c>
      <c r="M368" s="162">
        <f t="shared" si="21"/>
        <v>2795.1774961489987</v>
      </c>
      <c r="N368" s="84" t="s">
        <v>395</v>
      </c>
      <c r="O368" s="162">
        <f t="shared" ref="O368:X368" si="22">SUM(O367,4835/14282*O356)</f>
        <v>31204.531578210335</v>
      </c>
      <c r="P368" s="162">
        <f t="shared" si="22"/>
        <v>31382.98935723288</v>
      </c>
      <c r="Q368" s="162">
        <f t="shared" si="22"/>
        <v>31.039532278392382</v>
      </c>
      <c r="R368" s="163">
        <f t="shared" si="22"/>
        <v>30.905678476403864</v>
      </c>
      <c r="S368" s="163">
        <f t="shared" si="22"/>
        <v>30.905678476403864</v>
      </c>
      <c r="T368" s="163">
        <f t="shared" si="22"/>
        <v>30.805678476403866</v>
      </c>
      <c r="U368" s="163">
        <f t="shared" si="22"/>
        <v>30.771824674415349</v>
      </c>
      <c r="V368" s="163">
        <f t="shared" si="22"/>
        <v>30.771824674415349</v>
      </c>
      <c r="W368" s="163">
        <f t="shared" si="22"/>
        <v>30.737970872426832</v>
      </c>
      <c r="X368" s="163">
        <f t="shared" si="22"/>
        <v>30.737970872426832</v>
      </c>
      <c r="Y368" s="163"/>
      <c r="Z368" s="163"/>
      <c r="AA368" s="163"/>
    </row>
    <row r="370" spans="1:27" x14ac:dyDescent="0.25">
      <c r="A370" t="s">
        <v>525</v>
      </c>
      <c r="B370" s="95" t="s">
        <v>119</v>
      </c>
      <c r="C370" s="73">
        <f>(SUM(AA370,-Q370)/10)/Q370</f>
        <v>-9.9999999999999992E-2</v>
      </c>
      <c r="D370" t="s">
        <v>441</v>
      </c>
      <c r="E370" s="73">
        <f>SUM(H370,-M370)/(SUM(I370,J370,K370,L370,M370))</f>
        <v>1.0849909584086799E-2</v>
      </c>
      <c r="F370" s="162">
        <v>11679</v>
      </c>
      <c r="G370" s="162"/>
      <c r="H370" s="162">
        <v>570</v>
      </c>
      <c r="I370" s="68">
        <v>575</v>
      </c>
      <c r="J370" s="68">
        <v>570</v>
      </c>
      <c r="K370" s="68">
        <v>555</v>
      </c>
      <c r="L370" s="68">
        <v>525</v>
      </c>
      <c r="M370" s="68">
        <v>540</v>
      </c>
      <c r="N370" s="84" t="s">
        <v>119</v>
      </c>
      <c r="O370" s="162">
        <v>11713</v>
      </c>
      <c r="P370" s="162">
        <v>11679</v>
      </c>
      <c r="Q370" s="162">
        <v>11496</v>
      </c>
      <c r="R370" s="163">
        <v>11.7</v>
      </c>
      <c r="S370" s="163">
        <v>11.6</v>
      </c>
      <c r="T370" s="163">
        <v>11.5</v>
      </c>
      <c r="U370" s="163">
        <v>11.4</v>
      </c>
      <c r="V370" s="163">
        <v>11.3</v>
      </c>
      <c r="W370" s="163">
        <v>11.2</v>
      </c>
      <c r="X370" s="163">
        <v>11.1</v>
      </c>
      <c r="Y370" s="163"/>
      <c r="Z370" s="163"/>
      <c r="AA370" s="163"/>
    </row>
    <row r="371" spans="1:27" ht="13" customHeight="1" x14ac:dyDescent="0.25">
      <c r="A371" t="s">
        <v>525</v>
      </c>
      <c r="B371" s="95" t="s">
        <v>120</v>
      </c>
      <c r="C371" s="73">
        <f>(SUM(AA371,-Q371)/10)/Q371</f>
        <v>-9.9999999999999992E-2</v>
      </c>
      <c r="D371" t="s">
        <v>441</v>
      </c>
      <c r="E371" s="73">
        <f>SUM(H371,-M371)/(SUM(I371,J371,K371,L371,M371))</f>
        <v>5.2015604681404422E-3</v>
      </c>
      <c r="F371" s="162">
        <v>24665</v>
      </c>
      <c r="G371" s="162"/>
      <c r="H371" s="162">
        <v>1580</v>
      </c>
      <c r="I371" s="68">
        <v>1590</v>
      </c>
      <c r="J371" s="68">
        <v>1565</v>
      </c>
      <c r="K371" s="68">
        <v>1510</v>
      </c>
      <c r="L371" s="68">
        <v>1485</v>
      </c>
      <c r="M371" s="68">
        <v>1540</v>
      </c>
      <c r="N371" s="84" t="s">
        <v>120</v>
      </c>
      <c r="O371" s="162">
        <v>24709</v>
      </c>
      <c r="P371" s="162">
        <v>24665</v>
      </c>
      <c r="Q371" s="162">
        <v>24596</v>
      </c>
      <c r="R371" s="163">
        <v>24.5</v>
      </c>
      <c r="S371" s="163">
        <v>24.2</v>
      </c>
      <c r="T371" s="163">
        <v>24</v>
      </c>
      <c r="U371" s="163">
        <v>23.8</v>
      </c>
      <c r="V371" s="163">
        <v>23.5</v>
      </c>
      <c r="W371" s="163">
        <v>23.3</v>
      </c>
      <c r="X371" s="163">
        <v>23.1</v>
      </c>
      <c r="Y371" s="163"/>
      <c r="Z371" s="163"/>
      <c r="AA371" s="163"/>
    </row>
    <row r="372" spans="1:27" x14ac:dyDescent="0.25">
      <c r="A372" t="s">
        <v>525</v>
      </c>
      <c r="B372" s="95" t="s">
        <v>122</v>
      </c>
      <c r="C372" s="73">
        <f>(SUM(AA372,-Q372)/10)/Q372</f>
        <v>-0.1</v>
      </c>
      <c r="D372" t="s">
        <v>118</v>
      </c>
      <c r="E372" s="73">
        <f>SUM(H372,-M372)/(SUM(I372,J372,K372,L372,M372))</f>
        <v>0</v>
      </c>
      <c r="F372" s="162">
        <v>9541</v>
      </c>
      <c r="G372" s="162"/>
      <c r="H372" s="162">
        <v>850</v>
      </c>
      <c r="I372" s="68">
        <v>855</v>
      </c>
      <c r="J372" s="68">
        <v>850</v>
      </c>
      <c r="K372" s="68">
        <v>825</v>
      </c>
      <c r="L372" s="68">
        <v>835</v>
      </c>
      <c r="M372" s="68">
        <v>850</v>
      </c>
      <c r="N372" s="84" t="s">
        <v>122</v>
      </c>
      <c r="O372" s="162">
        <v>9617</v>
      </c>
      <c r="P372" s="162">
        <v>9541</v>
      </c>
      <c r="Q372" s="162">
        <v>9495</v>
      </c>
      <c r="R372" s="163">
        <v>9.5</v>
      </c>
      <c r="S372" s="163">
        <v>9.4</v>
      </c>
      <c r="T372" s="163">
        <v>9.3000000000000007</v>
      </c>
      <c r="U372" s="163">
        <v>9.1999999999999993</v>
      </c>
      <c r="V372" s="163">
        <v>9.1</v>
      </c>
      <c r="W372" s="163">
        <v>9</v>
      </c>
      <c r="X372" s="163">
        <v>8.9</v>
      </c>
      <c r="Y372" s="163"/>
      <c r="Z372" s="163"/>
      <c r="AA372" s="163"/>
    </row>
    <row r="374" spans="1:27" x14ac:dyDescent="0.25">
      <c r="A374" t="s">
        <v>518</v>
      </c>
      <c r="B374" s="95" t="s">
        <v>242</v>
      </c>
      <c r="C374" s="73">
        <f>(SUM(AA374*1000,-Q374)/10)/Q374</f>
        <v>-0.1</v>
      </c>
      <c r="D374" t="s">
        <v>467</v>
      </c>
      <c r="E374" s="73">
        <f>SUM(H374,-M374)/(SUM(I374,J374,K374,L374,M374))</f>
        <v>3.2598274209012464E-2</v>
      </c>
      <c r="F374" s="162">
        <v>10110</v>
      </c>
      <c r="G374" s="162"/>
      <c r="H374" s="162">
        <v>1165</v>
      </c>
      <c r="I374" s="68">
        <v>1115</v>
      </c>
      <c r="J374" s="68">
        <v>1060</v>
      </c>
      <c r="K374" s="68">
        <v>1030</v>
      </c>
      <c r="L374" s="68">
        <v>1015</v>
      </c>
      <c r="M374" s="68">
        <v>995</v>
      </c>
      <c r="N374" s="84" t="s">
        <v>242</v>
      </c>
      <c r="O374" s="162">
        <v>9748</v>
      </c>
      <c r="P374" s="162">
        <v>10020</v>
      </c>
      <c r="Q374" s="162">
        <v>10110</v>
      </c>
      <c r="R374" s="163">
        <v>10.1</v>
      </c>
      <c r="S374" s="163">
        <v>10.3</v>
      </c>
      <c r="T374" s="163">
        <v>10.5</v>
      </c>
      <c r="U374" s="163">
        <v>10.7</v>
      </c>
      <c r="V374" s="163">
        <v>10.9</v>
      </c>
      <c r="W374" s="163">
        <v>11</v>
      </c>
      <c r="X374" s="163">
        <v>11.2</v>
      </c>
      <c r="Y374" s="163"/>
      <c r="Z374" s="163"/>
      <c r="AA374" s="163"/>
    </row>
    <row r="375" spans="1:27" x14ac:dyDescent="0.25">
      <c r="A375" t="s">
        <v>518</v>
      </c>
      <c r="B375" s="95" t="s">
        <v>270</v>
      </c>
      <c r="C375" s="73">
        <f>(SUM(AA375*1000,-Q375)/10)/Q375</f>
        <v>-0.1</v>
      </c>
      <c r="D375" t="s">
        <v>118</v>
      </c>
      <c r="E375" s="73">
        <f>SUM(H375,-M375)/(SUM(I375,J375,K375,L375,M375))</f>
        <v>3.2578466428287642E-2</v>
      </c>
      <c r="F375" s="162">
        <v>81683</v>
      </c>
      <c r="G375" s="162"/>
      <c r="H375" s="162">
        <v>5580</v>
      </c>
      <c r="I375" s="68">
        <v>5345</v>
      </c>
      <c r="J375" s="68">
        <v>5235</v>
      </c>
      <c r="K375" s="68">
        <v>4990</v>
      </c>
      <c r="L375" s="68">
        <v>4840</v>
      </c>
      <c r="M375" s="68">
        <v>4760</v>
      </c>
      <c r="N375" s="84" t="s">
        <v>270</v>
      </c>
      <c r="O375" s="162">
        <v>80147</v>
      </c>
      <c r="P375" s="162">
        <v>81121</v>
      </c>
      <c r="Q375" s="162">
        <v>81683</v>
      </c>
      <c r="R375" s="163">
        <v>81.599999999999994</v>
      </c>
      <c r="S375" s="163">
        <v>82.2</v>
      </c>
      <c r="T375" s="163">
        <v>82.8</v>
      </c>
      <c r="U375" s="163">
        <v>83.5</v>
      </c>
      <c r="V375" s="163">
        <v>84.1</v>
      </c>
      <c r="W375" s="163">
        <v>84.6</v>
      </c>
      <c r="X375" s="163">
        <v>85.1</v>
      </c>
      <c r="Y375" s="163"/>
      <c r="Z375" s="163"/>
      <c r="AA375" s="163"/>
    </row>
    <row r="376" spans="1:27" x14ac:dyDescent="0.25">
      <c r="A376" t="s">
        <v>518</v>
      </c>
      <c r="B376" s="95" t="s">
        <v>270</v>
      </c>
      <c r="C376" s="73">
        <f>(SUM(AA376*1000,-Q376)/10)/Q376</f>
        <v>-9.9999999999999992E-2</v>
      </c>
      <c r="D376" t="s">
        <v>118</v>
      </c>
      <c r="E376" s="73">
        <f>SUM(H376,-M376)/(SUM(I376,J376,K376,L376,M376))</f>
        <v>3.2581866052328448E-2</v>
      </c>
      <c r="F376" s="162">
        <f>SUM(F374:F375)</f>
        <v>91793</v>
      </c>
      <c r="H376" s="162">
        <f t="shared" ref="H376:M376" si="23">SUM(H374:H375)</f>
        <v>6745</v>
      </c>
      <c r="I376" s="162">
        <f t="shared" si="23"/>
        <v>6460</v>
      </c>
      <c r="J376" s="162">
        <f t="shared" si="23"/>
        <v>6295</v>
      </c>
      <c r="K376" s="162">
        <f t="shared" si="23"/>
        <v>6020</v>
      </c>
      <c r="L376" s="162">
        <f t="shared" si="23"/>
        <v>5855</v>
      </c>
      <c r="M376" s="162">
        <f t="shared" si="23"/>
        <v>5755</v>
      </c>
      <c r="N376" s="84" t="s">
        <v>270</v>
      </c>
      <c r="O376" s="162">
        <f t="shared" ref="O376" si="24">SUM(O374:O375)</f>
        <v>89895</v>
      </c>
      <c r="P376" s="162">
        <f t="shared" ref="P376" si="25">SUM(P374:P375)</f>
        <v>91141</v>
      </c>
      <c r="Q376" s="162">
        <f t="shared" ref="Q376" si="26">SUM(Q374:Q375)</f>
        <v>91793</v>
      </c>
      <c r="R376" s="342">
        <f t="shared" ref="R376" si="27">SUM(R374:R375)</f>
        <v>91.699999999999989</v>
      </c>
      <c r="S376" s="342">
        <f t="shared" ref="S376" si="28">SUM(S374:S375)</f>
        <v>92.5</v>
      </c>
      <c r="T376" s="342">
        <f t="shared" ref="T376" si="29">SUM(T374:T375)</f>
        <v>93.3</v>
      </c>
      <c r="U376" s="342">
        <f t="shared" ref="U376" si="30">SUM(U374:U375)</f>
        <v>94.2</v>
      </c>
      <c r="V376" s="342">
        <f t="shared" ref="V376" si="31">SUM(V374:V375)</f>
        <v>95</v>
      </c>
      <c r="W376" s="342">
        <f t="shared" ref="W376" si="32">SUM(W374:W375)</f>
        <v>95.6</v>
      </c>
      <c r="X376" s="342">
        <f t="shared" ref="X376" si="33">SUM(X374:X375)</f>
        <v>96.3</v>
      </c>
      <c r="Y376" s="342"/>
      <c r="Z376" s="342"/>
      <c r="AA376" s="342"/>
    </row>
    <row r="378" spans="1:27" x14ac:dyDescent="0.25">
      <c r="A378" t="s">
        <v>518</v>
      </c>
      <c r="B378" s="95" t="s">
        <v>256</v>
      </c>
      <c r="C378" s="73">
        <f>(SUM(AA378*1000,-Q378)/10)/Q378</f>
        <v>-9.9999999999999992E-2</v>
      </c>
      <c r="D378" s="207" t="s">
        <v>118</v>
      </c>
      <c r="E378" s="73">
        <f>SUM(H378,-M378)/(SUM(I378,J378,K378,L378,M378))</f>
        <v>3.3049040511727079E-2</v>
      </c>
      <c r="F378" s="162">
        <v>58387</v>
      </c>
      <c r="G378" s="162"/>
      <c r="H378" s="162">
        <v>4185</v>
      </c>
      <c r="I378" s="68">
        <v>3980</v>
      </c>
      <c r="J378" s="68">
        <v>3880</v>
      </c>
      <c r="K378" s="68">
        <v>3730</v>
      </c>
      <c r="L378" s="68">
        <v>3605</v>
      </c>
      <c r="M378" s="68">
        <v>3565</v>
      </c>
      <c r="N378" s="84" t="s">
        <v>256</v>
      </c>
      <c r="O378" s="162">
        <v>56749</v>
      </c>
      <c r="P378" s="162">
        <v>57563</v>
      </c>
      <c r="Q378" s="162">
        <v>58387</v>
      </c>
      <c r="R378" s="163">
        <v>57.6</v>
      </c>
      <c r="S378" s="163">
        <v>57.8</v>
      </c>
      <c r="T378" s="163">
        <v>57.9</v>
      </c>
      <c r="U378" s="163">
        <v>58.1</v>
      </c>
      <c r="V378" s="163">
        <v>58.2</v>
      </c>
      <c r="W378" s="163">
        <v>58.4</v>
      </c>
      <c r="X378" s="163">
        <v>58.6</v>
      </c>
      <c r="Y378" s="163"/>
      <c r="Z378" s="163"/>
      <c r="AA378" s="163"/>
    </row>
    <row r="379" spans="1:27" x14ac:dyDescent="0.25">
      <c r="A379" t="s">
        <v>518</v>
      </c>
      <c r="B379" s="95" t="s">
        <v>264</v>
      </c>
      <c r="C379" s="73">
        <f>(SUM(AA379*1000,-Q379)/10)/Q379</f>
        <v>-0.1</v>
      </c>
      <c r="D379" t="s">
        <v>467</v>
      </c>
      <c r="E379" s="73">
        <f>SUM(H379,-M379)/(SUM(I379,J379,K379,L379,M379))</f>
        <v>3.3377837116154871E-2</v>
      </c>
      <c r="F379" s="162">
        <v>28335</v>
      </c>
      <c r="G379" s="162"/>
      <c r="H379" s="162">
        <v>2475</v>
      </c>
      <c r="I379" s="68">
        <v>2400</v>
      </c>
      <c r="J379" s="68">
        <v>2325</v>
      </c>
      <c r="K379" s="68">
        <v>2240</v>
      </c>
      <c r="L379" s="68">
        <v>2170</v>
      </c>
      <c r="M379" s="68">
        <v>2100</v>
      </c>
      <c r="N379" s="84" t="s">
        <v>264</v>
      </c>
      <c r="O379" s="162">
        <v>27986</v>
      </c>
      <c r="P379" s="162">
        <v>28146</v>
      </c>
      <c r="Q379" s="162">
        <v>28335</v>
      </c>
      <c r="R379" s="163">
        <v>28.4</v>
      </c>
      <c r="S379" s="163">
        <v>28.6</v>
      </c>
      <c r="T379" s="163">
        <v>28.7</v>
      </c>
      <c r="U379" s="163">
        <v>28.8</v>
      </c>
      <c r="V379" s="163">
        <v>28.9</v>
      </c>
      <c r="W379" s="163">
        <v>28.9</v>
      </c>
      <c r="X379" s="163">
        <v>28.9</v>
      </c>
      <c r="Y379" s="163"/>
      <c r="Z379" s="163"/>
      <c r="AA379" s="163"/>
    </row>
    <row r="380" spans="1:27" x14ac:dyDescent="0.25">
      <c r="A380" t="s">
        <v>518</v>
      </c>
      <c r="B380" s="95" t="s">
        <v>867</v>
      </c>
      <c r="C380" s="73">
        <f>(SUM(AA380*1000,-Q380)/10)/Q380</f>
        <v>-0.1</v>
      </c>
      <c r="D380" t="s">
        <v>118</v>
      </c>
      <c r="E380" s="73">
        <f>SUM(H380,-M380)/(SUM(I380,J380,K380,L380,M380))</f>
        <v>3.3172195365894316E-2</v>
      </c>
      <c r="F380" s="162">
        <f>SUM(F378:F379)</f>
        <v>86722</v>
      </c>
      <c r="H380" s="162">
        <f t="shared" ref="H380:M380" si="34">SUM(H378:H379)</f>
        <v>6660</v>
      </c>
      <c r="I380" s="162">
        <f t="shared" si="34"/>
        <v>6380</v>
      </c>
      <c r="J380" s="162">
        <f t="shared" si="34"/>
        <v>6205</v>
      </c>
      <c r="K380" s="162">
        <f t="shared" si="34"/>
        <v>5970</v>
      </c>
      <c r="L380" s="162">
        <f t="shared" si="34"/>
        <v>5775</v>
      </c>
      <c r="M380" s="162">
        <f t="shared" si="34"/>
        <v>5665</v>
      </c>
      <c r="N380" s="84" t="s">
        <v>867</v>
      </c>
      <c r="O380" s="162">
        <f>SUM(O378:O379)</f>
        <v>84735</v>
      </c>
      <c r="P380" s="162">
        <f t="shared" ref="P380:X380" si="35">SUM(P378:P379)</f>
        <v>85709</v>
      </c>
      <c r="Q380" s="162">
        <f t="shared" si="35"/>
        <v>86722</v>
      </c>
      <c r="R380" s="163">
        <f t="shared" si="35"/>
        <v>86</v>
      </c>
      <c r="S380" s="163">
        <f t="shared" si="35"/>
        <v>86.4</v>
      </c>
      <c r="T380" s="163">
        <f t="shared" si="35"/>
        <v>86.6</v>
      </c>
      <c r="U380" s="163">
        <f t="shared" si="35"/>
        <v>86.9</v>
      </c>
      <c r="V380" s="163">
        <f t="shared" si="35"/>
        <v>87.1</v>
      </c>
      <c r="W380" s="163">
        <f t="shared" si="35"/>
        <v>87.3</v>
      </c>
      <c r="X380" s="163">
        <f t="shared" si="35"/>
        <v>87.5</v>
      </c>
      <c r="Y380" s="163"/>
      <c r="Z380" s="163"/>
      <c r="AA380" s="163"/>
    </row>
    <row r="382" spans="1:27" x14ac:dyDescent="0.25">
      <c r="A382" t="s">
        <v>517</v>
      </c>
      <c r="B382" s="95" t="s">
        <v>376</v>
      </c>
      <c r="C382" s="73">
        <f>(SUM(AA382*1000,-Q382)/10)/Q382</f>
        <v>-0.1</v>
      </c>
      <c r="D382" t="s">
        <v>467</v>
      </c>
      <c r="E382" s="73">
        <f>SUM(H382,-M382)/(SUM(I382,J382,K382,L382,M382))</f>
        <v>2.3809523809523808E-2</v>
      </c>
      <c r="F382" s="162">
        <v>15817</v>
      </c>
      <c r="G382" s="162"/>
      <c r="H382" s="162">
        <v>1570</v>
      </c>
      <c r="I382" s="68">
        <v>1550</v>
      </c>
      <c r="J382" s="68">
        <v>1535</v>
      </c>
      <c r="K382" s="68">
        <v>1455</v>
      </c>
      <c r="L382" s="68">
        <v>1415</v>
      </c>
      <c r="M382" s="68">
        <v>1395</v>
      </c>
      <c r="N382" s="84" t="s">
        <v>376</v>
      </c>
      <c r="O382" s="162">
        <v>15523</v>
      </c>
      <c r="P382" s="162">
        <v>15707</v>
      </c>
      <c r="Q382" s="162">
        <v>15817</v>
      </c>
      <c r="R382" s="163">
        <v>15.3</v>
      </c>
      <c r="S382" s="163">
        <v>15.2</v>
      </c>
      <c r="T382" s="163">
        <v>15.2</v>
      </c>
      <c r="U382" s="163">
        <v>15.2</v>
      </c>
      <c r="V382" s="163">
        <v>15.1</v>
      </c>
      <c r="W382" s="163">
        <v>15.1</v>
      </c>
      <c r="X382" s="163">
        <v>15</v>
      </c>
      <c r="Y382" s="163"/>
      <c r="Z382" s="163"/>
      <c r="AA382" s="163"/>
    </row>
    <row r="383" spans="1:27" x14ac:dyDescent="0.25">
      <c r="A383" t="s">
        <v>517</v>
      </c>
      <c r="B383" s="95" t="s">
        <v>392</v>
      </c>
      <c r="C383" s="73">
        <f>(SUM(AA383*1000,-Q383)/10)/Q383</f>
        <v>-0.1</v>
      </c>
      <c r="D383" s="207" t="s">
        <v>118</v>
      </c>
      <c r="E383" s="73">
        <f>SUM(H383,-M383)/(SUM(I383,J383,K383,L383,M383))</f>
        <v>2.3759791122715406E-2</v>
      </c>
      <c r="F383" s="162">
        <v>42291</v>
      </c>
      <c r="G383" s="162"/>
      <c r="H383" s="162">
        <v>4130</v>
      </c>
      <c r="I383" s="68">
        <v>4020</v>
      </c>
      <c r="J383" s="68">
        <v>3920</v>
      </c>
      <c r="K383" s="68">
        <v>3825</v>
      </c>
      <c r="L383" s="68">
        <v>3710</v>
      </c>
      <c r="M383" s="68">
        <v>3675</v>
      </c>
      <c r="N383" s="84" t="s">
        <v>392</v>
      </c>
      <c r="O383" s="162">
        <v>41770</v>
      </c>
      <c r="P383" s="162">
        <v>42132</v>
      </c>
      <c r="Q383" s="162">
        <v>42291</v>
      </c>
      <c r="R383" s="163">
        <v>42</v>
      </c>
      <c r="S383" s="163">
        <v>42.1</v>
      </c>
      <c r="T383" s="163">
        <v>42.1</v>
      </c>
      <c r="U383" s="163">
        <v>42.3</v>
      </c>
      <c r="V383" s="163">
        <v>42.5</v>
      </c>
      <c r="W383" s="163">
        <v>42.7</v>
      </c>
      <c r="X383" s="163">
        <v>42.8</v>
      </c>
      <c r="Y383" s="163"/>
      <c r="Z383" s="163"/>
      <c r="AA383" s="163"/>
    </row>
    <row r="384" spans="1:27" x14ac:dyDescent="0.25">
      <c r="A384" t="s">
        <v>517</v>
      </c>
      <c r="B384" s="95" t="s">
        <v>869</v>
      </c>
      <c r="C384" s="73">
        <f>(SUM(AA384*1000,-Q384)/10)/Q384</f>
        <v>-0.1</v>
      </c>
      <c r="D384" t="s">
        <v>118</v>
      </c>
      <c r="E384" s="73">
        <f>SUM(H384,-M384)/(SUM(I384,J384,K384,L384,M384))</f>
        <v>2.3773584905660377E-2</v>
      </c>
      <c r="F384" s="162">
        <f>SUM(F382:F383)</f>
        <v>58108</v>
      </c>
      <c r="H384" s="162">
        <f t="shared" ref="H384:M384" si="36">SUM(H382:H383)</f>
        <v>5700</v>
      </c>
      <c r="I384" s="162">
        <f t="shared" si="36"/>
        <v>5570</v>
      </c>
      <c r="J384" s="162">
        <f t="shared" si="36"/>
        <v>5455</v>
      </c>
      <c r="K384" s="162">
        <f t="shared" si="36"/>
        <v>5280</v>
      </c>
      <c r="L384" s="162">
        <f t="shared" si="36"/>
        <v>5125</v>
      </c>
      <c r="M384" s="162">
        <f t="shared" si="36"/>
        <v>5070</v>
      </c>
      <c r="N384" s="84" t="s">
        <v>869</v>
      </c>
      <c r="O384" s="162">
        <f>SUM(O382:O383)</f>
        <v>57293</v>
      </c>
      <c r="P384" s="162">
        <f t="shared" ref="P384:X384" si="37">SUM(P382:P383)</f>
        <v>57839</v>
      </c>
      <c r="Q384" s="162">
        <f t="shared" si="37"/>
        <v>58108</v>
      </c>
      <c r="R384" s="342">
        <f t="shared" si="37"/>
        <v>57.3</v>
      </c>
      <c r="S384" s="342">
        <f t="shared" si="37"/>
        <v>57.3</v>
      </c>
      <c r="T384" s="342">
        <f t="shared" si="37"/>
        <v>57.3</v>
      </c>
      <c r="U384" s="342">
        <f t="shared" si="37"/>
        <v>57.5</v>
      </c>
      <c r="V384" s="342">
        <f t="shared" si="37"/>
        <v>57.6</v>
      </c>
      <c r="W384" s="342">
        <f t="shared" si="37"/>
        <v>57.800000000000004</v>
      </c>
      <c r="X384" s="342">
        <f t="shared" si="37"/>
        <v>57.8</v>
      </c>
      <c r="Y384" s="342"/>
      <c r="Z384" s="342"/>
      <c r="AA384" s="342"/>
    </row>
    <row r="386" spans="1:27" x14ac:dyDescent="0.25">
      <c r="A386" t="s">
        <v>517</v>
      </c>
      <c r="B386" s="95" t="s">
        <v>352</v>
      </c>
      <c r="C386" s="73">
        <f t="shared" ref="C386:C391" si="38">(SUM(AA386*1000,-Q386)/10)/Q386</f>
        <v>-0.1</v>
      </c>
      <c r="D386" t="s">
        <v>118</v>
      </c>
      <c r="E386" s="73">
        <f t="shared" ref="E386:E391" si="39">SUM(H386,-M386)/(SUM(I386,J386,K386,L386,M386))</f>
        <v>2.8651949271958667E-2</v>
      </c>
      <c r="F386" s="162">
        <v>29609</v>
      </c>
      <c r="G386" s="162"/>
      <c r="H386" s="162">
        <v>2330</v>
      </c>
      <c r="I386" s="68">
        <v>2225</v>
      </c>
      <c r="J386" s="68">
        <v>2200</v>
      </c>
      <c r="K386" s="68">
        <v>2125</v>
      </c>
      <c r="L386" s="68">
        <v>2070</v>
      </c>
      <c r="M386" s="68">
        <v>2025</v>
      </c>
      <c r="N386" s="84" t="s">
        <v>352</v>
      </c>
      <c r="O386" s="162">
        <v>29059</v>
      </c>
      <c r="P386" s="162">
        <v>29348</v>
      </c>
      <c r="Q386" s="162">
        <v>29609</v>
      </c>
      <c r="R386" s="163">
        <v>29.1</v>
      </c>
      <c r="S386" s="163">
        <v>29.1</v>
      </c>
      <c r="T386" s="163">
        <v>29.1</v>
      </c>
      <c r="U386" s="163">
        <v>29.1</v>
      </c>
      <c r="V386" s="163">
        <v>29.1</v>
      </c>
      <c r="W386" s="163">
        <v>29.1</v>
      </c>
      <c r="X386" s="163">
        <v>29.1</v>
      </c>
      <c r="Y386" s="163"/>
      <c r="Z386" s="163"/>
      <c r="AA386" s="163"/>
    </row>
    <row r="387" spans="1:27" x14ac:dyDescent="0.25">
      <c r="A387" t="s">
        <v>517</v>
      </c>
      <c r="B387" s="95" t="s">
        <v>356</v>
      </c>
      <c r="C387" s="73">
        <f t="shared" si="38"/>
        <v>-0.1</v>
      </c>
      <c r="D387" t="s">
        <v>118</v>
      </c>
      <c r="E387" s="73">
        <f t="shared" si="39"/>
        <v>2.4676850763807285E-2</v>
      </c>
      <c r="F387" s="162">
        <v>25404</v>
      </c>
      <c r="G387" s="162"/>
      <c r="H387" s="162">
        <v>1865</v>
      </c>
      <c r="I387" s="68">
        <v>1805</v>
      </c>
      <c r="J387" s="68">
        <v>1735</v>
      </c>
      <c r="K387" s="68">
        <v>1680</v>
      </c>
      <c r="L387" s="68">
        <v>1635</v>
      </c>
      <c r="M387" s="68">
        <v>1655</v>
      </c>
      <c r="N387" s="84" t="s">
        <v>356</v>
      </c>
      <c r="O387" s="162">
        <v>24931</v>
      </c>
      <c r="P387" s="162">
        <v>25130</v>
      </c>
      <c r="Q387" s="162">
        <v>25404</v>
      </c>
      <c r="R387" s="163">
        <v>25.3</v>
      </c>
      <c r="S387" s="163">
        <v>25.4</v>
      </c>
      <c r="T387" s="163">
        <v>25.5</v>
      </c>
      <c r="U387" s="163">
        <v>25.6</v>
      </c>
      <c r="V387" s="163">
        <v>25.6</v>
      </c>
      <c r="W387" s="163">
        <v>25.6</v>
      </c>
      <c r="X387" s="163">
        <v>25.6</v>
      </c>
      <c r="Y387" s="163"/>
      <c r="Z387" s="163"/>
      <c r="AA387" s="163"/>
    </row>
    <row r="388" spans="1:27" x14ac:dyDescent="0.25">
      <c r="A388" t="s">
        <v>517</v>
      </c>
      <c r="B388" s="95" t="s">
        <v>368</v>
      </c>
      <c r="C388" s="73">
        <f t="shared" si="38"/>
        <v>-9.9999999999999992E-2</v>
      </c>
      <c r="D388" t="s">
        <v>118</v>
      </c>
      <c r="E388" s="73">
        <f t="shared" si="39"/>
        <v>3.4360189573459717E-2</v>
      </c>
      <c r="F388" s="162">
        <v>12486</v>
      </c>
      <c r="G388" s="162"/>
      <c r="H388" s="162">
        <v>935</v>
      </c>
      <c r="I388" s="68">
        <v>900</v>
      </c>
      <c r="J388" s="68">
        <v>870</v>
      </c>
      <c r="K388" s="68">
        <v>855</v>
      </c>
      <c r="L388" s="68">
        <v>805</v>
      </c>
      <c r="M388" s="68">
        <v>790</v>
      </c>
      <c r="N388" s="84" t="s">
        <v>368</v>
      </c>
      <c r="O388" s="162">
        <v>12478</v>
      </c>
      <c r="P388" s="162">
        <v>12415</v>
      </c>
      <c r="Q388" s="162">
        <v>12486</v>
      </c>
      <c r="R388" s="163">
        <v>12</v>
      </c>
      <c r="S388" s="163">
        <v>11.8</v>
      </c>
      <c r="T388" s="163">
        <v>11.7</v>
      </c>
      <c r="U388" s="163">
        <v>11.6</v>
      </c>
      <c r="V388" s="163">
        <v>11.5</v>
      </c>
      <c r="W388" s="163">
        <v>11.4</v>
      </c>
      <c r="X388" s="163">
        <v>11.5</v>
      </c>
      <c r="Y388" s="163"/>
      <c r="Z388" s="163"/>
      <c r="AA388" s="163"/>
    </row>
    <row r="389" spans="1:27" ht="12" customHeight="1" x14ac:dyDescent="0.25">
      <c r="A389" t="s">
        <v>526</v>
      </c>
      <c r="B389" s="95" t="s">
        <v>378</v>
      </c>
      <c r="C389" s="73">
        <f t="shared" si="38"/>
        <v>-0.1</v>
      </c>
      <c r="D389" t="s">
        <v>467</v>
      </c>
      <c r="E389" s="73">
        <f t="shared" si="39"/>
        <v>1.6666666666666666E-2</v>
      </c>
      <c r="F389" s="162">
        <v>11004</v>
      </c>
      <c r="G389" s="162"/>
      <c r="H389" s="162">
        <v>1055</v>
      </c>
      <c r="I389" s="68">
        <v>1065</v>
      </c>
      <c r="J389" s="68">
        <v>1040</v>
      </c>
      <c r="K389" s="68">
        <v>1035</v>
      </c>
      <c r="L389" s="68">
        <v>990</v>
      </c>
      <c r="M389" s="68">
        <v>970</v>
      </c>
      <c r="N389" s="84" t="s">
        <v>378</v>
      </c>
      <c r="O389" s="162">
        <v>10889</v>
      </c>
      <c r="P389" s="162">
        <v>10946</v>
      </c>
      <c r="Q389" s="162">
        <v>11004</v>
      </c>
      <c r="R389" s="163">
        <v>10.9</v>
      </c>
      <c r="S389" s="163">
        <v>10.9</v>
      </c>
      <c r="T389" s="163">
        <v>10.9</v>
      </c>
      <c r="U389" s="163">
        <v>10.9</v>
      </c>
      <c r="V389" s="163">
        <v>11</v>
      </c>
      <c r="W389" s="163">
        <v>11</v>
      </c>
      <c r="X389" s="163">
        <v>11</v>
      </c>
      <c r="Y389" s="163"/>
      <c r="Z389" s="163"/>
      <c r="AA389" s="163"/>
    </row>
    <row r="390" spans="1:27" x14ac:dyDescent="0.25">
      <c r="A390" t="s">
        <v>517</v>
      </c>
      <c r="B390" s="95" t="s">
        <v>439</v>
      </c>
      <c r="C390" s="73">
        <f t="shared" si="38"/>
        <v>-9.9999999999999992E-2</v>
      </c>
      <c r="D390" t="s">
        <v>467</v>
      </c>
      <c r="E390" s="73">
        <f t="shared" si="39"/>
        <v>3.3276450511945395E-2</v>
      </c>
      <c r="F390" s="162">
        <v>11691</v>
      </c>
      <c r="G390" s="162"/>
      <c r="H390" s="162">
        <v>1300</v>
      </c>
      <c r="I390" s="68">
        <v>1245</v>
      </c>
      <c r="J390" s="68">
        <v>1220</v>
      </c>
      <c r="K390" s="68">
        <v>1155</v>
      </c>
      <c r="L390" s="68">
        <v>1135</v>
      </c>
      <c r="M390" s="68">
        <v>1105</v>
      </c>
      <c r="N390" s="84" t="s">
        <v>439</v>
      </c>
      <c r="O390" s="162">
        <v>11612</v>
      </c>
      <c r="P390" s="162">
        <v>11684</v>
      </c>
      <c r="Q390" s="162">
        <v>11691</v>
      </c>
      <c r="R390" s="163">
        <v>11.5</v>
      </c>
      <c r="S390" s="163">
        <v>11.5</v>
      </c>
      <c r="T390" s="163">
        <v>11.5</v>
      </c>
      <c r="U390" s="163">
        <v>11.5</v>
      </c>
      <c r="V390" s="163">
        <v>11.5</v>
      </c>
      <c r="W390" s="163">
        <v>11.4</v>
      </c>
      <c r="X390" s="163">
        <v>11.4</v>
      </c>
      <c r="Y390" s="163"/>
      <c r="Z390" s="163"/>
      <c r="AA390" s="163"/>
    </row>
    <row r="391" spans="1:27" x14ac:dyDescent="0.25">
      <c r="A391" t="s">
        <v>517</v>
      </c>
      <c r="B391" s="95" t="s">
        <v>868</v>
      </c>
      <c r="C391" s="73">
        <f t="shared" si="38"/>
        <v>-9.9999999999999992E-2</v>
      </c>
      <c r="D391" t="s">
        <v>118</v>
      </c>
      <c r="E391" s="73">
        <f t="shared" si="39"/>
        <v>2.7377311780981507E-2</v>
      </c>
      <c r="F391" s="162">
        <f>SUM(F386:F390)</f>
        <v>90194</v>
      </c>
      <c r="H391" s="162">
        <f t="shared" ref="H391:M391" si="40">SUM(H386:H390)</f>
        <v>7485</v>
      </c>
      <c r="I391" s="162">
        <f t="shared" si="40"/>
        <v>7240</v>
      </c>
      <c r="J391" s="162">
        <f t="shared" si="40"/>
        <v>7065</v>
      </c>
      <c r="K391" s="162">
        <f t="shared" si="40"/>
        <v>6850</v>
      </c>
      <c r="L391" s="162">
        <f t="shared" si="40"/>
        <v>6635</v>
      </c>
      <c r="M391" s="162">
        <f t="shared" si="40"/>
        <v>6545</v>
      </c>
      <c r="N391" s="84" t="s">
        <v>868</v>
      </c>
      <c r="O391" s="162">
        <f>SUM(O386:O390)</f>
        <v>88969</v>
      </c>
      <c r="P391" s="162">
        <f t="shared" ref="P391:X391" si="41">SUM(P386:P390)</f>
        <v>89523</v>
      </c>
      <c r="Q391" s="162">
        <f t="shared" si="41"/>
        <v>90194</v>
      </c>
      <c r="R391" s="163">
        <f t="shared" si="41"/>
        <v>88.800000000000011</v>
      </c>
      <c r="S391" s="163">
        <f t="shared" si="41"/>
        <v>88.7</v>
      </c>
      <c r="T391" s="163">
        <f t="shared" si="41"/>
        <v>88.7</v>
      </c>
      <c r="U391" s="163">
        <f t="shared" si="41"/>
        <v>88.7</v>
      </c>
      <c r="V391" s="163">
        <f t="shared" si="41"/>
        <v>88.7</v>
      </c>
      <c r="W391" s="163">
        <f t="shared" si="41"/>
        <v>88.500000000000014</v>
      </c>
      <c r="X391" s="163">
        <f t="shared" si="41"/>
        <v>88.600000000000009</v>
      </c>
      <c r="Y391" s="163"/>
      <c r="Z391" s="163"/>
      <c r="AA391" s="163"/>
    </row>
  </sheetData>
  <sheetProtection algorithmName="SHA-512" hashValue="gAPY5/nESxdemhxgzsc2bGx+HKFd5Lk3G8fzuM3IuAMFOjdFmn1W3qJ/e8XGERJqGwFMoglXORCi2p/r1L2+sQ==" saltValue="JGoKDm6hjLZpZP8xUyjLcw==" spinCount="100000" sheet="1" objects="1" scenarios="1"/>
  <sortState xmlns:xlrd2="http://schemas.microsoft.com/office/spreadsheetml/2017/richdata2" ref="AG2:AH347">
    <sortCondition ref="AG2:AG347"/>
  </sortState>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ABF2-861E-43C5-A6AE-FEDE3D4CCB1C}">
  <dimension ref="A1:AG386"/>
  <sheetViews>
    <sheetView zoomScaleNormal="100" workbookViewId="0">
      <pane xSplit="1" ySplit="1" topLeftCell="B327" activePane="bottomRight" state="frozen"/>
      <selection pane="topRight" activeCell="B1" sqref="B1"/>
      <selection pane="bottomLeft" activeCell="A2" sqref="A2"/>
      <selection pane="bottomRight" activeCell="R2" sqref="R2:R347"/>
    </sheetView>
  </sheetViews>
  <sheetFormatPr defaultRowHeight="12.5" x14ac:dyDescent="0.25"/>
  <cols>
    <col min="1" max="1" width="28.08984375" bestFit="1" customWidth="1"/>
    <col min="2" max="2" width="15.7265625" bestFit="1" customWidth="1"/>
    <col min="3" max="3" width="18.1796875" bestFit="1" customWidth="1"/>
    <col min="4" max="4" width="12.453125" bestFit="1" customWidth="1"/>
    <col min="5" max="5" width="17.81640625" bestFit="1" customWidth="1"/>
    <col min="6" max="6" width="20.7265625" bestFit="1" customWidth="1"/>
    <col min="7" max="7" width="26.6328125" bestFit="1" customWidth="1"/>
    <col min="8" max="8" width="32.54296875" bestFit="1" customWidth="1"/>
    <col min="9" max="9" width="9.54296875" customWidth="1"/>
    <col min="10" max="10" width="23.453125" bestFit="1" customWidth="1"/>
    <col min="11" max="11" width="24.81640625" bestFit="1" customWidth="1"/>
    <col min="12" max="12" width="23" bestFit="1" customWidth="1"/>
    <col min="13" max="13" width="28.6328125" bestFit="1" customWidth="1"/>
    <col min="14" max="14" width="29.453125" bestFit="1" customWidth="1"/>
    <col min="15" max="15" width="15.54296875" bestFit="1" customWidth="1"/>
    <col min="16" max="16" width="25.1796875" bestFit="1" customWidth="1"/>
    <col min="17" max="17" width="18.36328125" bestFit="1" customWidth="1"/>
    <col min="18" max="18" width="15" bestFit="1" customWidth="1"/>
    <col min="19" max="19" width="25.1796875" bestFit="1" customWidth="1"/>
    <col min="21" max="21" width="20.6328125" bestFit="1" customWidth="1"/>
    <col min="23" max="23" width="20.7265625" bestFit="1" customWidth="1"/>
    <col min="24" max="24" width="16.08984375" bestFit="1" customWidth="1"/>
    <col min="25" max="25" width="9.7265625" bestFit="1" customWidth="1"/>
    <col min="26" max="26" width="14" bestFit="1" customWidth="1"/>
    <col min="27" max="27" width="8.90625" customWidth="1"/>
    <col min="28" max="28" width="9.7265625" bestFit="1" customWidth="1"/>
    <col min="30" max="30" width="11.81640625" bestFit="1" customWidth="1"/>
    <col min="32" max="32" width="20.7265625" bestFit="1" customWidth="1"/>
    <col min="33" max="33" width="9.81640625" bestFit="1" customWidth="1"/>
  </cols>
  <sheetData>
    <row r="1" spans="1:19" x14ac:dyDescent="0.25">
      <c r="A1" t="s">
        <v>530</v>
      </c>
      <c r="B1" t="s">
        <v>796</v>
      </c>
      <c r="C1" t="s">
        <v>797</v>
      </c>
      <c r="D1" t="s">
        <v>799</v>
      </c>
      <c r="E1" t="s">
        <v>798</v>
      </c>
      <c r="F1" t="s">
        <v>900</v>
      </c>
      <c r="G1" t="s">
        <v>800</v>
      </c>
      <c r="H1" t="s">
        <v>801</v>
      </c>
      <c r="I1" t="s">
        <v>646</v>
      </c>
      <c r="J1" t="s">
        <v>647</v>
      </c>
      <c r="K1" t="s">
        <v>802</v>
      </c>
      <c r="L1" t="s">
        <v>904</v>
      </c>
      <c r="M1" t="s">
        <v>901</v>
      </c>
      <c r="N1" t="s">
        <v>902</v>
      </c>
      <c r="O1" t="s">
        <v>903</v>
      </c>
      <c r="P1" t="s">
        <v>905</v>
      </c>
      <c r="Q1" t="s">
        <v>906</v>
      </c>
      <c r="R1" t="s">
        <v>1018</v>
      </c>
      <c r="S1" t="s">
        <v>1019</v>
      </c>
    </row>
    <row r="2" spans="1:19" x14ac:dyDescent="0.25">
      <c r="A2" t="s">
        <v>106</v>
      </c>
      <c r="B2">
        <v>38969590.509533629</v>
      </c>
      <c r="C2">
        <v>35704535.509533629</v>
      </c>
      <c r="D2">
        <v>2067610</v>
      </c>
      <c r="E2">
        <v>0</v>
      </c>
      <c r="F2">
        <v>157010</v>
      </c>
      <c r="G2">
        <v>1040435</v>
      </c>
      <c r="H2">
        <v>7869</v>
      </c>
      <c r="K2">
        <v>271409.49046637118</v>
      </c>
      <c r="L2">
        <f>SUM(B2,H2*1000,K2)</f>
        <v>47110000</v>
      </c>
      <c r="M2">
        <v>63282</v>
      </c>
      <c r="N2">
        <v>65186</v>
      </c>
      <c r="O2">
        <v>-1904</v>
      </c>
      <c r="P2" s="188">
        <f>L2/(M2*1000)</f>
        <v>0.74444549792990111</v>
      </c>
      <c r="Q2">
        <v>258</v>
      </c>
      <c r="R2">
        <v>35</v>
      </c>
      <c r="S2" s="188">
        <v>5.0700000000000002E-2</v>
      </c>
    </row>
    <row r="3" spans="1:19" x14ac:dyDescent="0.25">
      <c r="A3" t="s">
        <v>238</v>
      </c>
      <c r="B3">
        <v>37018592.670011163</v>
      </c>
      <c r="C3">
        <v>34542858.670011163</v>
      </c>
      <c r="D3">
        <v>569236</v>
      </c>
      <c r="E3">
        <v>0</v>
      </c>
      <c r="F3">
        <v>1116642</v>
      </c>
      <c r="G3">
        <v>789856</v>
      </c>
      <c r="H3">
        <v>8154</v>
      </c>
      <c r="K3">
        <v>828407.32998883724</v>
      </c>
      <c r="L3">
        <f>SUM(B3,H3*1000,K3)</f>
        <v>46001000</v>
      </c>
      <c r="M3">
        <v>108385</v>
      </c>
      <c r="N3">
        <v>110480</v>
      </c>
      <c r="O3">
        <v>-2095</v>
      </c>
      <c r="P3" s="188">
        <f t="shared" ref="P3:P62" si="0">L3/(M3*1000)</f>
        <v>0.42442219864372377</v>
      </c>
      <c r="Q3">
        <v>2929</v>
      </c>
      <c r="R3">
        <v>2243</v>
      </c>
      <c r="S3" s="188">
        <v>4.02E-2</v>
      </c>
    </row>
    <row r="4" spans="1:19" x14ac:dyDescent="0.25">
      <c r="A4" t="s">
        <v>165</v>
      </c>
      <c r="B4">
        <v>46191196.831982434</v>
      </c>
      <c r="C4">
        <v>37981397.831982434</v>
      </c>
      <c r="D4">
        <v>816519</v>
      </c>
      <c r="E4">
        <v>0</v>
      </c>
      <c r="F4">
        <v>6699375</v>
      </c>
      <c r="G4">
        <v>693905</v>
      </c>
      <c r="H4">
        <v>6721</v>
      </c>
      <c r="K4">
        <v>422803.1680175662</v>
      </c>
      <c r="L4">
        <f t="shared" ref="L4:L63" si="1">SUM(B4,H4*1000,K4)</f>
        <v>53335000</v>
      </c>
      <c r="M4">
        <v>63650</v>
      </c>
      <c r="N4">
        <v>64141</v>
      </c>
      <c r="O4">
        <v>-491</v>
      </c>
      <c r="P4" s="188">
        <f t="shared" si="0"/>
        <v>0.83794186959937156</v>
      </c>
      <c r="Q4">
        <v>362</v>
      </c>
      <c r="R4">
        <v>69</v>
      </c>
      <c r="S4" s="188">
        <v>5.5399999999999998E-2</v>
      </c>
    </row>
    <row r="5" spans="1:19" x14ac:dyDescent="0.25">
      <c r="A5" t="s">
        <v>127</v>
      </c>
      <c r="B5">
        <v>52005238.496840909</v>
      </c>
      <c r="C5">
        <v>44202911.496840909</v>
      </c>
      <c r="D5">
        <v>1376205</v>
      </c>
      <c r="E5">
        <v>0</v>
      </c>
      <c r="F5">
        <v>5179812</v>
      </c>
      <c r="G5">
        <v>1246310</v>
      </c>
      <c r="H5">
        <v>12586</v>
      </c>
      <c r="K5">
        <v>798761.50315909088</v>
      </c>
      <c r="L5">
        <f t="shared" si="1"/>
        <v>65390000</v>
      </c>
      <c r="M5">
        <v>83306</v>
      </c>
      <c r="N5">
        <v>84690</v>
      </c>
      <c r="O5">
        <v>-1384</v>
      </c>
      <c r="P5" s="188">
        <f t="shared" si="0"/>
        <v>0.78493745948671168</v>
      </c>
      <c r="Q5">
        <v>2137</v>
      </c>
      <c r="R5">
        <v>1755</v>
      </c>
      <c r="S5" s="188">
        <v>4.7399999999999998E-2</v>
      </c>
    </row>
    <row r="6" spans="1:19" x14ac:dyDescent="0.25">
      <c r="A6" t="s">
        <v>283</v>
      </c>
      <c r="B6">
        <v>31078450.270781487</v>
      </c>
      <c r="C6">
        <v>28090433.270781487</v>
      </c>
      <c r="D6">
        <v>710217</v>
      </c>
      <c r="E6">
        <v>0</v>
      </c>
      <c r="F6">
        <v>1609090</v>
      </c>
      <c r="G6">
        <v>668710</v>
      </c>
      <c r="H6">
        <v>6413</v>
      </c>
      <c r="K6">
        <v>358549.72921851277</v>
      </c>
      <c r="L6">
        <f t="shared" si="1"/>
        <v>37850000</v>
      </c>
      <c r="M6">
        <v>53626</v>
      </c>
      <c r="N6">
        <v>55202</v>
      </c>
      <c r="O6">
        <v>-1576</v>
      </c>
      <c r="P6" s="188">
        <f t="shared" si="0"/>
        <v>0.70581434378846086</v>
      </c>
      <c r="Q6">
        <v>1512</v>
      </c>
      <c r="R6">
        <v>642</v>
      </c>
      <c r="S6" s="188">
        <v>4.5100000000000001E-2</v>
      </c>
    </row>
    <row r="7" spans="1:19" x14ac:dyDescent="0.25">
      <c r="A7" t="s">
        <v>284</v>
      </c>
      <c r="B7">
        <v>29565522.555506781</v>
      </c>
      <c r="C7">
        <v>28343696.555506781</v>
      </c>
      <c r="D7">
        <v>376081</v>
      </c>
      <c r="E7">
        <v>0</v>
      </c>
      <c r="F7">
        <v>298600</v>
      </c>
      <c r="G7">
        <v>547145</v>
      </c>
      <c r="H7">
        <v>8166</v>
      </c>
      <c r="K7">
        <v>483477.44449321926</v>
      </c>
      <c r="L7">
        <f t="shared" si="1"/>
        <v>38215000</v>
      </c>
      <c r="M7">
        <v>58529</v>
      </c>
      <c r="N7">
        <v>59526</v>
      </c>
      <c r="O7">
        <v>-997</v>
      </c>
      <c r="P7" s="188">
        <f t="shared" si="0"/>
        <v>0.6529241914264724</v>
      </c>
      <c r="Q7">
        <v>905</v>
      </c>
      <c r="R7">
        <v>164</v>
      </c>
      <c r="S7" s="188">
        <v>4.3799999999999999E-2</v>
      </c>
    </row>
    <row r="8" spans="1:19" x14ac:dyDescent="0.25">
      <c r="A8" t="s">
        <v>239</v>
      </c>
      <c r="B8">
        <v>232133427.89372554</v>
      </c>
      <c r="C8">
        <v>171419798.89372554</v>
      </c>
      <c r="D8">
        <v>4533826</v>
      </c>
      <c r="E8">
        <v>24782760</v>
      </c>
      <c r="F8">
        <v>13414657</v>
      </c>
      <c r="G8">
        <v>17982386</v>
      </c>
      <c r="H8">
        <v>57603</v>
      </c>
      <c r="K8">
        <v>7365572.1062744558</v>
      </c>
      <c r="L8">
        <f t="shared" si="1"/>
        <v>297102000</v>
      </c>
      <c r="M8">
        <v>392539</v>
      </c>
      <c r="N8">
        <v>398704</v>
      </c>
      <c r="O8">
        <v>-6165</v>
      </c>
      <c r="P8" s="188">
        <f t="shared" si="0"/>
        <v>0.75687256552852078</v>
      </c>
      <c r="Q8">
        <v>17542</v>
      </c>
      <c r="R8">
        <v>5939</v>
      </c>
      <c r="S8" s="188">
        <v>3.9800000000000002E-2</v>
      </c>
    </row>
    <row r="9" spans="1:19" x14ac:dyDescent="0.25">
      <c r="A9" t="s">
        <v>141</v>
      </c>
      <c r="B9">
        <v>178218587.18371111</v>
      </c>
      <c r="C9">
        <v>133426224.18371111</v>
      </c>
      <c r="D9">
        <v>3753681</v>
      </c>
      <c r="E9">
        <v>18819245</v>
      </c>
      <c r="F9">
        <v>13769157</v>
      </c>
      <c r="G9">
        <v>8450280</v>
      </c>
      <c r="H9">
        <v>49487</v>
      </c>
      <c r="K9">
        <v>4083412.8162888885</v>
      </c>
      <c r="L9">
        <f t="shared" si="1"/>
        <v>231789000</v>
      </c>
      <c r="M9">
        <v>304951</v>
      </c>
      <c r="N9">
        <v>299987</v>
      </c>
      <c r="O9">
        <v>4964</v>
      </c>
      <c r="P9" s="188">
        <f t="shared" si="0"/>
        <v>0.76008604661076695</v>
      </c>
      <c r="Q9">
        <v>5842</v>
      </c>
      <c r="R9">
        <v>531</v>
      </c>
      <c r="S9" s="188">
        <v>3.5700000000000003E-2</v>
      </c>
    </row>
    <row r="10" spans="1:19" x14ac:dyDescent="0.25">
      <c r="A10" t="s">
        <v>429</v>
      </c>
      <c r="B10">
        <v>433918705.10207444</v>
      </c>
      <c r="C10">
        <v>324852321.10207444</v>
      </c>
      <c r="D10">
        <v>7017028</v>
      </c>
      <c r="E10">
        <v>52767258</v>
      </c>
      <c r="F10">
        <v>12161221</v>
      </c>
      <c r="G10">
        <v>37120877</v>
      </c>
      <c r="H10">
        <v>135198</v>
      </c>
      <c r="K10">
        <v>46161294.897925556</v>
      </c>
      <c r="L10">
        <f t="shared" si="1"/>
        <v>615278000</v>
      </c>
      <c r="M10">
        <v>881518</v>
      </c>
      <c r="N10">
        <v>929218</v>
      </c>
      <c r="O10">
        <v>-47700</v>
      </c>
      <c r="P10" s="188">
        <f t="shared" si="0"/>
        <v>0.69797553765209563</v>
      </c>
      <c r="Q10">
        <v>20927</v>
      </c>
      <c r="R10">
        <v>2967</v>
      </c>
      <c r="S10" s="188">
        <v>7.46E-2</v>
      </c>
    </row>
    <row r="11" spans="1:19" x14ac:dyDescent="0.25">
      <c r="A11" t="s">
        <v>285</v>
      </c>
      <c r="B11">
        <v>175566699.0934158</v>
      </c>
      <c r="C11">
        <v>151758778.0934158</v>
      </c>
      <c r="D11">
        <v>5494171</v>
      </c>
      <c r="E11">
        <v>0</v>
      </c>
      <c r="F11">
        <v>15369616</v>
      </c>
      <c r="G11">
        <v>2944134</v>
      </c>
      <c r="H11">
        <v>37156</v>
      </c>
      <c r="K11">
        <v>2532300.9065842032</v>
      </c>
      <c r="L11">
        <f t="shared" si="1"/>
        <v>215255000</v>
      </c>
      <c r="M11">
        <v>309162</v>
      </c>
      <c r="N11">
        <v>311025</v>
      </c>
      <c r="O11">
        <v>-1863</v>
      </c>
      <c r="P11" s="188">
        <f t="shared" si="0"/>
        <v>0.69625309708178884</v>
      </c>
      <c r="Q11">
        <v>10209</v>
      </c>
      <c r="R11">
        <v>5065</v>
      </c>
      <c r="S11" s="188">
        <v>4.9299999999999997E-2</v>
      </c>
    </row>
    <row r="12" spans="1:19" x14ac:dyDescent="0.25">
      <c r="A12" t="s">
        <v>343</v>
      </c>
      <c r="B12">
        <v>13648280.921907758</v>
      </c>
      <c r="C12">
        <v>12052702.921907758</v>
      </c>
      <c r="D12">
        <v>409420</v>
      </c>
      <c r="E12">
        <v>0</v>
      </c>
      <c r="F12">
        <v>605361</v>
      </c>
      <c r="G12">
        <v>580797</v>
      </c>
      <c r="H12">
        <v>2286</v>
      </c>
      <c r="K12">
        <v>201719.07809224166</v>
      </c>
      <c r="L12">
        <f t="shared" si="1"/>
        <v>16136000</v>
      </c>
      <c r="M12">
        <v>22150</v>
      </c>
      <c r="N12">
        <v>21632</v>
      </c>
      <c r="O12">
        <v>518</v>
      </c>
      <c r="P12" s="188">
        <f t="shared" si="0"/>
        <v>0.72848758465011287</v>
      </c>
      <c r="Q12">
        <v>232</v>
      </c>
      <c r="R12">
        <v>43</v>
      </c>
      <c r="S12" s="188">
        <v>4.8899999999999999E-2</v>
      </c>
    </row>
    <row r="13" spans="1:19" x14ac:dyDescent="0.25">
      <c r="A13" t="s">
        <v>598</v>
      </c>
      <c r="B13">
        <v>76523300.596989974</v>
      </c>
      <c r="C13">
        <v>69207132.596989974</v>
      </c>
      <c r="D13">
        <v>1772921</v>
      </c>
      <c r="E13">
        <v>0</v>
      </c>
      <c r="F13">
        <v>4022731</v>
      </c>
      <c r="G13">
        <v>1520516</v>
      </c>
      <c r="H13">
        <v>11968</v>
      </c>
      <c r="K13">
        <v>735699.40301002562</v>
      </c>
      <c r="L13">
        <f t="shared" si="1"/>
        <v>89227000</v>
      </c>
      <c r="M13">
        <v>124531</v>
      </c>
      <c r="N13">
        <v>125619</v>
      </c>
      <c r="O13">
        <v>-1088</v>
      </c>
      <c r="P13" s="188">
        <f t="shared" si="0"/>
        <v>0.71650432422449029</v>
      </c>
      <c r="Q13">
        <v>1819</v>
      </c>
      <c r="R13">
        <v>743</v>
      </c>
      <c r="S13" s="188">
        <v>4.0599999999999997E-2</v>
      </c>
    </row>
    <row r="14" spans="1:19" x14ac:dyDescent="0.25">
      <c r="A14" t="s">
        <v>128</v>
      </c>
      <c r="B14">
        <v>8512159.3253647126</v>
      </c>
      <c r="C14">
        <v>7302356.3253647126</v>
      </c>
      <c r="D14">
        <v>109364</v>
      </c>
      <c r="E14">
        <v>0</v>
      </c>
      <c r="F14">
        <v>226822</v>
      </c>
      <c r="G14">
        <v>873617</v>
      </c>
      <c r="H14">
        <v>1129</v>
      </c>
      <c r="K14">
        <v>3124840.6746352874</v>
      </c>
      <c r="L14">
        <f t="shared" si="1"/>
        <v>12766000</v>
      </c>
      <c r="M14">
        <v>22262</v>
      </c>
      <c r="N14">
        <v>23673</v>
      </c>
      <c r="O14">
        <v>-1411</v>
      </c>
      <c r="P14" s="188">
        <f t="shared" si="0"/>
        <v>0.57344353607043397</v>
      </c>
      <c r="Q14">
        <v>2011</v>
      </c>
      <c r="R14">
        <v>71</v>
      </c>
      <c r="S14" s="188">
        <v>2.4300000000000002E-2</v>
      </c>
    </row>
    <row r="15" spans="1:19" x14ac:dyDescent="0.25">
      <c r="A15" t="s">
        <v>214</v>
      </c>
      <c r="B15">
        <v>315900040.3971315</v>
      </c>
      <c r="C15">
        <v>230540862.3971315</v>
      </c>
      <c r="D15">
        <v>6703069</v>
      </c>
      <c r="E15">
        <v>38448080</v>
      </c>
      <c r="F15">
        <v>19533441</v>
      </c>
      <c r="G15">
        <v>20674588</v>
      </c>
      <c r="H15">
        <v>73420</v>
      </c>
      <c r="K15">
        <v>6929959.6028684974</v>
      </c>
      <c r="L15">
        <f t="shared" si="1"/>
        <v>396250000</v>
      </c>
      <c r="M15">
        <v>537625</v>
      </c>
      <c r="N15">
        <v>564688</v>
      </c>
      <c r="O15">
        <v>-27063</v>
      </c>
      <c r="P15" s="188">
        <f t="shared" si="0"/>
        <v>0.73703789816321785</v>
      </c>
      <c r="Q15">
        <v>12323</v>
      </c>
      <c r="R15">
        <v>2335</v>
      </c>
      <c r="S15" s="188">
        <v>5.6100000000000004E-2</v>
      </c>
    </row>
    <row r="16" spans="1:19" x14ac:dyDescent="0.25">
      <c r="A16" t="s">
        <v>240</v>
      </c>
      <c r="B16">
        <v>115261888.31029224</v>
      </c>
      <c r="C16">
        <v>108920483.31029224</v>
      </c>
      <c r="D16">
        <v>1350759</v>
      </c>
      <c r="E16">
        <v>0</v>
      </c>
      <c r="F16">
        <v>2567392</v>
      </c>
      <c r="G16">
        <v>2423254</v>
      </c>
      <c r="H16">
        <v>38952</v>
      </c>
      <c r="K16">
        <v>3950111.689707756</v>
      </c>
      <c r="L16">
        <f t="shared" si="1"/>
        <v>158164000</v>
      </c>
      <c r="M16">
        <v>253450</v>
      </c>
      <c r="N16">
        <v>262304</v>
      </c>
      <c r="O16">
        <v>-8854</v>
      </c>
      <c r="P16" s="188">
        <f t="shared" si="0"/>
        <v>0.624044190175577</v>
      </c>
      <c r="Q16">
        <v>6246</v>
      </c>
      <c r="R16">
        <v>1305</v>
      </c>
      <c r="S16" s="188">
        <v>4.4800000000000006E-2</v>
      </c>
    </row>
    <row r="17" spans="1:19" x14ac:dyDescent="0.25">
      <c r="A17" t="s">
        <v>241</v>
      </c>
      <c r="B17">
        <v>2421541235.151907</v>
      </c>
      <c r="C17">
        <v>1886585308.1519067</v>
      </c>
      <c r="D17">
        <v>32829706</v>
      </c>
      <c r="E17">
        <v>148094239</v>
      </c>
      <c r="F17">
        <v>84674422</v>
      </c>
      <c r="G17">
        <v>269357560</v>
      </c>
      <c r="H17">
        <v>989791</v>
      </c>
      <c r="K17">
        <v>155109764.84809303</v>
      </c>
      <c r="L17">
        <f t="shared" si="1"/>
        <v>3566442000</v>
      </c>
      <c r="M17">
        <v>5762273</v>
      </c>
      <c r="N17">
        <v>5929211</v>
      </c>
      <c r="O17">
        <v>-166938</v>
      </c>
      <c r="P17" s="188">
        <f t="shared" si="0"/>
        <v>0.61892971749169123</v>
      </c>
      <c r="Q17">
        <v>316402</v>
      </c>
      <c r="R17">
        <v>231331</v>
      </c>
      <c r="S17" s="188">
        <v>4.3499999999999997E-2</v>
      </c>
    </row>
    <row r="18" spans="1:19" x14ac:dyDescent="0.25">
      <c r="A18" t="s">
        <v>166</v>
      </c>
      <c r="B18">
        <v>356167329.92842841</v>
      </c>
      <c r="C18">
        <v>250457311.92842841</v>
      </c>
      <c r="D18">
        <v>10526783</v>
      </c>
      <c r="E18">
        <v>52738061</v>
      </c>
      <c r="F18">
        <v>23251484</v>
      </c>
      <c r="G18">
        <v>19193690</v>
      </c>
      <c r="H18">
        <v>71100</v>
      </c>
      <c r="K18">
        <v>20794670.071571589</v>
      </c>
      <c r="L18">
        <f t="shared" si="1"/>
        <v>448062000</v>
      </c>
      <c r="M18">
        <v>580638</v>
      </c>
      <c r="N18">
        <v>569736</v>
      </c>
      <c r="O18">
        <v>10902</v>
      </c>
      <c r="P18" s="188">
        <f t="shared" si="0"/>
        <v>0.77167185061949095</v>
      </c>
      <c r="Q18">
        <v>23256</v>
      </c>
      <c r="R18">
        <v>8865</v>
      </c>
      <c r="S18" s="188">
        <v>3.95E-2</v>
      </c>
    </row>
    <row r="19" spans="1:19" x14ac:dyDescent="0.25">
      <c r="A19" t="s">
        <v>167</v>
      </c>
      <c r="B19">
        <v>448449660.01053911</v>
      </c>
      <c r="C19">
        <v>298564202.01053911</v>
      </c>
      <c r="D19">
        <v>6468921</v>
      </c>
      <c r="E19">
        <v>80023973</v>
      </c>
      <c r="F19">
        <v>32136515</v>
      </c>
      <c r="G19">
        <v>31256049</v>
      </c>
      <c r="H19">
        <v>135697</v>
      </c>
      <c r="K19">
        <v>10478339.989460886</v>
      </c>
      <c r="L19">
        <f t="shared" si="1"/>
        <v>594625000</v>
      </c>
      <c r="M19">
        <v>721414</v>
      </c>
      <c r="N19">
        <v>732171</v>
      </c>
      <c r="O19">
        <v>-10757</v>
      </c>
      <c r="P19" s="188">
        <f t="shared" si="0"/>
        <v>0.82424932147144359</v>
      </c>
      <c r="Q19">
        <v>19846</v>
      </c>
      <c r="R19">
        <v>1473</v>
      </c>
      <c r="S19" s="188">
        <v>4.3400000000000001E-2</v>
      </c>
    </row>
    <row r="20" spans="1:19" x14ac:dyDescent="0.25">
      <c r="A20" t="s">
        <v>107</v>
      </c>
      <c r="B20">
        <v>196128077.59243485</v>
      </c>
      <c r="C20">
        <v>115231067.59243485</v>
      </c>
      <c r="D20">
        <v>5308129</v>
      </c>
      <c r="E20">
        <v>46284619</v>
      </c>
      <c r="F20">
        <v>20021857</v>
      </c>
      <c r="G20">
        <v>9282405</v>
      </c>
      <c r="H20">
        <v>36761</v>
      </c>
      <c r="K20">
        <v>12155922.407565147</v>
      </c>
      <c r="L20">
        <f t="shared" si="1"/>
        <v>245045000</v>
      </c>
      <c r="M20">
        <v>289945</v>
      </c>
      <c r="N20">
        <v>291914</v>
      </c>
      <c r="O20">
        <v>-1969</v>
      </c>
      <c r="P20" s="188">
        <f t="shared" si="0"/>
        <v>0.84514304437048404</v>
      </c>
      <c r="Q20">
        <v>10399</v>
      </c>
      <c r="R20">
        <v>89</v>
      </c>
      <c r="S20" s="188">
        <v>5.3699999999999998E-2</v>
      </c>
    </row>
    <row r="21" spans="1:19" x14ac:dyDescent="0.25">
      <c r="A21" t="s">
        <v>344</v>
      </c>
      <c r="B21">
        <v>24098444.977866594</v>
      </c>
      <c r="C21">
        <v>21198858.977866594</v>
      </c>
      <c r="D21">
        <v>462911</v>
      </c>
      <c r="E21">
        <v>0</v>
      </c>
      <c r="F21">
        <v>1878596</v>
      </c>
      <c r="G21">
        <v>558079</v>
      </c>
      <c r="H21">
        <v>7011</v>
      </c>
      <c r="K21">
        <v>282555.02213340625</v>
      </c>
      <c r="L21">
        <f t="shared" si="1"/>
        <v>31392000</v>
      </c>
      <c r="M21">
        <v>40973</v>
      </c>
      <c r="N21">
        <v>41575</v>
      </c>
      <c r="O21">
        <v>-602</v>
      </c>
      <c r="P21" s="188">
        <f t="shared" si="0"/>
        <v>0.76616308300588187</v>
      </c>
      <c r="Q21">
        <v>391</v>
      </c>
      <c r="R21">
        <v>132</v>
      </c>
      <c r="S21" s="188">
        <v>5.5E-2</v>
      </c>
    </row>
    <row r="22" spans="1:19" x14ac:dyDescent="0.25">
      <c r="A22" t="s">
        <v>345</v>
      </c>
      <c r="B22">
        <v>11345418.06512728</v>
      </c>
      <c r="C22">
        <v>10701589.06512728</v>
      </c>
      <c r="D22">
        <v>96463</v>
      </c>
      <c r="E22">
        <v>0</v>
      </c>
      <c r="F22">
        <v>30123</v>
      </c>
      <c r="G22">
        <v>517243</v>
      </c>
      <c r="H22">
        <v>1753</v>
      </c>
      <c r="K22">
        <v>169581.93487272039</v>
      </c>
      <c r="L22">
        <f t="shared" si="1"/>
        <v>13268000</v>
      </c>
      <c r="M22">
        <v>17984</v>
      </c>
      <c r="N22">
        <v>18451</v>
      </c>
      <c r="O22">
        <v>-467</v>
      </c>
      <c r="P22" s="188">
        <f t="shared" si="0"/>
        <v>0.73776690391459077</v>
      </c>
      <c r="Q22">
        <v>412</v>
      </c>
      <c r="R22">
        <v>9</v>
      </c>
      <c r="S22" s="188">
        <v>4.7800000000000002E-2</v>
      </c>
    </row>
    <row r="23" spans="1:19" x14ac:dyDescent="0.25">
      <c r="A23" t="s">
        <v>215</v>
      </c>
      <c r="B23">
        <v>36257157.564176239</v>
      </c>
      <c r="C23">
        <v>33634910.564176239</v>
      </c>
      <c r="D23">
        <v>916400</v>
      </c>
      <c r="E23">
        <v>0</v>
      </c>
      <c r="F23">
        <v>1067763</v>
      </c>
      <c r="G23">
        <v>638084</v>
      </c>
      <c r="H23">
        <v>11477</v>
      </c>
      <c r="K23">
        <v>319842.43582376093</v>
      </c>
      <c r="L23">
        <f t="shared" si="1"/>
        <v>48054000</v>
      </c>
      <c r="M23">
        <v>60045</v>
      </c>
      <c r="N23">
        <v>60715</v>
      </c>
      <c r="O23">
        <v>-670</v>
      </c>
      <c r="P23" s="188">
        <f t="shared" si="0"/>
        <v>0.8002997751686235</v>
      </c>
      <c r="Q23">
        <v>876</v>
      </c>
      <c r="R23">
        <v>64</v>
      </c>
      <c r="S23" s="188">
        <v>4.4999999999999998E-2</v>
      </c>
    </row>
    <row r="24" spans="1:19" x14ac:dyDescent="0.25">
      <c r="A24" t="s">
        <v>286</v>
      </c>
      <c r="B24">
        <v>62091362.669997282</v>
      </c>
      <c r="C24">
        <v>59626697.669997282</v>
      </c>
      <c r="D24">
        <v>1211053</v>
      </c>
      <c r="E24">
        <v>0</v>
      </c>
      <c r="F24">
        <v>214754</v>
      </c>
      <c r="G24">
        <v>1038858</v>
      </c>
      <c r="H24">
        <v>16151</v>
      </c>
      <c r="K24">
        <v>2834637.3300027177</v>
      </c>
      <c r="L24">
        <f t="shared" si="1"/>
        <v>81077000</v>
      </c>
      <c r="M24">
        <v>117875</v>
      </c>
      <c r="N24">
        <v>119620</v>
      </c>
      <c r="O24">
        <v>-1745</v>
      </c>
      <c r="P24" s="188">
        <f t="shared" si="0"/>
        <v>0.68782184517497347</v>
      </c>
      <c r="Q24">
        <v>5283</v>
      </c>
      <c r="R24">
        <v>1025</v>
      </c>
      <c r="S24" s="188">
        <v>3.7000000000000005E-2</v>
      </c>
    </row>
    <row r="25" spans="1:19" x14ac:dyDescent="0.25">
      <c r="A25" t="s">
        <v>168</v>
      </c>
      <c r="B25">
        <v>85843377.904628694</v>
      </c>
      <c r="C25">
        <v>72721025.904628694</v>
      </c>
      <c r="D25">
        <v>8478008</v>
      </c>
      <c r="E25">
        <v>0</v>
      </c>
      <c r="F25">
        <v>3016675</v>
      </c>
      <c r="G25">
        <v>1627669</v>
      </c>
      <c r="H25">
        <v>11878</v>
      </c>
      <c r="K25">
        <v>1287622.0953713059</v>
      </c>
      <c r="L25">
        <f t="shared" si="1"/>
        <v>99009000</v>
      </c>
      <c r="M25">
        <v>140533</v>
      </c>
      <c r="N25">
        <v>147476</v>
      </c>
      <c r="O25">
        <v>-6943</v>
      </c>
      <c r="P25" s="188">
        <f t="shared" si="0"/>
        <v>0.70452491585606225</v>
      </c>
      <c r="Q25">
        <v>8122</v>
      </c>
      <c r="R25">
        <v>3485</v>
      </c>
      <c r="S25" s="188">
        <v>4.4600000000000001E-2</v>
      </c>
    </row>
    <row r="26" spans="1:19" x14ac:dyDescent="0.25">
      <c r="A26" t="s">
        <v>400</v>
      </c>
      <c r="B26">
        <v>23162654.044313248</v>
      </c>
      <c r="C26">
        <v>20928367.044313248</v>
      </c>
      <c r="D26">
        <v>409305</v>
      </c>
      <c r="E26">
        <v>0</v>
      </c>
      <c r="F26">
        <v>1357270</v>
      </c>
      <c r="G26">
        <v>467712</v>
      </c>
      <c r="H26">
        <v>3636</v>
      </c>
      <c r="K26">
        <v>415345.95568675175</v>
      </c>
      <c r="L26">
        <f t="shared" si="1"/>
        <v>27214000</v>
      </c>
      <c r="M26">
        <v>39542</v>
      </c>
      <c r="N26">
        <v>41368</v>
      </c>
      <c r="O26">
        <v>-1826</v>
      </c>
      <c r="P26" s="188">
        <f t="shared" si="0"/>
        <v>0.68823023620454205</v>
      </c>
      <c r="Q26">
        <v>381</v>
      </c>
      <c r="R26">
        <v>10</v>
      </c>
      <c r="S26" s="188">
        <v>5.7599999999999998E-2</v>
      </c>
    </row>
    <row r="27" spans="1:19" x14ac:dyDescent="0.25">
      <c r="A27" t="s">
        <v>599</v>
      </c>
      <c r="B27">
        <v>55003690.627421528</v>
      </c>
      <c r="C27">
        <v>48230393.627421528</v>
      </c>
      <c r="D27">
        <v>648666</v>
      </c>
      <c r="E27">
        <v>0</v>
      </c>
      <c r="F27">
        <v>5206212</v>
      </c>
      <c r="G27">
        <v>918419</v>
      </c>
      <c r="H27">
        <v>12217</v>
      </c>
      <c r="K27">
        <v>1580309.3725784719</v>
      </c>
      <c r="L27">
        <f t="shared" si="1"/>
        <v>68801000</v>
      </c>
      <c r="M27">
        <v>85632</v>
      </c>
      <c r="N27">
        <v>89532</v>
      </c>
      <c r="O27">
        <v>-3900</v>
      </c>
      <c r="P27" s="188">
        <f t="shared" si="0"/>
        <v>0.80344964499252614</v>
      </c>
      <c r="Q27">
        <v>737</v>
      </c>
      <c r="R27">
        <v>15</v>
      </c>
      <c r="S27" s="188">
        <v>5.4800000000000001E-2</v>
      </c>
    </row>
    <row r="28" spans="1:19" x14ac:dyDescent="0.25">
      <c r="A28" t="s">
        <v>401</v>
      </c>
      <c r="B28">
        <v>21253045.662390511</v>
      </c>
      <c r="C28">
        <v>18706654.662390511</v>
      </c>
      <c r="D28">
        <v>262570</v>
      </c>
      <c r="E28">
        <v>0</v>
      </c>
      <c r="F28">
        <v>1654586</v>
      </c>
      <c r="G28">
        <v>629235</v>
      </c>
      <c r="H28">
        <v>4672</v>
      </c>
      <c r="K28">
        <v>697954.33760948852</v>
      </c>
      <c r="L28">
        <f t="shared" si="1"/>
        <v>26623000</v>
      </c>
      <c r="M28">
        <v>32483</v>
      </c>
      <c r="N28">
        <v>34455</v>
      </c>
      <c r="O28">
        <v>-1972</v>
      </c>
      <c r="P28" s="188">
        <f t="shared" si="0"/>
        <v>0.81959794353969773</v>
      </c>
      <c r="Q28">
        <v>275</v>
      </c>
      <c r="R28">
        <v>77</v>
      </c>
      <c r="S28" s="188">
        <v>5.91E-2</v>
      </c>
    </row>
    <row r="29" spans="1:19" x14ac:dyDescent="0.25">
      <c r="A29" t="s">
        <v>527</v>
      </c>
      <c r="B29">
        <v>56702911.678607173</v>
      </c>
      <c r="C29">
        <v>49279696.678607173</v>
      </c>
      <c r="D29">
        <v>1466555</v>
      </c>
      <c r="E29">
        <v>0</v>
      </c>
      <c r="F29">
        <v>4606055</v>
      </c>
      <c r="G29">
        <v>1350605</v>
      </c>
      <c r="H29">
        <v>14812</v>
      </c>
      <c r="K29">
        <v>735088.32139282674</v>
      </c>
      <c r="L29">
        <f t="shared" si="1"/>
        <v>72250000</v>
      </c>
      <c r="M29">
        <v>116931</v>
      </c>
      <c r="N29">
        <v>120809</v>
      </c>
      <c r="O29">
        <v>-3878</v>
      </c>
      <c r="P29" s="188">
        <f t="shared" si="0"/>
        <v>0.61788576168851717</v>
      </c>
      <c r="Q29">
        <v>654</v>
      </c>
      <c r="R29">
        <v>161</v>
      </c>
      <c r="S29" s="188">
        <v>4.6199999999999998E-2</v>
      </c>
    </row>
    <row r="30" spans="1:19" x14ac:dyDescent="0.25">
      <c r="A30" t="s">
        <v>346</v>
      </c>
      <c r="B30">
        <v>26385132.408090465</v>
      </c>
      <c r="C30">
        <v>22157012.408090465</v>
      </c>
      <c r="D30">
        <v>917387</v>
      </c>
      <c r="E30">
        <v>0</v>
      </c>
      <c r="F30">
        <v>2543081</v>
      </c>
      <c r="G30">
        <v>767652</v>
      </c>
      <c r="H30">
        <v>3633</v>
      </c>
      <c r="K30">
        <v>597867.59190953523</v>
      </c>
      <c r="L30">
        <f t="shared" si="1"/>
        <v>30616000</v>
      </c>
      <c r="M30">
        <v>48059</v>
      </c>
      <c r="N30">
        <v>48769</v>
      </c>
      <c r="O30">
        <v>-710</v>
      </c>
      <c r="P30" s="188">
        <f t="shared" si="0"/>
        <v>0.63705029234898769</v>
      </c>
      <c r="Q30">
        <v>1544</v>
      </c>
      <c r="R30">
        <v>1088</v>
      </c>
      <c r="S30" s="188">
        <v>4.8799999999999996E-2</v>
      </c>
    </row>
    <row r="31" spans="1:19" x14ac:dyDescent="0.25">
      <c r="A31" t="s">
        <v>436</v>
      </c>
      <c r="B31">
        <v>22379415.001256369</v>
      </c>
      <c r="C31">
        <v>18877495.001256369</v>
      </c>
      <c r="D31">
        <v>262409</v>
      </c>
      <c r="E31">
        <v>0</v>
      </c>
      <c r="F31">
        <v>2694918</v>
      </c>
      <c r="G31">
        <v>544593</v>
      </c>
      <c r="H31">
        <v>3866</v>
      </c>
      <c r="K31">
        <v>657584.99874363095</v>
      </c>
      <c r="L31">
        <f t="shared" si="1"/>
        <v>26903000</v>
      </c>
      <c r="M31">
        <v>37454</v>
      </c>
      <c r="N31">
        <v>38249</v>
      </c>
      <c r="O31">
        <v>-795</v>
      </c>
      <c r="P31" s="188">
        <f t="shared" si="0"/>
        <v>0.71829444118118224</v>
      </c>
      <c r="Q31">
        <v>571</v>
      </c>
      <c r="R31">
        <v>576</v>
      </c>
      <c r="S31" s="188">
        <v>4.6699999999999998E-2</v>
      </c>
    </row>
    <row r="32" spans="1:19" x14ac:dyDescent="0.25">
      <c r="A32" t="s">
        <v>437</v>
      </c>
      <c r="B32">
        <v>39682412.813379787</v>
      </c>
      <c r="C32">
        <v>35514773.813379787</v>
      </c>
      <c r="D32">
        <v>749409</v>
      </c>
      <c r="E32">
        <v>0</v>
      </c>
      <c r="F32">
        <v>1499587</v>
      </c>
      <c r="G32">
        <v>1918643</v>
      </c>
      <c r="H32">
        <v>10591</v>
      </c>
      <c r="K32">
        <v>184587.18662021309</v>
      </c>
      <c r="L32">
        <f t="shared" si="1"/>
        <v>50458000</v>
      </c>
      <c r="M32">
        <v>82284</v>
      </c>
      <c r="N32">
        <v>75480</v>
      </c>
      <c r="O32">
        <v>6804</v>
      </c>
      <c r="P32" s="188">
        <f t="shared" si="0"/>
        <v>0.61321763647853778</v>
      </c>
      <c r="Q32">
        <v>4147</v>
      </c>
      <c r="R32">
        <v>2288</v>
      </c>
      <c r="S32" s="188">
        <v>3.0999999999999999E-3</v>
      </c>
    </row>
    <row r="33" spans="1:19" x14ac:dyDescent="0.25">
      <c r="A33" t="s">
        <v>347</v>
      </c>
      <c r="B33">
        <v>146102441.10123789</v>
      </c>
      <c r="C33">
        <v>108740269.10123789</v>
      </c>
      <c r="D33">
        <v>2043731</v>
      </c>
      <c r="E33">
        <v>16710424</v>
      </c>
      <c r="F33">
        <v>12408291</v>
      </c>
      <c r="G33">
        <v>6199726</v>
      </c>
      <c r="H33">
        <v>38008</v>
      </c>
      <c r="K33">
        <v>3897558.8987621069</v>
      </c>
      <c r="L33">
        <f t="shared" si="1"/>
        <v>188008000</v>
      </c>
      <c r="M33">
        <v>298827</v>
      </c>
      <c r="N33">
        <v>298832</v>
      </c>
      <c r="O33">
        <v>-5</v>
      </c>
      <c r="P33" s="188">
        <f t="shared" si="0"/>
        <v>0.62915332282558134</v>
      </c>
      <c r="Q33">
        <v>5171</v>
      </c>
      <c r="R33">
        <v>33</v>
      </c>
      <c r="S33" s="188">
        <v>3.8599999999999995E-2</v>
      </c>
    </row>
    <row r="34" spans="1:19" x14ac:dyDescent="0.25">
      <c r="A34" t="s">
        <v>169</v>
      </c>
      <c r="B34">
        <v>70473154.770674855</v>
      </c>
      <c r="C34">
        <v>61134554.770674862</v>
      </c>
      <c r="D34">
        <v>1111191</v>
      </c>
      <c r="E34">
        <v>0</v>
      </c>
      <c r="F34">
        <v>6728842</v>
      </c>
      <c r="G34">
        <v>1498567</v>
      </c>
      <c r="H34">
        <v>16514</v>
      </c>
      <c r="K34">
        <v>380845.22932514548</v>
      </c>
      <c r="L34">
        <f t="shared" si="1"/>
        <v>87368000</v>
      </c>
      <c r="M34">
        <v>112976</v>
      </c>
      <c r="N34">
        <v>122659</v>
      </c>
      <c r="O34">
        <v>-9683</v>
      </c>
      <c r="P34" s="188">
        <f t="shared" si="0"/>
        <v>0.7733323891800028</v>
      </c>
      <c r="Q34">
        <v>363</v>
      </c>
      <c r="R34">
        <v>4</v>
      </c>
      <c r="S34" s="188">
        <v>5.9900000000000002E-2</v>
      </c>
    </row>
    <row r="35" spans="1:19" x14ac:dyDescent="0.25">
      <c r="A35" t="s">
        <v>348</v>
      </c>
      <c r="B35">
        <v>42959793.458199061</v>
      </c>
      <c r="C35">
        <v>36705782.458199061</v>
      </c>
      <c r="D35">
        <v>582284</v>
      </c>
      <c r="E35">
        <v>0</v>
      </c>
      <c r="F35">
        <v>4914475</v>
      </c>
      <c r="G35">
        <v>757252</v>
      </c>
      <c r="H35">
        <v>6579</v>
      </c>
      <c r="K35">
        <v>683206.54180093855</v>
      </c>
      <c r="L35">
        <f t="shared" si="1"/>
        <v>50222000</v>
      </c>
      <c r="M35">
        <v>85377</v>
      </c>
      <c r="N35">
        <v>85147</v>
      </c>
      <c r="O35">
        <v>230</v>
      </c>
      <c r="P35" s="188">
        <f t="shared" si="0"/>
        <v>0.58823805006032071</v>
      </c>
      <c r="Q35">
        <v>1261</v>
      </c>
      <c r="R35">
        <v>302</v>
      </c>
      <c r="S35" s="188">
        <v>5.6100000000000004E-2</v>
      </c>
    </row>
    <row r="36" spans="1:19" x14ac:dyDescent="0.25">
      <c r="A36" t="s">
        <v>349</v>
      </c>
      <c r="B36">
        <v>42327051.675600469</v>
      </c>
      <c r="C36">
        <v>37031707.675600469</v>
      </c>
      <c r="D36">
        <v>911042</v>
      </c>
      <c r="E36">
        <v>0</v>
      </c>
      <c r="F36">
        <v>3482377</v>
      </c>
      <c r="G36">
        <v>901925</v>
      </c>
      <c r="H36">
        <v>8574</v>
      </c>
      <c r="K36">
        <v>572948.32439953089</v>
      </c>
      <c r="L36">
        <f t="shared" si="1"/>
        <v>51474000</v>
      </c>
      <c r="M36">
        <v>81256</v>
      </c>
      <c r="N36">
        <v>83866</v>
      </c>
      <c r="O36">
        <v>-2610</v>
      </c>
      <c r="P36" s="188">
        <f t="shared" si="0"/>
        <v>0.63347937383085562</v>
      </c>
      <c r="Q36">
        <v>1831</v>
      </c>
      <c r="R36">
        <v>119</v>
      </c>
      <c r="S36" s="188">
        <v>5.4199999999999998E-2</v>
      </c>
    </row>
    <row r="37" spans="1:19" x14ac:dyDescent="0.25">
      <c r="A37" t="s">
        <v>170</v>
      </c>
      <c r="B37">
        <v>36049439.084546454</v>
      </c>
      <c r="C37">
        <v>31820375.084546454</v>
      </c>
      <c r="D37">
        <v>399525</v>
      </c>
      <c r="E37">
        <v>0</v>
      </c>
      <c r="F37">
        <v>3092091</v>
      </c>
      <c r="G37">
        <v>737448</v>
      </c>
      <c r="H37">
        <v>8137</v>
      </c>
      <c r="K37">
        <v>314560.91545354575</v>
      </c>
      <c r="L37">
        <f t="shared" si="1"/>
        <v>44501000</v>
      </c>
      <c r="M37">
        <v>66730</v>
      </c>
      <c r="N37">
        <v>64530</v>
      </c>
      <c r="O37">
        <v>2200</v>
      </c>
      <c r="P37" s="188">
        <f t="shared" si="0"/>
        <v>0.66688146261052006</v>
      </c>
      <c r="Q37">
        <v>1778</v>
      </c>
      <c r="R37">
        <v>936</v>
      </c>
      <c r="S37" s="188">
        <v>3.2099999999999997E-2</v>
      </c>
    </row>
    <row r="38" spans="1:19" x14ac:dyDescent="0.25">
      <c r="A38" t="s">
        <v>243</v>
      </c>
      <c r="B38">
        <v>70540049.9037624</v>
      </c>
      <c r="C38">
        <v>63191146.9037624</v>
      </c>
      <c r="D38">
        <v>851409</v>
      </c>
      <c r="E38">
        <v>0</v>
      </c>
      <c r="F38">
        <v>5135664</v>
      </c>
      <c r="G38">
        <v>1361830</v>
      </c>
      <c r="H38">
        <v>22578</v>
      </c>
      <c r="K38">
        <v>1817950.0962375998</v>
      </c>
      <c r="L38">
        <f t="shared" si="1"/>
        <v>94936000</v>
      </c>
      <c r="M38">
        <v>131945</v>
      </c>
      <c r="N38">
        <v>129236</v>
      </c>
      <c r="O38">
        <v>2709</v>
      </c>
      <c r="P38" s="188">
        <f t="shared" si="0"/>
        <v>0.71951191784455648</v>
      </c>
      <c r="Q38">
        <v>3326</v>
      </c>
      <c r="R38">
        <v>1971</v>
      </c>
      <c r="S38" s="188">
        <v>3.5200000000000002E-2</v>
      </c>
    </row>
    <row r="39" spans="1:19" x14ac:dyDescent="0.25">
      <c r="A39" t="s">
        <v>350</v>
      </c>
      <c r="B39">
        <v>32688706.645036276</v>
      </c>
      <c r="C39">
        <v>25774969.645036276</v>
      </c>
      <c r="D39">
        <v>446455</v>
      </c>
      <c r="E39">
        <v>0</v>
      </c>
      <c r="F39">
        <v>5649345</v>
      </c>
      <c r="G39">
        <v>817937</v>
      </c>
      <c r="H39">
        <v>6741</v>
      </c>
      <c r="K39">
        <v>918293.35496372357</v>
      </c>
      <c r="L39">
        <f t="shared" si="1"/>
        <v>40348000</v>
      </c>
      <c r="M39">
        <v>51692</v>
      </c>
      <c r="N39">
        <v>53123</v>
      </c>
      <c r="O39">
        <v>-1431</v>
      </c>
      <c r="P39" s="188">
        <f t="shared" si="0"/>
        <v>0.78054631277567132</v>
      </c>
      <c r="Q39">
        <v>869</v>
      </c>
      <c r="R39">
        <v>108</v>
      </c>
      <c r="S39" s="188">
        <v>4.7100000000000003E-2</v>
      </c>
    </row>
    <row r="40" spans="1:19" x14ac:dyDescent="0.25">
      <c r="A40" t="s">
        <v>244</v>
      </c>
      <c r="B40">
        <v>11840830.532880612</v>
      </c>
      <c r="C40">
        <v>11229217.532880612</v>
      </c>
      <c r="D40">
        <v>100488</v>
      </c>
      <c r="E40">
        <v>0</v>
      </c>
      <c r="F40">
        <v>150843</v>
      </c>
      <c r="G40">
        <v>360282</v>
      </c>
      <c r="H40">
        <v>3282</v>
      </c>
      <c r="K40">
        <v>85169.467119388282</v>
      </c>
      <c r="L40">
        <f t="shared" si="1"/>
        <v>15208000</v>
      </c>
      <c r="M40">
        <v>34367</v>
      </c>
      <c r="N40">
        <v>35331</v>
      </c>
      <c r="O40">
        <v>-964</v>
      </c>
      <c r="P40" s="188">
        <f t="shared" si="0"/>
        <v>0.44251753135275118</v>
      </c>
      <c r="Q40">
        <v>887</v>
      </c>
      <c r="R40">
        <v>778</v>
      </c>
      <c r="S40" s="188">
        <v>5.1499999999999997E-2</v>
      </c>
    </row>
    <row r="41" spans="1:19" x14ac:dyDescent="0.25">
      <c r="A41" t="s">
        <v>245</v>
      </c>
      <c r="B41">
        <v>23518997.971682794</v>
      </c>
      <c r="C41">
        <v>21318623.971682794</v>
      </c>
      <c r="D41">
        <v>314346</v>
      </c>
      <c r="E41">
        <v>0</v>
      </c>
      <c r="F41">
        <v>892599</v>
      </c>
      <c r="G41">
        <v>993429</v>
      </c>
      <c r="H41">
        <v>5591</v>
      </c>
      <c r="K41">
        <v>210002.02831720561</v>
      </c>
      <c r="L41">
        <f t="shared" si="1"/>
        <v>29320000</v>
      </c>
      <c r="M41">
        <v>53920</v>
      </c>
      <c r="N41">
        <v>54023</v>
      </c>
      <c r="O41">
        <v>-103</v>
      </c>
      <c r="P41" s="188">
        <f t="shared" si="0"/>
        <v>0.54376854599406532</v>
      </c>
      <c r="Q41">
        <v>2127</v>
      </c>
      <c r="R41">
        <v>1065</v>
      </c>
      <c r="S41" s="188">
        <v>3.32E-2</v>
      </c>
    </row>
    <row r="42" spans="1:19" x14ac:dyDescent="0.25">
      <c r="A42" t="s">
        <v>287</v>
      </c>
      <c r="B42">
        <v>44924642.83068192</v>
      </c>
      <c r="C42">
        <v>41291944.83068192</v>
      </c>
      <c r="D42">
        <v>1367348</v>
      </c>
      <c r="E42">
        <v>0</v>
      </c>
      <c r="F42">
        <v>1340591</v>
      </c>
      <c r="G42">
        <v>924759</v>
      </c>
      <c r="H42">
        <v>8000</v>
      </c>
      <c r="K42">
        <v>416357.16931807995</v>
      </c>
      <c r="L42">
        <f t="shared" si="1"/>
        <v>53341000</v>
      </c>
      <c r="M42">
        <v>86972</v>
      </c>
      <c r="N42">
        <v>87197</v>
      </c>
      <c r="O42">
        <v>-225</v>
      </c>
      <c r="P42" s="188">
        <f t="shared" si="0"/>
        <v>0.61331233040518784</v>
      </c>
      <c r="Q42">
        <v>2456</v>
      </c>
      <c r="R42">
        <v>1050</v>
      </c>
      <c r="S42" s="188">
        <v>3.1600000000000003E-2</v>
      </c>
    </row>
    <row r="43" spans="1:19" x14ac:dyDescent="0.25">
      <c r="A43" t="s">
        <v>351</v>
      </c>
      <c r="B43">
        <v>14735914.587815426</v>
      </c>
      <c r="C43">
        <v>12968871.587815426</v>
      </c>
      <c r="D43">
        <v>84499</v>
      </c>
      <c r="E43">
        <v>0</v>
      </c>
      <c r="F43">
        <v>1360643</v>
      </c>
      <c r="G43">
        <v>321901</v>
      </c>
      <c r="H43">
        <v>2054</v>
      </c>
      <c r="K43">
        <v>205085.41218457371</v>
      </c>
      <c r="L43">
        <f t="shared" si="1"/>
        <v>16995000</v>
      </c>
      <c r="M43">
        <v>31938</v>
      </c>
      <c r="N43">
        <v>31881</v>
      </c>
      <c r="O43">
        <v>57</v>
      </c>
      <c r="P43" s="188">
        <f t="shared" si="0"/>
        <v>0.53212474168701862</v>
      </c>
      <c r="Q43">
        <v>440</v>
      </c>
      <c r="R43">
        <v>24</v>
      </c>
      <c r="S43" s="188">
        <v>4.7E-2</v>
      </c>
    </row>
    <row r="44" spans="1:19" x14ac:dyDescent="0.25">
      <c r="A44" t="s">
        <v>108</v>
      </c>
      <c r="B44">
        <v>46655600.535146348</v>
      </c>
      <c r="C44">
        <v>38664742.535146348</v>
      </c>
      <c r="D44">
        <v>1801819</v>
      </c>
      <c r="E44">
        <v>0</v>
      </c>
      <c r="F44">
        <v>5133651</v>
      </c>
      <c r="G44">
        <v>1055388</v>
      </c>
      <c r="H44">
        <v>9498</v>
      </c>
      <c r="K44">
        <v>1449399.4648536518</v>
      </c>
      <c r="L44">
        <f t="shared" si="1"/>
        <v>57603000</v>
      </c>
      <c r="M44">
        <v>69704</v>
      </c>
      <c r="N44">
        <v>69220</v>
      </c>
      <c r="O44">
        <v>484</v>
      </c>
      <c r="P44" s="188">
        <f t="shared" si="0"/>
        <v>0.82639446803626759</v>
      </c>
      <c r="Q44">
        <v>379</v>
      </c>
      <c r="R44">
        <v>38</v>
      </c>
      <c r="S44" s="188">
        <v>4.1200000000000001E-2</v>
      </c>
    </row>
    <row r="45" spans="1:19" x14ac:dyDescent="0.25">
      <c r="A45" t="s">
        <v>142</v>
      </c>
      <c r="B45">
        <v>34332952.489207357</v>
      </c>
      <c r="C45">
        <v>29605665.489207353</v>
      </c>
      <c r="D45">
        <v>1127717</v>
      </c>
      <c r="E45">
        <v>0</v>
      </c>
      <c r="F45">
        <v>2869298</v>
      </c>
      <c r="G45">
        <v>730272</v>
      </c>
      <c r="H45">
        <v>7439</v>
      </c>
      <c r="K45">
        <v>696047.51079264283</v>
      </c>
      <c r="L45">
        <f t="shared" si="1"/>
        <v>42468000</v>
      </c>
      <c r="M45">
        <v>66017</v>
      </c>
      <c r="N45">
        <v>67364</v>
      </c>
      <c r="O45">
        <v>-1347</v>
      </c>
      <c r="P45" s="188">
        <f t="shared" si="0"/>
        <v>0.64328884984170742</v>
      </c>
      <c r="Q45">
        <v>836</v>
      </c>
      <c r="R45">
        <v>10</v>
      </c>
      <c r="S45" s="188">
        <v>4.4900000000000002E-2</v>
      </c>
    </row>
    <row r="46" spans="1:19" x14ac:dyDescent="0.25">
      <c r="A46" t="s">
        <v>330</v>
      </c>
      <c r="B46">
        <v>32442433.97493453</v>
      </c>
      <c r="C46">
        <v>28879753.97493453</v>
      </c>
      <c r="D46">
        <v>741701</v>
      </c>
      <c r="E46">
        <v>0</v>
      </c>
      <c r="F46">
        <v>1779897</v>
      </c>
      <c r="G46">
        <v>1041082</v>
      </c>
      <c r="H46">
        <v>4828</v>
      </c>
      <c r="K46">
        <v>209566.02506547049</v>
      </c>
      <c r="L46">
        <f t="shared" si="1"/>
        <v>37480000</v>
      </c>
      <c r="M46">
        <v>56154</v>
      </c>
      <c r="N46">
        <v>57798</v>
      </c>
      <c r="O46">
        <v>-1644</v>
      </c>
      <c r="P46" s="188">
        <f t="shared" si="0"/>
        <v>0.66745022616376393</v>
      </c>
      <c r="Q46">
        <v>1271</v>
      </c>
      <c r="R46">
        <v>1332</v>
      </c>
      <c r="S46" s="188">
        <v>5.5399999999999998E-2</v>
      </c>
    </row>
    <row r="47" spans="1:19" x14ac:dyDescent="0.25">
      <c r="A47" t="s">
        <v>353</v>
      </c>
      <c r="B47">
        <v>61040220.073024109</v>
      </c>
      <c r="C47">
        <v>45451367.76592426</v>
      </c>
      <c r="D47">
        <v>4773707.4111468978</v>
      </c>
      <c r="E47">
        <v>0</v>
      </c>
      <c r="F47" s="129">
        <v>9864950.1356952805</v>
      </c>
      <c r="G47" s="129">
        <v>950194.76025766705</v>
      </c>
      <c r="H47" s="129">
        <v>9988.0151239322222</v>
      </c>
      <c r="I47" s="129"/>
      <c r="J47" s="129"/>
      <c r="K47" s="129">
        <v>1614830.4801197115</v>
      </c>
      <c r="L47" s="129">
        <v>72643065.677076042</v>
      </c>
      <c r="M47" s="129">
        <v>98010.781683237641</v>
      </c>
      <c r="N47" s="129">
        <v>97973.300658171123</v>
      </c>
      <c r="O47" s="129">
        <v>37.481025066517759</v>
      </c>
      <c r="P47" s="188">
        <v>0.74117423031939622</v>
      </c>
      <c r="Q47" s="129">
        <v>1622.8176725948747</v>
      </c>
      <c r="R47">
        <v>38</v>
      </c>
      <c r="S47" s="188">
        <v>4.1200000000000001E-2</v>
      </c>
    </row>
    <row r="48" spans="1:19" x14ac:dyDescent="0.25">
      <c r="A48" t="s">
        <v>354</v>
      </c>
      <c r="B48">
        <v>367371219.79704005</v>
      </c>
      <c r="C48">
        <v>269606631.79704005</v>
      </c>
      <c r="D48">
        <v>6195947</v>
      </c>
      <c r="E48">
        <v>37662680</v>
      </c>
      <c r="F48">
        <v>26508444</v>
      </c>
      <c r="G48">
        <v>27397517</v>
      </c>
      <c r="H48">
        <v>97255</v>
      </c>
      <c r="K48">
        <v>14084780.202959955</v>
      </c>
      <c r="L48">
        <f t="shared" si="1"/>
        <v>478711000</v>
      </c>
      <c r="M48">
        <v>678709</v>
      </c>
      <c r="N48">
        <v>684848</v>
      </c>
      <c r="O48">
        <v>-6139</v>
      </c>
      <c r="P48" s="188">
        <f t="shared" si="0"/>
        <v>0.70532584657047426</v>
      </c>
      <c r="Q48">
        <v>9839</v>
      </c>
      <c r="R48">
        <v>1560</v>
      </c>
      <c r="S48" s="188">
        <v>4.0399999999999998E-2</v>
      </c>
    </row>
    <row r="49" spans="1:19" x14ac:dyDescent="0.25">
      <c r="A49" t="s">
        <v>288</v>
      </c>
      <c r="B49">
        <v>22003150.623021238</v>
      </c>
      <c r="C49">
        <v>21285050.623021238</v>
      </c>
      <c r="D49">
        <v>95231</v>
      </c>
      <c r="E49">
        <v>0</v>
      </c>
      <c r="F49">
        <v>76228</v>
      </c>
      <c r="G49">
        <v>546641</v>
      </c>
      <c r="H49">
        <v>4848</v>
      </c>
      <c r="K49">
        <v>397849.37697876245</v>
      </c>
      <c r="L49">
        <f t="shared" si="1"/>
        <v>27249000</v>
      </c>
      <c r="M49">
        <v>44105</v>
      </c>
      <c r="N49">
        <v>56404</v>
      </c>
      <c r="O49">
        <v>-12299</v>
      </c>
      <c r="P49" s="188">
        <f t="shared" si="0"/>
        <v>0.61782110871783247</v>
      </c>
      <c r="Q49">
        <v>1061</v>
      </c>
      <c r="R49">
        <v>64</v>
      </c>
      <c r="S49" s="188">
        <v>7.9799999999999996E-2</v>
      </c>
    </row>
    <row r="50" spans="1:19" x14ac:dyDescent="0.25">
      <c r="A50" t="s">
        <v>171</v>
      </c>
      <c r="B50">
        <v>53815489.349316932</v>
      </c>
      <c r="C50">
        <v>46054071.349316932</v>
      </c>
      <c r="D50">
        <v>2346926</v>
      </c>
      <c r="E50">
        <v>0</v>
      </c>
      <c r="F50">
        <v>4462783</v>
      </c>
      <c r="G50">
        <v>951709</v>
      </c>
      <c r="H50">
        <v>9850</v>
      </c>
      <c r="K50">
        <v>839510.65068306774</v>
      </c>
      <c r="L50">
        <f t="shared" si="1"/>
        <v>64505000</v>
      </c>
      <c r="M50">
        <v>82486</v>
      </c>
      <c r="N50">
        <v>83677</v>
      </c>
      <c r="O50">
        <v>-1191</v>
      </c>
      <c r="P50" s="188">
        <f t="shared" si="0"/>
        <v>0.78201149285939431</v>
      </c>
      <c r="Q50">
        <v>716</v>
      </c>
      <c r="R50">
        <v>27</v>
      </c>
      <c r="S50" s="188">
        <v>5.1299999999999998E-2</v>
      </c>
    </row>
    <row r="51" spans="1:19" x14ac:dyDescent="0.25">
      <c r="A51" t="s">
        <v>172</v>
      </c>
      <c r="B51">
        <v>31581607.261586193</v>
      </c>
      <c r="C51">
        <v>28077381.261586193</v>
      </c>
      <c r="D51">
        <v>486059</v>
      </c>
      <c r="E51">
        <v>0</v>
      </c>
      <c r="F51">
        <v>2240442</v>
      </c>
      <c r="G51">
        <v>777725</v>
      </c>
      <c r="H51">
        <v>8437</v>
      </c>
      <c r="K51">
        <v>973392.738413807</v>
      </c>
      <c r="L51">
        <f t="shared" si="1"/>
        <v>40992000</v>
      </c>
      <c r="M51">
        <v>51756</v>
      </c>
      <c r="N51">
        <v>51788</v>
      </c>
      <c r="O51">
        <v>-32</v>
      </c>
      <c r="P51" s="188">
        <f t="shared" si="0"/>
        <v>0.79202411314630183</v>
      </c>
      <c r="Q51">
        <v>511</v>
      </c>
      <c r="R51">
        <v>17</v>
      </c>
      <c r="S51" s="188">
        <v>3.8800000000000001E-2</v>
      </c>
    </row>
    <row r="52" spans="1:19" x14ac:dyDescent="0.25">
      <c r="A52" t="s">
        <v>402</v>
      </c>
      <c r="B52">
        <v>61571603.821887575</v>
      </c>
      <c r="C52">
        <v>48699683.821887575</v>
      </c>
      <c r="D52">
        <v>952115</v>
      </c>
      <c r="E52">
        <v>0</v>
      </c>
      <c r="F52">
        <v>11009117</v>
      </c>
      <c r="G52">
        <v>910688</v>
      </c>
      <c r="H52">
        <v>14358</v>
      </c>
      <c r="K52">
        <v>3516396.1781124249</v>
      </c>
      <c r="L52">
        <f t="shared" si="1"/>
        <v>79446000</v>
      </c>
      <c r="M52">
        <v>100525</v>
      </c>
      <c r="N52">
        <v>105018</v>
      </c>
      <c r="O52">
        <v>-4493</v>
      </c>
      <c r="P52" s="188">
        <f t="shared" si="0"/>
        <v>0.79031086794329763</v>
      </c>
      <c r="Q52">
        <v>2279</v>
      </c>
      <c r="R52">
        <v>40</v>
      </c>
      <c r="S52" s="188">
        <v>5.74E-2</v>
      </c>
    </row>
    <row r="53" spans="1:19" x14ac:dyDescent="0.25">
      <c r="A53" t="s">
        <v>216</v>
      </c>
      <c r="B53">
        <v>17381734.824411627</v>
      </c>
      <c r="C53">
        <v>15798703.824411627</v>
      </c>
      <c r="D53">
        <v>701708</v>
      </c>
      <c r="E53">
        <v>0</v>
      </c>
      <c r="F53">
        <v>478506</v>
      </c>
      <c r="G53">
        <v>402817</v>
      </c>
      <c r="H53">
        <v>3637</v>
      </c>
      <c r="K53">
        <v>555265.17558837309</v>
      </c>
      <c r="L53">
        <f t="shared" si="1"/>
        <v>21574000</v>
      </c>
      <c r="M53">
        <v>31648</v>
      </c>
      <c r="N53">
        <v>32816</v>
      </c>
      <c r="O53">
        <v>-1168</v>
      </c>
      <c r="P53" s="188">
        <f t="shared" si="0"/>
        <v>0.6816860465116279</v>
      </c>
      <c r="Q53">
        <v>845</v>
      </c>
      <c r="R53">
        <v>1</v>
      </c>
      <c r="S53" s="188">
        <v>5.4100000000000002E-2</v>
      </c>
    </row>
    <row r="54" spans="1:19" x14ac:dyDescent="0.25">
      <c r="A54" t="s">
        <v>217</v>
      </c>
      <c r="B54">
        <v>25976561.788759217</v>
      </c>
      <c r="C54">
        <v>23891491.788759217</v>
      </c>
      <c r="D54">
        <v>401413</v>
      </c>
      <c r="E54">
        <v>0</v>
      </c>
      <c r="F54">
        <v>1070460</v>
      </c>
      <c r="G54">
        <v>613197</v>
      </c>
      <c r="H54">
        <v>4494</v>
      </c>
      <c r="K54">
        <v>473438.21124078333</v>
      </c>
      <c r="L54">
        <f t="shared" si="1"/>
        <v>30944000</v>
      </c>
      <c r="M54">
        <v>55685</v>
      </c>
      <c r="N54">
        <v>54421</v>
      </c>
      <c r="O54">
        <v>1264</v>
      </c>
      <c r="P54" s="188">
        <f t="shared" si="0"/>
        <v>0.55569722546466738</v>
      </c>
      <c r="Q54">
        <v>1905</v>
      </c>
      <c r="R54">
        <v>881</v>
      </c>
      <c r="S54" s="188">
        <v>4.2299999999999997E-2</v>
      </c>
    </row>
    <row r="55" spans="1:19" x14ac:dyDescent="0.25">
      <c r="A55" t="s">
        <v>173</v>
      </c>
      <c r="B55">
        <v>35071873.012865737</v>
      </c>
      <c r="C55">
        <v>31246412.012865733</v>
      </c>
      <c r="D55">
        <v>750713</v>
      </c>
      <c r="E55">
        <v>0</v>
      </c>
      <c r="F55">
        <v>2308518</v>
      </c>
      <c r="G55">
        <v>766230</v>
      </c>
      <c r="H55">
        <v>6357</v>
      </c>
      <c r="K55">
        <v>680126.98713426292</v>
      </c>
      <c r="L55">
        <f t="shared" si="1"/>
        <v>42109000</v>
      </c>
      <c r="M55">
        <v>62363</v>
      </c>
      <c r="N55">
        <v>62948</v>
      </c>
      <c r="O55">
        <v>-585</v>
      </c>
      <c r="P55" s="188">
        <f t="shared" si="0"/>
        <v>0.67522409120792781</v>
      </c>
      <c r="Q55">
        <v>1673</v>
      </c>
      <c r="R55">
        <v>1363</v>
      </c>
      <c r="S55" s="188">
        <v>5.0799999999999998E-2</v>
      </c>
    </row>
    <row r="56" spans="1:19" x14ac:dyDescent="0.25">
      <c r="A56" t="s">
        <v>289</v>
      </c>
      <c r="B56">
        <v>122153847.39267451</v>
      </c>
      <c r="C56">
        <v>110184199.39267451</v>
      </c>
      <c r="D56">
        <v>3375985</v>
      </c>
      <c r="E56">
        <v>0</v>
      </c>
      <c r="F56">
        <v>6759703</v>
      </c>
      <c r="G56">
        <v>1833960</v>
      </c>
      <c r="H56">
        <v>43306</v>
      </c>
      <c r="K56">
        <v>1121152.6073254943</v>
      </c>
      <c r="L56">
        <f t="shared" si="1"/>
        <v>166581000</v>
      </c>
      <c r="M56">
        <v>217048</v>
      </c>
      <c r="N56">
        <v>225861</v>
      </c>
      <c r="O56">
        <v>-8813</v>
      </c>
      <c r="P56" s="188">
        <f t="shared" si="0"/>
        <v>0.76748461169879478</v>
      </c>
      <c r="Q56">
        <v>6583</v>
      </c>
      <c r="R56">
        <v>95</v>
      </c>
      <c r="S56" s="188">
        <v>4.7500000000000001E-2</v>
      </c>
    </row>
    <row r="57" spans="1:19" x14ac:dyDescent="0.25">
      <c r="A57" t="s">
        <v>246</v>
      </c>
      <c r="B57">
        <v>43427760.930644371</v>
      </c>
      <c r="C57">
        <v>40892678.930644371</v>
      </c>
      <c r="D57">
        <v>602147</v>
      </c>
      <c r="E57">
        <v>0</v>
      </c>
      <c r="F57">
        <v>921210</v>
      </c>
      <c r="G57">
        <v>1011725</v>
      </c>
      <c r="H57">
        <v>9522</v>
      </c>
      <c r="K57">
        <v>218239.06935562938</v>
      </c>
      <c r="L57">
        <f t="shared" si="1"/>
        <v>53168000</v>
      </c>
      <c r="M57">
        <v>71399</v>
      </c>
      <c r="N57">
        <v>75903</v>
      </c>
      <c r="O57">
        <v>-4504</v>
      </c>
      <c r="P57" s="188">
        <f t="shared" si="0"/>
        <v>0.744660289359795</v>
      </c>
      <c r="Q57">
        <v>1985</v>
      </c>
      <c r="R57">
        <v>1105</v>
      </c>
      <c r="S57" s="188">
        <v>5.5399999999999998E-2</v>
      </c>
    </row>
    <row r="58" spans="1:19" x14ac:dyDescent="0.25">
      <c r="A58" t="s">
        <v>109</v>
      </c>
      <c r="B58">
        <v>62149258.277509794</v>
      </c>
      <c r="C58">
        <v>54961497.277509794</v>
      </c>
      <c r="D58">
        <v>1004767</v>
      </c>
      <c r="E58">
        <v>0</v>
      </c>
      <c r="F58">
        <v>4569062</v>
      </c>
      <c r="G58">
        <v>1613932</v>
      </c>
      <c r="H58">
        <v>14305</v>
      </c>
      <c r="K58">
        <v>998741.72249020636</v>
      </c>
      <c r="L58">
        <f t="shared" si="1"/>
        <v>77453000</v>
      </c>
      <c r="M58">
        <v>107588</v>
      </c>
      <c r="N58">
        <v>106859</v>
      </c>
      <c r="O58">
        <v>729</v>
      </c>
      <c r="P58" s="188">
        <f t="shared" si="0"/>
        <v>0.7199037067330929</v>
      </c>
      <c r="Q58">
        <v>1071</v>
      </c>
      <c r="R58">
        <v>204</v>
      </c>
      <c r="S58" s="188">
        <v>2.7E-2</v>
      </c>
    </row>
    <row r="59" spans="1:19" ht="12" customHeight="1" x14ac:dyDescent="0.25">
      <c r="A59" t="s">
        <v>355</v>
      </c>
      <c r="B59">
        <v>31978689.318216834</v>
      </c>
      <c r="C59">
        <v>26885187.318216834</v>
      </c>
      <c r="D59">
        <v>667851</v>
      </c>
      <c r="E59">
        <v>0</v>
      </c>
      <c r="F59">
        <v>2163789</v>
      </c>
      <c r="G59">
        <v>2261862</v>
      </c>
      <c r="H59">
        <v>5717</v>
      </c>
      <c r="K59">
        <v>356310.68178316578</v>
      </c>
      <c r="L59">
        <f t="shared" si="1"/>
        <v>38052000</v>
      </c>
      <c r="M59">
        <v>65459</v>
      </c>
      <c r="N59">
        <v>59119</v>
      </c>
      <c r="O59">
        <v>6340</v>
      </c>
      <c r="P59" s="188">
        <f t="shared" si="0"/>
        <v>0.58131043859515119</v>
      </c>
      <c r="Q59">
        <v>1085</v>
      </c>
      <c r="R59">
        <v>254</v>
      </c>
      <c r="S59" s="188">
        <v>6.4999999999999997E-3</v>
      </c>
    </row>
    <row r="60" spans="1:19" x14ac:dyDescent="0.25">
      <c r="A60" t="s">
        <v>174</v>
      </c>
      <c r="B60">
        <v>47235352.363928407</v>
      </c>
      <c r="C60">
        <v>42361852.363928407</v>
      </c>
      <c r="D60">
        <v>323283</v>
      </c>
      <c r="E60">
        <v>0</v>
      </c>
      <c r="F60">
        <v>3767033</v>
      </c>
      <c r="G60">
        <v>783184</v>
      </c>
      <c r="H60">
        <v>10993</v>
      </c>
      <c r="K60">
        <v>1252647.6360715926</v>
      </c>
      <c r="L60">
        <f t="shared" si="1"/>
        <v>59481000</v>
      </c>
      <c r="M60">
        <v>81020</v>
      </c>
      <c r="N60">
        <v>82342</v>
      </c>
      <c r="O60">
        <v>-1322</v>
      </c>
      <c r="P60" s="188">
        <f t="shared" si="0"/>
        <v>0.73415206121945198</v>
      </c>
      <c r="Q60">
        <v>3366</v>
      </c>
      <c r="R60">
        <v>2065</v>
      </c>
      <c r="S60" s="188">
        <v>4.36E-2</v>
      </c>
    </row>
    <row r="61" spans="1:19" x14ac:dyDescent="0.25">
      <c r="A61" t="s">
        <v>143</v>
      </c>
      <c r="B61">
        <v>38933053.923334382</v>
      </c>
      <c r="C61">
        <v>34352046.923334382</v>
      </c>
      <c r="D61">
        <v>771187</v>
      </c>
      <c r="E61">
        <v>0</v>
      </c>
      <c r="F61">
        <v>3239045</v>
      </c>
      <c r="G61">
        <v>570775</v>
      </c>
      <c r="H61">
        <v>5409</v>
      </c>
      <c r="K61">
        <v>545946.07666561753</v>
      </c>
      <c r="L61">
        <f t="shared" si="1"/>
        <v>44888000</v>
      </c>
      <c r="M61">
        <v>67799</v>
      </c>
      <c r="N61">
        <v>69616</v>
      </c>
      <c r="O61">
        <v>-1817</v>
      </c>
      <c r="P61" s="188">
        <f t="shared" si="0"/>
        <v>0.6620746618681691</v>
      </c>
      <c r="Q61">
        <v>460</v>
      </c>
      <c r="R61">
        <v>100</v>
      </c>
      <c r="S61" s="188">
        <v>5.62E-2</v>
      </c>
    </row>
    <row r="62" spans="1:19" x14ac:dyDescent="0.25">
      <c r="A62" t="s">
        <v>129</v>
      </c>
      <c r="B62">
        <v>36838785.157024369</v>
      </c>
      <c r="C62">
        <v>29681867.157024369</v>
      </c>
      <c r="D62">
        <v>911978</v>
      </c>
      <c r="E62">
        <v>0</v>
      </c>
      <c r="F62">
        <v>5605475</v>
      </c>
      <c r="G62">
        <v>639465</v>
      </c>
      <c r="H62">
        <v>8867</v>
      </c>
      <c r="K62">
        <v>1529214.8429756314</v>
      </c>
      <c r="L62">
        <f t="shared" si="1"/>
        <v>47235000</v>
      </c>
      <c r="M62">
        <v>52595</v>
      </c>
      <c r="N62">
        <v>52888</v>
      </c>
      <c r="O62">
        <v>-293</v>
      </c>
      <c r="P62" s="188">
        <f t="shared" si="0"/>
        <v>0.89808917197452232</v>
      </c>
      <c r="Q62">
        <v>301</v>
      </c>
      <c r="R62">
        <v>47</v>
      </c>
      <c r="S62" s="188">
        <v>5.0500000000000003E-2</v>
      </c>
    </row>
    <row r="63" spans="1:19" x14ac:dyDescent="0.25">
      <c r="A63" t="s">
        <v>218</v>
      </c>
      <c r="B63">
        <v>54157091.842368327</v>
      </c>
      <c r="C63">
        <v>51232928.842368327</v>
      </c>
      <c r="D63">
        <v>670218</v>
      </c>
      <c r="E63">
        <v>0</v>
      </c>
      <c r="F63">
        <v>1346494</v>
      </c>
      <c r="G63">
        <v>907451</v>
      </c>
      <c r="H63">
        <v>9269</v>
      </c>
      <c r="K63">
        <v>290908.15763167292</v>
      </c>
      <c r="L63">
        <f t="shared" si="1"/>
        <v>63717000</v>
      </c>
      <c r="M63">
        <v>107298</v>
      </c>
      <c r="N63">
        <v>108364</v>
      </c>
      <c r="O63">
        <v>-1066</v>
      </c>
      <c r="P63" s="188">
        <f t="shared" ref="P63:P124" si="2">L63/(M63*1000)</f>
        <v>0.59383213107420452</v>
      </c>
      <c r="Q63">
        <v>2081</v>
      </c>
      <c r="R63">
        <v>1025</v>
      </c>
      <c r="S63" s="188">
        <v>3.95E-2</v>
      </c>
    </row>
    <row r="64" spans="1:19" x14ac:dyDescent="0.25">
      <c r="A64" t="s">
        <v>529</v>
      </c>
      <c r="B64">
        <v>79343584.304911181</v>
      </c>
      <c r="C64">
        <v>72534855.304911181</v>
      </c>
      <c r="D64">
        <v>953205</v>
      </c>
      <c r="E64">
        <v>0</v>
      </c>
      <c r="F64">
        <v>3637201</v>
      </c>
      <c r="G64">
        <v>2218323</v>
      </c>
      <c r="H64">
        <v>20798</v>
      </c>
      <c r="K64">
        <v>758415.69508881867</v>
      </c>
      <c r="L64">
        <f t="shared" ref="L64:L125" si="3">SUM(B64,H64*1000,K64)</f>
        <v>100900000</v>
      </c>
      <c r="M64">
        <v>131223</v>
      </c>
      <c r="N64">
        <v>135225</v>
      </c>
      <c r="O64">
        <v>-4002</v>
      </c>
      <c r="P64" s="188">
        <f t="shared" si="2"/>
        <v>0.76892008260746969</v>
      </c>
      <c r="Q64">
        <v>2501</v>
      </c>
      <c r="R64">
        <v>909</v>
      </c>
      <c r="S64" s="188">
        <v>4.5199999999999997E-2</v>
      </c>
    </row>
    <row r="65" spans="1:19" x14ac:dyDescent="0.25">
      <c r="A65" t="s">
        <v>219</v>
      </c>
      <c r="B65">
        <v>54022545.376114249</v>
      </c>
      <c r="C65">
        <v>50281683.376114249</v>
      </c>
      <c r="D65">
        <v>816162</v>
      </c>
      <c r="E65">
        <v>0</v>
      </c>
      <c r="F65">
        <v>1773416</v>
      </c>
      <c r="G65">
        <v>1151284</v>
      </c>
      <c r="H65">
        <v>12950</v>
      </c>
      <c r="K65">
        <v>399454.62388575077</v>
      </c>
      <c r="L65">
        <f t="shared" si="3"/>
        <v>67372000</v>
      </c>
      <c r="M65">
        <v>91784</v>
      </c>
      <c r="N65">
        <v>95923</v>
      </c>
      <c r="O65">
        <v>-4139</v>
      </c>
      <c r="P65" s="188">
        <f t="shared" si="2"/>
        <v>0.7340277172491938</v>
      </c>
      <c r="Q65">
        <v>2961</v>
      </c>
      <c r="R65">
        <v>2336</v>
      </c>
      <c r="S65" s="188">
        <v>5.0999999999999997E-2</v>
      </c>
    </row>
    <row r="66" spans="1:19" x14ac:dyDescent="0.25">
      <c r="A66" t="s">
        <v>117</v>
      </c>
      <c r="B66">
        <v>34038482.864949659</v>
      </c>
      <c r="C66">
        <v>31455259.864949659</v>
      </c>
      <c r="D66">
        <v>482592</v>
      </c>
      <c r="E66">
        <v>0</v>
      </c>
      <c r="F66">
        <v>1262396</v>
      </c>
      <c r="G66">
        <v>838235</v>
      </c>
      <c r="H66">
        <v>5544</v>
      </c>
      <c r="K66">
        <v>512517.13505034149</v>
      </c>
      <c r="L66">
        <f t="shared" si="3"/>
        <v>40095000</v>
      </c>
      <c r="M66">
        <v>52620</v>
      </c>
      <c r="N66">
        <v>53458</v>
      </c>
      <c r="O66">
        <v>-838</v>
      </c>
      <c r="P66" s="188">
        <f t="shared" si="2"/>
        <v>0.76197263397947546</v>
      </c>
      <c r="Q66">
        <v>505</v>
      </c>
      <c r="R66">
        <v>37</v>
      </c>
      <c r="S66" s="188">
        <v>5.0299999999999997E-2</v>
      </c>
    </row>
    <row r="67" spans="1:19" x14ac:dyDescent="0.25">
      <c r="A67" t="s">
        <v>290</v>
      </c>
      <c r="B67">
        <v>213136986.40865636</v>
      </c>
      <c r="C67">
        <v>165675498.40865636</v>
      </c>
      <c r="D67">
        <v>2782054</v>
      </c>
      <c r="E67">
        <v>20945082</v>
      </c>
      <c r="F67">
        <v>13401201</v>
      </c>
      <c r="G67">
        <v>10333151</v>
      </c>
      <c r="H67">
        <v>69932</v>
      </c>
      <c r="K67">
        <v>4965013.5913436413</v>
      </c>
      <c r="L67">
        <f t="shared" si="3"/>
        <v>288034000</v>
      </c>
      <c r="M67">
        <v>383107</v>
      </c>
      <c r="N67">
        <v>391949</v>
      </c>
      <c r="O67">
        <v>-8842</v>
      </c>
      <c r="P67" s="188">
        <f t="shared" si="2"/>
        <v>0.75183695416685159</v>
      </c>
      <c r="Q67">
        <v>8134</v>
      </c>
      <c r="R67">
        <v>3307</v>
      </c>
      <c r="S67" s="188">
        <v>4.3299999999999998E-2</v>
      </c>
    </row>
    <row r="68" spans="1:19" x14ac:dyDescent="0.25">
      <c r="A68" t="s">
        <v>247</v>
      </c>
      <c r="B68">
        <v>124015404.8889281</v>
      </c>
      <c r="C68">
        <v>95499078.8889281</v>
      </c>
      <c r="D68">
        <v>3166613</v>
      </c>
      <c r="E68">
        <v>10879467</v>
      </c>
      <c r="F68">
        <v>7559034</v>
      </c>
      <c r="G68">
        <v>6911212</v>
      </c>
      <c r="H68">
        <v>29140</v>
      </c>
      <c r="K68">
        <v>2543595.1110718995</v>
      </c>
      <c r="L68">
        <f t="shared" si="3"/>
        <v>155699000</v>
      </c>
      <c r="M68">
        <v>196826</v>
      </c>
      <c r="N68">
        <v>203220</v>
      </c>
      <c r="O68">
        <v>-6394</v>
      </c>
      <c r="P68" s="188">
        <f t="shared" si="2"/>
        <v>0.79104894678548565</v>
      </c>
      <c r="Q68">
        <v>2696</v>
      </c>
      <c r="R68">
        <v>776</v>
      </c>
      <c r="S68" s="188">
        <v>5.2999999999999999E-2</v>
      </c>
    </row>
    <row r="69" spans="1:19" x14ac:dyDescent="0.25">
      <c r="A69" t="s">
        <v>357</v>
      </c>
      <c r="B69">
        <v>52120595.545600504</v>
      </c>
      <c r="C69">
        <v>44615413.545600504</v>
      </c>
      <c r="D69">
        <v>2051575</v>
      </c>
      <c r="E69">
        <v>0</v>
      </c>
      <c r="F69">
        <v>4649246</v>
      </c>
      <c r="G69">
        <v>804361</v>
      </c>
      <c r="H69">
        <v>6326</v>
      </c>
      <c r="K69">
        <v>7755404.4543994963</v>
      </c>
      <c r="L69">
        <f t="shared" si="3"/>
        <v>66202000</v>
      </c>
      <c r="M69">
        <v>99527</v>
      </c>
      <c r="N69">
        <v>101022</v>
      </c>
      <c r="O69">
        <v>-1495</v>
      </c>
      <c r="P69" s="188">
        <f t="shared" si="2"/>
        <v>0.66516623629768812</v>
      </c>
      <c r="Q69">
        <v>1072</v>
      </c>
      <c r="R69">
        <v>296</v>
      </c>
      <c r="S69" s="188">
        <v>4.5999999999999999E-2</v>
      </c>
    </row>
    <row r="70" spans="1:19" x14ac:dyDescent="0.25">
      <c r="A70" t="s">
        <v>144</v>
      </c>
      <c r="B70">
        <v>218097028.98705932</v>
      </c>
      <c r="C70">
        <v>163406691.98705932</v>
      </c>
      <c r="D70">
        <v>2740684</v>
      </c>
      <c r="E70">
        <v>22473684</v>
      </c>
      <c r="F70">
        <v>19366170</v>
      </c>
      <c r="G70">
        <v>10109799</v>
      </c>
      <c r="H70">
        <v>52215</v>
      </c>
      <c r="K70">
        <v>6247971.012940675</v>
      </c>
      <c r="L70">
        <f t="shared" si="3"/>
        <v>276560000</v>
      </c>
      <c r="M70">
        <v>355379</v>
      </c>
      <c r="N70">
        <v>357687</v>
      </c>
      <c r="O70">
        <v>-2308</v>
      </c>
      <c r="P70" s="188">
        <f t="shared" si="2"/>
        <v>0.77821143061351405</v>
      </c>
      <c r="Q70">
        <v>4071</v>
      </c>
      <c r="R70">
        <v>1533</v>
      </c>
      <c r="S70" s="188">
        <v>4.4400000000000002E-2</v>
      </c>
    </row>
    <row r="71" spans="1:19" x14ac:dyDescent="0.25">
      <c r="A71" t="s">
        <v>248</v>
      </c>
      <c r="B71">
        <v>44393713.76251293</v>
      </c>
      <c r="C71">
        <v>40487890.76251293</v>
      </c>
      <c r="D71">
        <v>726625</v>
      </c>
      <c r="E71">
        <v>0</v>
      </c>
      <c r="F71">
        <v>2094250</v>
      </c>
      <c r="G71">
        <v>1084948</v>
      </c>
      <c r="H71">
        <v>14485</v>
      </c>
      <c r="K71">
        <v>1416286.2374870703</v>
      </c>
      <c r="L71">
        <f t="shared" si="3"/>
        <v>60295000</v>
      </c>
      <c r="M71">
        <v>100196</v>
      </c>
      <c r="N71">
        <v>100769</v>
      </c>
      <c r="O71">
        <v>-573</v>
      </c>
      <c r="P71" s="188">
        <f t="shared" si="2"/>
        <v>0.60177052976166712</v>
      </c>
      <c r="Q71">
        <v>2599</v>
      </c>
      <c r="R71">
        <v>759</v>
      </c>
      <c r="S71" s="188">
        <v>3.8399999999999997E-2</v>
      </c>
    </row>
    <row r="72" spans="1:19" x14ac:dyDescent="0.25">
      <c r="A72" t="s">
        <v>867</v>
      </c>
      <c r="B72">
        <v>129773603.1879285</v>
      </c>
      <c r="C72">
        <v>114838422.1879285</v>
      </c>
      <c r="D72">
        <v>5940611</v>
      </c>
      <c r="E72">
        <v>0</v>
      </c>
      <c r="F72">
        <v>6553963</v>
      </c>
      <c r="G72">
        <v>2440607</v>
      </c>
      <c r="H72">
        <v>26857</v>
      </c>
      <c r="K72">
        <v>1970970.8523139358</v>
      </c>
      <c r="L72">
        <v>158601574.04024243</v>
      </c>
      <c r="M72">
        <v>236097</v>
      </c>
      <c r="N72">
        <v>248795</v>
      </c>
      <c r="O72">
        <v>-12698</v>
      </c>
      <c r="P72" s="188">
        <f t="shared" si="2"/>
        <v>0.67176446138766033</v>
      </c>
      <c r="Q72">
        <v>5758</v>
      </c>
      <c r="R72">
        <v>1932</v>
      </c>
      <c r="S72" s="188">
        <v>5.5E-2</v>
      </c>
    </row>
    <row r="73" spans="1:19" x14ac:dyDescent="0.25">
      <c r="A73" t="s">
        <v>145</v>
      </c>
      <c r="B73">
        <v>36068581.409031838</v>
      </c>
      <c r="C73">
        <v>31550410.409031834</v>
      </c>
      <c r="D73">
        <v>1366739</v>
      </c>
      <c r="E73">
        <v>0</v>
      </c>
      <c r="F73">
        <v>2479947</v>
      </c>
      <c r="G73">
        <v>671485</v>
      </c>
      <c r="H73">
        <v>6772</v>
      </c>
      <c r="K73">
        <v>1174418.5909681618</v>
      </c>
      <c r="L73">
        <f t="shared" si="3"/>
        <v>44015000</v>
      </c>
      <c r="M73">
        <v>61105</v>
      </c>
      <c r="N73">
        <v>62342</v>
      </c>
      <c r="O73">
        <v>-1237</v>
      </c>
      <c r="P73" s="188">
        <f t="shared" si="2"/>
        <v>0.72031748629408399</v>
      </c>
      <c r="Q73">
        <v>1025</v>
      </c>
      <c r="R73">
        <v>35</v>
      </c>
      <c r="S73" s="188">
        <v>5.4300000000000001E-2</v>
      </c>
    </row>
    <row r="74" spans="1:19" x14ac:dyDescent="0.25">
      <c r="A74" t="s">
        <v>175</v>
      </c>
      <c r="B74">
        <v>20761934.366713036</v>
      </c>
      <c r="C74">
        <v>18150604.366713036</v>
      </c>
      <c r="D74">
        <v>146999</v>
      </c>
      <c r="E74">
        <v>0</v>
      </c>
      <c r="F74">
        <v>1873833</v>
      </c>
      <c r="G74">
        <v>590498</v>
      </c>
      <c r="H74">
        <v>5740</v>
      </c>
      <c r="K74">
        <v>3758065.6332869641</v>
      </c>
      <c r="L74">
        <f t="shared" si="3"/>
        <v>30260000</v>
      </c>
      <c r="M74">
        <v>33948</v>
      </c>
      <c r="N74">
        <v>34595</v>
      </c>
      <c r="O74">
        <v>-647</v>
      </c>
      <c r="P74" s="188">
        <f t="shared" si="2"/>
        <v>0.89136326145870159</v>
      </c>
      <c r="Q74">
        <v>792</v>
      </c>
      <c r="R74">
        <v>653</v>
      </c>
      <c r="S74" s="188">
        <v>5.6300000000000003E-2</v>
      </c>
    </row>
    <row r="75" spans="1:19" x14ac:dyDescent="0.25">
      <c r="A75" t="s">
        <v>176</v>
      </c>
      <c r="B75">
        <v>155680925.45770273</v>
      </c>
      <c r="C75">
        <v>91457684.457702726</v>
      </c>
      <c r="D75">
        <v>2388231</v>
      </c>
      <c r="E75">
        <v>36337642</v>
      </c>
      <c r="F75">
        <v>9590761</v>
      </c>
      <c r="G75">
        <v>15906607</v>
      </c>
      <c r="H75">
        <v>26695</v>
      </c>
      <c r="K75">
        <v>4496074.5422972739</v>
      </c>
      <c r="L75">
        <f t="shared" si="3"/>
        <v>186872000</v>
      </c>
      <c r="M75">
        <v>231025</v>
      </c>
      <c r="N75">
        <v>230867</v>
      </c>
      <c r="O75">
        <v>158</v>
      </c>
      <c r="P75" s="188">
        <f t="shared" si="2"/>
        <v>0.80888215561086463</v>
      </c>
      <c r="Q75">
        <v>1789</v>
      </c>
      <c r="R75">
        <v>87</v>
      </c>
      <c r="S75" s="188">
        <v>5.16E-2</v>
      </c>
    </row>
    <row r="76" spans="1:19" x14ac:dyDescent="0.25">
      <c r="A76" t="s">
        <v>358</v>
      </c>
      <c r="B76">
        <v>35902915.16605489</v>
      </c>
      <c r="C76">
        <v>33237295.16605489</v>
      </c>
      <c r="D76">
        <v>377354</v>
      </c>
      <c r="E76">
        <v>0</v>
      </c>
      <c r="F76">
        <v>1724577</v>
      </c>
      <c r="G76">
        <v>563689</v>
      </c>
      <c r="H76">
        <v>7014</v>
      </c>
      <c r="K76">
        <v>540084.83394511044</v>
      </c>
      <c r="L76">
        <f t="shared" si="3"/>
        <v>43457000</v>
      </c>
      <c r="M76">
        <v>64186</v>
      </c>
      <c r="N76">
        <v>64588</v>
      </c>
      <c r="O76">
        <v>-402</v>
      </c>
      <c r="P76" s="188">
        <f t="shared" si="2"/>
        <v>0.67704795438257559</v>
      </c>
      <c r="Q76">
        <v>506</v>
      </c>
      <c r="R76">
        <v>132</v>
      </c>
      <c r="S76" s="188">
        <v>4.3999999999999997E-2</v>
      </c>
    </row>
    <row r="77" spans="1:19" x14ac:dyDescent="0.25">
      <c r="A77" t="s">
        <v>291</v>
      </c>
      <c r="B77">
        <v>308410940.20896304</v>
      </c>
      <c r="C77">
        <v>208937569.20896301</v>
      </c>
      <c r="D77">
        <v>6938470</v>
      </c>
      <c r="E77">
        <v>47262778</v>
      </c>
      <c r="F77">
        <v>22437724</v>
      </c>
      <c r="G77">
        <v>22834399</v>
      </c>
      <c r="H77">
        <v>72938</v>
      </c>
      <c r="K77">
        <v>10586059.791036963</v>
      </c>
      <c r="L77">
        <f t="shared" si="3"/>
        <v>391935000</v>
      </c>
      <c r="M77">
        <v>510346</v>
      </c>
      <c r="N77">
        <v>516175</v>
      </c>
      <c r="O77">
        <v>-5829</v>
      </c>
      <c r="P77" s="188">
        <f t="shared" si="2"/>
        <v>0.76797897896721046</v>
      </c>
      <c r="Q77">
        <v>19209</v>
      </c>
      <c r="R77">
        <v>11199</v>
      </c>
      <c r="S77" s="188">
        <v>5.33E-2</v>
      </c>
    </row>
    <row r="78" spans="1:19" x14ac:dyDescent="0.25">
      <c r="A78" t="s">
        <v>249</v>
      </c>
      <c r="B78">
        <v>26153906.846171748</v>
      </c>
      <c r="C78">
        <v>23766006.846171748</v>
      </c>
      <c r="D78">
        <v>536725</v>
      </c>
      <c r="E78">
        <v>0</v>
      </c>
      <c r="F78">
        <v>1311790</v>
      </c>
      <c r="G78">
        <v>539385</v>
      </c>
      <c r="H78">
        <v>4531</v>
      </c>
      <c r="K78">
        <v>370093.15382825211</v>
      </c>
      <c r="L78">
        <f t="shared" si="3"/>
        <v>31055000</v>
      </c>
      <c r="M78">
        <v>51553</v>
      </c>
      <c r="N78">
        <v>52361</v>
      </c>
      <c r="O78">
        <v>-808</v>
      </c>
      <c r="P78" s="188">
        <f t="shared" si="2"/>
        <v>0.60238977363102053</v>
      </c>
      <c r="Q78">
        <v>577</v>
      </c>
      <c r="R78">
        <v>26</v>
      </c>
      <c r="S78" s="188">
        <v>5.6300000000000003E-2</v>
      </c>
    </row>
    <row r="79" spans="1:19" x14ac:dyDescent="0.25">
      <c r="A79" t="s">
        <v>359</v>
      </c>
      <c r="B79">
        <v>34873302.658488199</v>
      </c>
      <c r="C79">
        <v>32024284.658488199</v>
      </c>
      <c r="D79">
        <v>543234</v>
      </c>
      <c r="E79">
        <v>0</v>
      </c>
      <c r="F79">
        <v>1654143</v>
      </c>
      <c r="G79">
        <v>651641</v>
      </c>
      <c r="H79">
        <v>5488</v>
      </c>
      <c r="K79">
        <v>2855697.3415118009</v>
      </c>
      <c r="L79">
        <f t="shared" si="3"/>
        <v>43217000</v>
      </c>
      <c r="M79">
        <v>55141</v>
      </c>
      <c r="N79">
        <v>56673</v>
      </c>
      <c r="O79">
        <v>-1532</v>
      </c>
      <c r="P79" s="188">
        <f t="shared" si="2"/>
        <v>0.78375437514734947</v>
      </c>
      <c r="Q79">
        <v>276</v>
      </c>
      <c r="R79">
        <v>240</v>
      </c>
      <c r="S79" s="188">
        <v>5.2499999999999998E-2</v>
      </c>
    </row>
    <row r="80" spans="1:19" x14ac:dyDescent="0.25">
      <c r="A80" t="s">
        <v>430</v>
      </c>
      <c r="B80">
        <v>64678317.941716127</v>
      </c>
      <c r="C80">
        <v>58459368.941716127</v>
      </c>
      <c r="D80">
        <v>2572953</v>
      </c>
      <c r="E80">
        <v>0</v>
      </c>
      <c r="F80">
        <v>1754152</v>
      </c>
      <c r="G80">
        <v>1891844</v>
      </c>
      <c r="H80">
        <v>14086</v>
      </c>
      <c r="K80">
        <v>1922682.0582838729</v>
      </c>
      <c r="L80">
        <f t="shared" si="3"/>
        <v>80687000</v>
      </c>
      <c r="M80">
        <v>103468</v>
      </c>
      <c r="N80">
        <v>110839</v>
      </c>
      <c r="O80">
        <v>-7371</v>
      </c>
      <c r="P80" s="188">
        <f t="shared" si="2"/>
        <v>0.77982564657671938</v>
      </c>
      <c r="Q80">
        <v>2584</v>
      </c>
      <c r="R80">
        <v>1727</v>
      </c>
      <c r="S80" s="188">
        <v>5.8500000000000003E-2</v>
      </c>
    </row>
    <row r="81" spans="1:33" s="86" customFormat="1" x14ac:dyDescent="0.25">
      <c r="A81" t="s">
        <v>177</v>
      </c>
      <c r="B81">
        <v>29763511.651898567</v>
      </c>
      <c r="C81">
        <v>26606188.651898567</v>
      </c>
      <c r="D81">
        <v>245601</v>
      </c>
      <c r="E81">
        <v>0</v>
      </c>
      <c r="F81">
        <v>2284390</v>
      </c>
      <c r="G81">
        <v>627332</v>
      </c>
      <c r="H81">
        <v>7482</v>
      </c>
      <c r="I81"/>
      <c r="J81"/>
      <c r="K81">
        <v>498488.34810143337</v>
      </c>
      <c r="L81">
        <f t="shared" si="3"/>
        <v>37744000</v>
      </c>
      <c r="M81">
        <v>44568</v>
      </c>
      <c r="N81">
        <v>44154</v>
      </c>
      <c r="O81">
        <v>414</v>
      </c>
      <c r="P81" s="188">
        <f t="shared" si="2"/>
        <v>0.84688565787111825</v>
      </c>
      <c r="Q81">
        <v>550</v>
      </c>
      <c r="R81">
        <v>103</v>
      </c>
      <c r="S81" s="188">
        <v>4.4600000000000001E-2</v>
      </c>
      <c r="U81"/>
      <c r="W81"/>
      <c r="X81"/>
      <c r="Y81"/>
      <c r="Z81"/>
      <c r="AA81"/>
      <c r="AB81"/>
      <c r="AC81"/>
      <c r="AD81"/>
      <c r="AE81"/>
      <c r="AF81"/>
      <c r="AG81"/>
    </row>
    <row r="82" spans="1:33" x14ac:dyDescent="0.25">
      <c r="A82" t="s">
        <v>178</v>
      </c>
      <c r="B82">
        <v>36284006.721692689</v>
      </c>
      <c r="C82">
        <v>32966427.721692689</v>
      </c>
      <c r="D82">
        <v>651730</v>
      </c>
      <c r="E82">
        <v>0</v>
      </c>
      <c r="F82">
        <v>1977376</v>
      </c>
      <c r="G82">
        <v>688473</v>
      </c>
      <c r="H82">
        <v>9960</v>
      </c>
      <c r="K82">
        <v>1494993.2783073112</v>
      </c>
      <c r="L82">
        <f t="shared" si="3"/>
        <v>47739000</v>
      </c>
      <c r="M82">
        <v>61671</v>
      </c>
      <c r="N82">
        <v>62704</v>
      </c>
      <c r="O82">
        <v>-1033</v>
      </c>
      <c r="P82" s="188">
        <f t="shared" si="2"/>
        <v>0.77409155032349075</v>
      </c>
      <c r="Q82">
        <v>1079</v>
      </c>
      <c r="R82">
        <v>312</v>
      </c>
      <c r="S82" s="188">
        <v>4.6399999999999997E-2</v>
      </c>
    </row>
    <row r="83" spans="1:33" x14ac:dyDescent="0.25">
      <c r="A83" t="s">
        <v>403</v>
      </c>
      <c r="B83">
        <v>52427775.920653902</v>
      </c>
      <c r="C83">
        <v>46171065.920653902</v>
      </c>
      <c r="D83">
        <v>942894</v>
      </c>
      <c r="E83">
        <v>0</v>
      </c>
      <c r="F83">
        <v>3873637</v>
      </c>
      <c r="G83">
        <v>1440179</v>
      </c>
      <c r="H83">
        <v>10361</v>
      </c>
      <c r="K83">
        <v>1387224.079346098</v>
      </c>
      <c r="L83">
        <f t="shared" si="3"/>
        <v>64176000</v>
      </c>
      <c r="M83">
        <v>75912</v>
      </c>
      <c r="N83">
        <v>76253</v>
      </c>
      <c r="O83">
        <v>-341</v>
      </c>
      <c r="P83" s="188">
        <f t="shared" si="2"/>
        <v>0.84539993676889025</v>
      </c>
      <c r="Q83">
        <v>941</v>
      </c>
      <c r="R83">
        <v>599</v>
      </c>
      <c r="S83" s="188">
        <v>4.6100000000000002E-2</v>
      </c>
    </row>
    <row r="84" spans="1:33" x14ac:dyDescent="0.25">
      <c r="A84" t="s">
        <v>250</v>
      </c>
      <c r="B84">
        <v>46499083.788572058</v>
      </c>
      <c r="C84">
        <v>42785913.788572058</v>
      </c>
      <c r="D84">
        <v>415602</v>
      </c>
      <c r="E84">
        <v>0</v>
      </c>
      <c r="F84">
        <v>2104834</v>
      </c>
      <c r="G84">
        <v>1192734</v>
      </c>
      <c r="H84">
        <v>8434</v>
      </c>
      <c r="K84">
        <v>1351916.2114279419</v>
      </c>
      <c r="L84">
        <f t="shared" si="3"/>
        <v>56285000</v>
      </c>
      <c r="M84">
        <v>80572</v>
      </c>
      <c r="N84">
        <v>86964</v>
      </c>
      <c r="O84">
        <v>-6392</v>
      </c>
      <c r="P84" s="188">
        <f t="shared" si="2"/>
        <v>0.69856774065432159</v>
      </c>
      <c r="Q84">
        <v>1801</v>
      </c>
      <c r="R84">
        <v>530</v>
      </c>
      <c r="S84" s="188">
        <v>5.2900000000000003E-2</v>
      </c>
    </row>
    <row r="85" spans="1:33" s="86" customFormat="1" x14ac:dyDescent="0.25">
      <c r="A85" s="86" t="s">
        <v>179</v>
      </c>
      <c r="B85" s="86">
        <v>220080849.64314723</v>
      </c>
      <c r="C85" s="86">
        <v>159182229.64314723</v>
      </c>
      <c r="D85" s="86">
        <v>7114800</v>
      </c>
      <c r="E85" s="86">
        <v>23959527</v>
      </c>
      <c r="F85" s="86">
        <v>9995799</v>
      </c>
      <c r="G85" s="86">
        <v>19828494</v>
      </c>
      <c r="H85" s="86">
        <v>33855</v>
      </c>
      <c r="K85" s="86">
        <v>378150.35685276985</v>
      </c>
      <c r="L85">
        <f t="shared" si="3"/>
        <v>254314000</v>
      </c>
      <c r="M85" s="86">
        <v>381126</v>
      </c>
      <c r="N85" s="86">
        <v>373014</v>
      </c>
      <c r="O85" s="86">
        <v>8112</v>
      </c>
      <c r="P85" s="188">
        <f t="shared" si="2"/>
        <v>0.66727014163295073</v>
      </c>
      <c r="Q85" s="86">
        <v>13804</v>
      </c>
      <c r="R85">
        <v>7325</v>
      </c>
      <c r="S85" s="273">
        <v>4.2900000000000001E-2</v>
      </c>
      <c r="U85"/>
      <c r="W85"/>
      <c r="X85"/>
      <c r="Y85"/>
      <c r="Z85"/>
      <c r="AA85"/>
      <c r="AB85"/>
      <c r="AC85"/>
      <c r="AD85"/>
      <c r="AE85"/>
      <c r="AF85"/>
      <c r="AG85"/>
    </row>
    <row r="86" spans="1:33" x14ac:dyDescent="0.25">
      <c r="A86" t="s">
        <v>220</v>
      </c>
      <c r="B86">
        <v>11084827.866867231</v>
      </c>
      <c r="C86">
        <v>10263111.866867231</v>
      </c>
      <c r="D86">
        <v>73282</v>
      </c>
      <c r="E86">
        <v>0</v>
      </c>
      <c r="F86">
        <v>340146</v>
      </c>
      <c r="G86">
        <v>408288</v>
      </c>
      <c r="H86">
        <v>2326</v>
      </c>
      <c r="K86">
        <v>94172.133132768795</v>
      </c>
      <c r="L86">
        <f t="shared" si="3"/>
        <v>13505000</v>
      </c>
      <c r="M86">
        <v>26981</v>
      </c>
      <c r="N86">
        <v>28479</v>
      </c>
      <c r="O86">
        <v>-1498</v>
      </c>
      <c r="P86" s="188">
        <f t="shared" si="2"/>
        <v>0.50053741521811645</v>
      </c>
      <c r="Q86">
        <v>1495</v>
      </c>
      <c r="R86">
        <v>608</v>
      </c>
      <c r="S86" s="188">
        <v>4.7500000000000001E-2</v>
      </c>
    </row>
    <row r="87" spans="1:33" x14ac:dyDescent="0.25">
      <c r="A87" t="s">
        <v>754</v>
      </c>
      <c r="B87">
        <v>105627561.5217604</v>
      </c>
      <c r="C87">
        <v>87135074.521760404</v>
      </c>
      <c r="D87">
        <v>2439226</v>
      </c>
      <c r="E87">
        <v>0</v>
      </c>
      <c r="F87">
        <v>10723982</v>
      </c>
      <c r="G87">
        <v>5329279</v>
      </c>
      <c r="H87">
        <v>26081</v>
      </c>
      <c r="K87">
        <v>22350438.478239588</v>
      </c>
      <c r="L87">
        <v>154059000</v>
      </c>
      <c r="M87">
        <v>232152</v>
      </c>
      <c r="N87">
        <v>179904</v>
      </c>
      <c r="O87">
        <v>52248</v>
      </c>
      <c r="P87" s="188">
        <f t="shared" si="2"/>
        <v>0.66361263310245011</v>
      </c>
      <c r="Q87">
        <v>2101</v>
      </c>
      <c r="R87">
        <v>0</v>
      </c>
      <c r="S87" s="188">
        <v>2.8400000000000002E-2</v>
      </c>
    </row>
    <row r="88" spans="1:33" x14ac:dyDescent="0.25">
      <c r="A88" t="s">
        <v>360</v>
      </c>
      <c r="B88">
        <v>28143137.129318669</v>
      </c>
      <c r="C88">
        <v>23635746.129318669</v>
      </c>
      <c r="D88">
        <v>852362</v>
      </c>
      <c r="E88">
        <v>0</v>
      </c>
      <c r="F88">
        <v>2995393</v>
      </c>
      <c r="G88">
        <v>659636</v>
      </c>
      <c r="H88">
        <v>3803</v>
      </c>
      <c r="K88">
        <v>272862.87068133056</v>
      </c>
      <c r="L88">
        <f t="shared" si="3"/>
        <v>32219000</v>
      </c>
      <c r="M88">
        <v>45403</v>
      </c>
      <c r="N88">
        <v>45123</v>
      </c>
      <c r="O88">
        <v>280</v>
      </c>
      <c r="P88" s="188">
        <f t="shared" si="2"/>
        <v>0.70962271215558448</v>
      </c>
      <c r="Q88">
        <v>1666</v>
      </c>
      <c r="R88">
        <v>378</v>
      </c>
      <c r="S88" s="188">
        <v>4.99E-2</v>
      </c>
    </row>
    <row r="89" spans="1:33" x14ac:dyDescent="0.25">
      <c r="A89" t="s">
        <v>404</v>
      </c>
      <c r="B89">
        <v>34288620.025918871</v>
      </c>
      <c r="C89">
        <v>29464778.025918875</v>
      </c>
      <c r="D89">
        <v>2001237</v>
      </c>
      <c r="E89">
        <v>0</v>
      </c>
      <c r="F89">
        <v>2202791</v>
      </c>
      <c r="G89">
        <v>619814</v>
      </c>
      <c r="H89">
        <v>3267</v>
      </c>
      <c r="K89">
        <v>5681379.9740811288</v>
      </c>
      <c r="L89">
        <f t="shared" si="3"/>
        <v>43237000</v>
      </c>
      <c r="M89">
        <v>58521</v>
      </c>
      <c r="N89">
        <v>58967</v>
      </c>
      <c r="O89">
        <v>-446</v>
      </c>
      <c r="P89" s="188">
        <f t="shared" si="2"/>
        <v>0.73882879650040156</v>
      </c>
      <c r="Q89">
        <v>1123</v>
      </c>
      <c r="R89">
        <v>32</v>
      </c>
      <c r="S89" s="188">
        <v>4.4699999999999997E-2</v>
      </c>
    </row>
    <row r="90" spans="1:33" x14ac:dyDescent="0.25">
      <c r="A90" s="86" t="s">
        <v>361</v>
      </c>
      <c r="B90" s="86">
        <v>544441749.37521076</v>
      </c>
      <c r="C90" s="86">
        <v>373080128.3752107</v>
      </c>
      <c r="D90" s="86">
        <v>11217666</v>
      </c>
      <c r="E90" s="86">
        <v>55424191</v>
      </c>
      <c r="F90" s="86">
        <v>38072718</v>
      </c>
      <c r="G90" s="86">
        <v>66647046</v>
      </c>
      <c r="H90" s="86">
        <v>139845</v>
      </c>
      <c r="I90" s="86"/>
      <c r="J90" s="86"/>
      <c r="K90" s="86">
        <v>34568250.624789238</v>
      </c>
      <c r="L90">
        <f t="shared" si="3"/>
        <v>718855000</v>
      </c>
      <c r="M90" s="86">
        <v>915847</v>
      </c>
      <c r="N90" s="86">
        <v>923733</v>
      </c>
      <c r="O90" s="86">
        <v>-7886</v>
      </c>
      <c r="P90" s="188">
        <f t="shared" si="2"/>
        <v>0.78490730438599465</v>
      </c>
      <c r="Q90" s="86">
        <v>28174</v>
      </c>
      <c r="R90">
        <v>4097</v>
      </c>
      <c r="S90" s="273">
        <v>4.4200000000000003E-2</v>
      </c>
    </row>
    <row r="91" spans="1:33" x14ac:dyDescent="0.25">
      <c r="A91" t="s">
        <v>180</v>
      </c>
      <c r="B91">
        <v>35745308.055290096</v>
      </c>
      <c r="C91">
        <v>30535086.055290096</v>
      </c>
      <c r="D91">
        <v>915236</v>
      </c>
      <c r="E91">
        <v>0</v>
      </c>
      <c r="F91">
        <v>3639913</v>
      </c>
      <c r="G91">
        <v>655073</v>
      </c>
      <c r="H91">
        <v>5246</v>
      </c>
      <c r="K91">
        <v>328691.94470990449</v>
      </c>
      <c r="L91">
        <f t="shared" si="3"/>
        <v>41320000</v>
      </c>
      <c r="M91">
        <v>54095</v>
      </c>
      <c r="N91">
        <v>55301</v>
      </c>
      <c r="O91">
        <v>-1206</v>
      </c>
      <c r="P91" s="188">
        <f t="shared" si="2"/>
        <v>0.76384139014696373</v>
      </c>
      <c r="Q91">
        <v>701</v>
      </c>
      <c r="R91" s="86">
        <v>1193</v>
      </c>
      <c r="S91" s="188">
        <v>5.2499999999999998E-2</v>
      </c>
      <c r="U91" s="86"/>
      <c r="W91" s="86"/>
      <c r="X91" s="86"/>
      <c r="Y91" s="86"/>
      <c r="Z91" s="86"/>
      <c r="AA91" s="86"/>
      <c r="AB91" s="86"/>
      <c r="AD91" s="86"/>
      <c r="AE91" s="86"/>
      <c r="AF91" s="86"/>
      <c r="AG91" s="86"/>
    </row>
    <row r="92" spans="1:33" x14ac:dyDescent="0.25">
      <c r="A92" t="s">
        <v>110</v>
      </c>
      <c r="B92">
        <v>258343912.07667246</v>
      </c>
      <c r="C92">
        <v>182928690.07667246</v>
      </c>
      <c r="D92">
        <v>5655216</v>
      </c>
      <c r="E92">
        <v>24719540</v>
      </c>
      <c r="F92">
        <v>27637746</v>
      </c>
      <c r="G92">
        <v>17402720</v>
      </c>
      <c r="H92">
        <v>60669</v>
      </c>
      <c r="K92">
        <v>40486087.923327535</v>
      </c>
      <c r="L92">
        <f t="shared" si="3"/>
        <v>359499000</v>
      </c>
      <c r="M92">
        <v>424863</v>
      </c>
      <c r="N92">
        <v>421522</v>
      </c>
      <c r="O92">
        <v>3341</v>
      </c>
      <c r="P92" s="188">
        <f t="shared" si="2"/>
        <v>0.84615275983081606</v>
      </c>
      <c r="Q92">
        <v>6652</v>
      </c>
      <c r="R92">
        <v>841</v>
      </c>
      <c r="S92" s="188">
        <v>3.9199999999999999E-2</v>
      </c>
    </row>
    <row r="93" spans="1:33" x14ac:dyDescent="0.25">
      <c r="A93" t="s">
        <v>251</v>
      </c>
      <c r="B93">
        <v>34033423.976385579</v>
      </c>
      <c r="C93">
        <v>29909088.976385575</v>
      </c>
      <c r="D93">
        <v>1470665</v>
      </c>
      <c r="E93">
        <v>0</v>
      </c>
      <c r="F93">
        <v>1899578</v>
      </c>
      <c r="G93">
        <v>754092</v>
      </c>
      <c r="H93">
        <v>6978</v>
      </c>
      <c r="K93">
        <v>640576.02361442149</v>
      </c>
      <c r="L93">
        <f t="shared" si="3"/>
        <v>41652000</v>
      </c>
      <c r="M93">
        <v>53615</v>
      </c>
      <c r="N93">
        <v>55373</v>
      </c>
      <c r="O93">
        <v>-1758</v>
      </c>
      <c r="P93" s="188">
        <f t="shared" si="2"/>
        <v>0.77687214398955518</v>
      </c>
      <c r="Q93">
        <v>1005</v>
      </c>
      <c r="R93">
        <v>264</v>
      </c>
      <c r="S93" s="188">
        <v>4.9200000000000001E-2</v>
      </c>
    </row>
    <row r="94" spans="1:33" x14ac:dyDescent="0.25">
      <c r="A94" t="s">
        <v>146</v>
      </c>
      <c r="B94">
        <v>405752637.33088911</v>
      </c>
      <c r="C94">
        <v>284116837.33088911</v>
      </c>
      <c r="D94">
        <v>6526880</v>
      </c>
      <c r="E94">
        <v>51676031</v>
      </c>
      <c r="F94">
        <v>30750173</v>
      </c>
      <c r="G94">
        <v>32682716</v>
      </c>
      <c r="H94">
        <v>123556</v>
      </c>
      <c r="K94">
        <v>25397362.669110894</v>
      </c>
      <c r="L94">
        <f t="shared" si="3"/>
        <v>554706000</v>
      </c>
      <c r="M94">
        <v>710674</v>
      </c>
      <c r="N94">
        <v>722442</v>
      </c>
      <c r="O94">
        <v>-11768</v>
      </c>
      <c r="P94" s="188">
        <f t="shared" si="2"/>
        <v>0.78053509766784768</v>
      </c>
      <c r="Q94">
        <v>16273</v>
      </c>
      <c r="R94">
        <v>900</v>
      </c>
      <c r="S94" s="188">
        <v>4.6199999999999998E-2</v>
      </c>
    </row>
    <row r="95" spans="1:33" x14ac:dyDescent="0.25">
      <c r="A95" t="s">
        <v>181</v>
      </c>
      <c r="B95">
        <v>50988807.982407659</v>
      </c>
      <c r="C95">
        <v>44325867.982407659</v>
      </c>
      <c r="D95">
        <v>908429</v>
      </c>
      <c r="E95">
        <v>0</v>
      </c>
      <c r="F95">
        <v>4730666</v>
      </c>
      <c r="G95">
        <v>1023845</v>
      </c>
      <c r="H95">
        <v>6823</v>
      </c>
      <c r="K95">
        <v>1295192.0175923407</v>
      </c>
      <c r="L95">
        <f t="shared" si="3"/>
        <v>59107000</v>
      </c>
      <c r="M95">
        <v>80153</v>
      </c>
      <c r="N95">
        <v>78415</v>
      </c>
      <c r="O95">
        <v>1738</v>
      </c>
      <c r="P95" s="188">
        <f t="shared" si="2"/>
        <v>0.73742717053634921</v>
      </c>
      <c r="Q95">
        <v>3274</v>
      </c>
      <c r="R95">
        <v>2308</v>
      </c>
      <c r="S95" s="188">
        <v>4.19E-2</v>
      </c>
    </row>
    <row r="96" spans="1:33" x14ac:dyDescent="0.25">
      <c r="A96" t="s">
        <v>182</v>
      </c>
      <c r="B96">
        <v>48885018.926311024</v>
      </c>
      <c r="C96">
        <v>39133584.926311024</v>
      </c>
      <c r="D96">
        <v>5181569</v>
      </c>
      <c r="E96">
        <v>0</v>
      </c>
      <c r="F96">
        <v>3875435</v>
      </c>
      <c r="G96">
        <v>694430</v>
      </c>
      <c r="H96">
        <v>-64</v>
      </c>
      <c r="K96">
        <v>808981.07368897647</v>
      </c>
      <c r="L96">
        <f t="shared" si="3"/>
        <v>49630000</v>
      </c>
      <c r="M96">
        <v>76989</v>
      </c>
      <c r="N96">
        <v>78307</v>
      </c>
      <c r="O96">
        <v>-1318</v>
      </c>
      <c r="P96" s="188">
        <f t="shared" si="2"/>
        <v>0.6446375456234007</v>
      </c>
      <c r="Q96">
        <v>1997</v>
      </c>
      <c r="R96">
        <v>1711</v>
      </c>
      <c r="S96" s="188">
        <v>5.2499999999999998E-2</v>
      </c>
    </row>
    <row r="97" spans="1:19" x14ac:dyDescent="0.25">
      <c r="A97" t="s">
        <v>362</v>
      </c>
      <c r="B97">
        <v>69031900.784976274</v>
      </c>
      <c r="C97">
        <v>60334180.784976266</v>
      </c>
      <c r="D97">
        <v>934012</v>
      </c>
      <c r="E97">
        <v>0</v>
      </c>
      <c r="F97">
        <v>6426861</v>
      </c>
      <c r="G97">
        <v>1336847</v>
      </c>
      <c r="H97">
        <v>14740</v>
      </c>
      <c r="K97">
        <v>1741099.2150237262</v>
      </c>
      <c r="L97">
        <f t="shared" si="3"/>
        <v>85513000</v>
      </c>
      <c r="M97">
        <v>124064</v>
      </c>
      <c r="N97">
        <v>123472</v>
      </c>
      <c r="O97">
        <v>592</v>
      </c>
      <c r="P97" s="188">
        <f t="shared" si="2"/>
        <v>0.68926521795202478</v>
      </c>
      <c r="Q97">
        <v>2374</v>
      </c>
      <c r="R97">
        <v>271</v>
      </c>
      <c r="S97" s="188">
        <v>4.2099999999999999E-2</v>
      </c>
    </row>
    <row r="98" spans="1:19" x14ac:dyDescent="0.25">
      <c r="A98" t="s">
        <v>363</v>
      </c>
      <c r="B98">
        <v>32105163.450206909</v>
      </c>
      <c r="C98">
        <v>28614574.450206909</v>
      </c>
      <c r="D98">
        <v>434981</v>
      </c>
      <c r="E98">
        <v>0</v>
      </c>
      <c r="F98">
        <v>2198921</v>
      </c>
      <c r="G98">
        <v>856687</v>
      </c>
      <c r="H98">
        <v>6964</v>
      </c>
      <c r="K98">
        <v>401836.54979309067</v>
      </c>
      <c r="L98">
        <f t="shared" si="3"/>
        <v>39471000</v>
      </c>
      <c r="M98">
        <v>52336</v>
      </c>
      <c r="N98">
        <v>51882</v>
      </c>
      <c r="O98">
        <v>454</v>
      </c>
      <c r="P98" s="188">
        <f t="shared" si="2"/>
        <v>0.75418450015285843</v>
      </c>
      <c r="Q98">
        <v>1118</v>
      </c>
      <c r="R98">
        <v>741</v>
      </c>
      <c r="S98" s="188">
        <v>4.1099999999999998E-2</v>
      </c>
    </row>
    <row r="99" spans="1:19" x14ac:dyDescent="0.25">
      <c r="A99" t="s">
        <v>364</v>
      </c>
      <c r="B99">
        <v>56664361.713089086</v>
      </c>
      <c r="C99">
        <v>52567116.713089086</v>
      </c>
      <c r="D99">
        <v>1018378</v>
      </c>
      <c r="E99">
        <v>0</v>
      </c>
      <c r="F99">
        <v>1968186</v>
      </c>
      <c r="G99">
        <v>1110681</v>
      </c>
      <c r="H99">
        <v>16576</v>
      </c>
      <c r="K99">
        <v>1468638.2869109139</v>
      </c>
      <c r="L99">
        <f t="shared" si="3"/>
        <v>74709000</v>
      </c>
      <c r="M99">
        <v>113244</v>
      </c>
      <c r="N99">
        <v>114320</v>
      </c>
      <c r="O99">
        <v>-1076</v>
      </c>
      <c r="P99" s="188">
        <f t="shared" si="2"/>
        <v>0.65971707110310485</v>
      </c>
      <c r="Q99">
        <v>1972</v>
      </c>
      <c r="R99">
        <v>74</v>
      </c>
      <c r="S99" s="188">
        <v>4.6699999999999998E-2</v>
      </c>
    </row>
    <row r="100" spans="1:19" x14ac:dyDescent="0.25">
      <c r="A100" t="s">
        <v>365</v>
      </c>
      <c r="B100">
        <v>47111085.120912805</v>
      </c>
      <c r="C100">
        <v>40431989.120912805</v>
      </c>
      <c r="D100">
        <v>687893</v>
      </c>
      <c r="E100">
        <v>0</v>
      </c>
      <c r="F100">
        <v>5210959</v>
      </c>
      <c r="G100">
        <v>780244</v>
      </c>
      <c r="H100">
        <v>12323</v>
      </c>
      <c r="K100">
        <v>748914.8790871948</v>
      </c>
      <c r="L100">
        <f t="shared" si="3"/>
        <v>60183000</v>
      </c>
      <c r="M100">
        <v>76648</v>
      </c>
      <c r="N100">
        <v>75243</v>
      </c>
      <c r="O100">
        <v>1405</v>
      </c>
      <c r="P100" s="188">
        <f t="shared" si="2"/>
        <v>0.78518682809727591</v>
      </c>
      <c r="Q100">
        <v>644</v>
      </c>
      <c r="R100">
        <v>35</v>
      </c>
      <c r="S100" s="188">
        <v>3.85E-2</v>
      </c>
    </row>
    <row r="101" spans="1:19" x14ac:dyDescent="0.25">
      <c r="A101" t="s">
        <v>405</v>
      </c>
      <c r="B101">
        <v>32433522.24426901</v>
      </c>
      <c r="C101">
        <v>25569548.24426901</v>
      </c>
      <c r="D101">
        <v>266799</v>
      </c>
      <c r="E101">
        <v>0</v>
      </c>
      <c r="F101">
        <v>5706819</v>
      </c>
      <c r="G101">
        <v>890356</v>
      </c>
      <c r="H101">
        <v>5711</v>
      </c>
      <c r="K101">
        <v>778477.75573099032</v>
      </c>
      <c r="L101">
        <f t="shared" si="3"/>
        <v>38923000</v>
      </c>
      <c r="M101">
        <v>47970</v>
      </c>
      <c r="N101">
        <v>50706</v>
      </c>
      <c r="O101">
        <v>-2736</v>
      </c>
      <c r="P101" s="188">
        <f t="shared" si="2"/>
        <v>0.81140296018344804</v>
      </c>
      <c r="Q101">
        <v>276</v>
      </c>
      <c r="R101">
        <v>30</v>
      </c>
      <c r="S101" s="188">
        <v>5.7599999999999998E-2</v>
      </c>
    </row>
    <row r="102" spans="1:19" x14ac:dyDescent="0.25">
      <c r="A102" t="s">
        <v>366</v>
      </c>
      <c r="B102">
        <v>39363029.702179968</v>
      </c>
      <c r="C102">
        <v>34400656.702179968</v>
      </c>
      <c r="D102">
        <v>541027</v>
      </c>
      <c r="E102">
        <v>0</v>
      </c>
      <c r="F102">
        <v>2000838</v>
      </c>
      <c r="G102">
        <v>2420508</v>
      </c>
      <c r="H102">
        <v>8321</v>
      </c>
      <c r="K102">
        <v>904970.29782003164</v>
      </c>
      <c r="L102">
        <f t="shared" si="3"/>
        <v>48589000</v>
      </c>
      <c r="M102">
        <v>68912</v>
      </c>
      <c r="N102">
        <v>67486</v>
      </c>
      <c r="O102">
        <v>1426</v>
      </c>
      <c r="P102" s="188">
        <f t="shared" si="2"/>
        <v>0.70508764801485957</v>
      </c>
      <c r="Q102">
        <v>1239</v>
      </c>
      <c r="R102">
        <v>2</v>
      </c>
      <c r="S102" s="188">
        <v>3.9300000000000002E-2</v>
      </c>
    </row>
    <row r="103" spans="1:19" x14ac:dyDescent="0.25">
      <c r="A103" t="s">
        <v>292</v>
      </c>
      <c r="B103">
        <v>76649172.801838249</v>
      </c>
      <c r="C103">
        <v>67704944.801838249</v>
      </c>
      <c r="D103">
        <v>1211448</v>
      </c>
      <c r="E103">
        <v>0</v>
      </c>
      <c r="F103">
        <v>5731575</v>
      </c>
      <c r="G103">
        <v>2001205</v>
      </c>
      <c r="H103">
        <v>11944</v>
      </c>
      <c r="K103">
        <v>1124827.198161751</v>
      </c>
      <c r="L103">
        <f t="shared" si="3"/>
        <v>89718000</v>
      </c>
      <c r="M103">
        <v>126744</v>
      </c>
      <c r="N103">
        <v>130623</v>
      </c>
      <c r="O103">
        <v>-3879</v>
      </c>
      <c r="P103" s="188">
        <f t="shared" si="2"/>
        <v>0.70786782806286686</v>
      </c>
      <c r="Q103">
        <v>4169</v>
      </c>
      <c r="R103">
        <v>537</v>
      </c>
      <c r="S103" s="188">
        <v>4.7500000000000001E-2</v>
      </c>
    </row>
    <row r="104" spans="1:19" x14ac:dyDescent="0.25">
      <c r="A104" t="s">
        <v>331</v>
      </c>
      <c r="B104">
        <v>73512279.804947808</v>
      </c>
      <c r="C104">
        <v>62743750.804947808</v>
      </c>
      <c r="D104">
        <v>1052782</v>
      </c>
      <c r="E104">
        <v>0</v>
      </c>
      <c r="F104">
        <v>6351177</v>
      </c>
      <c r="G104">
        <v>3364570</v>
      </c>
      <c r="H104">
        <v>15574</v>
      </c>
      <c r="K104">
        <v>3458720.1950521916</v>
      </c>
      <c r="L104">
        <f t="shared" si="3"/>
        <v>92545000</v>
      </c>
      <c r="M104">
        <v>127848</v>
      </c>
      <c r="N104">
        <v>129212</v>
      </c>
      <c r="O104">
        <v>-1364</v>
      </c>
      <c r="P104" s="188">
        <f t="shared" si="2"/>
        <v>0.72386740504348912</v>
      </c>
      <c r="Q104">
        <v>4170</v>
      </c>
      <c r="R104">
        <v>2348</v>
      </c>
      <c r="S104" s="188">
        <v>3.6499999999999998E-2</v>
      </c>
    </row>
    <row r="105" spans="1:19" x14ac:dyDescent="0.25">
      <c r="A105" t="s">
        <v>367</v>
      </c>
      <c r="B105">
        <v>35851227.132424317</v>
      </c>
      <c r="C105">
        <v>30494763.132424317</v>
      </c>
      <c r="D105">
        <v>1753817</v>
      </c>
      <c r="E105">
        <v>0</v>
      </c>
      <c r="F105">
        <v>2974436</v>
      </c>
      <c r="G105">
        <v>628211</v>
      </c>
      <c r="H105">
        <v>6398</v>
      </c>
      <c r="K105">
        <v>444772.8675756827</v>
      </c>
      <c r="L105">
        <f t="shared" si="3"/>
        <v>42694000</v>
      </c>
      <c r="M105">
        <v>59678</v>
      </c>
      <c r="N105">
        <v>61074</v>
      </c>
      <c r="O105">
        <v>-1396</v>
      </c>
      <c r="P105" s="188">
        <f t="shared" si="2"/>
        <v>0.71540601226582656</v>
      </c>
      <c r="Q105">
        <v>562</v>
      </c>
      <c r="R105">
        <v>67</v>
      </c>
      <c r="S105" s="188">
        <v>5.1999999999999998E-2</v>
      </c>
    </row>
    <row r="106" spans="1:19" x14ac:dyDescent="0.25">
      <c r="A106" t="s">
        <v>490</v>
      </c>
      <c r="B106">
        <v>76947427.193616062</v>
      </c>
      <c r="C106">
        <v>71507902.193616062</v>
      </c>
      <c r="D106">
        <v>1684284</v>
      </c>
      <c r="E106">
        <v>0</v>
      </c>
      <c r="F106">
        <v>2168775</v>
      </c>
      <c r="G106">
        <v>1586466</v>
      </c>
      <c r="H106">
        <v>23054</v>
      </c>
      <c r="K106">
        <v>397572.8063839376</v>
      </c>
      <c r="L106">
        <f t="shared" si="3"/>
        <v>100399000</v>
      </c>
      <c r="M106">
        <v>136996</v>
      </c>
      <c r="N106">
        <v>142300</v>
      </c>
      <c r="O106">
        <v>-5304</v>
      </c>
      <c r="P106" s="188">
        <f t="shared" si="2"/>
        <v>0.73286081345440746</v>
      </c>
      <c r="Q106">
        <v>4237</v>
      </c>
      <c r="R106">
        <v>2513</v>
      </c>
      <c r="S106" s="188">
        <v>0.03</v>
      </c>
    </row>
    <row r="107" spans="1:19" x14ac:dyDescent="0.25">
      <c r="A107" t="s">
        <v>293</v>
      </c>
      <c r="B107">
        <v>73616739.593835443</v>
      </c>
      <c r="C107">
        <v>61875676.593835443</v>
      </c>
      <c r="D107">
        <v>627257</v>
      </c>
      <c r="E107">
        <v>0</v>
      </c>
      <c r="F107">
        <v>8271589</v>
      </c>
      <c r="G107">
        <v>2842217</v>
      </c>
      <c r="H107">
        <v>18631</v>
      </c>
      <c r="K107">
        <v>2736260.4061645567</v>
      </c>
      <c r="L107">
        <f t="shared" si="3"/>
        <v>94984000</v>
      </c>
      <c r="M107">
        <v>139521</v>
      </c>
      <c r="N107">
        <v>140197</v>
      </c>
      <c r="O107">
        <v>-676</v>
      </c>
      <c r="P107" s="188">
        <f t="shared" si="2"/>
        <v>0.68078640491395559</v>
      </c>
      <c r="Q107">
        <v>3388</v>
      </c>
      <c r="R107">
        <v>1052</v>
      </c>
      <c r="S107" s="188">
        <v>3.1399999999999997E-2</v>
      </c>
    </row>
    <row r="108" spans="1:19" x14ac:dyDescent="0.25">
      <c r="A108" t="s">
        <v>294</v>
      </c>
      <c r="B108">
        <v>169121785.96515399</v>
      </c>
      <c r="C108">
        <v>124474621.96515401</v>
      </c>
      <c r="D108">
        <v>4615204</v>
      </c>
      <c r="E108">
        <v>18965242</v>
      </c>
      <c r="F108">
        <v>11515358</v>
      </c>
      <c r="G108">
        <v>9551360</v>
      </c>
      <c r="H108">
        <v>34454</v>
      </c>
      <c r="K108">
        <v>7561214.0348460078</v>
      </c>
      <c r="L108">
        <f t="shared" si="3"/>
        <v>211137000</v>
      </c>
      <c r="M108">
        <v>279655</v>
      </c>
      <c r="N108">
        <v>294369</v>
      </c>
      <c r="O108">
        <v>-14714</v>
      </c>
      <c r="P108" s="188">
        <f t="shared" si="2"/>
        <v>0.75499097101786128</v>
      </c>
      <c r="Q108">
        <v>7739</v>
      </c>
      <c r="R108">
        <v>3057</v>
      </c>
      <c r="S108" s="188">
        <v>4.8599999999999997E-2</v>
      </c>
    </row>
    <row r="109" spans="1:19" x14ac:dyDescent="0.25">
      <c r="A109" t="s">
        <v>121</v>
      </c>
      <c r="B109">
        <v>590939804.37275958</v>
      </c>
      <c r="C109">
        <v>415210472.37275952</v>
      </c>
      <c r="D109">
        <v>13815830</v>
      </c>
      <c r="E109">
        <v>79491843</v>
      </c>
      <c r="F109">
        <v>33039211</v>
      </c>
      <c r="G109">
        <v>49382448</v>
      </c>
      <c r="H109">
        <v>184017</v>
      </c>
      <c r="K109">
        <v>21948195.627240419</v>
      </c>
      <c r="L109">
        <f t="shared" si="3"/>
        <v>796905000</v>
      </c>
      <c r="M109">
        <v>1014719</v>
      </c>
      <c r="N109">
        <v>1038490</v>
      </c>
      <c r="O109">
        <v>-23771</v>
      </c>
      <c r="P109" s="188">
        <f t="shared" si="2"/>
        <v>0.78534549959151256</v>
      </c>
      <c r="Q109">
        <v>19902</v>
      </c>
      <c r="R109">
        <v>1784</v>
      </c>
      <c r="S109" s="188">
        <v>3.4700000000000002E-2</v>
      </c>
    </row>
    <row r="110" spans="1:19" x14ac:dyDescent="0.25">
      <c r="A110" t="s">
        <v>406</v>
      </c>
      <c r="B110">
        <v>22536789.934894133</v>
      </c>
      <c r="C110">
        <v>19485692.934894133</v>
      </c>
      <c r="D110">
        <v>249152</v>
      </c>
      <c r="E110">
        <v>0</v>
      </c>
      <c r="F110">
        <v>2203740</v>
      </c>
      <c r="G110">
        <v>598205</v>
      </c>
      <c r="H110">
        <v>7928</v>
      </c>
      <c r="K110">
        <v>246210.06510586664</v>
      </c>
      <c r="L110">
        <f t="shared" si="3"/>
        <v>30711000</v>
      </c>
      <c r="M110">
        <v>35868</v>
      </c>
      <c r="N110">
        <v>36748</v>
      </c>
      <c r="O110">
        <v>-880</v>
      </c>
      <c r="P110" s="188">
        <f t="shared" si="2"/>
        <v>0.85622281699565073</v>
      </c>
      <c r="Q110">
        <v>242</v>
      </c>
      <c r="R110">
        <v>4</v>
      </c>
      <c r="S110" s="188">
        <v>4.5999999999999999E-2</v>
      </c>
    </row>
    <row r="111" spans="1:19" x14ac:dyDescent="0.25">
      <c r="A111" t="s">
        <v>147</v>
      </c>
      <c r="B111">
        <v>36311279.395111009</v>
      </c>
      <c r="C111">
        <v>32955723.395111006</v>
      </c>
      <c r="D111">
        <v>283149</v>
      </c>
      <c r="E111">
        <v>0</v>
      </c>
      <c r="F111">
        <v>2553755</v>
      </c>
      <c r="G111">
        <v>518652</v>
      </c>
      <c r="H111">
        <v>7611</v>
      </c>
      <c r="K111">
        <v>396720.60488899052</v>
      </c>
      <c r="L111">
        <f t="shared" si="3"/>
        <v>44319000</v>
      </c>
      <c r="M111">
        <v>59845</v>
      </c>
      <c r="N111">
        <v>58984</v>
      </c>
      <c r="O111">
        <v>861</v>
      </c>
      <c r="P111" s="188">
        <f t="shared" si="2"/>
        <v>0.74056312139694214</v>
      </c>
      <c r="Q111">
        <v>409</v>
      </c>
      <c r="R111">
        <v>11</v>
      </c>
      <c r="S111" s="188">
        <v>3.4099999999999998E-2</v>
      </c>
    </row>
    <row r="112" spans="1:19" x14ac:dyDescent="0.25">
      <c r="A112" t="s">
        <v>252</v>
      </c>
      <c r="B112">
        <v>352929913.7049433</v>
      </c>
      <c r="C112">
        <v>250176291.7049433</v>
      </c>
      <c r="D112">
        <v>4365028</v>
      </c>
      <c r="E112">
        <v>49420962</v>
      </c>
      <c r="F112">
        <v>18000293</v>
      </c>
      <c r="G112">
        <v>30967339</v>
      </c>
      <c r="H112">
        <v>94979</v>
      </c>
      <c r="K112">
        <v>12030086.295056701</v>
      </c>
      <c r="L112">
        <f t="shared" si="3"/>
        <v>459939000</v>
      </c>
      <c r="M112">
        <v>582245</v>
      </c>
      <c r="N112">
        <v>585386</v>
      </c>
      <c r="O112">
        <v>-3141</v>
      </c>
      <c r="P112" s="188">
        <f t="shared" si="2"/>
        <v>0.78994066071842606</v>
      </c>
      <c r="Q112">
        <v>24918</v>
      </c>
      <c r="R112">
        <v>8764</v>
      </c>
      <c r="S112" s="188">
        <v>3.8699999999999998E-2</v>
      </c>
    </row>
    <row r="113" spans="1:33" x14ac:dyDescent="0.25">
      <c r="A113" t="s">
        <v>253</v>
      </c>
      <c r="B113">
        <v>198331677.63297454</v>
      </c>
      <c r="C113">
        <v>178873515.63297454</v>
      </c>
      <c r="D113">
        <v>4544140</v>
      </c>
      <c r="E113">
        <v>0</v>
      </c>
      <c r="F113">
        <v>6544814</v>
      </c>
      <c r="G113">
        <v>8369208</v>
      </c>
      <c r="H113">
        <v>55051</v>
      </c>
      <c r="K113">
        <v>4019322.3670254648</v>
      </c>
      <c r="L113">
        <f t="shared" si="3"/>
        <v>257402000</v>
      </c>
      <c r="M113">
        <v>459070</v>
      </c>
      <c r="N113">
        <v>461379</v>
      </c>
      <c r="O113">
        <v>-2309</v>
      </c>
      <c r="P113" s="188">
        <f t="shared" si="2"/>
        <v>0.56070316073801385</v>
      </c>
      <c r="Q113">
        <v>23085</v>
      </c>
      <c r="R113">
        <v>7818</v>
      </c>
      <c r="S113" s="188">
        <v>2.93E-2</v>
      </c>
    </row>
    <row r="114" spans="1:33" x14ac:dyDescent="0.25">
      <c r="A114" t="s">
        <v>370</v>
      </c>
      <c r="B114">
        <v>46790664.714173138</v>
      </c>
      <c r="C114">
        <v>39706786.714173138</v>
      </c>
      <c r="D114">
        <v>535294</v>
      </c>
      <c r="E114">
        <v>0</v>
      </c>
      <c r="F114">
        <v>5653817</v>
      </c>
      <c r="G114">
        <v>894767</v>
      </c>
      <c r="H114">
        <v>9563</v>
      </c>
      <c r="K114">
        <v>1099335.2858268619</v>
      </c>
      <c r="L114">
        <f t="shared" si="3"/>
        <v>57453000</v>
      </c>
      <c r="M114">
        <v>81662</v>
      </c>
      <c r="N114">
        <v>81612</v>
      </c>
      <c r="O114">
        <v>50</v>
      </c>
      <c r="P114" s="188">
        <f t="shared" si="2"/>
        <v>0.70354632509612791</v>
      </c>
      <c r="Q114">
        <v>179</v>
      </c>
      <c r="R114">
        <v>23</v>
      </c>
      <c r="S114" s="188">
        <v>4.5100000000000001E-2</v>
      </c>
    </row>
    <row r="115" spans="1:33" x14ac:dyDescent="0.25">
      <c r="A115" t="s">
        <v>148</v>
      </c>
      <c r="B115">
        <v>100839570.55153696</v>
      </c>
      <c r="C115">
        <v>84768621.551536962</v>
      </c>
      <c r="D115">
        <v>3540481</v>
      </c>
      <c r="E115">
        <v>0</v>
      </c>
      <c r="F115">
        <v>9812711</v>
      </c>
      <c r="G115">
        <v>2717757</v>
      </c>
      <c r="H115">
        <v>16667</v>
      </c>
      <c r="K115">
        <v>1805429.4484630376</v>
      </c>
      <c r="L115">
        <f t="shared" si="3"/>
        <v>119312000</v>
      </c>
      <c r="M115">
        <v>177341</v>
      </c>
      <c r="N115">
        <v>187265</v>
      </c>
      <c r="O115">
        <v>-9924</v>
      </c>
      <c r="P115" s="188">
        <f t="shared" si="2"/>
        <v>0.67278294359454383</v>
      </c>
      <c r="Q115">
        <v>1827</v>
      </c>
      <c r="R115">
        <v>114</v>
      </c>
      <c r="S115" s="188">
        <v>5.0900000000000001E-2</v>
      </c>
    </row>
    <row r="116" spans="1:33" x14ac:dyDescent="0.25">
      <c r="A116" t="s">
        <v>183</v>
      </c>
      <c r="B116">
        <v>79221248.565005153</v>
      </c>
      <c r="C116">
        <v>70298088.565005153</v>
      </c>
      <c r="D116">
        <v>894794</v>
      </c>
      <c r="E116">
        <v>0</v>
      </c>
      <c r="F116">
        <v>5511107</v>
      </c>
      <c r="G116">
        <v>2517259</v>
      </c>
      <c r="H116">
        <v>18799</v>
      </c>
      <c r="K116">
        <v>2896751.4349948466</v>
      </c>
      <c r="L116">
        <f t="shared" si="3"/>
        <v>100917000</v>
      </c>
      <c r="M116">
        <v>156303</v>
      </c>
      <c r="N116">
        <v>161431</v>
      </c>
      <c r="O116">
        <v>-5128</v>
      </c>
      <c r="P116" s="188">
        <f t="shared" si="2"/>
        <v>0.64564979558933611</v>
      </c>
      <c r="Q116">
        <v>3536</v>
      </c>
      <c r="R116">
        <v>2447</v>
      </c>
      <c r="S116" s="188">
        <v>4.87E-2</v>
      </c>
    </row>
    <row r="117" spans="1:33" x14ac:dyDescent="0.25">
      <c r="A117" t="s">
        <v>295</v>
      </c>
      <c r="B117">
        <v>23996104.467274208</v>
      </c>
      <c r="C117">
        <v>22390240.467274208</v>
      </c>
      <c r="D117">
        <v>865736</v>
      </c>
      <c r="E117">
        <v>0</v>
      </c>
      <c r="F117">
        <v>132636</v>
      </c>
      <c r="G117">
        <v>607492</v>
      </c>
      <c r="H117">
        <v>3054</v>
      </c>
      <c r="K117">
        <v>653895.53272579238</v>
      </c>
      <c r="L117">
        <f t="shared" si="3"/>
        <v>27704000</v>
      </c>
      <c r="M117">
        <v>40679</v>
      </c>
      <c r="N117">
        <v>42034</v>
      </c>
      <c r="O117">
        <v>-1355</v>
      </c>
      <c r="P117" s="188">
        <f t="shared" si="2"/>
        <v>0.6810393569163451</v>
      </c>
      <c r="Q117">
        <v>705</v>
      </c>
      <c r="R117">
        <v>215</v>
      </c>
      <c r="S117" s="188">
        <v>5.5500000000000001E-2</v>
      </c>
    </row>
    <row r="118" spans="1:33" x14ac:dyDescent="0.25">
      <c r="A118" t="s">
        <v>130</v>
      </c>
      <c r="B118">
        <v>32054704.391106006</v>
      </c>
      <c r="C118">
        <v>28335288.391106006</v>
      </c>
      <c r="D118">
        <v>422149</v>
      </c>
      <c r="E118">
        <v>0</v>
      </c>
      <c r="F118">
        <v>2312486</v>
      </c>
      <c r="G118">
        <v>984781</v>
      </c>
      <c r="H118">
        <v>10415</v>
      </c>
      <c r="K118">
        <v>468295.60889399424</v>
      </c>
      <c r="L118">
        <f t="shared" si="3"/>
        <v>42938000</v>
      </c>
      <c r="M118">
        <v>54657</v>
      </c>
      <c r="N118">
        <v>55733</v>
      </c>
      <c r="O118">
        <v>-1076</v>
      </c>
      <c r="P118" s="188">
        <f t="shared" si="2"/>
        <v>0.785590134840917</v>
      </c>
      <c r="Q118">
        <v>3048</v>
      </c>
      <c r="R118">
        <v>1281</v>
      </c>
      <c r="S118" s="188">
        <v>3.5099999999999999E-2</v>
      </c>
    </row>
    <row r="119" spans="1:33" x14ac:dyDescent="0.25">
      <c r="A119" t="s">
        <v>184</v>
      </c>
      <c r="B119">
        <v>16498627.434321955</v>
      </c>
      <c r="C119">
        <v>14765296.434321955</v>
      </c>
      <c r="D119">
        <v>356723</v>
      </c>
      <c r="E119">
        <v>0</v>
      </c>
      <c r="F119">
        <v>919598</v>
      </c>
      <c r="G119">
        <v>457010</v>
      </c>
      <c r="H119">
        <v>2609</v>
      </c>
      <c r="K119">
        <v>222372.56567804515</v>
      </c>
      <c r="L119">
        <f t="shared" si="3"/>
        <v>19330000</v>
      </c>
      <c r="M119">
        <v>27625</v>
      </c>
      <c r="N119">
        <v>27707</v>
      </c>
      <c r="O119">
        <v>-82</v>
      </c>
      <c r="P119" s="188">
        <f t="shared" si="2"/>
        <v>0.69972850678733034</v>
      </c>
      <c r="Q119">
        <v>835</v>
      </c>
      <c r="R119" s="86">
        <v>567</v>
      </c>
      <c r="S119" s="188">
        <v>4.4400000000000002E-2</v>
      </c>
      <c r="U119" s="86"/>
      <c r="W119" s="86"/>
      <c r="X119" s="86"/>
      <c r="Y119" s="86"/>
      <c r="Z119" s="86"/>
      <c r="AA119" s="86"/>
      <c r="AB119" s="86"/>
      <c r="AD119" s="86"/>
      <c r="AE119" s="86"/>
      <c r="AF119" s="86"/>
      <c r="AG119" s="86"/>
    </row>
    <row r="120" spans="1:33" x14ac:dyDescent="0.25">
      <c r="A120" t="s">
        <v>254</v>
      </c>
      <c r="B120">
        <v>61093455.995904289</v>
      </c>
      <c r="C120">
        <v>55104937.995904289</v>
      </c>
      <c r="D120">
        <v>671173</v>
      </c>
      <c r="E120">
        <v>0</v>
      </c>
      <c r="F120">
        <v>4390869</v>
      </c>
      <c r="G120">
        <v>926476</v>
      </c>
      <c r="H120">
        <v>16227</v>
      </c>
      <c r="K120">
        <v>283544.00409571081</v>
      </c>
      <c r="L120">
        <f t="shared" si="3"/>
        <v>77604000</v>
      </c>
      <c r="M120">
        <v>101525</v>
      </c>
      <c r="N120">
        <v>102845</v>
      </c>
      <c r="O120">
        <v>-1320</v>
      </c>
      <c r="P120" s="188">
        <f t="shared" si="2"/>
        <v>0.7643831568579168</v>
      </c>
      <c r="Q120">
        <v>1045</v>
      </c>
      <c r="R120">
        <v>253</v>
      </c>
      <c r="S120" s="188">
        <v>4.6300000000000001E-2</v>
      </c>
    </row>
    <row r="121" spans="1:33" x14ac:dyDescent="0.25">
      <c r="A121" t="s">
        <v>255</v>
      </c>
      <c r="B121">
        <v>32742516.041544724</v>
      </c>
      <c r="C121">
        <v>29972791.041544724</v>
      </c>
      <c r="D121">
        <v>387460</v>
      </c>
      <c r="E121">
        <v>0</v>
      </c>
      <c r="F121">
        <v>1712775</v>
      </c>
      <c r="G121">
        <v>669490</v>
      </c>
      <c r="H121">
        <v>7445</v>
      </c>
      <c r="K121">
        <v>61483.958455275744</v>
      </c>
      <c r="L121">
        <f t="shared" si="3"/>
        <v>40249000</v>
      </c>
      <c r="M121">
        <v>58384</v>
      </c>
      <c r="N121">
        <v>58925</v>
      </c>
      <c r="O121">
        <v>-541</v>
      </c>
      <c r="P121" s="188">
        <f t="shared" si="2"/>
        <v>0.68938407782954236</v>
      </c>
      <c r="Q121">
        <v>1483</v>
      </c>
      <c r="R121">
        <v>300</v>
      </c>
      <c r="S121" s="188">
        <v>3.6700000000000003E-2</v>
      </c>
    </row>
    <row r="122" spans="1:33" x14ac:dyDescent="0.25">
      <c r="A122" t="s">
        <v>185</v>
      </c>
      <c r="B122">
        <v>29564595.435268313</v>
      </c>
      <c r="C122">
        <v>23798443.435268313</v>
      </c>
      <c r="D122">
        <v>2793764</v>
      </c>
      <c r="E122">
        <v>0</v>
      </c>
      <c r="F122">
        <v>2424218</v>
      </c>
      <c r="G122">
        <v>548170</v>
      </c>
      <c r="H122">
        <v>4065</v>
      </c>
      <c r="K122">
        <v>668404.56473168731</v>
      </c>
      <c r="L122">
        <f t="shared" si="3"/>
        <v>34298000</v>
      </c>
      <c r="M122">
        <v>46863</v>
      </c>
      <c r="N122">
        <v>46888</v>
      </c>
      <c r="O122">
        <v>-25</v>
      </c>
      <c r="P122" s="188">
        <f t="shared" si="2"/>
        <v>0.73187802744169173</v>
      </c>
      <c r="Q122">
        <v>2022</v>
      </c>
      <c r="R122">
        <v>1226</v>
      </c>
      <c r="S122" s="188">
        <v>4.8899999999999999E-2</v>
      </c>
    </row>
    <row r="123" spans="1:33" x14ac:dyDescent="0.25">
      <c r="A123" t="s">
        <v>131</v>
      </c>
      <c r="B123">
        <v>92179207.924440295</v>
      </c>
      <c r="C123">
        <v>79716110.924440295</v>
      </c>
      <c r="D123">
        <v>1831411</v>
      </c>
      <c r="E123">
        <v>0</v>
      </c>
      <c r="F123">
        <v>8959151</v>
      </c>
      <c r="G123">
        <v>1672535</v>
      </c>
      <c r="H123">
        <v>25385</v>
      </c>
      <c r="K123">
        <v>1146792.0755597055</v>
      </c>
      <c r="L123">
        <f t="shared" si="3"/>
        <v>118711000</v>
      </c>
      <c r="M123">
        <v>159965</v>
      </c>
      <c r="N123">
        <v>158648</v>
      </c>
      <c r="O123">
        <v>1317</v>
      </c>
      <c r="P123" s="188">
        <f t="shared" si="2"/>
        <v>0.74210608570624825</v>
      </c>
      <c r="Q123">
        <v>4637</v>
      </c>
      <c r="R123">
        <v>3596</v>
      </c>
      <c r="S123" s="188">
        <v>3.27E-2</v>
      </c>
    </row>
    <row r="124" spans="1:33" x14ac:dyDescent="0.25">
      <c r="A124" t="s">
        <v>407</v>
      </c>
      <c r="B124">
        <v>276436723.1488716</v>
      </c>
      <c r="C124">
        <v>178248912.1488716</v>
      </c>
      <c r="D124">
        <v>2878857</v>
      </c>
      <c r="E124">
        <v>42527555</v>
      </c>
      <c r="F124">
        <v>31725361</v>
      </c>
      <c r="G124">
        <v>21056038</v>
      </c>
      <c r="H124">
        <v>68862</v>
      </c>
      <c r="K124">
        <v>10196276.851128399</v>
      </c>
      <c r="L124">
        <f t="shared" si="3"/>
        <v>355495000</v>
      </c>
      <c r="M124">
        <v>398913</v>
      </c>
      <c r="N124">
        <v>397610</v>
      </c>
      <c r="O124">
        <v>1303</v>
      </c>
      <c r="P124" s="188">
        <f t="shared" si="2"/>
        <v>0.891159225194466</v>
      </c>
      <c r="Q124">
        <v>3465</v>
      </c>
      <c r="R124">
        <v>116</v>
      </c>
      <c r="S124" s="188">
        <v>4.0199999999999993E-2</v>
      </c>
    </row>
    <row r="125" spans="1:33" x14ac:dyDescent="0.25">
      <c r="A125" t="s">
        <v>371</v>
      </c>
      <c r="B125">
        <v>21401410.364864279</v>
      </c>
      <c r="C125">
        <v>19554066.364864279</v>
      </c>
      <c r="D125">
        <v>185377</v>
      </c>
      <c r="E125">
        <v>0</v>
      </c>
      <c r="F125">
        <v>1129824</v>
      </c>
      <c r="G125">
        <v>532143</v>
      </c>
      <c r="H125">
        <v>3706</v>
      </c>
      <c r="K125">
        <v>796589.63513572142</v>
      </c>
      <c r="L125">
        <f t="shared" si="3"/>
        <v>25904000</v>
      </c>
      <c r="M125">
        <v>34363</v>
      </c>
      <c r="N125">
        <v>35449</v>
      </c>
      <c r="O125">
        <v>-1086</v>
      </c>
      <c r="P125" s="188">
        <f t="shared" ref="P125:P187" si="4">L125/(M125*1000)</f>
        <v>0.75383406571021161</v>
      </c>
      <c r="Q125">
        <v>388</v>
      </c>
      <c r="R125">
        <v>15</v>
      </c>
      <c r="S125" s="188">
        <v>5.1500000000000004E-2</v>
      </c>
    </row>
    <row r="126" spans="1:33" x14ac:dyDescent="0.25">
      <c r="A126" t="s">
        <v>257</v>
      </c>
      <c r="B126">
        <v>29148865.437068287</v>
      </c>
      <c r="C126">
        <v>26948092.437068287</v>
      </c>
      <c r="D126">
        <v>408923</v>
      </c>
      <c r="E126">
        <v>0</v>
      </c>
      <c r="F126">
        <v>1244595</v>
      </c>
      <c r="G126">
        <v>547255</v>
      </c>
      <c r="H126">
        <v>6646</v>
      </c>
      <c r="K126">
        <v>123134.56293171272</v>
      </c>
      <c r="L126">
        <f t="shared" ref="L126:L187" si="5">SUM(B126,H126*1000,K126)</f>
        <v>35918000</v>
      </c>
      <c r="M126">
        <v>58530</v>
      </c>
      <c r="N126">
        <v>56794</v>
      </c>
      <c r="O126">
        <v>1736</v>
      </c>
      <c r="P126" s="188">
        <f t="shared" si="4"/>
        <v>0.61366820433965485</v>
      </c>
      <c r="Q126">
        <v>787</v>
      </c>
      <c r="R126">
        <v>16</v>
      </c>
      <c r="S126" s="188">
        <v>3.2000000000000001E-2</v>
      </c>
    </row>
    <row r="127" spans="1:33" x14ac:dyDescent="0.25">
      <c r="A127" t="s">
        <v>149</v>
      </c>
      <c r="B127">
        <v>55373567.189604215</v>
      </c>
      <c r="C127">
        <v>48888945.189604215</v>
      </c>
      <c r="D127">
        <v>1521310</v>
      </c>
      <c r="E127">
        <v>0</v>
      </c>
      <c r="F127">
        <v>3930937</v>
      </c>
      <c r="G127">
        <v>1032375</v>
      </c>
      <c r="H127">
        <v>8670</v>
      </c>
      <c r="K127">
        <v>1403432.8103957847</v>
      </c>
      <c r="L127">
        <f t="shared" si="5"/>
        <v>65447000</v>
      </c>
      <c r="M127">
        <v>94760</v>
      </c>
      <c r="N127">
        <v>94399</v>
      </c>
      <c r="O127">
        <v>361</v>
      </c>
      <c r="P127" s="188">
        <f t="shared" si="4"/>
        <v>0.69066061629379483</v>
      </c>
      <c r="Q127">
        <v>2415</v>
      </c>
      <c r="R127">
        <v>209</v>
      </c>
      <c r="S127" s="188">
        <v>3.1800000000000002E-2</v>
      </c>
    </row>
    <row r="128" spans="1:33" x14ac:dyDescent="0.25">
      <c r="A128" t="s">
        <v>296</v>
      </c>
      <c r="B128">
        <v>58568377.281885922</v>
      </c>
      <c r="C128">
        <v>56017673.281885922</v>
      </c>
      <c r="D128">
        <v>1147874</v>
      </c>
      <c r="E128">
        <v>0</v>
      </c>
      <c r="F128">
        <v>315062</v>
      </c>
      <c r="G128">
        <v>1087768</v>
      </c>
      <c r="H128">
        <v>16881</v>
      </c>
      <c r="K128">
        <v>1500622.718114078</v>
      </c>
      <c r="L128">
        <f t="shared" si="5"/>
        <v>76950000</v>
      </c>
      <c r="M128">
        <v>121033</v>
      </c>
      <c r="N128">
        <v>124916</v>
      </c>
      <c r="O128">
        <v>-3883</v>
      </c>
      <c r="P128" s="188">
        <f t="shared" si="4"/>
        <v>0.63577701949055221</v>
      </c>
      <c r="Q128">
        <v>2181</v>
      </c>
      <c r="R128">
        <v>172</v>
      </c>
      <c r="S128" s="188">
        <v>4.1700000000000001E-2</v>
      </c>
    </row>
    <row r="129" spans="1:19" x14ac:dyDescent="0.25">
      <c r="A129" t="s">
        <v>372</v>
      </c>
      <c r="B129">
        <v>204552531.22184065</v>
      </c>
      <c r="C129">
        <v>146428823.22184065</v>
      </c>
      <c r="D129">
        <v>3090033</v>
      </c>
      <c r="E129">
        <v>23679760</v>
      </c>
      <c r="F129">
        <v>19774781</v>
      </c>
      <c r="G129">
        <v>11579134</v>
      </c>
      <c r="H129">
        <v>51927</v>
      </c>
      <c r="K129">
        <v>8909468.7781593502</v>
      </c>
      <c r="L129">
        <f t="shared" si="5"/>
        <v>265389000</v>
      </c>
      <c r="M129">
        <v>341002</v>
      </c>
      <c r="N129">
        <v>347687</v>
      </c>
      <c r="O129">
        <v>-6685</v>
      </c>
      <c r="P129" s="188">
        <f t="shared" si="4"/>
        <v>0.77826229758183241</v>
      </c>
      <c r="Q129">
        <v>6695</v>
      </c>
      <c r="R129">
        <v>1011</v>
      </c>
      <c r="S129" s="188">
        <v>5.5300000000000002E-2</v>
      </c>
    </row>
    <row r="130" spans="1:19" x14ac:dyDescent="0.25">
      <c r="A130" t="s">
        <v>297</v>
      </c>
      <c r="B130">
        <v>40322640.403309792</v>
      </c>
      <c r="C130">
        <v>37591085.403309792</v>
      </c>
      <c r="D130">
        <v>588056</v>
      </c>
      <c r="E130">
        <v>0</v>
      </c>
      <c r="F130">
        <v>1142434</v>
      </c>
      <c r="G130">
        <v>1001065</v>
      </c>
      <c r="H130">
        <v>7081</v>
      </c>
      <c r="K130">
        <v>768359.59669020772</v>
      </c>
      <c r="L130">
        <f t="shared" si="5"/>
        <v>48172000</v>
      </c>
      <c r="M130">
        <v>86491</v>
      </c>
      <c r="N130">
        <v>87254</v>
      </c>
      <c r="O130">
        <v>-763</v>
      </c>
      <c r="P130" s="188">
        <f t="shared" si="4"/>
        <v>0.55695968366650861</v>
      </c>
      <c r="Q130">
        <v>1944</v>
      </c>
      <c r="R130">
        <v>523</v>
      </c>
      <c r="S130" s="188">
        <v>4.0999999999999995E-2</v>
      </c>
    </row>
    <row r="131" spans="1:19" x14ac:dyDescent="0.25">
      <c r="A131" t="s">
        <v>444</v>
      </c>
      <c r="B131">
        <v>154114142.50314412</v>
      </c>
      <c r="C131">
        <v>130649277.50314412</v>
      </c>
      <c r="D131">
        <v>5753208</v>
      </c>
      <c r="E131">
        <v>0</v>
      </c>
      <c r="F131">
        <v>14035993</v>
      </c>
      <c r="G131">
        <v>3675664</v>
      </c>
      <c r="H131">
        <v>47502</v>
      </c>
      <c r="K131">
        <v>2373857.4968558848</v>
      </c>
      <c r="L131">
        <f t="shared" si="5"/>
        <v>203990000</v>
      </c>
      <c r="M131">
        <v>309290</v>
      </c>
      <c r="N131">
        <v>310532</v>
      </c>
      <c r="O131">
        <v>-1242</v>
      </c>
      <c r="P131" s="188">
        <f t="shared" si="4"/>
        <v>0.65954282388696694</v>
      </c>
      <c r="Q131">
        <v>5371</v>
      </c>
      <c r="R131">
        <v>1646</v>
      </c>
      <c r="S131" s="188">
        <v>3.6600000000000001E-2</v>
      </c>
    </row>
    <row r="132" spans="1:19" x14ac:dyDescent="0.25">
      <c r="A132" t="s">
        <v>600</v>
      </c>
      <c r="B132">
        <v>95135973.283879638</v>
      </c>
      <c r="C132">
        <v>80711142.283879638</v>
      </c>
      <c r="D132">
        <v>2504526</v>
      </c>
      <c r="E132">
        <v>0</v>
      </c>
      <c r="F132">
        <v>9252058</v>
      </c>
      <c r="G132">
        <v>2668247</v>
      </c>
      <c r="H132">
        <v>21078</v>
      </c>
      <c r="K132">
        <v>1941026.7161203623</v>
      </c>
      <c r="L132">
        <f t="shared" si="5"/>
        <v>118155000</v>
      </c>
      <c r="M132">
        <v>162179</v>
      </c>
      <c r="N132">
        <v>159366</v>
      </c>
      <c r="O132">
        <v>2813</v>
      </c>
      <c r="P132" s="188">
        <f t="shared" si="4"/>
        <v>0.72854685255181006</v>
      </c>
      <c r="Q132">
        <v>921</v>
      </c>
      <c r="R132">
        <v>91</v>
      </c>
      <c r="S132" s="188">
        <v>2.87E-2</v>
      </c>
    </row>
    <row r="133" spans="1:19" x14ac:dyDescent="0.25">
      <c r="A133" t="s">
        <v>186</v>
      </c>
      <c r="B133">
        <v>21802225.401620124</v>
      </c>
      <c r="C133">
        <v>19749616.401620124</v>
      </c>
      <c r="D133">
        <v>114292</v>
      </c>
      <c r="E133">
        <v>0</v>
      </c>
      <c r="F133">
        <v>1481322</v>
      </c>
      <c r="G133">
        <v>456995</v>
      </c>
      <c r="H133">
        <v>5117</v>
      </c>
      <c r="K133">
        <v>204774.59837987646</v>
      </c>
      <c r="L133">
        <f t="shared" si="5"/>
        <v>27124000</v>
      </c>
      <c r="M133">
        <v>42957</v>
      </c>
      <c r="N133">
        <v>43189</v>
      </c>
      <c r="O133">
        <v>-232</v>
      </c>
      <c r="P133" s="188">
        <f t="shared" si="4"/>
        <v>0.63142211979421281</v>
      </c>
      <c r="Q133">
        <v>682</v>
      </c>
      <c r="R133">
        <v>85</v>
      </c>
      <c r="S133" s="188">
        <v>4.4299999999999999E-2</v>
      </c>
    </row>
    <row r="134" spans="1:19" x14ac:dyDescent="0.25">
      <c r="A134" t="s">
        <v>373</v>
      </c>
      <c r="B134">
        <v>61414542.237580001</v>
      </c>
      <c r="C134">
        <v>55537354.237580001</v>
      </c>
      <c r="D134">
        <v>840317</v>
      </c>
      <c r="E134">
        <v>0</v>
      </c>
      <c r="F134">
        <v>4058778</v>
      </c>
      <c r="G134">
        <v>978093</v>
      </c>
      <c r="H134">
        <v>18040</v>
      </c>
      <c r="K134">
        <v>1272457.7624199986</v>
      </c>
      <c r="L134">
        <f t="shared" si="5"/>
        <v>80727000</v>
      </c>
      <c r="M134">
        <v>110177</v>
      </c>
      <c r="N134">
        <v>108275</v>
      </c>
      <c r="O134">
        <v>1902</v>
      </c>
      <c r="P134" s="188">
        <f t="shared" si="4"/>
        <v>0.73270283271463188</v>
      </c>
      <c r="Q134">
        <v>2646</v>
      </c>
      <c r="R134">
        <v>716</v>
      </c>
      <c r="S134" s="188">
        <v>4.1500000000000002E-2</v>
      </c>
    </row>
    <row r="135" spans="1:19" x14ac:dyDescent="0.25">
      <c r="A135" t="s">
        <v>298</v>
      </c>
      <c r="B135">
        <v>31273018.569703881</v>
      </c>
      <c r="C135">
        <v>28421527.569703881</v>
      </c>
      <c r="D135">
        <v>308897</v>
      </c>
      <c r="E135">
        <v>0</v>
      </c>
      <c r="F135">
        <v>1947604</v>
      </c>
      <c r="G135">
        <v>594990</v>
      </c>
      <c r="H135">
        <v>6549</v>
      </c>
      <c r="K135">
        <v>233981.4302961193</v>
      </c>
      <c r="L135">
        <f t="shared" si="5"/>
        <v>38056000</v>
      </c>
      <c r="M135">
        <v>54359</v>
      </c>
      <c r="N135">
        <v>56759</v>
      </c>
      <c r="O135">
        <v>-2400</v>
      </c>
      <c r="P135" s="188">
        <f t="shared" si="4"/>
        <v>0.7000864622233669</v>
      </c>
      <c r="Q135">
        <v>2543</v>
      </c>
      <c r="R135">
        <v>1934</v>
      </c>
      <c r="S135" s="188">
        <v>5.3800000000000001E-2</v>
      </c>
    </row>
    <row r="136" spans="1:19" x14ac:dyDescent="0.25">
      <c r="A136" t="s">
        <v>374</v>
      </c>
      <c r="B136">
        <v>20799264.489689194</v>
      </c>
      <c r="C136">
        <v>18015123.489689194</v>
      </c>
      <c r="D136">
        <v>288888</v>
      </c>
      <c r="E136">
        <v>0</v>
      </c>
      <c r="F136">
        <v>1506200</v>
      </c>
      <c r="G136">
        <v>989053</v>
      </c>
      <c r="H136">
        <v>2875</v>
      </c>
      <c r="K136">
        <v>132735.51031080633</v>
      </c>
      <c r="L136">
        <f t="shared" si="5"/>
        <v>23807000</v>
      </c>
      <c r="M136">
        <v>38433</v>
      </c>
      <c r="N136">
        <v>38058</v>
      </c>
      <c r="O136">
        <v>375</v>
      </c>
      <c r="P136" s="188">
        <f t="shared" si="4"/>
        <v>0.61944162568625916</v>
      </c>
      <c r="Q136">
        <v>1822</v>
      </c>
      <c r="R136">
        <v>1179</v>
      </c>
      <c r="S136" s="188">
        <v>4.41E-2</v>
      </c>
    </row>
    <row r="137" spans="1:19" x14ac:dyDescent="0.25">
      <c r="A137" t="s">
        <v>258</v>
      </c>
      <c r="B137">
        <v>170810439.43854827</v>
      </c>
      <c r="C137">
        <v>131760262.43854825</v>
      </c>
      <c r="D137">
        <v>2101655</v>
      </c>
      <c r="E137">
        <v>18004578</v>
      </c>
      <c r="F137">
        <v>7795156</v>
      </c>
      <c r="G137">
        <v>11148788</v>
      </c>
      <c r="H137">
        <v>47847</v>
      </c>
      <c r="K137">
        <v>3941560.5614517331</v>
      </c>
      <c r="L137">
        <f t="shared" si="5"/>
        <v>222599000</v>
      </c>
      <c r="M137">
        <v>258222</v>
      </c>
      <c r="N137">
        <v>264645</v>
      </c>
      <c r="O137">
        <v>-6423</v>
      </c>
      <c r="P137" s="188">
        <f t="shared" si="4"/>
        <v>0.86204506200091391</v>
      </c>
      <c r="Q137">
        <v>3324</v>
      </c>
      <c r="R137">
        <v>890</v>
      </c>
      <c r="S137" s="188">
        <v>4.7100000000000003E-2</v>
      </c>
    </row>
    <row r="138" spans="1:19" x14ac:dyDescent="0.25">
      <c r="A138" t="s">
        <v>601</v>
      </c>
      <c r="B138">
        <v>117420072.19699237</v>
      </c>
      <c r="C138">
        <v>107866485.19699237</v>
      </c>
      <c r="D138">
        <v>2311777</v>
      </c>
      <c r="E138">
        <v>0</v>
      </c>
      <c r="F138">
        <v>4895559</v>
      </c>
      <c r="G138">
        <v>2346251</v>
      </c>
      <c r="H138">
        <v>20694</v>
      </c>
      <c r="K138">
        <v>1883927.8030076325</v>
      </c>
      <c r="L138">
        <f t="shared" si="5"/>
        <v>139998000</v>
      </c>
      <c r="M138">
        <v>190153</v>
      </c>
      <c r="N138">
        <v>202542</v>
      </c>
      <c r="O138">
        <v>-12389</v>
      </c>
      <c r="P138" s="188">
        <f t="shared" si="4"/>
        <v>0.73623871303634447</v>
      </c>
      <c r="Q138">
        <v>7323</v>
      </c>
      <c r="R138">
        <v>5227</v>
      </c>
      <c r="S138" s="188">
        <v>4.87E-2</v>
      </c>
    </row>
    <row r="139" spans="1:19" x14ac:dyDescent="0.25">
      <c r="A139" t="s">
        <v>150</v>
      </c>
      <c r="B139">
        <v>51357647.043121256</v>
      </c>
      <c r="C139">
        <v>46734849.043121256</v>
      </c>
      <c r="D139">
        <v>792824</v>
      </c>
      <c r="E139">
        <v>0</v>
      </c>
      <c r="F139">
        <v>2869190</v>
      </c>
      <c r="G139">
        <v>960784</v>
      </c>
      <c r="H139">
        <v>6047.7</v>
      </c>
      <c r="K139">
        <v>350000</v>
      </c>
      <c r="L139">
        <f t="shared" si="5"/>
        <v>57755347.043121256</v>
      </c>
      <c r="M139">
        <v>81415</v>
      </c>
      <c r="N139">
        <v>84960</v>
      </c>
      <c r="O139">
        <v>-3545</v>
      </c>
      <c r="P139" s="188">
        <f t="shared" si="4"/>
        <v>0.70939442416165643</v>
      </c>
      <c r="Q139">
        <v>0</v>
      </c>
      <c r="R139">
        <v>18</v>
      </c>
      <c r="S139" s="188">
        <v>5.0900000000000001E-2</v>
      </c>
    </row>
    <row r="140" spans="1:19" x14ac:dyDescent="0.25">
      <c r="A140" t="s">
        <v>259</v>
      </c>
      <c r="B140">
        <v>69987214.697145194</v>
      </c>
      <c r="C140">
        <v>63571736.697145194</v>
      </c>
      <c r="D140">
        <v>1515423</v>
      </c>
      <c r="E140">
        <v>0</v>
      </c>
      <c r="F140">
        <v>3355609</v>
      </c>
      <c r="G140">
        <v>1544446</v>
      </c>
      <c r="H140">
        <v>13755</v>
      </c>
      <c r="K140">
        <v>1033785.3028548062</v>
      </c>
      <c r="L140">
        <f t="shared" si="5"/>
        <v>84776000</v>
      </c>
      <c r="M140">
        <v>107385</v>
      </c>
      <c r="N140">
        <v>107939</v>
      </c>
      <c r="O140">
        <v>-554</v>
      </c>
      <c r="P140" s="188">
        <f t="shared" si="4"/>
        <v>0.78945849047818595</v>
      </c>
      <c r="Q140">
        <v>801</v>
      </c>
      <c r="R140">
        <v>53</v>
      </c>
      <c r="S140" s="188">
        <v>4.6699999999999998E-2</v>
      </c>
    </row>
    <row r="141" spans="1:19" x14ac:dyDescent="0.25">
      <c r="A141" t="s">
        <v>111</v>
      </c>
      <c r="B141">
        <v>117960116.80003689</v>
      </c>
      <c r="C141">
        <v>90113915.800036892</v>
      </c>
      <c r="D141">
        <v>3366858</v>
      </c>
      <c r="E141">
        <v>0</v>
      </c>
      <c r="F141">
        <v>20827250</v>
      </c>
      <c r="G141">
        <v>3652093</v>
      </c>
      <c r="H141">
        <v>22959</v>
      </c>
      <c r="K141">
        <v>4926883.1999631077</v>
      </c>
      <c r="L141">
        <f t="shared" si="5"/>
        <v>145846000</v>
      </c>
      <c r="M141">
        <v>188430</v>
      </c>
      <c r="N141">
        <v>186397</v>
      </c>
      <c r="O141">
        <v>2033</v>
      </c>
      <c r="P141" s="188">
        <f t="shared" si="4"/>
        <v>0.77400626227246194</v>
      </c>
      <c r="Q141">
        <v>1607</v>
      </c>
      <c r="R141">
        <v>240</v>
      </c>
      <c r="S141" s="188">
        <v>4.24E-2</v>
      </c>
    </row>
    <row r="142" spans="1:19" x14ac:dyDescent="0.25">
      <c r="A142" t="s">
        <v>260</v>
      </c>
      <c r="B142">
        <v>145763479.14094424</v>
      </c>
      <c r="C142">
        <v>117094586.14094426</v>
      </c>
      <c r="D142">
        <v>3020056</v>
      </c>
      <c r="E142">
        <v>13002385</v>
      </c>
      <c r="F142">
        <v>6945528</v>
      </c>
      <c r="G142">
        <v>5700924</v>
      </c>
      <c r="H142">
        <v>35292</v>
      </c>
      <c r="K142">
        <v>3481520.8590557575</v>
      </c>
      <c r="L142">
        <f t="shared" si="5"/>
        <v>184537000</v>
      </c>
      <c r="M142">
        <v>242258</v>
      </c>
      <c r="N142">
        <v>244664</v>
      </c>
      <c r="O142">
        <v>-2406</v>
      </c>
      <c r="P142" s="188">
        <f t="shared" si="4"/>
        <v>0.76173748648135464</v>
      </c>
      <c r="Q142">
        <v>6211</v>
      </c>
      <c r="R142">
        <v>927</v>
      </c>
      <c r="S142" s="188">
        <v>4.4500000000000005E-2</v>
      </c>
    </row>
    <row r="143" spans="1:19" x14ac:dyDescent="0.25">
      <c r="A143" t="s">
        <v>408</v>
      </c>
      <c r="B143">
        <v>61666988.897180215</v>
      </c>
      <c r="C143">
        <v>53178459.897180215</v>
      </c>
      <c r="D143">
        <v>2223144</v>
      </c>
      <c r="E143">
        <v>0</v>
      </c>
      <c r="F143">
        <v>4646416</v>
      </c>
      <c r="G143">
        <v>1618969</v>
      </c>
      <c r="H143">
        <v>10035</v>
      </c>
      <c r="K143">
        <v>975011.10281978548</v>
      </c>
      <c r="L143">
        <f t="shared" si="5"/>
        <v>72677000</v>
      </c>
      <c r="M143">
        <v>107635</v>
      </c>
      <c r="N143">
        <v>107596</v>
      </c>
      <c r="O143">
        <v>39</v>
      </c>
      <c r="P143" s="188">
        <f t="shared" si="4"/>
        <v>0.67521716913643337</v>
      </c>
      <c r="Q143">
        <v>1518</v>
      </c>
      <c r="R143">
        <v>451</v>
      </c>
      <c r="S143" s="188">
        <v>4.4600000000000001E-2</v>
      </c>
    </row>
    <row r="144" spans="1:19" x14ac:dyDescent="0.25">
      <c r="A144" t="s">
        <v>221</v>
      </c>
      <c r="B144">
        <v>63035103.349007688</v>
      </c>
      <c r="C144">
        <v>58588891.349007688</v>
      </c>
      <c r="D144">
        <v>2023708</v>
      </c>
      <c r="E144">
        <v>0</v>
      </c>
      <c r="F144">
        <v>850832</v>
      </c>
      <c r="G144">
        <v>1571672</v>
      </c>
      <c r="H144">
        <v>13560</v>
      </c>
      <c r="K144">
        <v>744896.65099231154</v>
      </c>
      <c r="L144">
        <f t="shared" si="5"/>
        <v>77340000</v>
      </c>
      <c r="M144">
        <v>119865</v>
      </c>
      <c r="N144">
        <v>121486</v>
      </c>
      <c r="O144">
        <v>-1621</v>
      </c>
      <c r="P144" s="188">
        <f t="shared" si="4"/>
        <v>0.64522587911400331</v>
      </c>
      <c r="Q144">
        <v>2536</v>
      </c>
      <c r="R144">
        <v>83</v>
      </c>
      <c r="S144" s="188">
        <v>4.6399999999999997E-2</v>
      </c>
    </row>
    <row r="145" spans="1:19" x14ac:dyDescent="0.25">
      <c r="A145" t="s">
        <v>261</v>
      </c>
      <c r="B145">
        <v>58553814.420093723</v>
      </c>
      <c r="C145">
        <v>54629164.420093723</v>
      </c>
      <c r="D145">
        <v>899288</v>
      </c>
      <c r="E145">
        <v>0</v>
      </c>
      <c r="F145">
        <v>2084291</v>
      </c>
      <c r="G145">
        <v>941071</v>
      </c>
      <c r="H145">
        <v>16770</v>
      </c>
      <c r="K145">
        <v>845185.57990627736</v>
      </c>
      <c r="L145">
        <f t="shared" si="5"/>
        <v>76169000</v>
      </c>
      <c r="M145">
        <v>95669</v>
      </c>
      <c r="N145">
        <v>102025</v>
      </c>
      <c r="O145">
        <v>-6356</v>
      </c>
      <c r="P145" s="188">
        <f t="shared" si="4"/>
        <v>0.79617221879605726</v>
      </c>
      <c r="Q145">
        <v>2352</v>
      </c>
      <c r="R145">
        <v>730</v>
      </c>
      <c r="S145" s="188">
        <v>5.7800000000000004E-2</v>
      </c>
    </row>
    <row r="146" spans="1:19" x14ac:dyDescent="0.25">
      <c r="A146" t="s">
        <v>332</v>
      </c>
      <c r="B146">
        <v>45768478.614029653</v>
      </c>
      <c r="C146">
        <v>39151051.614029653</v>
      </c>
      <c r="D146">
        <v>1184926</v>
      </c>
      <c r="E146">
        <v>0</v>
      </c>
      <c r="F146">
        <v>4389641</v>
      </c>
      <c r="G146">
        <v>1042860</v>
      </c>
      <c r="H146">
        <v>8098</v>
      </c>
      <c r="K146">
        <v>344521.38597034663</v>
      </c>
      <c r="L146">
        <f t="shared" si="5"/>
        <v>54211000</v>
      </c>
      <c r="M146">
        <v>73855</v>
      </c>
      <c r="N146">
        <v>73666</v>
      </c>
      <c r="O146">
        <v>189</v>
      </c>
      <c r="P146" s="188">
        <f t="shared" si="4"/>
        <v>0.73401936226389553</v>
      </c>
      <c r="Q146">
        <v>1384</v>
      </c>
      <c r="R146">
        <v>3110</v>
      </c>
      <c r="S146" s="188">
        <v>4.5199999999999997E-2</v>
      </c>
    </row>
    <row r="147" spans="1:19" x14ac:dyDescent="0.25">
      <c r="A147" t="s">
        <v>222</v>
      </c>
      <c r="B147">
        <v>49821008.108921796</v>
      </c>
      <c r="C147">
        <v>45452050.108921796</v>
      </c>
      <c r="D147">
        <v>751082</v>
      </c>
      <c r="E147">
        <v>0</v>
      </c>
      <c r="F147">
        <v>2712371</v>
      </c>
      <c r="G147">
        <v>905505</v>
      </c>
      <c r="H147">
        <v>11112</v>
      </c>
      <c r="K147">
        <v>964991.89107820392</v>
      </c>
      <c r="L147">
        <f t="shared" si="5"/>
        <v>61898000</v>
      </c>
      <c r="M147">
        <v>79020</v>
      </c>
      <c r="N147">
        <v>81421</v>
      </c>
      <c r="O147">
        <v>-2401</v>
      </c>
      <c r="P147" s="188">
        <f t="shared" si="4"/>
        <v>0.78332067830928875</v>
      </c>
      <c r="Q147">
        <v>2263</v>
      </c>
      <c r="R147">
        <v>57</v>
      </c>
      <c r="S147" s="188">
        <v>4.7300000000000002E-2</v>
      </c>
    </row>
    <row r="148" spans="1:19" x14ac:dyDescent="0.25">
      <c r="A148" t="s">
        <v>299</v>
      </c>
      <c r="B148">
        <v>32389943.148397874</v>
      </c>
      <c r="C148">
        <v>30834281.148397874</v>
      </c>
      <c r="D148">
        <v>881099</v>
      </c>
      <c r="E148">
        <v>0</v>
      </c>
      <c r="F148">
        <v>128856</v>
      </c>
      <c r="G148">
        <v>545707</v>
      </c>
      <c r="H148">
        <v>7174</v>
      </c>
      <c r="K148">
        <v>692056.85160212591</v>
      </c>
      <c r="L148">
        <f t="shared" si="5"/>
        <v>40256000</v>
      </c>
      <c r="M148">
        <v>58440</v>
      </c>
      <c r="N148">
        <v>59325</v>
      </c>
      <c r="O148">
        <v>-885</v>
      </c>
      <c r="P148" s="188">
        <f t="shared" si="4"/>
        <v>0.68884325804243673</v>
      </c>
      <c r="Q148">
        <v>4066</v>
      </c>
      <c r="R148">
        <v>3178</v>
      </c>
      <c r="S148" s="188">
        <v>4.4500000000000005E-2</v>
      </c>
    </row>
    <row r="149" spans="1:19" x14ac:dyDescent="0.25">
      <c r="A149" t="s">
        <v>151</v>
      </c>
      <c r="B149">
        <v>89954421.222837567</v>
      </c>
      <c r="C149">
        <v>79231627.222837567</v>
      </c>
      <c r="D149">
        <v>2333832</v>
      </c>
      <c r="E149">
        <v>0</v>
      </c>
      <c r="F149">
        <v>6309606</v>
      </c>
      <c r="G149">
        <v>2079356</v>
      </c>
      <c r="H149">
        <v>15399</v>
      </c>
      <c r="K149">
        <v>1145578.7771624327</v>
      </c>
      <c r="L149">
        <f t="shared" si="5"/>
        <v>106499000</v>
      </c>
      <c r="M149">
        <v>157268</v>
      </c>
      <c r="N149">
        <v>156093</v>
      </c>
      <c r="O149">
        <v>1175</v>
      </c>
      <c r="P149" s="188">
        <f t="shared" si="4"/>
        <v>0.67718162626853529</v>
      </c>
      <c r="Q149">
        <v>3640</v>
      </c>
      <c r="R149">
        <v>273</v>
      </c>
      <c r="S149" s="188">
        <v>3.8599999999999995E-2</v>
      </c>
    </row>
    <row r="150" spans="1:19" x14ac:dyDescent="0.25">
      <c r="A150" t="s">
        <v>333</v>
      </c>
      <c r="B150">
        <v>17686996.988397934</v>
      </c>
      <c r="C150">
        <v>16170768.988397934</v>
      </c>
      <c r="D150">
        <v>345615</v>
      </c>
      <c r="E150">
        <v>0</v>
      </c>
      <c r="F150">
        <v>630364</v>
      </c>
      <c r="G150">
        <v>540249</v>
      </c>
      <c r="H150">
        <v>2351</v>
      </c>
      <c r="K150">
        <v>166003.01160206646</v>
      </c>
      <c r="L150">
        <f t="shared" si="5"/>
        <v>20204000</v>
      </c>
      <c r="M150">
        <v>34347</v>
      </c>
      <c r="N150">
        <v>34751</v>
      </c>
      <c r="O150">
        <v>-404</v>
      </c>
      <c r="P150" s="188">
        <f t="shared" si="4"/>
        <v>0.58823186886773227</v>
      </c>
      <c r="Q150">
        <v>882</v>
      </c>
      <c r="R150">
        <v>606</v>
      </c>
      <c r="S150" s="188">
        <v>4.1599999999999998E-2</v>
      </c>
    </row>
    <row r="151" spans="1:19" x14ac:dyDescent="0.25">
      <c r="A151" t="s">
        <v>300</v>
      </c>
      <c r="B151">
        <v>93293830.186088264</v>
      </c>
      <c r="C151">
        <v>82344734.186088264</v>
      </c>
      <c r="D151">
        <v>1493482</v>
      </c>
      <c r="E151">
        <v>0</v>
      </c>
      <c r="F151">
        <v>7080228</v>
      </c>
      <c r="G151">
        <v>2375386</v>
      </c>
      <c r="H151">
        <v>16089</v>
      </c>
      <c r="K151">
        <v>658169.81391173601</v>
      </c>
      <c r="L151">
        <f t="shared" si="5"/>
        <v>110041000</v>
      </c>
      <c r="M151">
        <v>173838</v>
      </c>
      <c r="N151">
        <v>171710</v>
      </c>
      <c r="O151">
        <v>2128</v>
      </c>
      <c r="P151" s="188">
        <f t="shared" si="4"/>
        <v>0.63300889333747512</v>
      </c>
      <c r="Q151">
        <v>7297</v>
      </c>
      <c r="R151">
        <v>3592</v>
      </c>
      <c r="S151" s="188">
        <v>3.3099999999999997E-2</v>
      </c>
    </row>
    <row r="152" spans="1:19" x14ac:dyDescent="0.25">
      <c r="A152" t="s">
        <v>409</v>
      </c>
      <c r="B152">
        <v>109055990.62941378</v>
      </c>
      <c r="C152">
        <v>84540181.629413784</v>
      </c>
      <c r="D152">
        <v>1504895</v>
      </c>
      <c r="E152">
        <v>0</v>
      </c>
      <c r="F152">
        <v>21007079</v>
      </c>
      <c r="G152">
        <v>2003835</v>
      </c>
      <c r="H152">
        <v>31685</v>
      </c>
      <c r="K152">
        <v>2279009.3705862164</v>
      </c>
      <c r="L152">
        <f t="shared" si="5"/>
        <v>143020000</v>
      </c>
      <c r="M152">
        <v>170918</v>
      </c>
      <c r="N152">
        <v>170810</v>
      </c>
      <c r="O152">
        <v>108</v>
      </c>
      <c r="P152" s="188">
        <f t="shared" si="4"/>
        <v>0.83677552978621328</v>
      </c>
      <c r="Q152">
        <v>1506</v>
      </c>
      <c r="R152">
        <v>380</v>
      </c>
      <c r="S152" s="188">
        <v>3.4200000000000001E-2</v>
      </c>
    </row>
    <row r="153" spans="1:19" x14ac:dyDescent="0.25">
      <c r="A153" t="s">
        <v>262</v>
      </c>
      <c r="B153">
        <v>28763152.535103008</v>
      </c>
      <c r="C153">
        <v>26340361.535103008</v>
      </c>
      <c r="D153">
        <v>869922</v>
      </c>
      <c r="E153">
        <v>0</v>
      </c>
      <c r="F153">
        <v>886088</v>
      </c>
      <c r="G153">
        <v>666781</v>
      </c>
      <c r="H153">
        <v>4830</v>
      </c>
      <c r="K153">
        <v>0</v>
      </c>
      <c r="L153">
        <f t="shared" si="5"/>
        <v>33593152.535103008</v>
      </c>
      <c r="M153">
        <v>59325</v>
      </c>
      <c r="N153">
        <v>68405</v>
      </c>
      <c r="O153">
        <v>-9080</v>
      </c>
      <c r="P153" s="188">
        <f t="shared" si="4"/>
        <v>0.56625625849309746</v>
      </c>
      <c r="Q153">
        <v>5648</v>
      </c>
      <c r="R153">
        <v>20</v>
      </c>
      <c r="S153" s="188">
        <v>7.0699999999999999E-2</v>
      </c>
    </row>
    <row r="154" spans="1:19" x14ac:dyDescent="0.25">
      <c r="A154" t="s">
        <v>301</v>
      </c>
      <c r="B154">
        <v>45494517.619061157</v>
      </c>
      <c r="C154">
        <v>40459042.619061157</v>
      </c>
      <c r="D154">
        <v>1699615</v>
      </c>
      <c r="E154">
        <v>0</v>
      </c>
      <c r="F154">
        <v>2591548</v>
      </c>
      <c r="G154">
        <v>744312</v>
      </c>
      <c r="H154">
        <v>9871</v>
      </c>
      <c r="K154">
        <v>779482.38093884289</v>
      </c>
      <c r="L154">
        <f t="shared" si="5"/>
        <v>56145000</v>
      </c>
      <c r="M154">
        <v>75359</v>
      </c>
      <c r="N154">
        <v>73597</v>
      </c>
      <c r="O154">
        <v>1762</v>
      </c>
      <c r="P154" s="188">
        <f t="shared" si="4"/>
        <v>0.74503377167956053</v>
      </c>
      <c r="Q154">
        <v>2013</v>
      </c>
      <c r="R154">
        <v>64</v>
      </c>
      <c r="S154" s="188">
        <v>4.2099999999999999E-2</v>
      </c>
    </row>
    <row r="155" spans="1:19" x14ac:dyDescent="0.25">
      <c r="A155" t="s">
        <v>478</v>
      </c>
      <c r="B155">
        <v>81287161.391957879</v>
      </c>
      <c r="C155">
        <v>73692801.391957879</v>
      </c>
      <c r="D155">
        <v>2241002</v>
      </c>
      <c r="E155">
        <v>0</v>
      </c>
      <c r="F155">
        <v>3882571</v>
      </c>
      <c r="G155">
        <v>1470787</v>
      </c>
      <c r="H155">
        <v>10136</v>
      </c>
      <c r="K155">
        <v>2258838.6080421209</v>
      </c>
      <c r="L155">
        <f t="shared" si="5"/>
        <v>93682000</v>
      </c>
      <c r="M155">
        <v>131852</v>
      </c>
      <c r="N155">
        <v>135404</v>
      </c>
      <c r="O155">
        <v>-3552</v>
      </c>
      <c r="P155" s="188">
        <f t="shared" si="4"/>
        <v>0.71050875223735699</v>
      </c>
      <c r="Q155">
        <v>2092</v>
      </c>
      <c r="R155">
        <v>58</v>
      </c>
      <c r="S155" s="188">
        <v>5.1500000000000004E-2</v>
      </c>
    </row>
    <row r="156" spans="1:19" x14ac:dyDescent="0.25">
      <c r="A156" t="s">
        <v>375</v>
      </c>
      <c r="B156">
        <v>30938680.397592425</v>
      </c>
      <c r="C156">
        <v>27149835.397592425</v>
      </c>
      <c r="D156">
        <v>339004</v>
      </c>
      <c r="E156">
        <v>0</v>
      </c>
      <c r="F156">
        <v>2830548</v>
      </c>
      <c r="G156">
        <v>619293</v>
      </c>
      <c r="H156">
        <v>8179</v>
      </c>
      <c r="K156">
        <v>405319.60240757465</v>
      </c>
      <c r="L156">
        <f t="shared" si="5"/>
        <v>39523000</v>
      </c>
      <c r="M156">
        <v>56196</v>
      </c>
      <c r="N156">
        <v>56815</v>
      </c>
      <c r="O156">
        <v>-619</v>
      </c>
      <c r="P156" s="188">
        <f t="shared" si="4"/>
        <v>0.70330628514485016</v>
      </c>
      <c r="Q156">
        <v>602</v>
      </c>
      <c r="R156">
        <v>84</v>
      </c>
      <c r="S156" s="188">
        <v>4.8300000000000003E-2</v>
      </c>
    </row>
    <row r="157" spans="1:19" x14ac:dyDescent="0.25">
      <c r="A157" t="s">
        <v>868</v>
      </c>
      <c r="B157">
        <v>145456651.57240683</v>
      </c>
      <c r="C157">
        <v>121670946.57240681</v>
      </c>
      <c r="D157">
        <v>2671746</v>
      </c>
      <c r="E157">
        <v>0</v>
      </c>
      <c r="F157">
        <v>16616994</v>
      </c>
      <c r="G157">
        <v>4496965</v>
      </c>
      <c r="H157">
        <v>23396</v>
      </c>
      <c r="K157">
        <v>1872348.427593179</v>
      </c>
      <c r="L157">
        <v>170725000</v>
      </c>
      <c r="M157">
        <v>242548</v>
      </c>
      <c r="N157">
        <v>241877</v>
      </c>
      <c r="O157">
        <v>671</v>
      </c>
      <c r="P157" s="188">
        <f t="shared" si="4"/>
        <v>0.70388129359961737</v>
      </c>
      <c r="Q157">
        <v>3119</v>
      </c>
      <c r="R157">
        <v>1158</v>
      </c>
      <c r="S157" s="188">
        <v>4.0939999999999997E-2</v>
      </c>
    </row>
    <row r="158" spans="1:19" x14ac:dyDescent="0.25">
      <c r="A158" t="s">
        <v>410</v>
      </c>
      <c r="B158">
        <v>76112242.313508391</v>
      </c>
      <c r="C158">
        <v>62599494.313508391</v>
      </c>
      <c r="D158">
        <v>978828</v>
      </c>
      <c r="E158">
        <v>0</v>
      </c>
      <c r="F158">
        <v>11546946</v>
      </c>
      <c r="G158">
        <v>986974</v>
      </c>
      <c r="H158">
        <v>18597</v>
      </c>
      <c r="K158">
        <v>981757.68649160862</v>
      </c>
      <c r="L158">
        <f t="shared" si="5"/>
        <v>95691000</v>
      </c>
      <c r="M158">
        <v>112136</v>
      </c>
      <c r="N158">
        <v>113874</v>
      </c>
      <c r="O158">
        <v>-1738</v>
      </c>
      <c r="P158" s="188">
        <f t="shared" si="4"/>
        <v>0.85334772062495545</v>
      </c>
      <c r="Q158">
        <v>718</v>
      </c>
      <c r="R158">
        <v>69</v>
      </c>
      <c r="S158" s="188">
        <v>4.9400000000000006E-2</v>
      </c>
    </row>
    <row r="159" spans="1:19" x14ac:dyDescent="0.25">
      <c r="A159" t="s">
        <v>263</v>
      </c>
      <c r="B159">
        <v>14186374.712541431</v>
      </c>
      <c r="C159">
        <v>13182519.712541431</v>
      </c>
      <c r="D159">
        <v>312556</v>
      </c>
      <c r="E159">
        <v>0</v>
      </c>
      <c r="F159">
        <v>293705</v>
      </c>
      <c r="G159">
        <v>397594</v>
      </c>
      <c r="H159">
        <v>1869</v>
      </c>
      <c r="K159">
        <v>3545625.2874585688</v>
      </c>
      <c r="L159">
        <f t="shared" si="5"/>
        <v>19601000</v>
      </c>
      <c r="M159">
        <v>23365</v>
      </c>
      <c r="N159">
        <v>24217</v>
      </c>
      <c r="O159">
        <v>-852</v>
      </c>
      <c r="P159" s="188">
        <f t="shared" si="4"/>
        <v>0.83890434410442971</v>
      </c>
      <c r="Q159">
        <v>242</v>
      </c>
      <c r="R159">
        <v>92</v>
      </c>
      <c r="S159" s="188">
        <v>5.0799999999999998E-2</v>
      </c>
    </row>
    <row r="160" spans="1:19" x14ac:dyDescent="0.25">
      <c r="A160" t="s">
        <v>302</v>
      </c>
      <c r="B160">
        <v>71750552.696325004</v>
      </c>
      <c r="C160">
        <v>68905816.696325004</v>
      </c>
      <c r="D160">
        <v>1444500</v>
      </c>
      <c r="E160">
        <v>0</v>
      </c>
      <c r="F160">
        <v>219106</v>
      </c>
      <c r="G160">
        <v>1181130</v>
      </c>
      <c r="H160">
        <v>15505</v>
      </c>
      <c r="K160">
        <v>1399447.3036749959</v>
      </c>
      <c r="L160">
        <f t="shared" si="5"/>
        <v>88655000</v>
      </c>
      <c r="M160">
        <v>178485</v>
      </c>
      <c r="N160">
        <v>190553</v>
      </c>
      <c r="O160">
        <v>-12068</v>
      </c>
      <c r="P160" s="188">
        <f t="shared" si="4"/>
        <v>0.49670840686892453</v>
      </c>
      <c r="Q160">
        <v>2593</v>
      </c>
      <c r="R160">
        <v>416</v>
      </c>
      <c r="S160" s="188">
        <v>5.33E-2</v>
      </c>
    </row>
    <row r="161" spans="1:19" x14ac:dyDescent="0.25">
      <c r="A161" t="s">
        <v>265</v>
      </c>
      <c r="B161">
        <v>12827422.530478336</v>
      </c>
      <c r="C161">
        <v>11981840.530478336</v>
      </c>
      <c r="D161">
        <v>54199</v>
      </c>
      <c r="E161">
        <v>0</v>
      </c>
      <c r="F161">
        <v>341218</v>
      </c>
      <c r="G161">
        <v>450165</v>
      </c>
      <c r="H161">
        <v>3873</v>
      </c>
      <c r="K161">
        <v>0</v>
      </c>
      <c r="L161">
        <f t="shared" si="5"/>
        <v>16700422.530478336</v>
      </c>
      <c r="M161">
        <v>25346</v>
      </c>
      <c r="N161">
        <v>25892</v>
      </c>
      <c r="O161">
        <v>-546</v>
      </c>
      <c r="P161" s="188">
        <f t="shared" si="4"/>
        <v>0.6588977562723245</v>
      </c>
      <c r="Q161">
        <v>1466</v>
      </c>
      <c r="R161">
        <v>781</v>
      </c>
      <c r="S161" s="188">
        <v>3.7599999999999995E-2</v>
      </c>
    </row>
    <row r="162" spans="1:19" x14ac:dyDescent="0.25">
      <c r="A162" t="s">
        <v>132</v>
      </c>
      <c r="B162">
        <v>353723316.86474717</v>
      </c>
      <c r="C162">
        <v>231708650.86474717</v>
      </c>
      <c r="D162">
        <v>6509550</v>
      </c>
      <c r="E162">
        <v>64768277</v>
      </c>
      <c r="F162">
        <v>15188068</v>
      </c>
      <c r="G162">
        <v>35548771</v>
      </c>
      <c r="H162">
        <v>102872</v>
      </c>
      <c r="K162">
        <v>12580683.135252833</v>
      </c>
      <c r="L162">
        <f t="shared" si="5"/>
        <v>469176000</v>
      </c>
      <c r="M162">
        <v>575746</v>
      </c>
      <c r="N162">
        <v>574938</v>
      </c>
      <c r="O162">
        <v>808</v>
      </c>
      <c r="P162" s="188">
        <f t="shared" si="4"/>
        <v>0.81490101537830917</v>
      </c>
      <c r="Q162">
        <v>8771</v>
      </c>
      <c r="R162">
        <v>1832</v>
      </c>
      <c r="S162" s="188">
        <v>2.8199999999999999E-2</v>
      </c>
    </row>
    <row r="163" spans="1:19" x14ac:dyDescent="0.25">
      <c r="A163" t="s">
        <v>303</v>
      </c>
      <c r="B163">
        <v>286648418.27972841</v>
      </c>
      <c r="C163">
        <v>197633246.27972844</v>
      </c>
      <c r="D163">
        <v>3299206</v>
      </c>
      <c r="E163">
        <v>37434811</v>
      </c>
      <c r="F163">
        <v>22477279</v>
      </c>
      <c r="G163">
        <v>25803876</v>
      </c>
      <c r="H163">
        <v>69385</v>
      </c>
      <c r="K163">
        <v>12371581.720271587</v>
      </c>
      <c r="L163">
        <f t="shared" si="5"/>
        <v>368405000</v>
      </c>
      <c r="M163">
        <v>508615</v>
      </c>
      <c r="N163">
        <v>515828</v>
      </c>
      <c r="O163">
        <v>-7213</v>
      </c>
      <c r="P163" s="188">
        <f t="shared" si="4"/>
        <v>0.72432979758756622</v>
      </c>
      <c r="Q163">
        <v>20663</v>
      </c>
      <c r="R163">
        <v>10393</v>
      </c>
      <c r="S163" s="188">
        <v>3.7400000000000003E-2</v>
      </c>
    </row>
    <row r="164" spans="1:19" x14ac:dyDescent="0.25">
      <c r="A164" t="s">
        <v>304</v>
      </c>
      <c r="B164">
        <v>35961089.051132314</v>
      </c>
      <c r="C164">
        <v>34692956.051132314</v>
      </c>
      <c r="D164">
        <v>524492</v>
      </c>
      <c r="E164">
        <v>0</v>
      </c>
      <c r="F164">
        <v>244803</v>
      </c>
      <c r="G164">
        <v>498838</v>
      </c>
      <c r="H164">
        <v>8599</v>
      </c>
      <c r="K164">
        <v>849910.94886768609</v>
      </c>
      <c r="L164">
        <f t="shared" si="5"/>
        <v>45410000</v>
      </c>
      <c r="M164">
        <v>68221</v>
      </c>
      <c r="N164">
        <v>68279</v>
      </c>
      <c r="O164">
        <v>-58</v>
      </c>
      <c r="P164" s="188">
        <f t="shared" si="4"/>
        <v>0.66563081749021558</v>
      </c>
      <c r="Q164">
        <v>2396</v>
      </c>
      <c r="R164">
        <v>644</v>
      </c>
      <c r="S164" s="188">
        <v>4.4699999999999997E-2</v>
      </c>
    </row>
    <row r="165" spans="1:19" x14ac:dyDescent="0.25">
      <c r="A165" t="s">
        <v>305</v>
      </c>
      <c r="B165">
        <v>119957168.16318187</v>
      </c>
      <c r="C165">
        <v>109899540.16318187</v>
      </c>
      <c r="D165">
        <v>4703404</v>
      </c>
      <c r="E165">
        <v>0</v>
      </c>
      <c r="F165">
        <v>3516495</v>
      </c>
      <c r="G165">
        <v>1837729</v>
      </c>
      <c r="H165">
        <v>36603</v>
      </c>
      <c r="K165">
        <v>4216831.8368181288</v>
      </c>
      <c r="L165">
        <f t="shared" si="5"/>
        <v>160777000</v>
      </c>
      <c r="M165">
        <v>217824</v>
      </c>
      <c r="N165">
        <v>228177</v>
      </c>
      <c r="O165">
        <v>-10353</v>
      </c>
      <c r="P165" s="188">
        <f t="shared" si="4"/>
        <v>0.73810507565741146</v>
      </c>
      <c r="Q165">
        <v>4659</v>
      </c>
      <c r="R165">
        <v>535</v>
      </c>
      <c r="S165" s="188">
        <v>4.8799999999999996E-2</v>
      </c>
    </row>
    <row r="166" spans="1:19" x14ac:dyDescent="0.25">
      <c r="A166" t="s">
        <v>431</v>
      </c>
      <c r="B166">
        <v>159398801.00447184</v>
      </c>
      <c r="C166">
        <v>144975439.00447184</v>
      </c>
      <c r="D166">
        <v>3188964</v>
      </c>
      <c r="E166">
        <v>0</v>
      </c>
      <c r="F166">
        <v>7892325</v>
      </c>
      <c r="G166">
        <v>3342073</v>
      </c>
      <c r="H166">
        <v>45890</v>
      </c>
      <c r="K166">
        <v>5360198.9955281615</v>
      </c>
      <c r="L166">
        <f t="shared" si="5"/>
        <v>210649000</v>
      </c>
      <c r="M166">
        <v>285290</v>
      </c>
      <c r="N166">
        <v>290821</v>
      </c>
      <c r="O166">
        <v>-5531</v>
      </c>
      <c r="P166" s="188">
        <f t="shared" si="4"/>
        <v>0.73836797644502083</v>
      </c>
      <c r="Q166">
        <v>6233</v>
      </c>
      <c r="R166">
        <v>2518</v>
      </c>
      <c r="S166" s="188">
        <v>4.53E-2</v>
      </c>
    </row>
    <row r="167" spans="1:19" x14ac:dyDescent="0.25">
      <c r="A167" t="s">
        <v>411</v>
      </c>
      <c r="B167">
        <v>54516216.974571809</v>
      </c>
      <c r="C167">
        <v>45581958.974571809</v>
      </c>
      <c r="D167">
        <v>4118527</v>
      </c>
      <c r="E167">
        <v>0</v>
      </c>
      <c r="F167">
        <v>3108975</v>
      </c>
      <c r="G167">
        <v>1706756</v>
      </c>
      <c r="H167">
        <v>11985</v>
      </c>
      <c r="K167">
        <v>1718783.0254281908</v>
      </c>
      <c r="L167">
        <f t="shared" si="5"/>
        <v>68220000</v>
      </c>
      <c r="M167">
        <v>81773</v>
      </c>
      <c r="N167">
        <v>84763</v>
      </c>
      <c r="O167">
        <v>-2990</v>
      </c>
      <c r="P167" s="188">
        <f t="shared" si="4"/>
        <v>0.83426069729617358</v>
      </c>
      <c r="Q167">
        <v>890</v>
      </c>
      <c r="R167">
        <v>131</v>
      </c>
      <c r="S167" s="188">
        <v>5.28E-2</v>
      </c>
    </row>
    <row r="168" spans="1:19" x14ac:dyDescent="0.25">
      <c r="A168" t="s">
        <v>223</v>
      </c>
      <c r="B168">
        <v>36743827.70919989</v>
      </c>
      <c r="C168">
        <v>33461352.70919989</v>
      </c>
      <c r="D168">
        <v>963409</v>
      </c>
      <c r="E168">
        <v>0</v>
      </c>
      <c r="F168">
        <v>1659337</v>
      </c>
      <c r="G168">
        <v>659729</v>
      </c>
      <c r="H168">
        <v>8444</v>
      </c>
      <c r="K168">
        <v>177172.29080010951</v>
      </c>
      <c r="L168">
        <f t="shared" si="5"/>
        <v>45365000</v>
      </c>
      <c r="M168">
        <v>61637</v>
      </c>
      <c r="N168">
        <v>63902</v>
      </c>
      <c r="O168">
        <v>-2265</v>
      </c>
      <c r="P168" s="188">
        <f t="shared" si="4"/>
        <v>0.73600272563557601</v>
      </c>
      <c r="Q168">
        <v>1624</v>
      </c>
      <c r="R168">
        <v>81</v>
      </c>
      <c r="S168" s="188">
        <v>4.3799999999999999E-2</v>
      </c>
    </row>
    <row r="169" spans="1:19" x14ac:dyDescent="0.25">
      <c r="A169" t="s">
        <v>187</v>
      </c>
      <c r="B169">
        <v>65511269.426222838</v>
      </c>
      <c r="C169">
        <v>58613091.426222838</v>
      </c>
      <c r="D169">
        <v>1167036</v>
      </c>
      <c r="E169">
        <v>0</v>
      </c>
      <c r="F169">
        <v>4628227</v>
      </c>
      <c r="G169">
        <v>1102915</v>
      </c>
      <c r="H169">
        <v>11485</v>
      </c>
      <c r="K169">
        <v>623730.57377716154</v>
      </c>
      <c r="L169">
        <f t="shared" si="5"/>
        <v>77620000</v>
      </c>
      <c r="M169">
        <v>110546</v>
      </c>
      <c r="N169">
        <v>115185</v>
      </c>
      <c r="O169">
        <v>-4639</v>
      </c>
      <c r="P169" s="188">
        <f t="shared" si="4"/>
        <v>0.70215114070160833</v>
      </c>
      <c r="Q169">
        <v>4542</v>
      </c>
      <c r="R169">
        <v>3589</v>
      </c>
      <c r="S169" s="188">
        <v>5.3499999999999999E-2</v>
      </c>
    </row>
    <row r="170" spans="1:19" x14ac:dyDescent="0.25">
      <c r="A170" t="s">
        <v>306</v>
      </c>
      <c r="B170">
        <v>31019325.532093737</v>
      </c>
      <c r="C170">
        <v>28102600.532093737</v>
      </c>
      <c r="D170">
        <v>362316</v>
      </c>
      <c r="E170">
        <v>0</v>
      </c>
      <c r="F170">
        <v>1952144</v>
      </c>
      <c r="G170">
        <v>602265</v>
      </c>
      <c r="H170">
        <v>6345</v>
      </c>
      <c r="K170">
        <v>273674.46790626273</v>
      </c>
      <c r="L170">
        <f t="shared" si="5"/>
        <v>37638000</v>
      </c>
      <c r="M170">
        <v>51525</v>
      </c>
      <c r="N170">
        <v>55933</v>
      </c>
      <c r="O170">
        <v>-4408</v>
      </c>
      <c r="P170" s="188">
        <f t="shared" si="4"/>
        <v>0.73048034934497819</v>
      </c>
      <c r="Q170">
        <v>3205</v>
      </c>
      <c r="R170">
        <v>2280</v>
      </c>
      <c r="S170" s="188">
        <v>4.4800000000000006E-2</v>
      </c>
    </row>
    <row r="171" spans="1:19" x14ac:dyDescent="0.25">
      <c r="A171" t="s">
        <v>188</v>
      </c>
      <c r="B171">
        <v>51618912.45048549</v>
      </c>
      <c r="C171">
        <v>44622276.45048549</v>
      </c>
      <c r="D171">
        <v>3261901</v>
      </c>
      <c r="E171">
        <v>0</v>
      </c>
      <c r="F171">
        <v>2753647</v>
      </c>
      <c r="G171">
        <v>981088</v>
      </c>
      <c r="H171">
        <v>11284</v>
      </c>
      <c r="K171">
        <v>624087.54951450974</v>
      </c>
      <c r="L171">
        <f t="shared" si="5"/>
        <v>63527000</v>
      </c>
      <c r="M171">
        <v>83930</v>
      </c>
      <c r="N171">
        <v>85525</v>
      </c>
      <c r="O171">
        <v>-1595</v>
      </c>
      <c r="P171" s="188">
        <f t="shared" si="4"/>
        <v>0.75690456332658163</v>
      </c>
      <c r="Q171">
        <v>3385</v>
      </c>
      <c r="R171">
        <v>2394</v>
      </c>
      <c r="S171" s="188">
        <v>4.8799999999999996E-2</v>
      </c>
    </row>
    <row r="172" spans="1:19" x14ac:dyDescent="0.25">
      <c r="A172" t="s">
        <v>377</v>
      </c>
      <c r="B172">
        <v>34630707.07218945</v>
      </c>
      <c r="C172">
        <v>29644617.07218945</v>
      </c>
      <c r="D172">
        <v>480206</v>
      </c>
      <c r="E172">
        <v>0</v>
      </c>
      <c r="F172">
        <v>3253181</v>
      </c>
      <c r="G172">
        <v>1252703</v>
      </c>
      <c r="H172">
        <v>8219</v>
      </c>
      <c r="K172">
        <v>208292.92781054974</v>
      </c>
      <c r="L172">
        <f t="shared" si="5"/>
        <v>43058000</v>
      </c>
      <c r="M172">
        <v>56726</v>
      </c>
      <c r="N172">
        <v>57521</v>
      </c>
      <c r="O172">
        <v>-795</v>
      </c>
      <c r="P172" s="188">
        <f t="shared" si="4"/>
        <v>0.75905228642950318</v>
      </c>
      <c r="Q172">
        <v>759</v>
      </c>
      <c r="R172">
        <v>25</v>
      </c>
      <c r="S172" s="188">
        <v>4.36E-2</v>
      </c>
    </row>
    <row r="173" spans="1:19" x14ac:dyDescent="0.25">
      <c r="A173" t="s">
        <v>224</v>
      </c>
      <c r="B173">
        <v>19488038.69916293</v>
      </c>
      <c r="C173">
        <v>17508024.69916293</v>
      </c>
      <c r="D173">
        <v>688390</v>
      </c>
      <c r="E173">
        <v>0</v>
      </c>
      <c r="F173">
        <v>814584</v>
      </c>
      <c r="G173">
        <v>477040</v>
      </c>
      <c r="H173">
        <v>5382</v>
      </c>
      <c r="K173">
        <v>292961.30083706975</v>
      </c>
      <c r="L173">
        <f t="shared" si="5"/>
        <v>25163000</v>
      </c>
      <c r="M173">
        <v>30690</v>
      </c>
      <c r="N173">
        <v>30571</v>
      </c>
      <c r="O173">
        <v>119</v>
      </c>
      <c r="P173" s="188">
        <f t="shared" si="4"/>
        <v>0.81990876507005539</v>
      </c>
      <c r="Q173">
        <v>508</v>
      </c>
      <c r="R173">
        <v>32</v>
      </c>
      <c r="S173" s="188">
        <v>4.7199999999999999E-2</v>
      </c>
    </row>
    <row r="174" spans="1:19" x14ac:dyDescent="0.25">
      <c r="A174" t="s">
        <v>152</v>
      </c>
      <c r="B174">
        <v>36111275.71340476</v>
      </c>
      <c r="C174">
        <v>31430624.713404763</v>
      </c>
      <c r="D174">
        <v>380442</v>
      </c>
      <c r="E174">
        <v>0</v>
      </c>
      <c r="F174">
        <v>3518291</v>
      </c>
      <c r="G174">
        <v>781918</v>
      </c>
      <c r="H174">
        <v>8571</v>
      </c>
      <c r="K174">
        <v>583724.28659524024</v>
      </c>
      <c r="L174">
        <f t="shared" si="5"/>
        <v>45266000</v>
      </c>
      <c r="M174">
        <v>62104</v>
      </c>
      <c r="N174">
        <v>61765</v>
      </c>
      <c r="O174">
        <v>339</v>
      </c>
      <c r="P174" s="188">
        <f t="shared" si="4"/>
        <v>0.72887414659281202</v>
      </c>
      <c r="Q174">
        <v>268</v>
      </c>
      <c r="R174">
        <v>18</v>
      </c>
      <c r="S174" s="188">
        <v>4.9100000000000005E-2</v>
      </c>
    </row>
    <row r="175" spans="1:19" x14ac:dyDescent="0.25">
      <c r="A175" t="s">
        <v>189</v>
      </c>
      <c r="B175">
        <v>33161503.922882084</v>
      </c>
      <c r="C175">
        <v>29680371.922882084</v>
      </c>
      <c r="D175">
        <v>878514</v>
      </c>
      <c r="E175">
        <v>0</v>
      </c>
      <c r="F175">
        <v>2007511</v>
      </c>
      <c r="G175">
        <v>595107</v>
      </c>
      <c r="H175">
        <v>6470</v>
      </c>
      <c r="K175">
        <v>733496.0771179162</v>
      </c>
      <c r="L175">
        <f t="shared" si="5"/>
        <v>40365000</v>
      </c>
      <c r="M175">
        <v>57979</v>
      </c>
      <c r="N175">
        <v>57668</v>
      </c>
      <c r="O175">
        <v>311</v>
      </c>
      <c r="P175" s="188">
        <f t="shared" si="4"/>
        <v>0.69620034840200762</v>
      </c>
      <c r="Q175">
        <v>2695</v>
      </c>
      <c r="R175">
        <v>2022</v>
      </c>
      <c r="S175" s="188">
        <v>4.3700000000000003E-2</v>
      </c>
    </row>
    <row r="176" spans="1:19" x14ac:dyDescent="0.25">
      <c r="A176" t="s">
        <v>412</v>
      </c>
      <c r="B176">
        <v>36485250.302226223</v>
      </c>
      <c r="C176">
        <v>31615784.302226223</v>
      </c>
      <c r="D176">
        <v>1177019</v>
      </c>
      <c r="E176">
        <v>0</v>
      </c>
      <c r="F176">
        <v>2555160</v>
      </c>
      <c r="G176">
        <v>1137287</v>
      </c>
      <c r="H176">
        <v>6533</v>
      </c>
      <c r="K176">
        <v>560749.69777377695</v>
      </c>
      <c r="L176">
        <f t="shared" si="5"/>
        <v>43579000</v>
      </c>
      <c r="M176">
        <v>57465</v>
      </c>
      <c r="N176">
        <v>59772</v>
      </c>
      <c r="O176">
        <v>-2307</v>
      </c>
      <c r="P176" s="188">
        <f t="shared" si="4"/>
        <v>0.75835726094144262</v>
      </c>
      <c r="Q176">
        <v>1165</v>
      </c>
      <c r="R176">
        <v>139</v>
      </c>
      <c r="S176" s="188">
        <v>4.9400000000000006E-2</v>
      </c>
    </row>
    <row r="177" spans="1:19" x14ac:dyDescent="0.25">
      <c r="A177" t="s">
        <v>869</v>
      </c>
      <c r="B177">
        <v>94950560.942850545</v>
      </c>
      <c r="C177">
        <v>78757986.942850545</v>
      </c>
      <c r="D177">
        <v>3252407</v>
      </c>
      <c r="E177">
        <v>0</v>
      </c>
      <c r="F177">
        <v>10923565</v>
      </c>
      <c r="G177">
        <v>2016602</v>
      </c>
      <c r="H177">
        <v>17299</v>
      </c>
      <c r="K177">
        <v>2194439.0571494512</v>
      </c>
      <c r="L177">
        <v>114444000</v>
      </c>
      <c r="M177">
        <v>149664</v>
      </c>
      <c r="N177">
        <v>154696</v>
      </c>
      <c r="O177">
        <v>-5032</v>
      </c>
      <c r="P177" s="188">
        <f t="shared" si="4"/>
        <v>0.76467286722257855</v>
      </c>
      <c r="Q177">
        <v>3299</v>
      </c>
      <c r="R177">
        <v>787</v>
      </c>
      <c r="S177" s="188">
        <v>5.3999999999999999E-2</v>
      </c>
    </row>
    <row r="178" spans="1:19" x14ac:dyDescent="0.25">
      <c r="A178" t="s">
        <v>307</v>
      </c>
      <c r="B178">
        <v>56460921.790729187</v>
      </c>
      <c r="C178">
        <v>49795097.790729187</v>
      </c>
      <c r="D178">
        <v>1163380</v>
      </c>
      <c r="E178">
        <v>0</v>
      </c>
      <c r="F178">
        <v>4700529</v>
      </c>
      <c r="G178">
        <v>801915</v>
      </c>
      <c r="H178">
        <v>15700</v>
      </c>
      <c r="K178">
        <v>1668078.2092708126</v>
      </c>
      <c r="L178">
        <f t="shared" si="5"/>
        <v>73829000</v>
      </c>
      <c r="M178">
        <v>95642</v>
      </c>
      <c r="N178">
        <v>97973</v>
      </c>
      <c r="O178">
        <v>-2331</v>
      </c>
      <c r="P178" s="188">
        <f t="shared" si="4"/>
        <v>0.77193074172434706</v>
      </c>
      <c r="Q178">
        <v>2029</v>
      </c>
      <c r="R178">
        <v>918</v>
      </c>
      <c r="S178" s="188">
        <v>4.4199999999999996E-2</v>
      </c>
    </row>
    <row r="179" spans="1:19" x14ac:dyDescent="0.25">
      <c r="A179" t="s">
        <v>413</v>
      </c>
      <c r="B179">
        <v>279875018.34950864</v>
      </c>
      <c r="C179">
        <v>198464431.34950867</v>
      </c>
      <c r="D179">
        <v>3445150</v>
      </c>
      <c r="E179">
        <v>33546184</v>
      </c>
      <c r="F179">
        <v>21978447</v>
      </c>
      <c r="G179">
        <v>22440806</v>
      </c>
      <c r="H179">
        <v>78094</v>
      </c>
      <c r="K179">
        <v>4688981.6504913568</v>
      </c>
      <c r="L179">
        <f t="shared" si="5"/>
        <v>362658000</v>
      </c>
      <c r="M179">
        <v>627454</v>
      </c>
      <c r="N179">
        <v>658635</v>
      </c>
      <c r="O179">
        <v>-31181</v>
      </c>
      <c r="P179" s="188">
        <f t="shared" si="4"/>
        <v>0.57798340595485886</v>
      </c>
      <c r="Q179">
        <v>9310</v>
      </c>
      <c r="R179">
        <v>1041</v>
      </c>
      <c r="S179" s="188">
        <v>4.5599999999999995E-2</v>
      </c>
    </row>
    <row r="180" spans="1:19" x14ac:dyDescent="0.25">
      <c r="A180" t="s">
        <v>266</v>
      </c>
      <c r="B180">
        <v>66414104.980619989</v>
      </c>
      <c r="C180">
        <v>59070618.980619989</v>
      </c>
      <c r="D180">
        <v>2896263</v>
      </c>
      <c r="E180">
        <v>0</v>
      </c>
      <c r="F180">
        <v>3035876</v>
      </c>
      <c r="G180">
        <v>1411347</v>
      </c>
      <c r="H180">
        <v>14076</v>
      </c>
      <c r="K180">
        <v>779895.01938001066</v>
      </c>
      <c r="L180">
        <f t="shared" si="5"/>
        <v>81270000</v>
      </c>
      <c r="M180">
        <v>101500</v>
      </c>
      <c r="N180">
        <v>105353</v>
      </c>
      <c r="O180">
        <v>-3853</v>
      </c>
      <c r="P180" s="188">
        <f t="shared" si="4"/>
        <v>0.80068965517241375</v>
      </c>
      <c r="Q180">
        <v>1407</v>
      </c>
      <c r="R180">
        <v>218</v>
      </c>
      <c r="S180" s="188">
        <v>5.1799999999999999E-2</v>
      </c>
    </row>
    <row r="181" spans="1:19" x14ac:dyDescent="0.25">
      <c r="A181" t="s">
        <v>414</v>
      </c>
      <c r="B181">
        <v>28618785.339660168</v>
      </c>
      <c r="C181">
        <v>24299573.339660168</v>
      </c>
      <c r="D181">
        <v>358619</v>
      </c>
      <c r="E181">
        <v>0</v>
      </c>
      <c r="F181">
        <v>1954197</v>
      </c>
      <c r="G181">
        <v>2006396</v>
      </c>
      <c r="H181">
        <v>5810</v>
      </c>
      <c r="K181">
        <v>0</v>
      </c>
      <c r="L181">
        <f t="shared" si="5"/>
        <v>34428785.339660168</v>
      </c>
      <c r="M181">
        <v>46124</v>
      </c>
      <c r="N181">
        <v>47873</v>
      </c>
      <c r="O181">
        <v>-1749</v>
      </c>
      <c r="P181" s="188">
        <f t="shared" si="4"/>
        <v>0.7464397133739521</v>
      </c>
      <c r="Q181">
        <v>687</v>
      </c>
      <c r="R181">
        <v>61</v>
      </c>
      <c r="S181" s="188">
        <v>5.5800000000000002E-2</v>
      </c>
    </row>
    <row r="182" spans="1:19" x14ac:dyDescent="0.25">
      <c r="A182" t="s">
        <v>587</v>
      </c>
      <c r="B182">
        <v>125534115.22145662</v>
      </c>
      <c r="C182">
        <v>105448267.22145662</v>
      </c>
      <c r="D182">
        <v>1677627</v>
      </c>
      <c r="E182">
        <v>0</v>
      </c>
      <c r="F182">
        <v>16452255</v>
      </c>
      <c r="G182">
        <v>1955966</v>
      </c>
      <c r="H182">
        <v>18362</v>
      </c>
      <c r="K182">
        <v>2125884.7785433829</v>
      </c>
      <c r="L182">
        <f t="shared" si="5"/>
        <v>146022000</v>
      </c>
      <c r="M182">
        <v>223169</v>
      </c>
      <c r="N182">
        <v>227107</v>
      </c>
      <c r="O182">
        <v>-3938</v>
      </c>
      <c r="P182" s="188">
        <f t="shared" si="4"/>
        <v>0.65431130667789883</v>
      </c>
      <c r="Q182">
        <v>4649</v>
      </c>
      <c r="R182">
        <v>301</v>
      </c>
      <c r="S182" s="188">
        <v>4.5899999999999996E-2</v>
      </c>
    </row>
    <row r="183" spans="1:19" x14ac:dyDescent="0.25">
      <c r="A183" t="s">
        <v>112</v>
      </c>
      <c r="B183">
        <v>63773841.044713952</v>
      </c>
      <c r="C183">
        <v>53500635.044713952</v>
      </c>
      <c r="D183">
        <v>1464775</v>
      </c>
      <c r="E183">
        <v>0</v>
      </c>
      <c r="F183">
        <v>7539576</v>
      </c>
      <c r="G183">
        <v>1268855</v>
      </c>
      <c r="H183">
        <v>14284</v>
      </c>
      <c r="K183">
        <v>1452158.9552860484</v>
      </c>
      <c r="L183">
        <f t="shared" si="5"/>
        <v>79510000</v>
      </c>
      <c r="M183">
        <v>112597</v>
      </c>
      <c r="N183">
        <v>111710</v>
      </c>
      <c r="O183">
        <v>887</v>
      </c>
      <c r="P183" s="188">
        <f t="shared" si="4"/>
        <v>0.70614670017851278</v>
      </c>
      <c r="Q183">
        <v>2111</v>
      </c>
      <c r="R183">
        <v>80</v>
      </c>
      <c r="S183" s="188">
        <v>2.92E-2</v>
      </c>
    </row>
    <row r="184" spans="1:19" x14ac:dyDescent="0.25">
      <c r="A184" t="s">
        <v>334</v>
      </c>
      <c r="B184">
        <v>91649676.366535634</v>
      </c>
      <c r="C184">
        <v>79899937.366535634</v>
      </c>
      <c r="D184">
        <v>2647793</v>
      </c>
      <c r="E184">
        <v>0</v>
      </c>
      <c r="F184">
        <v>6404184</v>
      </c>
      <c r="G184">
        <v>2697762</v>
      </c>
      <c r="H184">
        <v>26052</v>
      </c>
      <c r="K184">
        <v>2367323.6334643662</v>
      </c>
      <c r="L184">
        <f t="shared" si="5"/>
        <v>120069000</v>
      </c>
      <c r="M184">
        <v>171823</v>
      </c>
      <c r="N184">
        <v>172146</v>
      </c>
      <c r="O184">
        <v>-323</v>
      </c>
      <c r="P184" s="188">
        <f t="shared" si="4"/>
        <v>0.69879468988435778</v>
      </c>
      <c r="Q184">
        <v>4269</v>
      </c>
      <c r="R184">
        <v>1685</v>
      </c>
      <c r="S184" s="188">
        <v>3.2400000000000005E-2</v>
      </c>
    </row>
    <row r="185" spans="1:19" x14ac:dyDescent="0.25">
      <c r="A185" t="s">
        <v>308</v>
      </c>
      <c r="B185">
        <v>20744520.315772288</v>
      </c>
      <c r="C185">
        <v>19899542.315772288</v>
      </c>
      <c r="D185">
        <v>295102</v>
      </c>
      <c r="E185">
        <v>0</v>
      </c>
      <c r="F185">
        <v>124616</v>
      </c>
      <c r="G185">
        <v>425260</v>
      </c>
      <c r="H185">
        <v>3783</v>
      </c>
      <c r="K185">
        <v>940479.68422771245</v>
      </c>
      <c r="L185">
        <f t="shared" si="5"/>
        <v>25468000</v>
      </c>
      <c r="M185">
        <v>46959</v>
      </c>
      <c r="N185">
        <v>48939</v>
      </c>
      <c r="O185">
        <v>-1980</v>
      </c>
      <c r="P185" s="188">
        <f t="shared" si="4"/>
        <v>0.54234545028642012</v>
      </c>
      <c r="Q185">
        <v>2512</v>
      </c>
      <c r="R185">
        <v>2409</v>
      </c>
      <c r="S185" s="188">
        <v>3.9399999999999998E-2</v>
      </c>
    </row>
    <row r="186" spans="1:19" x14ac:dyDescent="0.25">
      <c r="A186" t="s">
        <v>113</v>
      </c>
      <c r="B186">
        <v>53505516.446081929</v>
      </c>
      <c r="C186">
        <v>47275058.446081929</v>
      </c>
      <c r="D186">
        <v>4832247</v>
      </c>
      <c r="E186">
        <v>0</v>
      </c>
      <c r="F186">
        <v>279057</v>
      </c>
      <c r="G186">
        <v>1119154</v>
      </c>
      <c r="H186">
        <v>9906</v>
      </c>
      <c r="K186">
        <v>782483.55391807109</v>
      </c>
      <c r="L186">
        <f t="shared" si="5"/>
        <v>64194000</v>
      </c>
      <c r="M186">
        <v>82394</v>
      </c>
      <c r="N186">
        <v>81034</v>
      </c>
      <c r="O186">
        <v>1360</v>
      </c>
      <c r="P186" s="188">
        <f t="shared" si="4"/>
        <v>0.77911012937835278</v>
      </c>
      <c r="Q186">
        <v>348</v>
      </c>
      <c r="R186">
        <v>59</v>
      </c>
      <c r="S186" s="188">
        <v>4.0099999999999997E-2</v>
      </c>
    </row>
    <row r="187" spans="1:19" x14ac:dyDescent="0.25">
      <c r="A187" t="s">
        <v>602</v>
      </c>
      <c r="B187">
        <v>124868384.76853645</v>
      </c>
      <c r="C187">
        <v>105495269.76853645</v>
      </c>
      <c r="D187">
        <v>3543829</v>
      </c>
      <c r="E187">
        <v>0</v>
      </c>
      <c r="F187">
        <v>12320612</v>
      </c>
      <c r="G187">
        <v>3508674</v>
      </c>
      <c r="H187">
        <v>33058</v>
      </c>
      <c r="K187">
        <v>8770615.2314635515</v>
      </c>
      <c r="L187">
        <f t="shared" si="5"/>
        <v>166697000</v>
      </c>
      <c r="M187">
        <v>228401</v>
      </c>
      <c r="N187">
        <v>232205</v>
      </c>
      <c r="O187">
        <v>-3804</v>
      </c>
      <c r="P187" s="188">
        <f t="shared" si="4"/>
        <v>0.72984356460786071</v>
      </c>
      <c r="Q187">
        <v>1503</v>
      </c>
      <c r="R187">
        <v>52</v>
      </c>
      <c r="S187" s="188">
        <v>4.4500000000000005E-2</v>
      </c>
    </row>
    <row r="188" spans="1:19" x14ac:dyDescent="0.25">
      <c r="A188" t="s">
        <v>379</v>
      </c>
      <c r="B188">
        <v>54507911.561115906</v>
      </c>
      <c r="C188">
        <v>48332730.561115906</v>
      </c>
      <c r="D188">
        <v>1484443</v>
      </c>
      <c r="E188">
        <v>0</v>
      </c>
      <c r="F188">
        <v>3158012</v>
      </c>
      <c r="G188">
        <v>1532726</v>
      </c>
      <c r="H188">
        <v>11045</v>
      </c>
      <c r="K188">
        <v>881088.43888409436</v>
      </c>
      <c r="L188">
        <f t="shared" ref="L188:L251" si="6">SUM(B188,H188*1000,K188)</f>
        <v>66434000</v>
      </c>
      <c r="M188">
        <v>105129</v>
      </c>
      <c r="N188">
        <v>110048</v>
      </c>
      <c r="O188">
        <v>-4919</v>
      </c>
      <c r="P188" s="188">
        <f t="shared" ref="P188:P250" si="7">L188/(M188*1000)</f>
        <v>0.63192839273654278</v>
      </c>
      <c r="Q188">
        <v>806</v>
      </c>
      <c r="R188">
        <v>33</v>
      </c>
      <c r="S188" s="188">
        <v>4.8399999999999999E-2</v>
      </c>
    </row>
    <row r="189" spans="1:19" x14ac:dyDescent="0.25">
      <c r="A189" t="s">
        <v>603</v>
      </c>
      <c r="B189">
        <v>57337869.20314154</v>
      </c>
      <c r="C189">
        <v>52670913.20314154</v>
      </c>
      <c r="D189">
        <v>1776342</v>
      </c>
      <c r="E189">
        <v>0</v>
      </c>
      <c r="F189">
        <v>1445010</v>
      </c>
      <c r="G189">
        <v>1445604</v>
      </c>
      <c r="H189">
        <v>5341</v>
      </c>
      <c r="K189">
        <v>4044130.7968584597</v>
      </c>
      <c r="L189">
        <f t="shared" si="6"/>
        <v>66723000</v>
      </c>
      <c r="M189">
        <v>100764</v>
      </c>
      <c r="N189">
        <v>103265</v>
      </c>
      <c r="O189">
        <v>-2501</v>
      </c>
      <c r="P189" s="188">
        <f t="shared" si="7"/>
        <v>0.6621710134571871</v>
      </c>
      <c r="Q189">
        <v>2620</v>
      </c>
      <c r="R189">
        <v>1748</v>
      </c>
      <c r="S189" s="188">
        <v>5.4699999999999999E-2</v>
      </c>
    </row>
    <row r="190" spans="1:19" x14ac:dyDescent="0.25">
      <c r="A190" t="s">
        <v>190</v>
      </c>
      <c r="B190">
        <v>56770280.629538983</v>
      </c>
      <c r="C190">
        <v>49188353.629538983</v>
      </c>
      <c r="D190">
        <v>1458553</v>
      </c>
      <c r="E190">
        <v>0</v>
      </c>
      <c r="F190">
        <v>5201075</v>
      </c>
      <c r="G190">
        <v>922299</v>
      </c>
      <c r="H190">
        <v>9807</v>
      </c>
      <c r="K190">
        <v>672719.37046101689</v>
      </c>
      <c r="L190">
        <f t="shared" si="6"/>
        <v>67250000</v>
      </c>
      <c r="M190">
        <v>85435</v>
      </c>
      <c r="N190">
        <v>87828</v>
      </c>
      <c r="O190">
        <v>-2393</v>
      </c>
      <c r="P190" s="188">
        <f t="shared" si="7"/>
        <v>0.78714812430502723</v>
      </c>
      <c r="Q190">
        <v>1207</v>
      </c>
      <c r="R190">
        <v>58</v>
      </c>
      <c r="S190" s="188">
        <v>5.1399999999999994E-2</v>
      </c>
    </row>
    <row r="191" spans="1:19" x14ac:dyDescent="0.25">
      <c r="A191" t="s">
        <v>438</v>
      </c>
      <c r="B191">
        <v>16584303.259381372</v>
      </c>
      <c r="C191">
        <v>15239574.259381372</v>
      </c>
      <c r="D191">
        <v>163034</v>
      </c>
      <c r="E191">
        <v>0</v>
      </c>
      <c r="F191">
        <v>561807</v>
      </c>
      <c r="G191">
        <v>619888</v>
      </c>
      <c r="H191">
        <v>2634</v>
      </c>
      <c r="K191">
        <v>118696.74061862752</v>
      </c>
      <c r="L191">
        <f t="shared" si="6"/>
        <v>19337000</v>
      </c>
      <c r="M191">
        <v>26884</v>
      </c>
      <c r="N191">
        <v>27961</v>
      </c>
      <c r="O191">
        <v>-1077</v>
      </c>
      <c r="P191" s="188">
        <f t="shared" si="7"/>
        <v>0.71927540544561819</v>
      </c>
      <c r="Q191">
        <v>514</v>
      </c>
      <c r="R191">
        <v>8</v>
      </c>
      <c r="S191" s="188">
        <v>5.7099999999999998E-2</v>
      </c>
    </row>
    <row r="192" spans="1:19" x14ac:dyDescent="0.25">
      <c r="A192" t="s">
        <v>415</v>
      </c>
      <c r="B192">
        <v>10146118.179018348</v>
      </c>
      <c r="C192">
        <v>9259989.1790183485</v>
      </c>
      <c r="D192">
        <v>62427</v>
      </c>
      <c r="E192">
        <v>0</v>
      </c>
      <c r="F192">
        <v>495252</v>
      </c>
      <c r="G192">
        <v>328450</v>
      </c>
      <c r="H192">
        <v>2159</v>
      </c>
      <c r="K192">
        <v>79881.820981651545</v>
      </c>
      <c r="L192">
        <f t="shared" si="6"/>
        <v>12385000</v>
      </c>
      <c r="M192">
        <v>16425</v>
      </c>
      <c r="N192">
        <v>17018</v>
      </c>
      <c r="O192">
        <v>-593</v>
      </c>
      <c r="P192" s="188">
        <f t="shared" si="7"/>
        <v>0.75403348554033489</v>
      </c>
      <c r="Q192">
        <v>67</v>
      </c>
      <c r="R192">
        <v>25</v>
      </c>
      <c r="S192" s="188">
        <v>5.7000000000000002E-2</v>
      </c>
    </row>
    <row r="193" spans="1:19" x14ac:dyDescent="0.25">
      <c r="A193" t="s">
        <v>191</v>
      </c>
      <c r="B193">
        <v>33582882.504036039</v>
      </c>
      <c r="C193">
        <v>30859446.504036039</v>
      </c>
      <c r="D193">
        <v>558341</v>
      </c>
      <c r="E193">
        <v>0</v>
      </c>
      <c r="F193">
        <v>1435403</v>
      </c>
      <c r="G193">
        <v>729692</v>
      </c>
      <c r="H193">
        <v>5251</v>
      </c>
      <c r="K193">
        <v>776117.49596396089</v>
      </c>
      <c r="L193">
        <f t="shared" si="6"/>
        <v>39610000</v>
      </c>
      <c r="M193">
        <v>58791</v>
      </c>
      <c r="N193">
        <v>60441</v>
      </c>
      <c r="O193">
        <v>-1650</v>
      </c>
      <c r="P193" s="188">
        <f t="shared" si="7"/>
        <v>0.67374257964654449</v>
      </c>
      <c r="Q193">
        <v>2256</v>
      </c>
      <c r="R193">
        <v>1579</v>
      </c>
      <c r="S193" s="188">
        <v>5.2600000000000001E-2</v>
      </c>
    </row>
    <row r="194" spans="1:19" x14ac:dyDescent="0.25">
      <c r="A194" t="s">
        <v>416</v>
      </c>
      <c r="B194">
        <v>25443351.831777792</v>
      </c>
      <c r="C194">
        <v>21739037.831777792</v>
      </c>
      <c r="D194">
        <v>532570</v>
      </c>
      <c r="E194">
        <v>0</v>
      </c>
      <c r="F194">
        <v>2638443</v>
      </c>
      <c r="G194">
        <v>533301</v>
      </c>
      <c r="H194">
        <v>5737</v>
      </c>
      <c r="K194">
        <v>658648.16822220758</v>
      </c>
      <c r="L194">
        <f t="shared" si="6"/>
        <v>31839000</v>
      </c>
      <c r="M194">
        <v>40092</v>
      </c>
      <c r="N194">
        <v>39683</v>
      </c>
      <c r="O194">
        <v>409</v>
      </c>
      <c r="P194" s="188">
        <f t="shared" si="7"/>
        <v>0.79414845854534566</v>
      </c>
      <c r="Q194">
        <v>251</v>
      </c>
      <c r="R194">
        <v>7</v>
      </c>
      <c r="S194" s="188">
        <v>5.4000000000000006E-2</v>
      </c>
    </row>
    <row r="195" spans="1:19" x14ac:dyDescent="0.25">
      <c r="A195" t="s">
        <v>225</v>
      </c>
      <c r="B195">
        <v>98910290.971333519</v>
      </c>
      <c r="C195">
        <v>91049223.971333519</v>
      </c>
      <c r="D195">
        <v>1543728</v>
      </c>
      <c r="E195">
        <v>0</v>
      </c>
      <c r="F195">
        <v>3502593</v>
      </c>
      <c r="G195">
        <v>2814746</v>
      </c>
      <c r="H195">
        <v>26262</v>
      </c>
      <c r="K195">
        <v>3991709.0286664814</v>
      </c>
      <c r="L195">
        <f t="shared" si="6"/>
        <v>129164000</v>
      </c>
      <c r="M195">
        <v>212877</v>
      </c>
      <c r="N195">
        <v>217914</v>
      </c>
      <c r="O195">
        <v>-5037</v>
      </c>
      <c r="P195" s="188">
        <f t="shared" si="7"/>
        <v>0.60675413501693465</v>
      </c>
      <c r="Q195">
        <v>4949</v>
      </c>
      <c r="R195">
        <v>701</v>
      </c>
      <c r="S195" s="188">
        <v>3.9E-2</v>
      </c>
    </row>
    <row r="196" spans="1:19" x14ac:dyDescent="0.25">
      <c r="A196" t="s">
        <v>309</v>
      </c>
      <c r="B196">
        <v>34784923.826928869</v>
      </c>
      <c r="C196">
        <v>33646233.826928869</v>
      </c>
      <c r="D196">
        <v>361315</v>
      </c>
      <c r="E196">
        <v>0</v>
      </c>
      <c r="F196">
        <v>201553</v>
      </c>
      <c r="G196">
        <v>575822</v>
      </c>
      <c r="H196">
        <v>6379</v>
      </c>
      <c r="K196">
        <v>562076.17307113111</v>
      </c>
      <c r="L196">
        <f t="shared" si="6"/>
        <v>41726000</v>
      </c>
      <c r="M196">
        <v>75951</v>
      </c>
      <c r="N196">
        <v>75396</v>
      </c>
      <c r="O196">
        <v>555</v>
      </c>
      <c r="P196" s="188">
        <f t="shared" si="7"/>
        <v>0.54938052165211781</v>
      </c>
      <c r="Q196">
        <v>1394</v>
      </c>
      <c r="R196">
        <v>626</v>
      </c>
      <c r="S196" s="188">
        <v>4.1500000000000002E-2</v>
      </c>
    </row>
    <row r="197" spans="1:19" x14ac:dyDescent="0.25">
      <c r="A197" t="s">
        <v>192</v>
      </c>
      <c r="B197">
        <v>57997294.953298718</v>
      </c>
      <c r="C197">
        <v>52152510.953298718</v>
      </c>
      <c r="D197">
        <v>2377492</v>
      </c>
      <c r="E197">
        <v>0</v>
      </c>
      <c r="F197">
        <v>2270073</v>
      </c>
      <c r="G197">
        <v>1197219</v>
      </c>
      <c r="H197">
        <v>9940</v>
      </c>
      <c r="K197">
        <v>753705.04670128226</v>
      </c>
      <c r="L197">
        <f t="shared" si="6"/>
        <v>68691000</v>
      </c>
      <c r="M197">
        <v>100274</v>
      </c>
      <c r="N197">
        <v>101475</v>
      </c>
      <c r="O197">
        <v>-1201</v>
      </c>
      <c r="P197" s="188">
        <f t="shared" si="7"/>
        <v>0.68503300955382251</v>
      </c>
      <c r="Q197">
        <v>2746</v>
      </c>
      <c r="R197">
        <v>1837</v>
      </c>
      <c r="S197" s="188">
        <v>4.6900000000000004E-2</v>
      </c>
    </row>
    <row r="198" spans="1:19" x14ac:dyDescent="0.25">
      <c r="A198" t="s">
        <v>193</v>
      </c>
      <c r="B198">
        <v>433258488.88990641</v>
      </c>
      <c r="C198">
        <v>300979665.88990641</v>
      </c>
      <c r="D198">
        <v>5453760</v>
      </c>
      <c r="E198">
        <v>67661008</v>
      </c>
      <c r="F198">
        <v>26152846</v>
      </c>
      <c r="G198">
        <v>33011209</v>
      </c>
      <c r="H198">
        <v>129928</v>
      </c>
      <c r="K198">
        <v>16843511.110093594</v>
      </c>
      <c r="L198">
        <f t="shared" si="6"/>
        <v>580030000</v>
      </c>
      <c r="M198">
        <v>811173</v>
      </c>
      <c r="N198">
        <v>811179</v>
      </c>
      <c r="O198">
        <v>-6</v>
      </c>
      <c r="P198" s="188">
        <f t="shared" si="7"/>
        <v>0.71505092008733029</v>
      </c>
      <c r="Q198">
        <v>12988</v>
      </c>
      <c r="R198">
        <v>819</v>
      </c>
      <c r="S198" s="188">
        <v>3.1800000000000002E-2</v>
      </c>
    </row>
    <row r="199" spans="1:19" x14ac:dyDescent="0.25">
      <c r="A199" t="s">
        <v>479</v>
      </c>
      <c r="B199">
        <v>174801841.80022889</v>
      </c>
      <c r="C199">
        <v>133415433.80022888</v>
      </c>
      <c r="D199">
        <v>4075695</v>
      </c>
      <c r="E199">
        <v>18247480</v>
      </c>
      <c r="F199">
        <v>9793800</v>
      </c>
      <c r="G199">
        <v>9269433</v>
      </c>
      <c r="H199">
        <v>44567</v>
      </c>
      <c r="K199">
        <v>6193158.1997711062</v>
      </c>
      <c r="L199">
        <f t="shared" si="6"/>
        <v>225562000</v>
      </c>
      <c r="M199">
        <v>291314</v>
      </c>
      <c r="N199">
        <v>299203</v>
      </c>
      <c r="O199">
        <v>-7889</v>
      </c>
      <c r="P199" s="188">
        <f t="shared" si="7"/>
        <v>0.77429165779880127</v>
      </c>
      <c r="Q199">
        <v>10012</v>
      </c>
      <c r="R199">
        <v>5087</v>
      </c>
      <c r="S199" s="188">
        <v>4.9400000000000006E-2</v>
      </c>
    </row>
    <row r="200" spans="1:19" x14ac:dyDescent="0.25">
      <c r="A200" t="s">
        <v>604</v>
      </c>
      <c r="B200">
        <v>101221647.21652269</v>
      </c>
      <c r="C200">
        <v>77598216.216522694</v>
      </c>
      <c r="D200">
        <v>1971447</v>
      </c>
      <c r="E200">
        <v>0</v>
      </c>
      <c r="F200">
        <v>11137856</v>
      </c>
      <c r="G200">
        <v>10514128</v>
      </c>
      <c r="H200">
        <v>20811</v>
      </c>
      <c r="K200">
        <v>0</v>
      </c>
      <c r="L200">
        <f t="shared" si="6"/>
        <v>122032647.21652269</v>
      </c>
      <c r="M200">
        <v>162686</v>
      </c>
      <c r="N200">
        <v>160056</v>
      </c>
      <c r="O200">
        <v>2630</v>
      </c>
      <c r="P200" s="188">
        <f t="shared" si="7"/>
        <v>0.75011154749961706</v>
      </c>
      <c r="Q200">
        <v>3605</v>
      </c>
      <c r="R200">
        <v>2996</v>
      </c>
      <c r="S200" s="188">
        <v>3.5900000000000001E-2</v>
      </c>
    </row>
    <row r="201" spans="1:19" x14ac:dyDescent="0.25">
      <c r="A201" t="s">
        <v>335</v>
      </c>
      <c r="B201">
        <v>13659388.272475857</v>
      </c>
      <c r="C201">
        <v>11345222.272475857</v>
      </c>
      <c r="D201">
        <v>821542</v>
      </c>
      <c r="E201">
        <v>0</v>
      </c>
      <c r="F201">
        <v>629392</v>
      </c>
      <c r="G201">
        <v>863232</v>
      </c>
      <c r="H201">
        <v>2356</v>
      </c>
      <c r="K201">
        <v>242611.72752414271</v>
      </c>
      <c r="L201">
        <f t="shared" si="6"/>
        <v>16258000</v>
      </c>
      <c r="M201">
        <v>27996</v>
      </c>
      <c r="N201">
        <v>28678</v>
      </c>
      <c r="O201">
        <v>-682</v>
      </c>
      <c r="P201" s="188">
        <f t="shared" si="7"/>
        <v>0.58072581797399625</v>
      </c>
      <c r="Q201">
        <v>826</v>
      </c>
      <c r="R201">
        <v>484</v>
      </c>
      <c r="S201" s="188">
        <v>3.1800000000000002E-2</v>
      </c>
    </row>
    <row r="202" spans="1:19" x14ac:dyDescent="0.25">
      <c r="A202" t="s">
        <v>114</v>
      </c>
      <c r="B202">
        <v>49253594.746006399</v>
      </c>
      <c r="C202">
        <v>43911866.746006399</v>
      </c>
      <c r="D202">
        <v>1211775</v>
      </c>
      <c r="E202">
        <v>0</v>
      </c>
      <c r="F202">
        <v>3287619</v>
      </c>
      <c r="G202">
        <v>842334</v>
      </c>
      <c r="H202">
        <v>8185</v>
      </c>
      <c r="K202">
        <v>18066405.253993601</v>
      </c>
      <c r="L202">
        <f t="shared" si="6"/>
        <v>75505000</v>
      </c>
      <c r="M202">
        <v>93743</v>
      </c>
      <c r="N202">
        <v>95050</v>
      </c>
      <c r="O202">
        <v>-1307</v>
      </c>
      <c r="P202" s="188">
        <f t="shared" si="7"/>
        <v>0.80544680669489988</v>
      </c>
      <c r="Q202">
        <v>805</v>
      </c>
      <c r="R202">
        <v>227</v>
      </c>
      <c r="S202" s="188">
        <v>4.41E-2</v>
      </c>
    </row>
    <row r="203" spans="1:19" x14ac:dyDescent="0.25">
      <c r="A203" t="s">
        <v>432</v>
      </c>
      <c r="B203">
        <v>82034533.338709801</v>
      </c>
      <c r="C203">
        <v>71118488.338709801</v>
      </c>
      <c r="D203">
        <v>2472550</v>
      </c>
      <c r="E203">
        <v>0</v>
      </c>
      <c r="F203">
        <v>5829073</v>
      </c>
      <c r="G203">
        <v>2614422</v>
      </c>
      <c r="H203">
        <v>13326</v>
      </c>
      <c r="K203">
        <v>2371466.6612901986</v>
      </c>
      <c r="L203">
        <f t="shared" si="6"/>
        <v>97732000</v>
      </c>
      <c r="M203">
        <v>133397</v>
      </c>
      <c r="N203">
        <v>137507</v>
      </c>
      <c r="O203">
        <v>-4110</v>
      </c>
      <c r="P203" s="188">
        <f t="shared" si="7"/>
        <v>0.73264016432153645</v>
      </c>
      <c r="Q203">
        <v>2019</v>
      </c>
      <c r="R203">
        <v>361</v>
      </c>
      <c r="S203" s="188">
        <v>5.0199999999999995E-2</v>
      </c>
    </row>
    <row r="204" spans="1:19" x14ac:dyDescent="0.25">
      <c r="A204" t="s">
        <v>310</v>
      </c>
      <c r="B204">
        <v>58385571.003657289</v>
      </c>
      <c r="C204">
        <v>52528607.003657289</v>
      </c>
      <c r="D204">
        <v>899782</v>
      </c>
      <c r="E204">
        <v>0</v>
      </c>
      <c r="F204">
        <v>2998658</v>
      </c>
      <c r="G204">
        <v>1958524</v>
      </c>
      <c r="H204">
        <v>17706</v>
      </c>
      <c r="K204">
        <v>965428.99634271115</v>
      </c>
      <c r="L204">
        <f t="shared" si="6"/>
        <v>77057000</v>
      </c>
      <c r="M204">
        <v>121976</v>
      </c>
      <c r="N204">
        <v>124892</v>
      </c>
      <c r="O204">
        <v>-2916</v>
      </c>
      <c r="P204" s="188">
        <f t="shared" si="7"/>
        <v>0.63173903062897618</v>
      </c>
      <c r="Q204">
        <v>8489</v>
      </c>
      <c r="R204">
        <v>4759</v>
      </c>
      <c r="S204" s="188">
        <v>3.7400000000000003E-2</v>
      </c>
    </row>
    <row r="205" spans="1:19" x14ac:dyDescent="0.25">
      <c r="A205" t="s">
        <v>435</v>
      </c>
      <c r="B205">
        <v>29296085.113880001</v>
      </c>
      <c r="C205">
        <v>26302642.113880001</v>
      </c>
      <c r="D205">
        <v>805320</v>
      </c>
      <c r="E205">
        <v>0</v>
      </c>
      <c r="F205">
        <v>1622377</v>
      </c>
      <c r="G205">
        <v>565746</v>
      </c>
      <c r="H205">
        <v>6908</v>
      </c>
      <c r="K205">
        <v>802914.88611999899</v>
      </c>
      <c r="L205">
        <f t="shared" si="6"/>
        <v>37007000</v>
      </c>
      <c r="M205">
        <v>56167</v>
      </c>
      <c r="N205">
        <v>56285</v>
      </c>
      <c r="O205">
        <v>-118</v>
      </c>
      <c r="P205" s="188">
        <f t="shared" si="7"/>
        <v>0.65887442804493745</v>
      </c>
      <c r="Q205">
        <v>514</v>
      </c>
      <c r="R205">
        <v>101</v>
      </c>
      <c r="S205" s="188">
        <v>4.2599999999999999E-2</v>
      </c>
    </row>
    <row r="206" spans="1:19" x14ac:dyDescent="0.25">
      <c r="A206" t="s">
        <v>194</v>
      </c>
      <c r="B206">
        <v>43120530.730643429</v>
      </c>
      <c r="C206">
        <v>36759635.730643429</v>
      </c>
      <c r="D206">
        <v>1303591</v>
      </c>
      <c r="E206">
        <v>0</v>
      </c>
      <c r="F206">
        <v>4253817</v>
      </c>
      <c r="G206">
        <v>803487</v>
      </c>
      <c r="H206">
        <v>6370</v>
      </c>
      <c r="K206">
        <v>359469.26935657114</v>
      </c>
      <c r="L206">
        <f t="shared" si="6"/>
        <v>49850000</v>
      </c>
      <c r="M206">
        <v>65387</v>
      </c>
      <c r="N206">
        <v>67912</v>
      </c>
      <c r="O206">
        <v>-2525</v>
      </c>
      <c r="P206" s="188">
        <f t="shared" si="7"/>
        <v>0.7623839601143958</v>
      </c>
      <c r="Q206">
        <v>652</v>
      </c>
      <c r="R206">
        <v>158</v>
      </c>
      <c r="S206" s="188">
        <v>5.2499999999999998E-2</v>
      </c>
    </row>
    <row r="207" spans="1:19" x14ac:dyDescent="0.25">
      <c r="A207" t="s">
        <v>311</v>
      </c>
      <c r="B207">
        <v>28803458.688345656</v>
      </c>
      <c r="C207">
        <v>27285015.688345656</v>
      </c>
      <c r="D207">
        <v>263274</v>
      </c>
      <c r="E207">
        <v>0</v>
      </c>
      <c r="F207">
        <v>734983</v>
      </c>
      <c r="G207">
        <v>520186</v>
      </c>
      <c r="H207">
        <v>7242</v>
      </c>
      <c r="K207">
        <v>453541.3116543442</v>
      </c>
      <c r="L207">
        <f t="shared" si="6"/>
        <v>36499000</v>
      </c>
      <c r="M207">
        <v>60864</v>
      </c>
      <c r="N207">
        <v>62269</v>
      </c>
      <c r="O207">
        <v>-1405</v>
      </c>
      <c r="P207" s="188">
        <f t="shared" si="7"/>
        <v>0.59968125657202942</v>
      </c>
      <c r="Q207">
        <v>2604</v>
      </c>
      <c r="R207">
        <v>1771</v>
      </c>
      <c r="S207" s="188">
        <v>4.24E-2</v>
      </c>
    </row>
    <row r="208" spans="1:19" x14ac:dyDescent="0.25">
      <c r="A208" t="s">
        <v>380</v>
      </c>
      <c r="B208">
        <v>24778752.734552465</v>
      </c>
      <c r="C208">
        <v>21165763.734552465</v>
      </c>
      <c r="D208">
        <v>322833</v>
      </c>
      <c r="E208">
        <v>0</v>
      </c>
      <c r="F208">
        <v>2726395</v>
      </c>
      <c r="G208">
        <v>563761</v>
      </c>
      <c r="H208">
        <v>3724</v>
      </c>
      <c r="K208">
        <v>281247.26544753462</v>
      </c>
      <c r="L208">
        <f t="shared" si="6"/>
        <v>28784000</v>
      </c>
      <c r="M208">
        <v>39933</v>
      </c>
      <c r="N208">
        <v>41218</v>
      </c>
      <c r="O208">
        <v>-1285</v>
      </c>
      <c r="P208" s="188">
        <f t="shared" si="7"/>
        <v>0.72080735231512783</v>
      </c>
      <c r="Q208">
        <v>652</v>
      </c>
      <c r="R208">
        <v>183</v>
      </c>
      <c r="S208" s="188">
        <v>5.0300000000000004E-2</v>
      </c>
    </row>
    <row r="209" spans="1:19" x14ac:dyDescent="0.25">
      <c r="A209" t="s">
        <v>381</v>
      </c>
      <c r="B209">
        <v>47979749.422506087</v>
      </c>
      <c r="C209">
        <v>39807885.828051537</v>
      </c>
      <c r="D209">
        <v>2516238.2883349671</v>
      </c>
      <c r="E209">
        <v>0</v>
      </c>
      <c r="F209" s="129">
        <v>4450200.0301078279</v>
      </c>
      <c r="G209" s="129">
        <v>1205425.2760117631</v>
      </c>
      <c r="H209" s="129">
        <v>7681.4615600056013</v>
      </c>
      <c r="I209" s="129">
        <v>0</v>
      </c>
      <c r="J209" s="129">
        <v>0</v>
      </c>
      <c r="K209" s="129">
        <v>750163.75492004259</v>
      </c>
      <c r="L209" s="129">
        <v>56411374.737431735</v>
      </c>
      <c r="M209" s="129">
        <v>84248.596555104334</v>
      </c>
      <c r="N209" s="129">
        <v>83976.694160481726</v>
      </c>
      <c r="O209" s="129">
        <v>271.90239462260797</v>
      </c>
      <c r="P209" s="188">
        <v>0.66958236747047584</v>
      </c>
      <c r="Q209" s="129">
        <v>3414.2134154880268</v>
      </c>
      <c r="R209">
        <v>1818</v>
      </c>
      <c r="S209" s="188">
        <v>4.8499999999999995E-2</v>
      </c>
    </row>
    <row r="210" spans="1:19" x14ac:dyDescent="0.25">
      <c r="A210" t="s">
        <v>123</v>
      </c>
      <c r="B210">
        <v>95133845.076678216</v>
      </c>
      <c r="C210">
        <v>72455927.076678216</v>
      </c>
      <c r="D210">
        <v>4003680</v>
      </c>
      <c r="E210">
        <v>0</v>
      </c>
      <c r="F210">
        <v>15100661</v>
      </c>
      <c r="G210">
        <v>3573577</v>
      </c>
      <c r="H210">
        <v>23065</v>
      </c>
      <c r="K210">
        <v>8572154.9233217835</v>
      </c>
      <c r="L210">
        <f t="shared" si="6"/>
        <v>126771000</v>
      </c>
      <c r="M210">
        <v>143823</v>
      </c>
      <c r="N210">
        <v>146131</v>
      </c>
      <c r="O210">
        <v>-2308</v>
      </c>
      <c r="P210" s="188">
        <f t="shared" si="7"/>
        <v>0.88143760038380514</v>
      </c>
      <c r="Q210">
        <v>2241</v>
      </c>
      <c r="R210">
        <v>965</v>
      </c>
      <c r="S210" s="188">
        <v>4.3200000000000002E-2</v>
      </c>
    </row>
    <row r="211" spans="1:19" x14ac:dyDescent="0.25">
      <c r="A211" t="s">
        <v>195</v>
      </c>
      <c r="B211">
        <v>33732124.632176742</v>
      </c>
      <c r="C211">
        <v>29695678.632176738</v>
      </c>
      <c r="D211">
        <v>757352</v>
      </c>
      <c r="E211">
        <v>0</v>
      </c>
      <c r="F211">
        <v>2397319</v>
      </c>
      <c r="G211">
        <v>881775</v>
      </c>
      <c r="H211">
        <v>5585</v>
      </c>
      <c r="K211">
        <v>1569875.367823258</v>
      </c>
      <c r="L211">
        <f t="shared" si="6"/>
        <v>40887000</v>
      </c>
      <c r="M211">
        <v>68212</v>
      </c>
      <c r="N211">
        <v>68807</v>
      </c>
      <c r="O211">
        <v>-595</v>
      </c>
      <c r="P211" s="188">
        <f t="shared" si="7"/>
        <v>0.59941066088078343</v>
      </c>
      <c r="Q211">
        <v>1878</v>
      </c>
      <c r="R211">
        <v>1521</v>
      </c>
      <c r="S211" s="188">
        <v>3.5699999999999996E-2</v>
      </c>
    </row>
    <row r="212" spans="1:19" x14ac:dyDescent="0.25">
      <c r="A212" t="s">
        <v>153</v>
      </c>
      <c r="B212">
        <v>56136065.079113111</v>
      </c>
      <c r="C212">
        <v>46977270.079113111</v>
      </c>
      <c r="D212">
        <v>973538</v>
      </c>
      <c r="E212">
        <v>0</v>
      </c>
      <c r="F212">
        <v>7234122</v>
      </c>
      <c r="G212">
        <v>951135</v>
      </c>
      <c r="H212">
        <v>12665</v>
      </c>
      <c r="K212">
        <v>712934.9208868891</v>
      </c>
      <c r="L212">
        <f t="shared" si="6"/>
        <v>69514000</v>
      </c>
      <c r="M212">
        <v>90541</v>
      </c>
      <c r="N212">
        <v>91818</v>
      </c>
      <c r="O212">
        <v>-1277</v>
      </c>
      <c r="P212" s="188">
        <f t="shared" si="7"/>
        <v>0.7677626710551021</v>
      </c>
      <c r="Q212">
        <v>2077</v>
      </c>
      <c r="R212">
        <v>32</v>
      </c>
      <c r="S212" s="188">
        <v>4.6300000000000001E-2</v>
      </c>
    </row>
    <row r="213" spans="1:19" x14ac:dyDescent="0.25">
      <c r="A213" t="s">
        <v>154</v>
      </c>
      <c r="B213">
        <v>27242411.784304373</v>
      </c>
      <c r="C213">
        <v>24070661.784304373</v>
      </c>
      <c r="D213">
        <v>543084</v>
      </c>
      <c r="E213">
        <v>0</v>
      </c>
      <c r="F213">
        <v>2121640</v>
      </c>
      <c r="G213">
        <v>507026</v>
      </c>
      <c r="H213">
        <v>4766</v>
      </c>
      <c r="K213">
        <v>242588.21569562703</v>
      </c>
      <c r="L213">
        <f t="shared" si="6"/>
        <v>32251000</v>
      </c>
      <c r="M213">
        <v>44314</v>
      </c>
      <c r="N213">
        <v>44679</v>
      </c>
      <c r="O213">
        <v>-365</v>
      </c>
      <c r="P213" s="188">
        <f t="shared" si="7"/>
        <v>0.72778354470370532</v>
      </c>
      <c r="Q213">
        <v>318</v>
      </c>
      <c r="R213">
        <v>25</v>
      </c>
      <c r="S213" s="188">
        <v>4.6600000000000003E-2</v>
      </c>
    </row>
    <row r="214" spans="1:19" x14ac:dyDescent="0.25">
      <c r="A214" t="s">
        <v>155</v>
      </c>
      <c r="B214">
        <v>30777139.042931966</v>
      </c>
      <c r="C214">
        <v>26035908.042931966</v>
      </c>
      <c r="D214">
        <v>820897</v>
      </c>
      <c r="E214">
        <v>0</v>
      </c>
      <c r="F214">
        <v>3254060</v>
      </c>
      <c r="G214">
        <v>666274</v>
      </c>
      <c r="H214">
        <v>4837</v>
      </c>
      <c r="K214">
        <v>378860.95706803352</v>
      </c>
      <c r="L214">
        <f t="shared" si="6"/>
        <v>35993000</v>
      </c>
      <c r="M214">
        <v>47360</v>
      </c>
      <c r="N214">
        <v>47096</v>
      </c>
      <c r="O214">
        <v>264</v>
      </c>
      <c r="P214" s="188">
        <f t="shared" si="7"/>
        <v>0.75998733108108107</v>
      </c>
      <c r="Q214">
        <v>688</v>
      </c>
      <c r="R214">
        <v>63</v>
      </c>
      <c r="S214" s="188">
        <v>3.6400000000000002E-2</v>
      </c>
    </row>
    <row r="215" spans="1:19" x14ac:dyDescent="0.25">
      <c r="A215" t="s">
        <v>196</v>
      </c>
      <c r="B215">
        <v>51097750.694889508</v>
      </c>
      <c r="C215">
        <v>39561437.694889508</v>
      </c>
      <c r="D215">
        <v>4022043</v>
      </c>
      <c r="E215">
        <v>0</v>
      </c>
      <c r="F215">
        <v>6631358</v>
      </c>
      <c r="G215">
        <v>882912</v>
      </c>
      <c r="H215">
        <v>7539</v>
      </c>
      <c r="K215">
        <v>365249.30511049181</v>
      </c>
      <c r="L215">
        <f t="shared" si="6"/>
        <v>59002000</v>
      </c>
      <c r="M215">
        <v>75751</v>
      </c>
      <c r="N215">
        <v>78650</v>
      </c>
      <c r="O215">
        <v>-2899</v>
      </c>
      <c r="P215" s="188">
        <f t="shared" si="7"/>
        <v>0.77889400799989439</v>
      </c>
      <c r="Q215">
        <v>845</v>
      </c>
      <c r="R215">
        <v>407</v>
      </c>
      <c r="S215" s="188">
        <v>5.2600000000000001E-2</v>
      </c>
    </row>
    <row r="216" spans="1:19" x14ac:dyDescent="0.25">
      <c r="A216" t="s">
        <v>382</v>
      </c>
      <c r="B216">
        <v>89848796.940608919</v>
      </c>
      <c r="C216">
        <v>78538074.940608919</v>
      </c>
      <c r="D216">
        <v>2550822</v>
      </c>
      <c r="E216">
        <v>0</v>
      </c>
      <c r="F216">
        <v>6831595</v>
      </c>
      <c r="G216">
        <v>1928305</v>
      </c>
      <c r="H216">
        <v>23464</v>
      </c>
      <c r="K216">
        <v>2684203.0593910813</v>
      </c>
      <c r="L216">
        <f t="shared" si="6"/>
        <v>115997000</v>
      </c>
      <c r="M216">
        <v>157960</v>
      </c>
      <c r="N216">
        <v>158859</v>
      </c>
      <c r="O216">
        <v>-899</v>
      </c>
      <c r="P216" s="188">
        <f t="shared" si="7"/>
        <v>0.73434413775639407</v>
      </c>
      <c r="Q216">
        <v>3074</v>
      </c>
      <c r="R216">
        <v>339</v>
      </c>
      <c r="S216" s="188">
        <v>3.0299999999999997E-2</v>
      </c>
    </row>
    <row r="217" spans="1:19" x14ac:dyDescent="0.25">
      <c r="A217" t="s">
        <v>133</v>
      </c>
      <c r="B217">
        <v>46211064.528817825</v>
      </c>
      <c r="C217">
        <v>41048448.528817825</v>
      </c>
      <c r="D217">
        <v>985561</v>
      </c>
      <c r="E217">
        <v>0</v>
      </c>
      <c r="F217">
        <v>3307154</v>
      </c>
      <c r="G217">
        <v>869901</v>
      </c>
      <c r="H217">
        <v>10139</v>
      </c>
      <c r="K217">
        <v>1027935.471182175</v>
      </c>
      <c r="L217">
        <f t="shared" si="6"/>
        <v>57378000</v>
      </c>
      <c r="M217">
        <v>73717</v>
      </c>
      <c r="N217">
        <v>72613</v>
      </c>
      <c r="O217">
        <v>1104</v>
      </c>
      <c r="P217" s="188">
        <f t="shared" si="7"/>
        <v>0.77835506056947512</v>
      </c>
      <c r="Q217">
        <v>2577</v>
      </c>
      <c r="R217">
        <v>2097</v>
      </c>
      <c r="S217" s="188">
        <v>3.5299999999999998E-2</v>
      </c>
    </row>
    <row r="218" spans="1:19" x14ac:dyDescent="0.25">
      <c r="A218" t="s">
        <v>267</v>
      </c>
      <c r="B218">
        <v>12303715.620058164</v>
      </c>
      <c r="C218">
        <v>11439197.620058164</v>
      </c>
      <c r="D218">
        <v>220532</v>
      </c>
      <c r="E218">
        <v>0</v>
      </c>
      <c r="F218">
        <v>240852</v>
      </c>
      <c r="G218">
        <v>403134</v>
      </c>
      <c r="H218">
        <v>3634</v>
      </c>
      <c r="K218">
        <v>157284.379941836</v>
      </c>
      <c r="L218">
        <f t="shared" si="6"/>
        <v>16095000</v>
      </c>
      <c r="M218">
        <v>22314</v>
      </c>
      <c r="N218">
        <v>21931</v>
      </c>
      <c r="O218">
        <v>383</v>
      </c>
      <c r="P218" s="188">
        <f t="shared" si="7"/>
        <v>0.72129604732454966</v>
      </c>
      <c r="Q218">
        <v>1330</v>
      </c>
      <c r="R218">
        <v>588</v>
      </c>
      <c r="S218" s="188">
        <v>3.0899999999999997E-2</v>
      </c>
    </row>
    <row r="219" spans="1:19" x14ac:dyDescent="0.25">
      <c r="A219" t="s">
        <v>268</v>
      </c>
      <c r="B219">
        <v>15338218.27658391</v>
      </c>
      <c r="C219">
        <v>14055167.27658391</v>
      </c>
      <c r="D219">
        <v>420456</v>
      </c>
      <c r="E219">
        <v>0</v>
      </c>
      <c r="F219">
        <v>492691</v>
      </c>
      <c r="G219">
        <v>369904</v>
      </c>
      <c r="H219">
        <v>2634</v>
      </c>
      <c r="K219">
        <v>275781.72341609001</v>
      </c>
      <c r="L219">
        <f t="shared" si="6"/>
        <v>18248000</v>
      </c>
      <c r="M219">
        <v>36363</v>
      </c>
      <c r="N219">
        <v>41114</v>
      </c>
      <c r="O219">
        <v>-4751</v>
      </c>
      <c r="P219" s="188">
        <f t="shared" si="7"/>
        <v>0.50182878200368508</v>
      </c>
      <c r="Q219">
        <v>6255</v>
      </c>
      <c r="R219">
        <v>10</v>
      </c>
      <c r="S219" s="188">
        <v>3.9699999999999999E-2</v>
      </c>
    </row>
    <row r="220" spans="1:19" x14ac:dyDescent="0.25">
      <c r="A220" t="s">
        <v>134</v>
      </c>
      <c r="B220">
        <v>49913089.659059733</v>
      </c>
      <c r="C220">
        <v>43341001.659059733</v>
      </c>
      <c r="D220">
        <v>1926327</v>
      </c>
      <c r="E220">
        <v>0</v>
      </c>
      <c r="F220">
        <v>3721775</v>
      </c>
      <c r="G220">
        <v>923986</v>
      </c>
      <c r="H220">
        <v>11327</v>
      </c>
      <c r="K220">
        <v>0</v>
      </c>
      <c r="L220">
        <f t="shared" si="6"/>
        <v>61240089.659059733</v>
      </c>
      <c r="M220">
        <v>79486</v>
      </c>
      <c r="N220">
        <v>78014</v>
      </c>
      <c r="O220">
        <v>1472</v>
      </c>
      <c r="P220" s="188">
        <f t="shared" si="7"/>
        <v>0.77045127014895365</v>
      </c>
      <c r="Q220">
        <v>2793</v>
      </c>
      <c r="R220">
        <v>1979</v>
      </c>
      <c r="S220" s="188">
        <v>4.2000000000000003E-2</v>
      </c>
    </row>
    <row r="221" spans="1:19" x14ac:dyDescent="0.25">
      <c r="A221" t="s">
        <v>383</v>
      </c>
      <c r="B221">
        <v>190662748.03631067</v>
      </c>
      <c r="C221">
        <v>136207489.03631067</v>
      </c>
      <c r="D221">
        <v>4420486</v>
      </c>
      <c r="E221">
        <v>21123215</v>
      </c>
      <c r="F221">
        <v>21502232</v>
      </c>
      <c r="G221">
        <v>7409326</v>
      </c>
      <c r="H221">
        <v>33915</v>
      </c>
      <c r="K221">
        <v>4945251.9636893272</v>
      </c>
      <c r="L221">
        <f t="shared" si="6"/>
        <v>229523000</v>
      </c>
      <c r="M221">
        <v>300514</v>
      </c>
      <c r="N221">
        <v>300143</v>
      </c>
      <c r="O221">
        <v>371</v>
      </c>
      <c r="P221" s="188">
        <f t="shared" si="7"/>
        <v>0.76376807736078856</v>
      </c>
      <c r="Q221">
        <v>3441</v>
      </c>
      <c r="R221">
        <v>1091</v>
      </c>
      <c r="S221" s="188">
        <v>5.4400000000000004E-2</v>
      </c>
    </row>
    <row r="222" spans="1:19" x14ac:dyDescent="0.25">
      <c r="A222" t="s">
        <v>197</v>
      </c>
      <c r="B222">
        <v>66077441.581427068</v>
      </c>
      <c r="C222">
        <v>56502919.581427068</v>
      </c>
      <c r="D222">
        <v>2800405</v>
      </c>
      <c r="E222">
        <v>0</v>
      </c>
      <c r="F222">
        <v>5658567</v>
      </c>
      <c r="G222">
        <v>1115550</v>
      </c>
      <c r="H222">
        <v>14869</v>
      </c>
      <c r="K222">
        <v>1187558.4185729325</v>
      </c>
      <c r="L222">
        <f t="shared" si="6"/>
        <v>82134000</v>
      </c>
      <c r="M222">
        <v>102390</v>
      </c>
      <c r="N222">
        <v>100987</v>
      </c>
      <c r="O222">
        <v>1403</v>
      </c>
      <c r="P222" s="188">
        <f t="shared" si="7"/>
        <v>0.80216818048637561</v>
      </c>
      <c r="Q222">
        <v>2017</v>
      </c>
      <c r="R222">
        <v>316</v>
      </c>
      <c r="S222" s="188">
        <v>3.3799999999999997E-2</v>
      </c>
    </row>
    <row r="223" spans="1:19" x14ac:dyDescent="0.25">
      <c r="A223" t="s">
        <v>269</v>
      </c>
      <c r="B223">
        <v>16946396.404264756</v>
      </c>
      <c r="C223">
        <v>15736133.404264756</v>
      </c>
      <c r="D223">
        <v>260084</v>
      </c>
      <c r="E223">
        <v>0</v>
      </c>
      <c r="F223">
        <v>218852</v>
      </c>
      <c r="G223">
        <v>731327</v>
      </c>
      <c r="H223">
        <v>4663</v>
      </c>
      <c r="K223">
        <v>181603.59573524445</v>
      </c>
      <c r="L223">
        <f t="shared" si="6"/>
        <v>21791000</v>
      </c>
      <c r="M223">
        <v>35189</v>
      </c>
      <c r="N223">
        <v>36757</v>
      </c>
      <c r="O223">
        <v>-1568</v>
      </c>
      <c r="P223" s="188">
        <f t="shared" si="7"/>
        <v>0.61925601750547044</v>
      </c>
      <c r="Q223">
        <v>561</v>
      </c>
      <c r="R223">
        <v>2</v>
      </c>
      <c r="S223" s="188">
        <v>5.2300000000000006E-2</v>
      </c>
    </row>
    <row r="224" spans="1:19" x14ac:dyDescent="0.25">
      <c r="A224" t="s">
        <v>226</v>
      </c>
      <c r="B224">
        <v>14127746.123731952</v>
      </c>
      <c r="C224">
        <v>12777687.123731952</v>
      </c>
      <c r="D224">
        <v>184019</v>
      </c>
      <c r="E224">
        <v>0</v>
      </c>
      <c r="F224">
        <v>552121</v>
      </c>
      <c r="G224">
        <v>613919</v>
      </c>
      <c r="H224">
        <v>2059</v>
      </c>
      <c r="K224">
        <v>169253.87626804784</v>
      </c>
      <c r="L224">
        <f t="shared" si="6"/>
        <v>16356000</v>
      </c>
      <c r="M224">
        <v>23992</v>
      </c>
      <c r="N224">
        <v>24181</v>
      </c>
      <c r="O224">
        <v>-189</v>
      </c>
      <c r="P224" s="188">
        <f t="shared" si="7"/>
        <v>0.68172724241413807</v>
      </c>
      <c r="Q224">
        <v>186</v>
      </c>
      <c r="R224">
        <v>14</v>
      </c>
      <c r="S224" s="188">
        <v>4.8300000000000003E-2</v>
      </c>
    </row>
    <row r="225" spans="1:19" x14ac:dyDescent="0.25">
      <c r="A225" t="s">
        <v>198</v>
      </c>
      <c r="B225">
        <v>70098027.457861364</v>
      </c>
      <c r="C225">
        <v>60350987.457861356</v>
      </c>
      <c r="D225">
        <v>4115426</v>
      </c>
      <c r="E225">
        <v>0</v>
      </c>
      <c r="F225">
        <v>4159732</v>
      </c>
      <c r="G225">
        <v>1471882</v>
      </c>
      <c r="H225">
        <v>13441</v>
      </c>
      <c r="K225">
        <v>294972.54213863611</v>
      </c>
      <c r="L225">
        <f t="shared" si="6"/>
        <v>83834000</v>
      </c>
      <c r="M225">
        <v>111992</v>
      </c>
      <c r="N225">
        <v>112192</v>
      </c>
      <c r="O225">
        <v>-200</v>
      </c>
      <c r="P225" s="188">
        <f t="shared" si="7"/>
        <v>0.74857132652332314</v>
      </c>
      <c r="Q225">
        <v>3748</v>
      </c>
      <c r="R225">
        <v>2883</v>
      </c>
      <c r="S225" s="188">
        <v>4.7400000000000005E-2</v>
      </c>
    </row>
    <row r="226" spans="1:19" x14ac:dyDescent="0.25">
      <c r="A226" t="s">
        <v>312</v>
      </c>
      <c r="B226">
        <v>48529445.123003513</v>
      </c>
      <c r="C226">
        <v>44777212.123003513</v>
      </c>
      <c r="D226">
        <v>843739</v>
      </c>
      <c r="E226">
        <v>0</v>
      </c>
      <c r="F226">
        <v>2037543</v>
      </c>
      <c r="G226">
        <v>870951</v>
      </c>
      <c r="H226">
        <v>10304</v>
      </c>
      <c r="K226">
        <v>590554.87699648738</v>
      </c>
      <c r="L226">
        <f t="shared" si="6"/>
        <v>59424000</v>
      </c>
      <c r="M226">
        <v>90954</v>
      </c>
      <c r="N226">
        <v>91476</v>
      </c>
      <c r="O226">
        <v>-522</v>
      </c>
      <c r="P226" s="188">
        <f t="shared" si="7"/>
        <v>0.65334124942278515</v>
      </c>
      <c r="Q226">
        <v>4563</v>
      </c>
      <c r="R226">
        <v>2410</v>
      </c>
      <c r="S226" s="188">
        <v>4.1700000000000001E-2</v>
      </c>
    </row>
    <row r="227" spans="1:19" x14ac:dyDescent="0.25">
      <c r="A227" t="s">
        <v>417</v>
      </c>
      <c r="B227">
        <v>63298873.716379434</v>
      </c>
      <c r="C227">
        <v>54388867.716379434</v>
      </c>
      <c r="D227">
        <v>1031282</v>
      </c>
      <c r="E227">
        <v>0</v>
      </c>
      <c r="F227">
        <v>6616468</v>
      </c>
      <c r="G227">
        <v>1262256</v>
      </c>
      <c r="H227">
        <v>9273</v>
      </c>
      <c r="K227">
        <v>1139126.2836205661</v>
      </c>
      <c r="L227">
        <f t="shared" si="6"/>
        <v>73711000</v>
      </c>
      <c r="M227">
        <v>94924</v>
      </c>
      <c r="N227">
        <v>97381</v>
      </c>
      <c r="O227">
        <v>-2457</v>
      </c>
      <c r="P227" s="188">
        <f t="shared" si="7"/>
        <v>0.77652648434537108</v>
      </c>
      <c r="Q227">
        <v>1254</v>
      </c>
      <c r="R227">
        <v>389</v>
      </c>
      <c r="S227" s="188">
        <v>4.5700000000000005E-2</v>
      </c>
    </row>
    <row r="228" spans="1:19" x14ac:dyDescent="0.25">
      <c r="A228" t="s">
        <v>124</v>
      </c>
      <c r="B228">
        <v>29603243.012518335</v>
      </c>
      <c r="C228">
        <v>22986180.012518335</v>
      </c>
      <c r="D228">
        <v>457178</v>
      </c>
      <c r="E228">
        <v>0</v>
      </c>
      <c r="F228">
        <v>5631214</v>
      </c>
      <c r="G228">
        <v>528671</v>
      </c>
      <c r="H228">
        <v>8406</v>
      </c>
      <c r="K228">
        <v>493756.98748166487</v>
      </c>
      <c r="L228">
        <f t="shared" si="6"/>
        <v>38503000</v>
      </c>
      <c r="M228">
        <v>43542</v>
      </c>
      <c r="N228">
        <v>44474</v>
      </c>
      <c r="O228">
        <v>-932</v>
      </c>
      <c r="P228" s="188">
        <f t="shared" si="7"/>
        <v>0.88427265628588492</v>
      </c>
      <c r="Q228">
        <v>299</v>
      </c>
      <c r="R228">
        <v>5</v>
      </c>
      <c r="S228" s="188">
        <v>5.4000000000000006E-2</v>
      </c>
    </row>
    <row r="229" spans="1:19" x14ac:dyDescent="0.25">
      <c r="A229" t="s">
        <v>313</v>
      </c>
      <c r="B229">
        <v>65127474.836246438</v>
      </c>
      <c r="C229">
        <v>62114404.836246438</v>
      </c>
      <c r="D229">
        <v>1541880</v>
      </c>
      <c r="E229">
        <v>0</v>
      </c>
      <c r="F229">
        <v>307080</v>
      </c>
      <c r="G229">
        <v>1164110</v>
      </c>
      <c r="H229">
        <v>11105</v>
      </c>
      <c r="K229">
        <v>881525.16375356168</v>
      </c>
      <c r="L229">
        <f t="shared" si="6"/>
        <v>77114000</v>
      </c>
      <c r="M229">
        <v>158280</v>
      </c>
      <c r="N229">
        <v>159684</v>
      </c>
      <c r="O229">
        <v>-1404</v>
      </c>
      <c r="P229" s="188">
        <f t="shared" si="7"/>
        <v>0.48719989891331816</v>
      </c>
      <c r="Q229">
        <v>1975</v>
      </c>
      <c r="R229">
        <v>59</v>
      </c>
      <c r="S229" s="188">
        <v>4.36E-2</v>
      </c>
    </row>
    <row r="230" spans="1:19" x14ac:dyDescent="0.25">
      <c r="A230" t="s">
        <v>270</v>
      </c>
      <c r="B230">
        <v>157243821.1727863</v>
      </c>
      <c r="C230">
        <v>136038608.1727863</v>
      </c>
      <c r="D230">
        <v>1818918</v>
      </c>
      <c r="E230">
        <v>7542419</v>
      </c>
      <c r="F230">
        <v>7193247</v>
      </c>
      <c r="G230">
        <v>4650629</v>
      </c>
      <c r="H230">
        <v>42054</v>
      </c>
      <c r="K230">
        <v>3284178.827213699</v>
      </c>
      <c r="L230">
        <v>202582000</v>
      </c>
      <c r="M230">
        <v>265987</v>
      </c>
      <c r="N230">
        <v>266445</v>
      </c>
      <c r="O230">
        <v>-458</v>
      </c>
      <c r="P230" s="188">
        <f t="shared" si="7"/>
        <v>0.76162368837574768</v>
      </c>
      <c r="Q230">
        <v>3336</v>
      </c>
      <c r="R230">
        <v>811</v>
      </c>
      <c r="S230" s="188">
        <v>3.5000000000000003E-2</v>
      </c>
    </row>
    <row r="231" spans="1:19" x14ac:dyDescent="0.25">
      <c r="A231" t="s">
        <v>199</v>
      </c>
      <c r="B231">
        <v>34155867.577165097</v>
      </c>
      <c r="C231">
        <v>29934525.577165093</v>
      </c>
      <c r="D231">
        <v>1200412</v>
      </c>
      <c r="E231">
        <v>0</v>
      </c>
      <c r="F231">
        <v>2243087</v>
      </c>
      <c r="G231">
        <v>777843</v>
      </c>
      <c r="H231">
        <v>5031</v>
      </c>
      <c r="K231">
        <v>520132.422834903</v>
      </c>
      <c r="L231">
        <f t="shared" si="6"/>
        <v>39707000</v>
      </c>
      <c r="M231">
        <v>55833</v>
      </c>
      <c r="N231">
        <v>54451</v>
      </c>
      <c r="O231">
        <v>1382</v>
      </c>
      <c r="P231" s="188">
        <f t="shared" si="7"/>
        <v>0.71117439507101532</v>
      </c>
      <c r="Q231">
        <v>1497</v>
      </c>
      <c r="R231">
        <v>1357</v>
      </c>
      <c r="S231" s="188">
        <v>3.8100000000000002E-2</v>
      </c>
    </row>
    <row r="232" spans="1:19" x14ac:dyDescent="0.25">
      <c r="A232" t="s">
        <v>156</v>
      </c>
      <c r="B232">
        <v>56015531.574106008</v>
      </c>
      <c r="C232">
        <v>49409992.574106008</v>
      </c>
      <c r="D232">
        <v>518464</v>
      </c>
      <c r="E232">
        <v>0</v>
      </c>
      <c r="F232">
        <v>4780813</v>
      </c>
      <c r="G232">
        <v>1306262</v>
      </c>
      <c r="H232">
        <v>8960</v>
      </c>
      <c r="K232">
        <v>679468.42589399219</v>
      </c>
      <c r="L232">
        <f t="shared" si="6"/>
        <v>65655000</v>
      </c>
      <c r="M232">
        <v>89027</v>
      </c>
      <c r="N232">
        <v>94469</v>
      </c>
      <c r="O232">
        <v>-5442</v>
      </c>
      <c r="P232" s="188">
        <f t="shared" si="7"/>
        <v>0.73747290147932654</v>
      </c>
      <c r="Q232">
        <v>693</v>
      </c>
      <c r="R232">
        <v>48</v>
      </c>
      <c r="S232" s="188">
        <v>5.8400000000000001E-2</v>
      </c>
    </row>
    <row r="233" spans="1:19" x14ac:dyDescent="0.25">
      <c r="A233" t="s">
        <v>336</v>
      </c>
      <c r="B233">
        <v>34721520.364803009</v>
      </c>
      <c r="C233">
        <v>31120060.364803009</v>
      </c>
      <c r="D233">
        <v>1229898</v>
      </c>
      <c r="E233">
        <v>0</v>
      </c>
      <c r="F233">
        <v>1537440</v>
      </c>
      <c r="G233">
        <v>834122</v>
      </c>
      <c r="H233">
        <v>5222</v>
      </c>
      <c r="K233">
        <v>945479.63519699126</v>
      </c>
      <c r="L233">
        <f t="shared" si="6"/>
        <v>40889000</v>
      </c>
      <c r="M233">
        <v>56157</v>
      </c>
      <c r="N233">
        <v>56556</v>
      </c>
      <c r="O233">
        <v>-399</v>
      </c>
      <c r="P233" s="188">
        <f t="shared" si="7"/>
        <v>0.72811937959648843</v>
      </c>
      <c r="Q233">
        <v>941</v>
      </c>
      <c r="R233">
        <v>866</v>
      </c>
      <c r="S233" s="188">
        <v>5.0799999999999998E-2</v>
      </c>
    </row>
    <row r="234" spans="1:19" x14ac:dyDescent="0.25">
      <c r="A234" t="s">
        <v>200</v>
      </c>
      <c r="B234">
        <v>49260979.734198414</v>
      </c>
      <c r="C234">
        <v>42520988.734198414</v>
      </c>
      <c r="D234">
        <v>3396666</v>
      </c>
      <c r="E234">
        <v>0</v>
      </c>
      <c r="F234">
        <v>2496847</v>
      </c>
      <c r="G234">
        <v>846478</v>
      </c>
      <c r="H234">
        <v>14690</v>
      </c>
      <c r="K234">
        <v>745020.26580158621</v>
      </c>
      <c r="L234">
        <f t="shared" si="6"/>
        <v>64696000</v>
      </c>
      <c r="M234">
        <v>81099</v>
      </c>
      <c r="N234">
        <v>82987</v>
      </c>
      <c r="O234">
        <v>-1888</v>
      </c>
      <c r="P234" s="188">
        <f t="shared" si="7"/>
        <v>0.7977410325651364</v>
      </c>
      <c r="Q234">
        <v>715</v>
      </c>
      <c r="R234">
        <v>11</v>
      </c>
      <c r="S234" s="188">
        <v>4.7500000000000001E-2</v>
      </c>
    </row>
    <row r="235" spans="1:19" x14ac:dyDescent="0.25">
      <c r="A235" t="s">
        <v>227</v>
      </c>
      <c r="B235">
        <v>6387203.9395315554</v>
      </c>
      <c r="C235">
        <v>5810399.9395315554</v>
      </c>
      <c r="D235">
        <v>89616</v>
      </c>
      <c r="E235">
        <v>0</v>
      </c>
      <c r="F235">
        <v>288630</v>
      </c>
      <c r="G235">
        <v>198558</v>
      </c>
      <c r="H235">
        <v>495</v>
      </c>
      <c r="K235">
        <v>96000</v>
      </c>
      <c r="L235">
        <f t="shared" si="6"/>
        <v>6978203.9395315554</v>
      </c>
      <c r="M235">
        <v>13852</v>
      </c>
      <c r="N235">
        <v>13988</v>
      </c>
      <c r="O235">
        <v>-136</v>
      </c>
      <c r="P235" s="188">
        <f t="shared" si="7"/>
        <v>0.50376869329566532</v>
      </c>
      <c r="Q235">
        <v>0</v>
      </c>
      <c r="R235">
        <v>354</v>
      </c>
      <c r="S235" s="188">
        <v>3.8100000000000002E-2</v>
      </c>
    </row>
    <row r="236" spans="1:19" x14ac:dyDescent="0.25">
      <c r="A236" t="s">
        <v>384</v>
      </c>
      <c r="B236">
        <v>20250519.794360012</v>
      </c>
      <c r="C236">
        <v>16524833.794360014</v>
      </c>
      <c r="D236">
        <v>533124</v>
      </c>
      <c r="E236">
        <v>0</v>
      </c>
      <c r="F236">
        <v>2768053</v>
      </c>
      <c r="G236">
        <v>424509</v>
      </c>
      <c r="H236">
        <v>2692</v>
      </c>
      <c r="K236">
        <v>394480.20563998818</v>
      </c>
      <c r="L236">
        <f t="shared" si="6"/>
        <v>23337000</v>
      </c>
      <c r="M236">
        <v>33134</v>
      </c>
      <c r="N236">
        <v>33760</v>
      </c>
      <c r="O236">
        <v>-626</v>
      </c>
      <c r="P236" s="188">
        <f t="shared" si="7"/>
        <v>0.70432184463089276</v>
      </c>
      <c r="Q236">
        <v>492</v>
      </c>
      <c r="R236">
        <v>145</v>
      </c>
      <c r="S236" s="188">
        <v>5.16E-2</v>
      </c>
    </row>
    <row r="237" spans="1:19" x14ac:dyDescent="0.25">
      <c r="A237" t="s">
        <v>201</v>
      </c>
      <c r="B237">
        <v>79072657.822909489</v>
      </c>
      <c r="C237">
        <v>68549091.822909489</v>
      </c>
      <c r="D237">
        <v>2574478</v>
      </c>
      <c r="E237">
        <v>0</v>
      </c>
      <c r="F237">
        <v>6709725</v>
      </c>
      <c r="G237">
        <v>1239363</v>
      </c>
      <c r="H237">
        <v>18738</v>
      </c>
      <c r="K237">
        <v>1153342.1770905107</v>
      </c>
      <c r="L237">
        <f t="shared" si="6"/>
        <v>98964000</v>
      </c>
      <c r="M237">
        <v>121760</v>
      </c>
      <c r="N237">
        <v>120842</v>
      </c>
      <c r="O237">
        <v>918</v>
      </c>
      <c r="P237" s="188">
        <f t="shared" si="7"/>
        <v>0.81277923784494088</v>
      </c>
      <c r="Q237">
        <v>882</v>
      </c>
      <c r="R237">
        <v>149</v>
      </c>
      <c r="S237" s="188">
        <v>4.2900000000000001E-2</v>
      </c>
    </row>
    <row r="238" spans="1:19" x14ac:dyDescent="0.25">
      <c r="A238" t="s">
        <v>228</v>
      </c>
      <c r="B238">
        <v>27596960.759394288</v>
      </c>
      <c r="C238">
        <v>25025829.759394288</v>
      </c>
      <c r="D238">
        <v>415935</v>
      </c>
      <c r="E238">
        <v>0</v>
      </c>
      <c r="F238">
        <v>1543173</v>
      </c>
      <c r="G238">
        <v>612023</v>
      </c>
      <c r="H238">
        <v>5569</v>
      </c>
      <c r="K238">
        <v>621039.24060571194</v>
      </c>
      <c r="L238">
        <f t="shared" si="6"/>
        <v>33787000</v>
      </c>
      <c r="M238">
        <v>46076</v>
      </c>
      <c r="N238">
        <v>45481</v>
      </c>
      <c r="O238">
        <v>595</v>
      </c>
      <c r="P238" s="188">
        <f t="shared" si="7"/>
        <v>0.73328847990276935</v>
      </c>
      <c r="Q238">
        <v>1903</v>
      </c>
      <c r="R238">
        <v>1274</v>
      </c>
      <c r="S238" s="188">
        <v>4.0599999999999997E-2</v>
      </c>
    </row>
    <row r="239" spans="1:19" x14ac:dyDescent="0.25">
      <c r="A239" t="s">
        <v>314</v>
      </c>
      <c r="B239">
        <v>68055893.365573972</v>
      </c>
      <c r="C239">
        <v>65410651.36557398</v>
      </c>
      <c r="D239">
        <v>1125939</v>
      </c>
      <c r="E239">
        <v>0</v>
      </c>
      <c r="F239">
        <v>342315</v>
      </c>
      <c r="G239">
        <v>1176988</v>
      </c>
      <c r="H239">
        <v>18983</v>
      </c>
      <c r="K239">
        <v>2047106.6344260275</v>
      </c>
      <c r="L239">
        <f t="shared" si="6"/>
        <v>89086000</v>
      </c>
      <c r="M239">
        <v>126569</v>
      </c>
      <c r="N239">
        <v>132337</v>
      </c>
      <c r="O239">
        <v>-5768</v>
      </c>
      <c r="P239" s="188">
        <f t="shared" si="7"/>
        <v>0.70385323420426804</v>
      </c>
      <c r="Q239">
        <v>2877</v>
      </c>
      <c r="R239">
        <v>1250</v>
      </c>
      <c r="S239" s="188">
        <v>5.0099999999999999E-2</v>
      </c>
    </row>
    <row r="240" spans="1:19" x14ac:dyDescent="0.25">
      <c r="A240" t="s">
        <v>157</v>
      </c>
      <c r="B240">
        <v>57855017.476015069</v>
      </c>
      <c r="C240">
        <v>51642731.476015069</v>
      </c>
      <c r="D240">
        <v>1672107</v>
      </c>
      <c r="E240">
        <v>0</v>
      </c>
      <c r="F240">
        <v>3645982</v>
      </c>
      <c r="G240">
        <v>894197</v>
      </c>
      <c r="H240">
        <v>12494</v>
      </c>
      <c r="K240">
        <v>988982.52398493141</v>
      </c>
      <c r="L240">
        <f t="shared" si="6"/>
        <v>71338000</v>
      </c>
      <c r="M240">
        <v>91733</v>
      </c>
      <c r="N240">
        <v>92587</v>
      </c>
      <c r="O240">
        <v>-854</v>
      </c>
      <c r="P240" s="188">
        <f t="shared" si="7"/>
        <v>0.77766997699846296</v>
      </c>
      <c r="Q240">
        <v>1522</v>
      </c>
      <c r="R240">
        <v>120</v>
      </c>
      <c r="S240" s="188">
        <v>4.7699999999999992E-2</v>
      </c>
    </row>
    <row r="241" spans="1:19" x14ac:dyDescent="0.25">
      <c r="A241" t="s">
        <v>315</v>
      </c>
      <c r="B241">
        <v>91336187.756125525</v>
      </c>
      <c r="C241">
        <v>85711292.756125525</v>
      </c>
      <c r="D241">
        <v>1211893</v>
      </c>
      <c r="E241">
        <v>0</v>
      </c>
      <c r="F241">
        <v>2613944</v>
      </c>
      <c r="G241">
        <v>1799058</v>
      </c>
      <c r="H241">
        <v>29557</v>
      </c>
      <c r="K241">
        <v>1086812.2438744754</v>
      </c>
      <c r="L241">
        <f t="shared" si="6"/>
        <v>121980000</v>
      </c>
      <c r="M241">
        <v>200771</v>
      </c>
      <c r="N241">
        <v>200095</v>
      </c>
      <c r="O241">
        <v>676</v>
      </c>
      <c r="P241" s="188">
        <f t="shared" si="7"/>
        <v>0.60755786443261228</v>
      </c>
      <c r="Q241">
        <v>6028</v>
      </c>
      <c r="R241">
        <v>1051</v>
      </c>
      <c r="S241" s="188">
        <v>2.5699999999999997E-2</v>
      </c>
    </row>
    <row r="242" spans="1:19" x14ac:dyDescent="0.25">
      <c r="A242" t="s">
        <v>418</v>
      </c>
      <c r="B242">
        <v>32458507.091606352</v>
      </c>
      <c r="C242">
        <v>27511990.091606352</v>
      </c>
      <c r="D242">
        <v>1007441</v>
      </c>
      <c r="E242">
        <v>0</v>
      </c>
      <c r="F242">
        <v>3096422</v>
      </c>
      <c r="G242">
        <v>842654</v>
      </c>
      <c r="H242">
        <v>6045</v>
      </c>
      <c r="K242">
        <v>576492.90839364752</v>
      </c>
      <c r="L242">
        <f t="shared" si="6"/>
        <v>39080000</v>
      </c>
      <c r="M242">
        <v>51333</v>
      </c>
      <c r="N242">
        <v>53949</v>
      </c>
      <c r="O242">
        <v>-2616</v>
      </c>
      <c r="P242" s="188">
        <f t="shared" si="7"/>
        <v>0.76130364482886248</v>
      </c>
      <c r="Q242">
        <v>469</v>
      </c>
      <c r="R242">
        <v>279</v>
      </c>
      <c r="S242" s="188">
        <v>5.2199999999999996E-2</v>
      </c>
    </row>
    <row r="243" spans="1:19" x14ac:dyDescent="0.25">
      <c r="A243" t="s">
        <v>419</v>
      </c>
      <c r="B243">
        <v>117825334.81683309</v>
      </c>
      <c r="C243">
        <v>97788172.816833094</v>
      </c>
      <c r="D243">
        <v>3150573</v>
      </c>
      <c r="E243">
        <v>0</v>
      </c>
      <c r="F243">
        <v>12805867</v>
      </c>
      <c r="G243">
        <v>4080722</v>
      </c>
      <c r="H243">
        <v>33513</v>
      </c>
      <c r="K243">
        <v>2868665.1831669062</v>
      </c>
      <c r="L243">
        <f t="shared" si="6"/>
        <v>154207000</v>
      </c>
      <c r="M243">
        <v>193720</v>
      </c>
      <c r="N243">
        <v>198367</v>
      </c>
      <c r="O243">
        <v>-4647</v>
      </c>
      <c r="P243" s="188">
        <f t="shared" si="7"/>
        <v>0.7960303530869296</v>
      </c>
      <c r="Q243">
        <v>3566</v>
      </c>
      <c r="R243">
        <v>1035</v>
      </c>
      <c r="S243" s="188">
        <v>4.2699999999999995E-2</v>
      </c>
    </row>
    <row r="244" spans="1:19" x14ac:dyDescent="0.25">
      <c r="A244" t="s">
        <v>385</v>
      </c>
      <c r="B244">
        <v>140390309.76650268</v>
      </c>
      <c r="C244">
        <v>119147960.76650266</v>
      </c>
      <c r="D244">
        <v>2218941</v>
      </c>
      <c r="E244">
        <v>0</v>
      </c>
      <c r="F244">
        <v>15851217</v>
      </c>
      <c r="G244">
        <v>3172191</v>
      </c>
      <c r="H244">
        <v>38938</v>
      </c>
      <c r="K244">
        <v>4112690.2334973216</v>
      </c>
      <c r="L244">
        <f t="shared" si="6"/>
        <v>183441000</v>
      </c>
      <c r="M244">
        <v>240804</v>
      </c>
      <c r="N244">
        <v>239835</v>
      </c>
      <c r="O244">
        <v>969</v>
      </c>
      <c r="P244" s="188">
        <f t="shared" si="7"/>
        <v>0.76178551851298149</v>
      </c>
      <c r="Q244">
        <v>2209</v>
      </c>
      <c r="R244">
        <v>270</v>
      </c>
      <c r="S244" s="188">
        <v>3.6600000000000001E-2</v>
      </c>
    </row>
    <row r="245" spans="1:19" x14ac:dyDescent="0.25">
      <c r="A245" t="s">
        <v>316</v>
      </c>
      <c r="B245">
        <v>1839881287.097882</v>
      </c>
      <c r="C245">
        <v>1470493462.097882</v>
      </c>
      <c r="D245">
        <v>36989410</v>
      </c>
      <c r="E245">
        <v>124405767</v>
      </c>
      <c r="F245">
        <v>58837948</v>
      </c>
      <c r="G245">
        <v>149154700</v>
      </c>
      <c r="H245">
        <v>716523</v>
      </c>
      <c r="K245">
        <v>188056712.90211797</v>
      </c>
      <c r="L245">
        <f t="shared" si="6"/>
        <v>2744461000</v>
      </c>
      <c r="M245">
        <v>3663028</v>
      </c>
      <c r="N245">
        <v>3850155</v>
      </c>
      <c r="O245">
        <v>-187127</v>
      </c>
      <c r="P245" s="188">
        <f t="shared" si="7"/>
        <v>0.74923287509677783</v>
      </c>
      <c r="Q245">
        <v>106570</v>
      </c>
      <c r="R245">
        <v>39291</v>
      </c>
      <c r="S245" s="188">
        <v>4.1900000000000007E-2</v>
      </c>
    </row>
    <row r="246" spans="1:19" x14ac:dyDescent="0.25">
      <c r="A246" t="s">
        <v>202</v>
      </c>
      <c r="B246">
        <v>2593726.7999604577</v>
      </c>
      <c r="C246">
        <v>2409224.7999604577</v>
      </c>
      <c r="D246">
        <v>4575</v>
      </c>
      <c r="E246">
        <v>0</v>
      </c>
      <c r="F246">
        <v>58228</v>
      </c>
      <c r="G246">
        <v>121699</v>
      </c>
      <c r="H246">
        <v>546</v>
      </c>
      <c r="K246">
        <v>48273.20003954228</v>
      </c>
      <c r="L246">
        <f t="shared" si="6"/>
        <v>3188000</v>
      </c>
      <c r="M246">
        <v>3981</v>
      </c>
      <c r="N246">
        <v>4170</v>
      </c>
      <c r="O246">
        <v>-189</v>
      </c>
      <c r="P246" s="188">
        <f t="shared" si="7"/>
        <v>0.80080381813614665</v>
      </c>
      <c r="Q246">
        <v>58</v>
      </c>
      <c r="R246">
        <v>10</v>
      </c>
      <c r="S246" s="188">
        <v>5.0300000000000004E-2</v>
      </c>
    </row>
    <row r="247" spans="1:19" x14ac:dyDescent="0.25">
      <c r="A247" t="s">
        <v>386</v>
      </c>
      <c r="B247">
        <v>38071877.67101562</v>
      </c>
      <c r="C247">
        <v>30323467.67101562</v>
      </c>
      <c r="D247">
        <v>314626</v>
      </c>
      <c r="E247">
        <v>0</v>
      </c>
      <c r="F247">
        <v>6846060</v>
      </c>
      <c r="G247">
        <v>587724</v>
      </c>
      <c r="H247">
        <v>7590</v>
      </c>
      <c r="K247">
        <v>578122.32898437977</v>
      </c>
      <c r="L247">
        <f t="shared" si="6"/>
        <v>46240000</v>
      </c>
      <c r="M247">
        <v>62208</v>
      </c>
      <c r="N247">
        <v>64058</v>
      </c>
      <c r="O247">
        <v>-1850</v>
      </c>
      <c r="P247" s="188">
        <f t="shared" si="7"/>
        <v>0.74331275720164613</v>
      </c>
      <c r="Q247">
        <v>636</v>
      </c>
      <c r="R247">
        <v>55</v>
      </c>
      <c r="S247" s="188">
        <v>5.1699999999999996E-2</v>
      </c>
    </row>
    <row r="248" spans="1:19" x14ac:dyDescent="0.25">
      <c r="A248" t="s">
        <v>271</v>
      </c>
      <c r="B248">
        <v>71904371.125993907</v>
      </c>
      <c r="C248">
        <v>62893410.125993915</v>
      </c>
      <c r="D248">
        <v>2315801</v>
      </c>
      <c r="E248">
        <v>0</v>
      </c>
      <c r="F248">
        <v>5123677</v>
      </c>
      <c r="G248">
        <v>1571483</v>
      </c>
      <c r="H248">
        <v>14366</v>
      </c>
      <c r="K248">
        <v>311628.87400609255</v>
      </c>
      <c r="L248">
        <f t="shared" si="6"/>
        <v>86582000</v>
      </c>
      <c r="M248">
        <v>118140</v>
      </c>
      <c r="N248">
        <v>115773</v>
      </c>
      <c r="O248">
        <v>2367</v>
      </c>
      <c r="P248" s="188">
        <f t="shared" si="7"/>
        <v>0.73287624851870659</v>
      </c>
      <c r="Q248">
        <v>1028</v>
      </c>
      <c r="R248">
        <v>357</v>
      </c>
      <c r="S248" s="188">
        <v>3.4099999999999998E-2</v>
      </c>
    </row>
    <row r="249" spans="1:19" x14ac:dyDescent="0.25">
      <c r="A249" t="s">
        <v>203</v>
      </c>
      <c r="B249">
        <v>12323608.784974515</v>
      </c>
      <c r="C249">
        <v>11725652.784974515</v>
      </c>
      <c r="D249">
        <v>58571</v>
      </c>
      <c r="E249">
        <v>0</v>
      </c>
      <c r="F249">
        <v>213314</v>
      </c>
      <c r="G249">
        <v>326071</v>
      </c>
      <c r="H249">
        <v>926</v>
      </c>
      <c r="K249">
        <v>144391.21502548456</v>
      </c>
      <c r="L249">
        <f t="shared" si="6"/>
        <v>13394000</v>
      </c>
      <c r="M249">
        <v>24368</v>
      </c>
      <c r="N249">
        <v>25011</v>
      </c>
      <c r="O249">
        <v>-643</v>
      </c>
      <c r="P249" s="188">
        <f t="shared" si="7"/>
        <v>0.54965528562048593</v>
      </c>
      <c r="Q249">
        <v>138</v>
      </c>
      <c r="R249">
        <v>28</v>
      </c>
      <c r="S249" s="188">
        <v>7.7300000000000008E-2</v>
      </c>
    </row>
    <row r="250" spans="1:19" x14ac:dyDescent="0.25">
      <c r="A250" t="s">
        <v>317</v>
      </c>
      <c r="B250">
        <v>155248521.8897821</v>
      </c>
      <c r="C250">
        <v>138624096.8897821</v>
      </c>
      <c r="D250">
        <v>1996334</v>
      </c>
      <c r="E250">
        <v>0</v>
      </c>
      <c r="F250">
        <v>11126548</v>
      </c>
      <c r="G250">
        <v>3501543</v>
      </c>
      <c r="H250">
        <v>53936</v>
      </c>
      <c r="K250">
        <v>7561478.1102178991</v>
      </c>
      <c r="L250">
        <f t="shared" si="6"/>
        <v>216746000</v>
      </c>
      <c r="M250">
        <v>297163</v>
      </c>
      <c r="N250">
        <v>299538</v>
      </c>
      <c r="O250">
        <v>-2375</v>
      </c>
      <c r="P250" s="188">
        <f t="shared" si="7"/>
        <v>0.72938421001268661</v>
      </c>
      <c r="Q250">
        <v>15450</v>
      </c>
      <c r="R250">
        <v>10858</v>
      </c>
      <c r="S250" s="188">
        <v>2.9900000000000003E-2</v>
      </c>
    </row>
    <row r="251" spans="1:19" x14ac:dyDescent="0.25">
      <c r="A251" t="s">
        <v>135</v>
      </c>
      <c r="B251">
        <v>3498563.2157145445</v>
      </c>
      <c r="C251">
        <v>3035866.2157145445</v>
      </c>
      <c r="D251">
        <v>4575</v>
      </c>
      <c r="E251">
        <v>0</v>
      </c>
      <c r="F251">
        <v>8997</v>
      </c>
      <c r="G251">
        <v>449125</v>
      </c>
      <c r="H251">
        <v>476</v>
      </c>
      <c r="K251">
        <v>147436.78428545548</v>
      </c>
      <c r="L251">
        <f t="shared" si="6"/>
        <v>4122000</v>
      </c>
      <c r="M251">
        <v>7438</v>
      </c>
      <c r="N251">
        <v>7715</v>
      </c>
      <c r="O251">
        <v>-277</v>
      </c>
      <c r="P251" s="188">
        <f t="shared" ref="P251:P312" si="8">L251/(M251*1000)</f>
        <v>0.55418123151384779</v>
      </c>
      <c r="Q251">
        <v>399</v>
      </c>
      <c r="R251">
        <v>99</v>
      </c>
      <c r="S251" s="188">
        <v>1.46E-2</v>
      </c>
    </row>
    <row r="252" spans="1:19" x14ac:dyDescent="0.25">
      <c r="A252" t="s">
        <v>337</v>
      </c>
      <c r="B252">
        <v>57904054.026069373</v>
      </c>
      <c r="C252">
        <v>48378005.026069373</v>
      </c>
      <c r="D252">
        <v>1426335</v>
      </c>
      <c r="E252">
        <v>0</v>
      </c>
      <c r="F252">
        <v>5182132</v>
      </c>
      <c r="G252">
        <v>2917582</v>
      </c>
      <c r="H252">
        <v>12066</v>
      </c>
      <c r="K252">
        <v>829945.97393062711</v>
      </c>
      <c r="L252">
        <f t="shared" ref="L252:L313" si="9">SUM(B252,H252*1000,K252)</f>
        <v>70800000</v>
      </c>
      <c r="M252">
        <v>115051</v>
      </c>
      <c r="N252">
        <v>115828</v>
      </c>
      <c r="O252">
        <v>-777</v>
      </c>
      <c r="P252" s="188">
        <f t="shared" si="8"/>
        <v>0.61537926658612263</v>
      </c>
      <c r="Q252">
        <v>3378</v>
      </c>
      <c r="R252">
        <v>2545</v>
      </c>
      <c r="S252" s="188">
        <v>3.0600000000000002E-2</v>
      </c>
    </row>
    <row r="253" spans="1:19" x14ac:dyDescent="0.25">
      <c r="A253" t="s">
        <v>443</v>
      </c>
      <c r="B253">
        <v>1447995723.264272</v>
      </c>
      <c r="C253">
        <v>1180842968.264272</v>
      </c>
      <c r="D253">
        <v>18003016</v>
      </c>
      <c r="E253">
        <v>91989811</v>
      </c>
      <c r="F253">
        <v>49265471</v>
      </c>
      <c r="G253">
        <v>107894457</v>
      </c>
      <c r="H253">
        <v>504303</v>
      </c>
      <c r="K253">
        <v>119742276.73572803</v>
      </c>
      <c r="L253">
        <f t="shared" si="9"/>
        <v>2072041000</v>
      </c>
      <c r="M253">
        <v>2518819</v>
      </c>
      <c r="N253">
        <v>2563997</v>
      </c>
      <c r="O253">
        <v>-45178</v>
      </c>
      <c r="P253" s="188">
        <f t="shared" si="8"/>
        <v>0.82262401546121422</v>
      </c>
      <c r="Q253">
        <v>63057</v>
      </c>
      <c r="R253">
        <v>36058</v>
      </c>
      <c r="S253" s="188">
        <v>3.6000000000000004E-2</v>
      </c>
    </row>
    <row r="254" spans="1:19" x14ac:dyDescent="0.25">
      <c r="A254" t="s">
        <v>480</v>
      </c>
      <c r="B254">
        <v>318023329.6017369</v>
      </c>
      <c r="C254">
        <v>228563313.6017369</v>
      </c>
      <c r="D254">
        <v>5217225</v>
      </c>
      <c r="E254">
        <v>33315555</v>
      </c>
      <c r="F254">
        <v>26017926</v>
      </c>
      <c r="G254">
        <v>24909310</v>
      </c>
      <c r="H254">
        <v>77829</v>
      </c>
      <c r="K254">
        <v>11377670.398263097</v>
      </c>
      <c r="L254">
        <f t="shared" si="9"/>
        <v>407230000</v>
      </c>
      <c r="M254">
        <v>758889</v>
      </c>
      <c r="N254">
        <v>770995</v>
      </c>
      <c r="O254">
        <v>-12106</v>
      </c>
      <c r="P254" s="188">
        <f t="shared" si="8"/>
        <v>0.53661339141824427</v>
      </c>
      <c r="Q254">
        <v>16531</v>
      </c>
      <c r="R254">
        <v>3929</v>
      </c>
      <c r="S254" s="188">
        <v>3.9E-2</v>
      </c>
    </row>
    <row r="255" spans="1:19" x14ac:dyDescent="0.25">
      <c r="A255" t="s">
        <v>420</v>
      </c>
      <c r="B255">
        <v>18483903.181262534</v>
      </c>
      <c r="C255">
        <v>14689793.181262534</v>
      </c>
      <c r="D255">
        <v>859998</v>
      </c>
      <c r="E255">
        <v>0</v>
      </c>
      <c r="F255">
        <v>2572658</v>
      </c>
      <c r="G255">
        <v>361454</v>
      </c>
      <c r="H255">
        <v>3447</v>
      </c>
      <c r="K255">
        <v>299096.81873746589</v>
      </c>
      <c r="L255">
        <f t="shared" si="9"/>
        <v>22230000</v>
      </c>
      <c r="M255">
        <v>26114</v>
      </c>
      <c r="N255">
        <v>26385</v>
      </c>
      <c r="O255">
        <v>-271</v>
      </c>
      <c r="P255" s="188">
        <f t="shared" si="8"/>
        <v>0.85126751933828593</v>
      </c>
      <c r="Q255">
        <v>236</v>
      </c>
      <c r="R255">
        <v>35</v>
      </c>
      <c r="S255" s="188">
        <v>5.79E-2</v>
      </c>
    </row>
    <row r="256" spans="1:19" x14ac:dyDescent="0.25">
      <c r="A256" t="s">
        <v>387</v>
      </c>
      <c r="B256">
        <v>39893500.483179674</v>
      </c>
      <c r="C256">
        <v>33856766.483179674</v>
      </c>
      <c r="D256">
        <v>641200</v>
      </c>
      <c r="E256">
        <v>0</v>
      </c>
      <c r="F256">
        <v>4726487</v>
      </c>
      <c r="G256">
        <v>669047</v>
      </c>
      <c r="H256">
        <v>6852</v>
      </c>
      <c r="K256">
        <v>755499.51682032645</v>
      </c>
      <c r="L256">
        <f t="shared" si="9"/>
        <v>47501000</v>
      </c>
      <c r="M256">
        <v>69246</v>
      </c>
      <c r="N256">
        <v>69594</v>
      </c>
      <c r="O256">
        <v>-348</v>
      </c>
      <c r="P256" s="188">
        <f t="shared" si="8"/>
        <v>0.68597464113450601</v>
      </c>
      <c r="Q256">
        <v>1421</v>
      </c>
      <c r="R256">
        <v>31</v>
      </c>
      <c r="S256" s="188">
        <v>4.8099999999999997E-2</v>
      </c>
    </row>
    <row r="257" spans="1:19" x14ac:dyDescent="0.25">
      <c r="A257" t="s">
        <v>421</v>
      </c>
      <c r="B257">
        <v>177289593.8278206</v>
      </c>
      <c r="C257">
        <v>153865378.8278206</v>
      </c>
      <c r="D257">
        <v>1842986</v>
      </c>
      <c r="E257">
        <v>0</v>
      </c>
      <c r="F257">
        <v>15707523</v>
      </c>
      <c r="G257">
        <v>5873706</v>
      </c>
      <c r="H257">
        <v>51135</v>
      </c>
      <c r="K257">
        <v>7326406.1721794009</v>
      </c>
      <c r="L257">
        <f t="shared" si="9"/>
        <v>235751000</v>
      </c>
      <c r="M257">
        <v>330096</v>
      </c>
      <c r="N257">
        <v>326873</v>
      </c>
      <c r="O257">
        <v>3223</v>
      </c>
      <c r="P257" s="188">
        <f t="shared" si="8"/>
        <v>0.71418920556444188</v>
      </c>
      <c r="Q257">
        <v>8577</v>
      </c>
      <c r="R257">
        <v>1072</v>
      </c>
      <c r="S257" s="188">
        <v>2.3799999999999998E-2</v>
      </c>
    </row>
    <row r="258" spans="1:19" x14ac:dyDescent="0.25">
      <c r="A258" t="s">
        <v>318</v>
      </c>
      <c r="B258">
        <v>42886165.915983319</v>
      </c>
      <c r="C258">
        <v>38720048.915983319</v>
      </c>
      <c r="D258">
        <v>862903</v>
      </c>
      <c r="E258">
        <v>0</v>
      </c>
      <c r="F258">
        <v>2578448</v>
      </c>
      <c r="G258">
        <v>724766</v>
      </c>
      <c r="H258">
        <v>8022</v>
      </c>
      <c r="K258">
        <v>1037834.0840166807</v>
      </c>
      <c r="L258">
        <f t="shared" si="9"/>
        <v>51946000</v>
      </c>
      <c r="M258">
        <v>72748</v>
      </c>
      <c r="N258">
        <v>71679</v>
      </c>
      <c r="O258">
        <v>1069</v>
      </c>
      <c r="P258" s="188">
        <f t="shared" si="8"/>
        <v>0.71405399461153574</v>
      </c>
      <c r="Q258">
        <v>2737</v>
      </c>
      <c r="R258">
        <v>916</v>
      </c>
      <c r="S258" s="188">
        <v>3.9900000000000005E-2</v>
      </c>
    </row>
    <row r="259" spans="1:19" x14ac:dyDescent="0.25">
      <c r="A259" t="s">
        <v>338</v>
      </c>
      <c r="B259">
        <v>40691580.709410995</v>
      </c>
      <c r="C259">
        <v>35263795.709410995</v>
      </c>
      <c r="D259">
        <v>724643</v>
      </c>
      <c r="E259">
        <v>0</v>
      </c>
      <c r="F259">
        <v>2278881</v>
      </c>
      <c r="G259">
        <v>2424261</v>
      </c>
      <c r="H259">
        <v>7958</v>
      </c>
      <c r="K259">
        <v>958419.29058900476</v>
      </c>
      <c r="L259">
        <f t="shared" si="9"/>
        <v>49608000</v>
      </c>
      <c r="M259">
        <v>74763</v>
      </c>
      <c r="N259">
        <v>73451</v>
      </c>
      <c r="O259">
        <v>1312</v>
      </c>
      <c r="P259" s="188">
        <f t="shared" si="8"/>
        <v>0.66353677621283258</v>
      </c>
      <c r="Q259">
        <v>1198</v>
      </c>
      <c r="R259">
        <v>632</v>
      </c>
      <c r="S259" s="188">
        <v>1.43E-2</v>
      </c>
    </row>
    <row r="260" spans="1:19" x14ac:dyDescent="0.25">
      <c r="A260" t="s">
        <v>136</v>
      </c>
      <c r="B260">
        <v>118031546.87966648</v>
      </c>
      <c r="C260">
        <v>96751337.879666477</v>
      </c>
      <c r="D260">
        <v>6951236</v>
      </c>
      <c r="E260">
        <v>0</v>
      </c>
      <c r="F260">
        <v>11979055</v>
      </c>
      <c r="G260">
        <v>2349918</v>
      </c>
      <c r="H260">
        <v>32307</v>
      </c>
      <c r="K260">
        <v>2577453.1203335226</v>
      </c>
      <c r="L260">
        <f t="shared" si="9"/>
        <v>152916000</v>
      </c>
      <c r="M260">
        <v>189852</v>
      </c>
      <c r="N260">
        <v>192642</v>
      </c>
      <c r="O260">
        <v>-2790</v>
      </c>
      <c r="P260" s="188">
        <f t="shared" si="8"/>
        <v>0.80544845458567726</v>
      </c>
      <c r="Q260">
        <v>2020</v>
      </c>
      <c r="R260">
        <v>216</v>
      </c>
      <c r="S260" s="188">
        <v>4.6699999999999998E-2</v>
      </c>
    </row>
    <row r="261" spans="1:19" x14ac:dyDescent="0.25">
      <c r="A261" t="s">
        <v>229</v>
      </c>
      <c r="B261">
        <v>64564441.734308928</v>
      </c>
      <c r="C261">
        <v>58681215.734308928</v>
      </c>
      <c r="D261">
        <v>1659906</v>
      </c>
      <c r="E261">
        <v>0</v>
      </c>
      <c r="F261">
        <v>3192890</v>
      </c>
      <c r="G261">
        <v>1030430</v>
      </c>
      <c r="H261">
        <v>18414</v>
      </c>
      <c r="K261">
        <v>1840558.2656910717</v>
      </c>
      <c r="L261">
        <f t="shared" si="9"/>
        <v>84819000</v>
      </c>
      <c r="M261">
        <v>123265</v>
      </c>
      <c r="N261">
        <v>126894</v>
      </c>
      <c r="O261">
        <v>-3629</v>
      </c>
      <c r="P261" s="188">
        <f t="shared" si="8"/>
        <v>0.6881028678051353</v>
      </c>
      <c r="Q261">
        <v>1806</v>
      </c>
      <c r="R261">
        <v>130</v>
      </c>
      <c r="S261" s="188">
        <v>4.0300000000000002E-2</v>
      </c>
    </row>
    <row r="262" spans="1:19" x14ac:dyDescent="0.25">
      <c r="A262" t="s">
        <v>388</v>
      </c>
      <c r="B262">
        <v>26444716.233314961</v>
      </c>
      <c r="C262">
        <v>23674716.233314961</v>
      </c>
      <c r="D262">
        <v>334725</v>
      </c>
      <c r="E262">
        <v>0</v>
      </c>
      <c r="F262">
        <v>1947432</v>
      </c>
      <c r="G262">
        <v>487843</v>
      </c>
      <c r="H262">
        <v>7899</v>
      </c>
      <c r="K262">
        <v>744283.76668503881</v>
      </c>
      <c r="L262">
        <f t="shared" si="9"/>
        <v>35088000</v>
      </c>
      <c r="M262">
        <v>46890</v>
      </c>
      <c r="N262">
        <v>46718</v>
      </c>
      <c r="O262">
        <v>172</v>
      </c>
      <c r="P262" s="188">
        <f t="shared" si="8"/>
        <v>0.74830454254638512</v>
      </c>
      <c r="Q262">
        <v>674</v>
      </c>
      <c r="R262">
        <v>52</v>
      </c>
      <c r="S262" s="188">
        <v>5.2199999999999996E-2</v>
      </c>
    </row>
    <row r="263" spans="1:19" x14ac:dyDescent="0.25">
      <c r="A263" t="s">
        <v>389</v>
      </c>
      <c r="B263">
        <v>20998240.061292119</v>
      </c>
      <c r="C263">
        <v>19248960.061292119</v>
      </c>
      <c r="D263">
        <v>293741</v>
      </c>
      <c r="E263">
        <v>0</v>
      </c>
      <c r="F263">
        <v>973261</v>
      </c>
      <c r="G263">
        <v>482278</v>
      </c>
      <c r="H263">
        <v>4657</v>
      </c>
      <c r="K263">
        <v>382759.93870788068</v>
      </c>
      <c r="L263">
        <f t="shared" si="9"/>
        <v>26038000</v>
      </c>
      <c r="M263">
        <v>38990</v>
      </c>
      <c r="N263">
        <v>40232</v>
      </c>
      <c r="O263">
        <v>-1242</v>
      </c>
      <c r="P263" s="188">
        <f t="shared" si="8"/>
        <v>0.66781225955373169</v>
      </c>
      <c r="Q263">
        <v>549</v>
      </c>
      <c r="R263">
        <v>151</v>
      </c>
      <c r="S263" s="188">
        <v>4.99E-2</v>
      </c>
    </row>
    <row r="264" spans="1:19" x14ac:dyDescent="0.25">
      <c r="A264" t="s">
        <v>125</v>
      </c>
      <c r="B264">
        <v>81422934.112085104</v>
      </c>
      <c r="C264">
        <v>58611145.112085104</v>
      </c>
      <c r="D264">
        <v>2867725</v>
      </c>
      <c r="E264">
        <v>0</v>
      </c>
      <c r="F264">
        <v>18730385</v>
      </c>
      <c r="G264">
        <v>1213679</v>
      </c>
      <c r="H264">
        <v>15801</v>
      </c>
      <c r="K264">
        <v>1191065.887914896</v>
      </c>
      <c r="L264">
        <f t="shared" si="9"/>
        <v>98415000</v>
      </c>
      <c r="M264">
        <v>114156</v>
      </c>
      <c r="N264">
        <v>121905</v>
      </c>
      <c r="O264">
        <v>-7749</v>
      </c>
      <c r="P264" s="188">
        <f t="shared" si="8"/>
        <v>0.86210974456007572</v>
      </c>
      <c r="Q264">
        <v>503</v>
      </c>
      <c r="R264">
        <v>51</v>
      </c>
      <c r="S264" s="188">
        <v>6.6299999999999998E-2</v>
      </c>
    </row>
    <row r="265" spans="1:19" x14ac:dyDescent="0.25">
      <c r="A265" t="s">
        <v>158</v>
      </c>
      <c r="B265">
        <v>22446313.691989321</v>
      </c>
      <c r="C265">
        <v>20270941.691989321</v>
      </c>
      <c r="D265">
        <v>407605</v>
      </c>
      <c r="E265">
        <v>0</v>
      </c>
      <c r="F265">
        <v>1245023</v>
      </c>
      <c r="G265">
        <v>522744</v>
      </c>
      <c r="H265">
        <v>2892</v>
      </c>
      <c r="K265">
        <v>864686.30801067874</v>
      </c>
      <c r="L265">
        <f t="shared" si="9"/>
        <v>26203000</v>
      </c>
      <c r="M265">
        <v>35730</v>
      </c>
      <c r="N265">
        <v>38893</v>
      </c>
      <c r="O265">
        <v>-3163</v>
      </c>
      <c r="P265" s="188">
        <f t="shared" si="8"/>
        <v>0.73336132101875173</v>
      </c>
      <c r="Q265">
        <v>228</v>
      </c>
      <c r="R265">
        <v>29</v>
      </c>
      <c r="S265" s="188">
        <v>6.6299999999999998E-2</v>
      </c>
    </row>
    <row r="266" spans="1:19" x14ac:dyDescent="0.25">
      <c r="A266" t="s">
        <v>272</v>
      </c>
      <c r="B266">
        <v>34393534.174178936</v>
      </c>
      <c r="C266">
        <v>29751163.174178936</v>
      </c>
      <c r="D266">
        <v>1729948</v>
      </c>
      <c r="E266">
        <v>0</v>
      </c>
      <c r="F266">
        <v>2313452</v>
      </c>
      <c r="G266">
        <v>598971</v>
      </c>
      <c r="H266">
        <v>5624</v>
      </c>
      <c r="K266">
        <v>659465.82582106441</v>
      </c>
      <c r="L266">
        <f t="shared" si="9"/>
        <v>40677000</v>
      </c>
      <c r="M266">
        <v>51593</v>
      </c>
      <c r="N266">
        <v>52313</v>
      </c>
      <c r="O266">
        <v>-720</v>
      </c>
      <c r="P266" s="188">
        <f t="shared" si="8"/>
        <v>0.78842090981334678</v>
      </c>
      <c r="Q266">
        <v>618</v>
      </c>
      <c r="R266">
        <v>26</v>
      </c>
      <c r="S266" s="188">
        <v>5.0199999999999995E-2</v>
      </c>
    </row>
    <row r="267" spans="1:19" x14ac:dyDescent="0.25">
      <c r="A267" t="s">
        <v>390</v>
      </c>
      <c r="B267">
        <v>37655886.85263972</v>
      </c>
      <c r="C267">
        <v>33096188.852639724</v>
      </c>
      <c r="D267">
        <v>1151588</v>
      </c>
      <c r="E267">
        <v>0</v>
      </c>
      <c r="F267">
        <v>2826138</v>
      </c>
      <c r="G267">
        <v>581972</v>
      </c>
      <c r="H267">
        <v>7606</v>
      </c>
      <c r="K267">
        <v>529113.14736028016</v>
      </c>
      <c r="L267">
        <f t="shared" si="9"/>
        <v>45791000</v>
      </c>
      <c r="M267">
        <v>61279</v>
      </c>
      <c r="N267">
        <v>63654</v>
      </c>
      <c r="O267">
        <v>-2375</v>
      </c>
      <c r="P267" s="188">
        <f t="shared" si="8"/>
        <v>0.74725436120041122</v>
      </c>
      <c r="Q267">
        <v>557</v>
      </c>
      <c r="R267">
        <v>93</v>
      </c>
      <c r="S267" s="188">
        <v>5.7599999999999998E-2</v>
      </c>
    </row>
    <row r="268" spans="1:19" x14ac:dyDescent="0.25">
      <c r="A268" t="s">
        <v>159</v>
      </c>
      <c r="B268">
        <v>77822102.863520056</v>
      </c>
      <c r="C268">
        <v>66854244.863520049</v>
      </c>
      <c r="D268">
        <v>2016873</v>
      </c>
      <c r="E268">
        <v>0</v>
      </c>
      <c r="F268">
        <v>7595033</v>
      </c>
      <c r="G268">
        <v>1355952</v>
      </c>
      <c r="H268">
        <v>22191</v>
      </c>
      <c r="K268">
        <v>1032897.136479944</v>
      </c>
      <c r="L268">
        <f t="shared" si="9"/>
        <v>101046000</v>
      </c>
      <c r="M268">
        <v>127134</v>
      </c>
      <c r="N268">
        <v>129029</v>
      </c>
      <c r="O268">
        <v>-1895</v>
      </c>
      <c r="P268" s="188">
        <f t="shared" si="8"/>
        <v>0.7947991882580584</v>
      </c>
      <c r="Q268">
        <v>1189</v>
      </c>
      <c r="R268">
        <v>59</v>
      </c>
      <c r="S268" s="188">
        <v>4.8099999999999997E-2</v>
      </c>
    </row>
    <row r="269" spans="1:19" x14ac:dyDescent="0.25">
      <c r="A269" t="s">
        <v>422</v>
      </c>
      <c r="B269">
        <v>38383989.839806706</v>
      </c>
      <c r="C269">
        <v>33882818.839806706</v>
      </c>
      <c r="D269">
        <v>638712</v>
      </c>
      <c r="E269">
        <v>0</v>
      </c>
      <c r="F269">
        <v>3159591</v>
      </c>
      <c r="G269">
        <v>702868</v>
      </c>
      <c r="H269">
        <v>7319</v>
      </c>
      <c r="K269">
        <v>1676010.1601932943</v>
      </c>
      <c r="L269">
        <f t="shared" si="9"/>
        <v>47379000</v>
      </c>
      <c r="M269">
        <v>59828</v>
      </c>
      <c r="N269">
        <v>65088</v>
      </c>
      <c r="O269">
        <v>-5260</v>
      </c>
      <c r="P269" s="188">
        <f t="shared" si="8"/>
        <v>0.79192017115731761</v>
      </c>
      <c r="Q269">
        <v>643</v>
      </c>
      <c r="R269">
        <v>87</v>
      </c>
      <c r="S269" s="188">
        <v>5.8799999999999998E-2</v>
      </c>
    </row>
    <row r="270" spans="1:19" x14ac:dyDescent="0.25">
      <c r="A270" t="s">
        <v>230</v>
      </c>
      <c r="B270">
        <v>83859004.28862381</v>
      </c>
      <c r="C270">
        <v>77354026.28862381</v>
      </c>
      <c r="D270">
        <v>1282758</v>
      </c>
      <c r="E270">
        <v>0</v>
      </c>
      <c r="F270">
        <v>3356106</v>
      </c>
      <c r="G270">
        <v>1866114</v>
      </c>
      <c r="H270">
        <v>19135</v>
      </c>
      <c r="K270">
        <v>1060995.7113761902</v>
      </c>
      <c r="L270">
        <f t="shared" si="9"/>
        <v>104055000</v>
      </c>
      <c r="M270">
        <v>138969</v>
      </c>
      <c r="N270">
        <v>139264</v>
      </c>
      <c r="O270">
        <v>-295</v>
      </c>
      <c r="P270" s="188">
        <f t="shared" si="8"/>
        <v>0.74876411285970257</v>
      </c>
      <c r="Q270">
        <v>2255</v>
      </c>
      <c r="R270">
        <v>99</v>
      </c>
      <c r="S270" s="188">
        <v>3.73E-2</v>
      </c>
    </row>
    <row r="271" spans="1:19" x14ac:dyDescent="0.25">
      <c r="A271" t="s">
        <v>440</v>
      </c>
      <c r="B271">
        <v>167492173.49948055</v>
      </c>
      <c r="C271">
        <v>144214650.49948055</v>
      </c>
      <c r="D271">
        <v>3271709</v>
      </c>
      <c r="E271">
        <v>0</v>
      </c>
      <c r="F271">
        <v>16387107</v>
      </c>
      <c r="G271">
        <v>3618707</v>
      </c>
      <c r="H271">
        <v>41627</v>
      </c>
      <c r="K271">
        <v>3780826.5005194545</v>
      </c>
      <c r="L271">
        <f t="shared" si="9"/>
        <v>212900000</v>
      </c>
      <c r="M271">
        <v>270013</v>
      </c>
      <c r="N271">
        <v>271821</v>
      </c>
      <c r="O271">
        <v>-1808</v>
      </c>
      <c r="P271" s="188">
        <f t="shared" si="8"/>
        <v>0.78848055463996181</v>
      </c>
      <c r="Q271">
        <v>9551</v>
      </c>
      <c r="R271">
        <v>7008</v>
      </c>
      <c r="S271" s="188">
        <v>3.7699999999999997E-2</v>
      </c>
    </row>
    <row r="272" spans="1:19" x14ac:dyDescent="0.25">
      <c r="A272" t="s">
        <v>339</v>
      </c>
      <c r="B272">
        <v>98726916.545300096</v>
      </c>
      <c r="C272">
        <v>82913587.545300096</v>
      </c>
      <c r="D272">
        <v>2074352</v>
      </c>
      <c r="E272">
        <v>0</v>
      </c>
      <c r="F272">
        <v>10414260</v>
      </c>
      <c r="G272">
        <v>3324717</v>
      </c>
      <c r="H272">
        <v>21805</v>
      </c>
      <c r="K272">
        <v>2686083.4546999037</v>
      </c>
      <c r="L272">
        <f t="shared" si="9"/>
        <v>123218000</v>
      </c>
      <c r="M272">
        <v>166094</v>
      </c>
      <c r="N272">
        <v>164889</v>
      </c>
      <c r="O272">
        <v>1205</v>
      </c>
      <c r="P272" s="188">
        <f t="shared" si="8"/>
        <v>0.74185702072320492</v>
      </c>
      <c r="Q272">
        <v>4393</v>
      </c>
      <c r="R272">
        <v>1662</v>
      </c>
      <c r="S272" s="188">
        <v>3.1899999999999998E-2</v>
      </c>
    </row>
    <row r="273" spans="1:19" x14ac:dyDescent="0.25">
      <c r="A273" t="s">
        <v>137</v>
      </c>
      <c r="B273">
        <v>9713408.5187655333</v>
      </c>
      <c r="C273">
        <v>8497921.5187655333</v>
      </c>
      <c r="D273">
        <v>22092</v>
      </c>
      <c r="E273">
        <v>0</v>
      </c>
      <c r="F273">
        <v>198347</v>
      </c>
      <c r="G273">
        <v>995048</v>
      </c>
      <c r="H273">
        <v>346</v>
      </c>
      <c r="K273">
        <v>3561591.4812344667</v>
      </c>
      <c r="L273">
        <f t="shared" si="9"/>
        <v>13621000</v>
      </c>
      <c r="M273">
        <v>23662</v>
      </c>
      <c r="N273">
        <v>23535</v>
      </c>
      <c r="O273">
        <v>127</v>
      </c>
      <c r="P273" s="188">
        <f t="shared" si="8"/>
        <v>0.5756487194658102</v>
      </c>
      <c r="Q273">
        <v>733</v>
      </c>
      <c r="R273">
        <v>95</v>
      </c>
      <c r="S273" s="188">
        <v>2.5600000000000001E-2</v>
      </c>
    </row>
    <row r="274" spans="1:19" x14ac:dyDescent="0.25">
      <c r="A274" t="s">
        <v>273</v>
      </c>
      <c r="B274">
        <v>28987322.61872416</v>
      </c>
      <c r="C274">
        <v>22855405.61872416</v>
      </c>
      <c r="D274">
        <v>475895</v>
      </c>
      <c r="E274">
        <v>0</v>
      </c>
      <c r="F274">
        <v>2668989</v>
      </c>
      <c r="G274">
        <v>2987033</v>
      </c>
      <c r="H274">
        <v>4942</v>
      </c>
      <c r="K274">
        <v>1030677.3812758401</v>
      </c>
      <c r="L274">
        <f t="shared" si="9"/>
        <v>34960000</v>
      </c>
      <c r="M274">
        <v>57864</v>
      </c>
      <c r="N274">
        <v>56724</v>
      </c>
      <c r="O274">
        <v>1140</v>
      </c>
      <c r="P274" s="188">
        <f t="shared" si="8"/>
        <v>0.60417530761786253</v>
      </c>
      <c r="Q274">
        <v>1009</v>
      </c>
      <c r="R274">
        <v>273</v>
      </c>
      <c r="S274" s="188">
        <v>1.5600000000000001E-2</v>
      </c>
    </row>
    <row r="275" spans="1:19" x14ac:dyDescent="0.25">
      <c r="A275" t="s">
        <v>319</v>
      </c>
      <c r="B275">
        <v>46359095.472259015</v>
      </c>
      <c r="C275">
        <v>41664843.472259015</v>
      </c>
      <c r="D275">
        <v>837314</v>
      </c>
      <c r="E275">
        <v>0</v>
      </c>
      <c r="F275">
        <v>3131648</v>
      </c>
      <c r="G275">
        <v>725290</v>
      </c>
      <c r="H275">
        <v>9854</v>
      </c>
      <c r="K275">
        <v>397904.52774098516</v>
      </c>
      <c r="L275">
        <f t="shared" si="9"/>
        <v>56611000</v>
      </c>
      <c r="M275">
        <v>82524</v>
      </c>
      <c r="N275">
        <v>85508</v>
      </c>
      <c r="O275">
        <v>-2984</v>
      </c>
      <c r="P275" s="188">
        <f t="shared" si="8"/>
        <v>0.6859943773932432</v>
      </c>
      <c r="Q275">
        <v>4530</v>
      </c>
      <c r="R275">
        <v>3309</v>
      </c>
      <c r="S275" s="188">
        <v>5.2499999999999998E-2</v>
      </c>
    </row>
    <row r="276" spans="1:19" x14ac:dyDescent="0.25">
      <c r="A276" t="s">
        <v>340</v>
      </c>
      <c r="B276">
        <v>41436558.060194992</v>
      </c>
      <c r="C276">
        <v>37123487.060194992</v>
      </c>
      <c r="D276">
        <v>900814</v>
      </c>
      <c r="E276">
        <v>0</v>
      </c>
      <c r="F276">
        <v>2507856</v>
      </c>
      <c r="G276">
        <v>904401</v>
      </c>
      <c r="H276">
        <v>6667</v>
      </c>
      <c r="K276">
        <v>822441.93980500847</v>
      </c>
      <c r="L276">
        <f t="shared" si="9"/>
        <v>48926000</v>
      </c>
      <c r="M276">
        <v>67417</v>
      </c>
      <c r="N276">
        <v>68871</v>
      </c>
      <c r="O276">
        <v>-1454</v>
      </c>
      <c r="P276" s="188">
        <f t="shared" si="8"/>
        <v>0.725721998902354</v>
      </c>
      <c r="Q276">
        <v>3049</v>
      </c>
      <c r="R276">
        <v>1374</v>
      </c>
      <c r="S276" s="188">
        <v>5.2499999999999998E-2</v>
      </c>
    </row>
    <row r="277" spans="1:19" x14ac:dyDescent="0.25">
      <c r="A277" t="s">
        <v>204</v>
      </c>
      <c r="B277">
        <v>80676614.080638856</v>
      </c>
      <c r="C277">
        <v>66814434.080638863</v>
      </c>
      <c r="D277">
        <v>1202165</v>
      </c>
      <c r="E277">
        <v>0</v>
      </c>
      <c r="F277">
        <v>8899186</v>
      </c>
      <c r="G277">
        <v>3760829</v>
      </c>
      <c r="H277">
        <v>22025</v>
      </c>
      <c r="K277">
        <v>3812385.9193611443</v>
      </c>
      <c r="L277">
        <f t="shared" si="9"/>
        <v>106514000</v>
      </c>
      <c r="M277">
        <v>140366</v>
      </c>
      <c r="N277">
        <v>141702</v>
      </c>
      <c r="O277">
        <v>-1336</v>
      </c>
      <c r="P277" s="188">
        <f t="shared" si="8"/>
        <v>0.75883048601513192</v>
      </c>
      <c r="Q277">
        <v>5016</v>
      </c>
      <c r="R277">
        <v>3478</v>
      </c>
      <c r="S277" s="188">
        <v>3.6799999999999999E-2</v>
      </c>
    </row>
    <row r="278" spans="1:19" x14ac:dyDescent="0.25">
      <c r="A278" t="s">
        <v>391</v>
      </c>
      <c r="B278">
        <v>509116002.48757172</v>
      </c>
      <c r="C278">
        <v>364084734.48260045</v>
      </c>
      <c r="D278">
        <v>9987085.3046492096</v>
      </c>
      <c r="E278">
        <v>63873046</v>
      </c>
      <c r="F278" s="129">
        <v>33991340.106847778</v>
      </c>
      <c r="G278" s="129">
        <v>37179796.593474306</v>
      </c>
      <c r="H278" s="129">
        <v>130463.68218736871</v>
      </c>
      <c r="I278" s="129">
        <v>0</v>
      </c>
      <c r="J278" s="129">
        <v>0</v>
      </c>
      <c r="K278" s="129">
        <v>17268282.416503318</v>
      </c>
      <c r="L278" s="129">
        <v>656847967.09144378</v>
      </c>
      <c r="M278" s="129">
        <v>811255.76823974238</v>
      </c>
      <c r="N278" s="129">
        <v>862028.66811370954</v>
      </c>
      <c r="O278" s="129">
        <v>-50772.899873967166</v>
      </c>
      <c r="P278" s="188">
        <v>0.80966816238073513</v>
      </c>
      <c r="Q278" s="129">
        <v>19111.24807449937</v>
      </c>
      <c r="R278">
        <v>3322</v>
      </c>
      <c r="S278" s="188">
        <v>4.5599999999999995E-2</v>
      </c>
    </row>
    <row r="279" spans="1:19" x14ac:dyDescent="0.25">
      <c r="A279" t="s">
        <v>160</v>
      </c>
      <c r="B279">
        <v>28757582.966591083</v>
      </c>
      <c r="C279">
        <v>25385917.966591083</v>
      </c>
      <c r="D279">
        <v>453088</v>
      </c>
      <c r="E279">
        <v>0</v>
      </c>
      <c r="F279">
        <v>2322327</v>
      </c>
      <c r="G279">
        <v>596250</v>
      </c>
      <c r="H279">
        <v>4214</v>
      </c>
      <c r="K279">
        <v>564417.03340891749</v>
      </c>
      <c r="L279">
        <f t="shared" si="9"/>
        <v>33536000</v>
      </c>
      <c r="M279">
        <v>42218</v>
      </c>
      <c r="N279">
        <v>44439</v>
      </c>
      <c r="O279">
        <v>-2221</v>
      </c>
      <c r="P279" s="188">
        <f t="shared" si="8"/>
        <v>0.79435311952247856</v>
      </c>
      <c r="Q279">
        <v>240</v>
      </c>
      <c r="R279">
        <v>0</v>
      </c>
      <c r="S279" s="188">
        <v>6.1200000000000004E-2</v>
      </c>
    </row>
    <row r="280" spans="1:19" x14ac:dyDescent="0.25">
      <c r="A280" t="s">
        <v>161</v>
      </c>
      <c r="B280">
        <v>59341234.628475197</v>
      </c>
      <c r="C280">
        <v>47980133.628475197</v>
      </c>
      <c r="D280">
        <v>2908675</v>
      </c>
      <c r="E280">
        <v>0</v>
      </c>
      <c r="F280">
        <v>7516443</v>
      </c>
      <c r="G280">
        <v>935983</v>
      </c>
      <c r="H280">
        <v>7286</v>
      </c>
      <c r="K280">
        <v>0</v>
      </c>
      <c r="L280">
        <f t="shared" si="9"/>
        <v>66627234.628475197</v>
      </c>
      <c r="M280">
        <v>96441</v>
      </c>
      <c r="N280">
        <v>97164</v>
      </c>
      <c r="O280">
        <v>-723</v>
      </c>
      <c r="P280" s="188">
        <f t="shared" si="8"/>
        <v>0.69086005566590136</v>
      </c>
      <c r="Q280">
        <v>709</v>
      </c>
      <c r="R280">
        <v>100</v>
      </c>
      <c r="S280" s="188">
        <v>5.5E-2</v>
      </c>
    </row>
    <row r="281" spans="1:19" x14ac:dyDescent="0.25">
      <c r="A281" t="s">
        <v>115</v>
      </c>
      <c r="B281">
        <v>46109563.770576805</v>
      </c>
      <c r="C281">
        <v>42850724.770576805</v>
      </c>
      <c r="D281">
        <v>1499943</v>
      </c>
      <c r="E281">
        <v>0</v>
      </c>
      <c r="F281">
        <v>270251</v>
      </c>
      <c r="G281">
        <v>1488645</v>
      </c>
      <c r="H281">
        <v>13510</v>
      </c>
      <c r="K281">
        <v>226436.22942319512</v>
      </c>
      <c r="L281">
        <f t="shared" si="9"/>
        <v>59846000</v>
      </c>
      <c r="M281">
        <v>77336</v>
      </c>
      <c r="N281">
        <v>77989</v>
      </c>
      <c r="O281">
        <v>-653</v>
      </c>
      <c r="P281" s="188">
        <f t="shared" si="8"/>
        <v>0.7738440053791249</v>
      </c>
      <c r="Q281">
        <v>786</v>
      </c>
      <c r="R281">
        <v>115</v>
      </c>
      <c r="S281" s="188">
        <v>4.2199999999999994E-2</v>
      </c>
    </row>
    <row r="282" spans="1:19" x14ac:dyDescent="0.25">
      <c r="A282" t="s">
        <v>138</v>
      </c>
      <c r="B282">
        <v>53691696.752196766</v>
      </c>
      <c r="C282">
        <v>46419599.752196766</v>
      </c>
      <c r="D282">
        <v>2018183</v>
      </c>
      <c r="E282">
        <v>0</v>
      </c>
      <c r="F282">
        <v>3903183</v>
      </c>
      <c r="G282">
        <v>1350731</v>
      </c>
      <c r="H282">
        <v>11738</v>
      </c>
      <c r="K282">
        <v>1364303.2478032336</v>
      </c>
      <c r="L282">
        <f t="shared" si="9"/>
        <v>66794000</v>
      </c>
      <c r="M282">
        <v>84327</v>
      </c>
      <c r="N282">
        <v>86788</v>
      </c>
      <c r="O282">
        <v>-2461</v>
      </c>
      <c r="P282" s="188">
        <f t="shared" si="8"/>
        <v>0.79208319992410492</v>
      </c>
      <c r="Q282">
        <v>2873</v>
      </c>
      <c r="R282">
        <v>2262</v>
      </c>
      <c r="S282" s="188">
        <v>5.0700000000000002E-2</v>
      </c>
    </row>
    <row r="283" spans="1:19" x14ac:dyDescent="0.25">
      <c r="A283" t="s">
        <v>274</v>
      </c>
      <c r="B283">
        <v>16299565.292865729</v>
      </c>
      <c r="C283">
        <v>14895772.292865729</v>
      </c>
      <c r="D283">
        <v>98509</v>
      </c>
      <c r="E283">
        <v>0</v>
      </c>
      <c r="F283">
        <v>890798</v>
      </c>
      <c r="G283">
        <v>414486</v>
      </c>
      <c r="H283">
        <v>3049</v>
      </c>
      <c r="K283">
        <v>96434.707134271041</v>
      </c>
      <c r="L283">
        <f t="shared" si="9"/>
        <v>19445000</v>
      </c>
      <c r="M283">
        <v>25583</v>
      </c>
      <c r="N283">
        <v>26361</v>
      </c>
      <c r="O283">
        <v>-778</v>
      </c>
      <c r="P283" s="188">
        <f t="shared" si="8"/>
        <v>0.76007504983778296</v>
      </c>
      <c r="Q283">
        <v>1915</v>
      </c>
      <c r="R283">
        <v>126</v>
      </c>
      <c r="S283" s="188">
        <v>5.8400000000000001E-2</v>
      </c>
    </row>
    <row r="284" spans="1:19" x14ac:dyDescent="0.25">
      <c r="A284" t="s">
        <v>275</v>
      </c>
      <c r="B284">
        <v>40464892.803266659</v>
      </c>
      <c r="C284">
        <v>37749219.803266659</v>
      </c>
      <c r="D284">
        <v>541339</v>
      </c>
      <c r="E284">
        <v>0</v>
      </c>
      <c r="F284">
        <v>1483283</v>
      </c>
      <c r="G284">
        <v>691051</v>
      </c>
      <c r="H284">
        <v>8886</v>
      </c>
      <c r="K284">
        <v>761107.19673334062</v>
      </c>
      <c r="L284">
        <f t="shared" si="9"/>
        <v>50112000</v>
      </c>
      <c r="M284">
        <v>68476</v>
      </c>
      <c r="N284">
        <v>69295</v>
      </c>
      <c r="O284">
        <v>-819</v>
      </c>
      <c r="P284" s="188">
        <f t="shared" si="8"/>
        <v>0.73181844733921375</v>
      </c>
      <c r="Q284">
        <v>2504</v>
      </c>
      <c r="R284">
        <v>1532</v>
      </c>
      <c r="S284" s="188">
        <v>3.9300000000000002E-2</v>
      </c>
    </row>
    <row r="285" spans="1:19" x14ac:dyDescent="0.25">
      <c r="A285" t="s">
        <v>433</v>
      </c>
      <c r="B285">
        <v>28946621.047656819</v>
      </c>
      <c r="C285">
        <v>24236782.047656819</v>
      </c>
      <c r="D285">
        <v>2425277</v>
      </c>
      <c r="E285">
        <v>0</v>
      </c>
      <c r="F285">
        <v>1685024</v>
      </c>
      <c r="G285">
        <v>599538</v>
      </c>
      <c r="H285">
        <v>7327</v>
      </c>
      <c r="K285">
        <v>1524378.9523431808</v>
      </c>
      <c r="L285">
        <f t="shared" si="9"/>
        <v>37798000</v>
      </c>
      <c r="M285">
        <v>58751</v>
      </c>
      <c r="N285">
        <v>57038</v>
      </c>
      <c r="O285">
        <v>1713</v>
      </c>
      <c r="P285" s="188">
        <f t="shared" si="8"/>
        <v>0.64335926197000903</v>
      </c>
      <c r="Q285">
        <v>874</v>
      </c>
      <c r="R285">
        <v>36</v>
      </c>
      <c r="S285" s="188">
        <v>4.6600000000000003E-2</v>
      </c>
    </row>
    <row r="286" spans="1:19" x14ac:dyDescent="0.25">
      <c r="A286" t="s">
        <v>231</v>
      </c>
      <c r="B286">
        <v>817058480.60302377</v>
      </c>
      <c r="C286">
        <v>591468311.60302377</v>
      </c>
      <c r="D286">
        <v>14739348</v>
      </c>
      <c r="E286">
        <v>103745754</v>
      </c>
      <c r="F286">
        <v>21772649</v>
      </c>
      <c r="G286">
        <v>85332418</v>
      </c>
      <c r="H286">
        <v>213980</v>
      </c>
      <c r="K286">
        <v>23090519.396976233</v>
      </c>
      <c r="L286">
        <f t="shared" si="9"/>
        <v>1054129000</v>
      </c>
      <c r="M286">
        <v>1455979</v>
      </c>
      <c r="N286">
        <v>1538555</v>
      </c>
      <c r="O286">
        <v>-82576</v>
      </c>
      <c r="P286" s="188">
        <f t="shared" si="8"/>
        <v>0.72400014011191094</v>
      </c>
      <c r="Q286">
        <v>43420</v>
      </c>
      <c r="R286">
        <v>20150</v>
      </c>
      <c r="S286" s="188">
        <v>5.2600000000000001E-2</v>
      </c>
    </row>
    <row r="287" spans="1:19" x14ac:dyDescent="0.25">
      <c r="A287" t="s">
        <v>232</v>
      </c>
      <c r="B287">
        <v>70456879.033072114</v>
      </c>
      <c r="C287">
        <v>60934877.033072121</v>
      </c>
      <c r="D287">
        <v>5938783</v>
      </c>
      <c r="E287">
        <v>0</v>
      </c>
      <c r="F287">
        <v>1887755</v>
      </c>
      <c r="G287">
        <v>1695464</v>
      </c>
      <c r="H287">
        <v>16517</v>
      </c>
      <c r="K287">
        <v>1107120.966927886</v>
      </c>
      <c r="L287">
        <f t="shared" si="9"/>
        <v>88081000</v>
      </c>
      <c r="M287">
        <v>119137</v>
      </c>
      <c r="N287">
        <v>118236</v>
      </c>
      <c r="O287">
        <v>901</v>
      </c>
      <c r="P287" s="188">
        <f t="shared" si="8"/>
        <v>0.73932531455383299</v>
      </c>
      <c r="Q287">
        <v>2319</v>
      </c>
      <c r="R287">
        <v>966</v>
      </c>
      <c r="S287" s="188">
        <v>3.6799999999999999E-2</v>
      </c>
    </row>
    <row r="288" spans="1:19" x14ac:dyDescent="0.25">
      <c r="A288" t="s">
        <v>423</v>
      </c>
      <c r="B288">
        <v>18400518.358049154</v>
      </c>
      <c r="C288">
        <v>15761643.358049154</v>
      </c>
      <c r="D288">
        <v>173012</v>
      </c>
      <c r="E288">
        <v>0</v>
      </c>
      <c r="F288">
        <v>1694053</v>
      </c>
      <c r="G288">
        <v>771810</v>
      </c>
      <c r="H288">
        <v>6028</v>
      </c>
      <c r="K288">
        <v>282481.64195084572</v>
      </c>
      <c r="L288">
        <f t="shared" si="9"/>
        <v>24711000</v>
      </c>
      <c r="M288">
        <v>30708</v>
      </c>
      <c r="N288">
        <v>31075</v>
      </c>
      <c r="O288">
        <v>-367</v>
      </c>
      <c r="P288" s="188">
        <f t="shared" si="8"/>
        <v>0.80470887065259866</v>
      </c>
      <c r="Q288">
        <v>168</v>
      </c>
      <c r="R288">
        <v>21</v>
      </c>
      <c r="S288" s="188">
        <v>2.8900000000000002E-2</v>
      </c>
    </row>
    <row r="289" spans="1:19" x14ac:dyDescent="0.25">
      <c r="A289" t="s">
        <v>424</v>
      </c>
      <c r="B289">
        <v>27171813.866628844</v>
      </c>
      <c r="C289">
        <v>23428617.866628844</v>
      </c>
      <c r="D289">
        <v>456286</v>
      </c>
      <c r="E289">
        <v>0</v>
      </c>
      <c r="F289">
        <v>1849943</v>
      </c>
      <c r="G289">
        <v>1436967</v>
      </c>
      <c r="H289">
        <v>8731</v>
      </c>
      <c r="K289">
        <v>347186.13337115571</v>
      </c>
      <c r="L289">
        <f t="shared" si="9"/>
        <v>36250000</v>
      </c>
      <c r="M289">
        <v>54526</v>
      </c>
      <c r="N289">
        <v>56430</v>
      </c>
      <c r="O289">
        <v>-1904</v>
      </c>
      <c r="P289" s="188">
        <f t="shared" si="8"/>
        <v>0.66482045262810407</v>
      </c>
      <c r="Q289">
        <v>871</v>
      </c>
      <c r="R289">
        <v>125</v>
      </c>
      <c r="S289" s="188">
        <v>3.3099999999999997E-2</v>
      </c>
    </row>
    <row r="290" spans="1:19" x14ac:dyDescent="0.25">
      <c r="A290" t="s">
        <v>393</v>
      </c>
      <c r="B290">
        <v>48798341.948377073</v>
      </c>
      <c r="C290">
        <v>43245539.948377073</v>
      </c>
      <c r="D290">
        <v>975672</v>
      </c>
      <c r="E290">
        <v>0</v>
      </c>
      <c r="F290">
        <v>3851964</v>
      </c>
      <c r="G290">
        <v>725166</v>
      </c>
      <c r="H290">
        <v>10804</v>
      </c>
      <c r="K290">
        <v>1289658.0516229272</v>
      </c>
      <c r="L290">
        <f t="shared" si="9"/>
        <v>60892000</v>
      </c>
      <c r="M290">
        <v>81205</v>
      </c>
      <c r="N290">
        <v>82093</v>
      </c>
      <c r="O290">
        <v>-888</v>
      </c>
      <c r="P290" s="188">
        <f t="shared" si="8"/>
        <v>0.74985530447632531</v>
      </c>
      <c r="Q290">
        <v>1645</v>
      </c>
      <c r="R290">
        <v>380</v>
      </c>
      <c r="S290" s="188">
        <v>3.9E-2</v>
      </c>
    </row>
    <row r="291" spans="1:19" x14ac:dyDescent="0.25">
      <c r="A291" t="s">
        <v>126</v>
      </c>
      <c r="B291">
        <v>63515535.006653763</v>
      </c>
      <c r="C291">
        <v>50113262.006653763</v>
      </c>
      <c r="D291">
        <v>2567520</v>
      </c>
      <c r="E291">
        <v>0</v>
      </c>
      <c r="F291">
        <v>9923841</v>
      </c>
      <c r="G291">
        <v>910912</v>
      </c>
      <c r="H291">
        <v>16706</v>
      </c>
      <c r="K291">
        <v>1673464.9933462366</v>
      </c>
      <c r="L291">
        <f t="shared" si="9"/>
        <v>81895000</v>
      </c>
      <c r="M291">
        <v>100123</v>
      </c>
      <c r="N291">
        <v>100025</v>
      </c>
      <c r="O291">
        <v>98</v>
      </c>
      <c r="P291" s="188">
        <f t="shared" si="8"/>
        <v>0.81794392896737012</v>
      </c>
      <c r="Q291">
        <v>880</v>
      </c>
      <c r="R291">
        <v>197</v>
      </c>
      <c r="S291" s="188">
        <v>4.53E-2</v>
      </c>
    </row>
    <row r="292" spans="1:19" x14ac:dyDescent="0.25">
      <c r="A292" t="s">
        <v>233</v>
      </c>
      <c r="B292">
        <v>110582002.84593682</v>
      </c>
      <c r="C292">
        <v>98111700.84593682</v>
      </c>
      <c r="D292">
        <v>2842643</v>
      </c>
      <c r="E292">
        <v>0</v>
      </c>
      <c r="F292">
        <v>7882479</v>
      </c>
      <c r="G292">
        <v>1745180</v>
      </c>
      <c r="H292">
        <v>19386</v>
      </c>
      <c r="K292">
        <v>9910997.1540631801</v>
      </c>
      <c r="L292">
        <f t="shared" si="9"/>
        <v>139879000</v>
      </c>
      <c r="M292">
        <v>197335</v>
      </c>
      <c r="N292">
        <v>200794</v>
      </c>
      <c r="O292">
        <v>-3459</v>
      </c>
      <c r="P292" s="188">
        <f t="shared" si="8"/>
        <v>0.70884029695695139</v>
      </c>
      <c r="Q292">
        <v>7231</v>
      </c>
      <c r="R292">
        <v>2074</v>
      </c>
      <c r="S292" s="188">
        <v>4.3899999999999995E-2</v>
      </c>
    </row>
    <row r="293" spans="1:19" x14ac:dyDescent="0.25">
      <c r="A293" t="s">
        <v>341</v>
      </c>
      <c r="B293">
        <v>30583271.164969619</v>
      </c>
      <c r="C293">
        <v>26006646.164969619</v>
      </c>
      <c r="D293">
        <v>491504</v>
      </c>
      <c r="E293">
        <v>0</v>
      </c>
      <c r="F293">
        <v>1259648</v>
      </c>
      <c r="G293">
        <v>2825473</v>
      </c>
      <c r="H293">
        <v>9102</v>
      </c>
      <c r="K293">
        <v>100728.83503038064</v>
      </c>
      <c r="L293">
        <f t="shared" si="9"/>
        <v>39786000</v>
      </c>
      <c r="M293">
        <v>72287</v>
      </c>
      <c r="N293">
        <v>71692</v>
      </c>
      <c r="O293">
        <v>595</v>
      </c>
      <c r="P293" s="188">
        <f t="shared" si="8"/>
        <v>0.55038941995102852</v>
      </c>
      <c r="Q293">
        <v>1612</v>
      </c>
      <c r="R293">
        <v>454</v>
      </c>
      <c r="S293" s="188">
        <v>2.3300000000000001E-2</v>
      </c>
    </row>
    <row r="294" spans="1:19" x14ac:dyDescent="0.25">
      <c r="A294" t="s">
        <v>394</v>
      </c>
      <c r="B294">
        <v>65402449.296719052</v>
      </c>
      <c r="C294">
        <v>55983015.296719052</v>
      </c>
      <c r="D294">
        <v>2121870</v>
      </c>
      <c r="E294">
        <v>0</v>
      </c>
      <c r="F294">
        <v>4641951</v>
      </c>
      <c r="G294">
        <v>2655613</v>
      </c>
      <c r="H294">
        <v>12415</v>
      </c>
      <c r="K294">
        <v>426550.7032809481</v>
      </c>
      <c r="L294">
        <f t="shared" si="9"/>
        <v>78244000</v>
      </c>
      <c r="M294">
        <v>126025</v>
      </c>
      <c r="N294">
        <v>125517</v>
      </c>
      <c r="O294">
        <v>508</v>
      </c>
      <c r="P294" s="188">
        <f t="shared" si="8"/>
        <v>0.62086094028962513</v>
      </c>
      <c r="Q294">
        <v>1912</v>
      </c>
      <c r="R294">
        <v>127</v>
      </c>
      <c r="S294" s="188">
        <v>4.1900000000000007E-2</v>
      </c>
    </row>
    <row r="295" spans="1:19" x14ac:dyDescent="0.25">
      <c r="A295" t="s">
        <v>276</v>
      </c>
      <c r="B295">
        <v>106676929.59239563</v>
      </c>
      <c r="C295">
        <v>95174614.592395633</v>
      </c>
      <c r="D295">
        <v>3265663</v>
      </c>
      <c r="E295">
        <v>0</v>
      </c>
      <c r="F295">
        <v>5733836</v>
      </c>
      <c r="G295">
        <v>2502816</v>
      </c>
      <c r="H295">
        <v>28781</v>
      </c>
      <c r="K295">
        <v>2855070.4076043665</v>
      </c>
      <c r="L295">
        <f t="shared" si="9"/>
        <v>138313000</v>
      </c>
      <c r="M295">
        <v>184103</v>
      </c>
      <c r="N295">
        <v>190722</v>
      </c>
      <c r="O295">
        <v>-6619</v>
      </c>
      <c r="P295" s="188">
        <f t="shared" si="8"/>
        <v>0.75128053317979604</v>
      </c>
      <c r="Q295">
        <v>9520</v>
      </c>
      <c r="R295">
        <v>3798</v>
      </c>
      <c r="S295" s="188">
        <v>0.04</v>
      </c>
    </row>
    <row r="296" spans="1:19" x14ac:dyDescent="0.25">
      <c r="A296" t="s">
        <v>425</v>
      </c>
      <c r="B296">
        <v>260778363.83275259</v>
      </c>
      <c r="C296">
        <v>165774377.83275259</v>
      </c>
      <c r="D296">
        <v>4362593</v>
      </c>
      <c r="E296">
        <v>52537453</v>
      </c>
      <c r="F296">
        <v>15840991</v>
      </c>
      <c r="G296">
        <v>22262949</v>
      </c>
      <c r="H296">
        <v>54910</v>
      </c>
      <c r="K296">
        <v>8032636.1672474146</v>
      </c>
      <c r="L296">
        <f t="shared" si="9"/>
        <v>323721000</v>
      </c>
      <c r="M296">
        <v>427524</v>
      </c>
      <c r="N296">
        <v>425024</v>
      </c>
      <c r="O296">
        <v>2500</v>
      </c>
      <c r="P296" s="188">
        <f t="shared" si="8"/>
        <v>0.75719959581216489</v>
      </c>
      <c r="Q296">
        <v>3542</v>
      </c>
      <c r="R296">
        <v>1205</v>
      </c>
      <c r="S296" s="188">
        <v>4.5100000000000001E-2</v>
      </c>
    </row>
    <row r="297" spans="1:19" x14ac:dyDescent="0.25">
      <c r="A297" t="s">
        <v>426</v>
      </c>
      <c r="B297">
        <v>79137681.915517479</v>
      </c>
      <c r="C297">
        <v>64295891.915517472</v>
      </c>
      <c r="D297">
        <v>1105510</v>
      </c>
      <c r="E297">
        <v>0</v>
      </c>
      <c r="F297">
        <v>11605111</v>
      </c>
      <c r="G297">
        <v>2131169</v>
      </c>
      <c r="H297">
        <v>16876</v>
      </c>
      <c r="K297">
        <v>1531318.0844825208</v>
      </c>
      <c r="L297">
        <f t="shared" si="9"/>
        <v>97545000</v>
      </c>
      <c r="M297">
        <v>125546</v>
      </c>
      <c r="N297">
        <v>128156</v>
      </c>
      <c r="O297">
        <v>-2610</v>
      </c>
      <c r="P297" s="188">
        <f t="shared" si="8"/>
        <v>0.77696621158778456</v>
      </c>
      <c r="Q297">
        <v>926</v>
      </c>
      <c r="R297">
        <v>447</v>
      </c>
      <c r="S297" s="188">
        <v>4.2800000000000005E-2</v>
      </c>
    </row>
    <row r="298" spans="1:19" x14ac:dyDescent="0.25">
      <c r="A298" t="s">
        <v>605</v>
      </c>
      <c r="B298">
        <v>85206693.650908291</v>
      </c>
      <c r="C298">
        <v>77830272.650908291</v>
      </c>
      <c r="D298">
        <v>1945336</v>
      </c>
      <c r="E298">
        <v>0</v>
      </c>
      <c r="F298">
        <v>3758681</v>
      </c>
      <c r="G298">
        <v>1672404</v>
      </c>
      <c r="H298">
        <v>21541</v>
      </c>
      <c r="K298">
        <v>1799306.3490917087</v>
      </c>
      <c r="L298">
        <f t="shared" si="9"/>
        <v>108547000</v>
      </c>
      <c r="M298">
        <v>151480</v>
      </c>
      <c r="N298">
        <v>153136</v>
      </c>
      <c r="O298">
        <v>-1656</v>
      </c>
      <c r="P298" s="188">
        <f t="shared" si="8"/>
        <v>0.71657644573541057</v>
      </c>
      <c r="Q298">
        <v>3106</v>
      </c>
      <c r="R298">
        <v>1080</v>
      </c>
      <c r="S298" s="188">
        <v>4.3499999999999997E-2</v>
      </c>
    </row>
    <row r="299" spans="1:19" x14ac:dyDescent="0.25">
      <c r="A299" t="s">
        <v>320</v>
      </c>
      <c r="B299">
        <v>166386129.1416238</v>
      </c>
      <c r="C299">
        <v>126780889.14162378</v>
      </c>
      <c r="D299">
        <v>1805537</v>
      </c>
      <c r="E299">
        <v>19623417</v>
      </c>
      <c r="F299">
        <v>9771065</v>
      </c>
      <c r="G299">
        <v>8405221</v>
      </c>
      <c r="H299">
        <v>46530</v>
      </c>
      <c r="K299">
        <v>3131870.858376205</v>
      </c>
      <c r="L299">
        <f t="shared" si="9"/>
        <v>216048000</v>
      </c>
      <c r="M299">
        <v>262321</v>
      </c>
      <c r="N299">
        <v>261281</v>
      </c>
      <c r="O299">
        <v>1040</v>
      </c>
      <c r="P299" s="188">
        <f t="shared" si="8"/>
        <v>0.82360161786513475</v>
      </c>
      <c r="Q299">
        <v>10009</v>
      </c>
      <c r="R299">
        <v>7051</v>
      </c>
      <c r="S299" s="188">
        <v>3.7599999999999995E-2</v>
      </c>
    </row>
    <row r="300" spans="1:19" x14ac:dyDescent="0.25">
      <c r="A300" t="s">
        <v>139</v>
      </c>
      <c r="B300">
        <v>3716182.2917175903</v>
      </c>
      <c r="C300">
        <v>3140528.2917175903</v>
      </c>
      <c r="D300">
        <v>4575</v>
      </c>
      <c r="E300">
        <v>0</v>
      </c>
      <c r="F300">
        <v>8997</v>
      </c>
      <c r="G300">
        <v>562082</v>
      </c>
      <c r="H300">
        <v>529</v>
      </c>
      <c r="K300">
        <v>145817.7082824097</v>
      </c>
      <c r="L300">
        <f t="shared" si="9"/>
        <v>4391000</v>
      </c>
      <c r="M300">
        <v>7989</v>
      </c>
      <c r="N300">
        <v>9421</v>
      </c>
      <c r="O300">
        <v>-1432</v>
      </c>
      <c r="P300" s="188">
        <f t="shared" si="8"/>
        <v>0.54963074227062214</v>
      </c>
      <c r="Q300">
        <v>896</v>
      </c>
      <c r="R300">
        <v>43</v>
      </c>
      <c r="S300" s="188">
        <v>4.0300000000000002E-2</v>
      </c>
    </row>
    <row r="301" spans="1:19" x14ac:dyDescent="0.25">
      <c r="A301" t="s">
        <v>342</v>
      </c>
      <c r="B301">
        <v>158031833.47630543</v>
      </c>
      <c r="C301">
        <v>84836131.47630541</v>
      </c>
      <c r="D301">
        <v>1094401</v>
      </c>
      <c r="E301">
        <v>50088857</v>
      </c>
      <c r="F301">
        <v>8142413</v>
      </c>
      <c r="G301">
        <v>13870031</v>
      </c>
      <c r="H301">
        <v>29840</v>
      </c>
      <c r="K301">
        <v>19257166.523694575</v>
      </c>
      <c r="L301">
        <f t="shared" si="9"/>
        <v>207129000</v>
      </c>
      <c r="M301">
        <v>243751</v>
      </c>
      <c r="N301">
        <v>246586</v>
      </c>
      <c r="O301">
        <v>-2835</v>
      </c>
      <c r="P301" s="188">
        <f t="shared" si="8"/>
        <v>0.84975651381943051</v>
      </c>
      <c r="Q301">
        <v>2551</v>
      </c>
      <c r="R301">
        <v>657</v>
      </c>
      <c r="S301" s="188">
        <v>5.9200000000000003E-2</v>
      </c>
    </row>
    <row r="302" spans="1:19" x14ac:dyDescent="0.25">
      <c r="A302" t="s">
        <v>427</v>
      </c>
      <c r="B302">
        <v>17855421.443090141</v>
      </c>
      <c r="C302">
        <v>15476385.443090139</v>
      </c>
      <c r="D302">
        <v>443803</v>
      </c>
      <c r="E302">
        <v>0</v>
      </c>
      <c r="F302">
        <v>1544751</v>
      </c>
      <c r="G302">
        <v>390482</v>
      </c>
      <c r="H302">
        <v>3296</v>
      </c>
      <c r="K302">
        <v>130578.55690985918</v>
      </c>
      <c r="L302">
        <f t="shared" si="9"/>
        <v>21282000</v>
      </c>
      <c r="M302">
        <v>26977</v>
      </c>
      <c r="N302">
        <v>27528</v>
      </c>
      <c r="O302">
        <v>-551</v>
      </c>
      <c r="P302" s="188">
        <f t="shared" si="8"/>
        <v>0.78889424324424506</v>
      </c>
      <c r="Q302">
        <v>408</v>
      </c>
      <c r="R302">
        <v>53</v>
      </c>
      <c r="S302" s="188">
        <v>4.9400000000000006E-2</v>
      </c>
    </row>
    <row r="303" spans="1:19" x14ac:dyDescent="0.25">
      <c r="A303" t="s">
        <v>321</v>
      </c>
      <c r="B303">
        <v>30891952.98299088</v>
      </c>
      <c r="C303">
        <v>29795086.98299088</v>
      </c>
      <c r="D303">
        <v>482735</v>
      </c>
      <c r="E303">
        <v>0</v>
      </c>
      <c r="F303">
        <v>146316</v>
      </c>
      <c r="G303">
        <v>467815</v>
      </c>
      <c r="H303">
        <v>7505</v>
      </c>
      <c r="K303">
        <v>582047.01700912043</v>
      </c>
      <c r="L303">
        <f t="shared" si="9"/>
        <v>38979000</v>
      </c>
      <c r="M303">
        <v>57901</v>
      </c>
      <c r="N303">
        <v>58619</v>
      </c>
      <c r="O303">
        <v>-718</v>
      </c>
      <c r="P303" s="188">
        <f t="shared" si="8"/>
        <v>0.67320080827619555</v>
      </c>
      <c r="Q303">
        <v>1968</v>
      </c>
      <c r="R303">
        <v>1119</v>
      </c>
      <c r="S303" s="188">
        <v>4.6100000000000002E-2</v>
      </c>
    </row>
    <row r="304" spans="1:19" x14ac:dyDescent="0.25">
      <c r="A304" t="s">
        <v>205</v>
      </c>
      <c r="B304">
        <v>41168663.000546381</v>
      </c>
      <c r="C304">
        <v>31969594.000546385</v>
      </c>
      <c r="D304">
        <v>6450388</v>
      </c>
      <c r="E304">
        <v>0</v>
      </c>
      <c r="F304">
        <v>2102565</v>
      </c>
      <c r="G304">
        <v>646116</v>
      </c>
      <c r="H304">
        <v>5851</v>
      </c>
      <c r="K304">
        <v>518336.99945361912</v>
      </c>
      <c r="L304">
        <f t="shared" si="9"/>
        <v>47538000</v>
      </c>
      <c r="M304">
        <v>63344</v>
      </c>
      <c r="N304">
        <v>64307</v>
      </c>
      <c r="O304">
        <v>-963</v>
      </c>
      <c r="P304" s="188">
        <f t="shared" si="8"/>
        <v>0.7504736044455671</v>
      </c>
      <c r="Q304">
        <v>1583</v>
      </c>
      <c r="R304">
        <v>1305</v>
      </c>
      <c r="S304" s="188">
        <v>5.1799999999999999E-2</v>
      </c>
    </row>
    <row r="305" spans="1:19" x14ac:dyDescent="0.25">
      <c r="A305" t="s">
        <v>395</v>
      </c>
      <c r="B305">
        <v>45713708.836142495</v>
      </c>
      <c r="C305">
        <v>39362301.345524937</v>
      </c>
      <c r="D305">
        <v>441700.62925360596</v>
      </c>
      <c r="E305">
        <v>0</v>
      </c>
      <c r="F305" s="129">
        <v>5162473.5307379914</v>
      </c>
      <c r="G305" s="129">
        <v>747233.3306259627</v>
      </c>
      <c r="H305" s="129">
        <v>8972.7758717266497</v>
      </c>
      <c r="I305" s="129">
        <v>0</v>
      </c>
      <c r="J305" s="129">
        <v>0</v>
      </c>
      <c r="K305" s="129">
        <v>912028.10546232166</v>
      </c>
      <c r="L305" s="129">
        <v>55598512.81333147</v>
      </c>
      <c r="M305" s="129">
        <v>78806.88811090884</v>
      </c>
      <c r="N305" s="129">
        <v>86790.724968491806</v>
      </c>
      <c r="O305" s="129">
        <v>-7983.8368575829663</v>
      </c>
      <c r="P305" s="188">
        <v>0.70550321356535395</v>
      </c>
      <c r="Q305" s="129">
        <v>1286.2853241842879</v>
      </c>
      <c r="R305">
        <v>205</v>
      </c>
      <c r="S305" s="188">
        <v>5.7999999999999996E-2</v>
      </c>
    </row>
    <row r="306" spans="1:19" x14ac:dyDescent="0.25">
      <c r="A306" t="s">
        <v>606</v>
      </c>
      <c r="B306">
        <v>83434261.294108644</v>
      </c>
      <c r="C306">
        <v>73640684.294108644</v>
      </c>
      <c r="D306">
        <v>1641316</v>
      </c>
      <c r="E306">
        <v>0</v>
      </c>
      <c r="F306">
        <v>6511026</v>
      </c>
      <c r="G306">
        <v>1641235</v>
      </c>
      <c r="H306">
        <v>20755</v>
      </c>
      <c r="K306">
        <v>1173738.7058913559</v>
      </c>
      <c r="L306">
        <f t="shared" si="9"/>
        <v>105363000</v>
      </c>
      <c r="M306">
        <v>136819</v>
      </c>
      <c r="N306">
        <v>137558</v>
      </c>
      <c r="O306">
        <v>-739</v>
      </c>
      <c r="P306" s="188">
        <f t="shared" si="8"/>
        <v>0.77009041141946655</v>
      </c>
      <c r="Q306">
        <v>1001</v>
      </c>
      <c r="R306">
        <v>446</v>
      </c>
      <c r="S306" s="188">
        <v>4.5899999999999996E-2</v>
      </c>
    </row>
    <row r="307" spans="1:19" x14ac:dyDescent="0.25">
      <c r="A307" t="s">
        <v>396</v>
      </c>
      <c r="B307">
        <v>20984249.622968752</v>
      </c>
      <c r="C307">
        <v>18888634.622968752</v>
      </c>
      <c r="D307">
        <v>395505</v>
      </c>
      <c r="E307">
        <v>0</v>
      </c>
      <c r="F307">
        <v>1278861</v>
      </c>
      <c r="G307">
        <v>421249</v>
      </c>
      <c r="H307">
        <v>3335</v>
      </c>
      <c r="K307">
        <v>142750.37703124806</v>
      </c>
      <c r="L307">
        <f t="shared" si="9"/>
        <v>24462000</v>
      </c>
      <c r="M307">
        <v>34545</v>
      </c>
      <c r="N307">
        <v>34874</v>
      </c>
      <c r="O307">
        <v>-329</v>
      </c>
      <c r="P307" s="188">
        <f t="shared" si="8"/>
        <v>0.70811984368215375</v>
      </c>
      <c r="Q307">
        <v>419</v>
      </c>
      <c r="R307">
        <v>13</v>
      </c>
      <c r="S307" s="188">
        <v>4.8799999999999996E-2</v>
      </c>
    </row>
    <row r="308" spans="1:19" x14ac:dyDescent="0.25">
      <c r="A308" t="s">
        <v>397</v>
      </c>
      <c r="B308">
        <v>77161423.356785402</v>
      </c>
      <c r="C308">
        <v>67653566.356785402</v>
      </c>
      <c r="D308">
        <v>1505495</v>
      </c>
      <c r="E308">
        <v>0</v>
      </c>
      <c r="F308">
        <v>6209937</v>
      </c>
      <c r="G308">
        <v>1792425</v>
      </c>
      <c r="H308">
        <v>13709</v>
      </c>
      <c r="K308">
        <v>1827576.6432145983</v>
      </c>
      <c r="L308">
        <f t="shared" si="9"/>
        <v>92698000</v>
      </c>
      <c r="M308">
        <v>158592</v>
      </c>
      <c r="N308">
        <v>164693</v>
      </c>
      <c r="O308">
        <v>-6101</v>
      </c>
      <c r="P308" s="188">
        <f t="shared" si="8"/>
        <v>0.58450615415657792</v>
      </c>
      <c r="Q308">
        <v>3896</v>
      </c>
      <c r="R308">
        <v>762</v>
      </c>
      <c r="S308" s="188">
        <v>4.0300000000000002E-2</v>
      </c>
    </row>
    <row r="309" spans="1:19" x14ac:dyDescent="0.25">
      <c r="A309" t="s">
        <v>322</v>
      </c>
      <c r="B309">
        <v>41799655.956552558</v>
      </c>
      <c r="C309">
        <v>37337912.956552558</v>
      </c>
      <c r="D309">
        <v>955792</v>
      </c>
      <c r="E309">
        <v>0</v>
      </c>
      <c r="F309">
        <v>2681444</v>
      </c>
      <c r="G309">
        <v>824507</v>
      </c>
      <c r="H309">
        <v>7523</v>
      </c>
      <c r="K309">
        <v>83344.043447442353</v>
      </c>
      <c r="L309">
        <f t="shared" si="9"/>
        <v>49406000</v>
      </c>
      <c r="M309">
        <v>93807</v>
      </c>
      <c r="N309">
        <v>93169</v>
      </c>
      <c r="O309">
        <v>638</v>
      </c>
      <c r="P309" s="188">
        <f t="shared" si="8"/>
        <v>0.52667711364823522</v>
      </c>
      <c r="Q309">
        <v>1525</v>
      </c>
      <c r="R309">
        <v>604</v>
      </c>
      <c r="S309" s="188">
        <v>3.4599999999999999E-2</v>
      </c>
    </row>
    <row r="310" spans="1:19" x14ac:dyDescent="0.25">
      <c r="A310" t="s">
        <v>206</v>
      </c>
      <c r="B310">
        <v>56976182.66042199</v>
      </c>
      <c r="C310">
        <v>51068725.66042199</v>
      </c>
      <c r="D310">
        <v>478518</v>
      </c>
      <c r="E310">
        <v>0</v>
      </c>
      <c r="F310">
        <v>4147286</v>
      </c>
      <c r="G310">
        <v>1281653</v>
      </c>
      <c r="H310">
        <v>17417</v>
      </c>
      <c r="K310">
        <v>1314817.3395780101</v>
      </c>
      <c r="L310">
        <f t="shared" si="9"/>
        <v>75708000</v>
      </c>
      <c r="M310">
        <v>105305</v>
      </c>
      <c r="N310">
        <v>107009</v>
      </c>
      <c r="O310">
        <v>-1704</v>
      </c>
      <c r="P310" s="188">
        <f t="shared" si="8"/>
        <v>0.71894022126204837</v>
      </c>
      <c r="Q310">
        <v>1658</v>
      </c>
      <c r="R310">
        <v>199</v>
      </c>
      <c r="S310" s="188">
        <v>4.2999999999999997E-2</v>
      </c>
    </row>
    <row r="311" spans="1:19" x14ac:dyDescent="0.25">
      <c r="A311" t="s">
        <v>323</v>
      </c>
      <c r="B311">
        <v>30474965.813336238</v>
      </c>
      <c r="C311">
        <v>28027321.813336238</v>
      </c>
      <c r="D311">
        <v>512127</v>
      </c>
      <c r="E311">
        <v>0</v>
      </c>
      <c r="F311">
        <v>1082558</v>
      </c>
      <c r="G311">
        <v>852959</v>
      </c>
      <c r="H311">
        <v>9149</v>
      </c>
      <c r="K311">
        <v>620034.18666376173</v>
      </c>
      <c r="L311">
        <f t="shared" si="9"/>
        <v>40244000</v>
      </c>
      <c r="M311">
        <v>62253</v>
      </c>
      <c r="N311">
        <v>63543</v>
      </c>
      <c r="O311">
        <v>-1290</v>
      </c>
      <c r="P311" s="188">
        <f t="shared" si="8"/>
        <v>0.64645880519814303</v>
      </c>
      <c r="Q311">
        <v>2812</v>
      </c>
      <c r="R311">
        <v>2015</v>
      </c>
      <c r="S311" s="188">
        <v>4.2800000000000005E-2</v>
      </c>
    </row>
    <row r="312" spans="1:19" x14ac:dyDescent="0.25">
      <c r="A312" t="s">
        <v>277</v>
      </c>
      <c r="B312">
        <v>22328645.682064913</v>
      </c>
      <c r="C312">
        <v>20798095.682064913</v>
      </c>
      <c r="D312">
        <v>238830</v>
      </c>
      <c r="E312">
        <v>0</v>
      </c>
      <c r="F312">
        <v>577629</v>
      </c>
      <c r="G312">
        <v>714091</v>
      </c>
      <c r="H312">
        <v>6339</v>
      </c>
      <c r="K312">
        <v>255354.31793508679</v>
      </c>
      <c r="L312">
        <f t="shared" si="9"/>
        <v>28923000</v>
      </c>
      <c r="M312">
        <v>43432</v>
      </c>
      <c r="N312">
        <v>37461</v>
      </c>
      <c r="O312">
        <v>5971</v>
      </c>
      <c r="P312" s="188">
        <f t="shared" si="8"/>
        <v>0.66593755756124517</v>
      </c>
      <c r="Q312">
        <v>787</v>
      </c>
      <c r="R312">
        <v>292</v>
      </c>
      <c r="S312" s="188">
        <v>5.7000000000000002E-3</v>
      </c>
    </row>
    <row r="313" spans="1:19" x14ac:dyDescent="0.25">
      <c r="A313" t="s">
        <v>428</v>
      </c>
      <c r="B313">
        <v>88284605.983343691</v>
      </c>
      <c r="C313">
        <v>73509570.983343691</v>
      </c>
      <c r="D313">
        <v>2199098</v>
      </c>
      <c r="E313">
        <v>0</v>
      </c>
      <c r="F313">
        <v>9223062</v>
      </c>
      <c r="G313">
        <v>3352875</v>
      </c>
      <c r="H313">
        <v>18062</v>
      </c>
      <c r="K313">
        <v>2384394.0166563094</v>
      </c>
      <c r="L313">
        <f t="shared" si="9"/>
        <v>108731000</v>
      </c>
      <c r="M313">
        <v>154394</v>
      </c>
      <c r="N313">
        <v>163303</v>
      </c>
      <c r="O313">
        <v>-8909</v>
      </c>
      <c r="P313" s="188">
        <f t="shared" ref="P313:P347" si="10">L313/(M313*1000)</f>
        <v>0.70424368822622641</v>
      </c>
      <c r="Q313">
        <v>2342</v>
      </c>
      <c r="R313">
        <v>287</v>
      </c>
      <c r="S313" s="188">
        <v>4.8899999999999999E-2</v>
      </c>
    </row>
    <row r="314" spans="1:19" x14ac:dyDescent="0.25">
      <c r="A314" t="s">
        <v>278</v>
      </c>
      <c r="B314">
        <v>29042103.936779629</v>
      </c>
      <c r="C314">
        <v>27252349.936779629</v>
      </c>
      <c r="D314">
        <v>492974</v>
      </c>
      <c r="E314">
        <v>0</v>
      </c>
      <c r="F314">
        <v>780758</v>
      </c>
      <c r="G314">
        <v>516022</v>
      </c>
      <c r="H314">
        <v>10420</v>
      </c>
      <c r="K314">
        <v>453896.06322037056</v>
      </c>
      <c r="L314">
        <f t="shared" ref="L314:L347" si="11">SUM(B314,H314*1000,K314)</f>
        <v>39916000</v>
      </c>
      <c r="M314">
        <v>50725</v>
      </c>
      <c r="N314">
        <v>52557</v>
      </c>
      <c r="O314">
        <v>-1832</v>
      </c>
      <c r="P314" s="188">
        <f t="shared" si="10"/>
        <v>0.78690980778708719</v>
      </c>
      <c r="Q314">
        <v>604</v>
      </c>
      <c r="R314">
        <v>218</v>
      </c>
      <c r="S314" s="188">
        <v>3.9100000000000003E-2</v>
      </c>
    </row>
    <row r="315" spans="1:19" x14ac:dyDescent="0.25">
      <c r="A315" t="s">
        <v>607</v>
      </c>
      <c r="B315">
        <v>68946533.224222124</v>
      </c>
      <c r="C315">
        <v>63049278.224222124</v>
      </c>
      <c r="D315">
        <v>847579</v>
      </c>
      <c r="E315">
        <v>0</v>
      </c>
      <c r="F315">
        <v>3750367</v>
      </c>
      <c r="G315">
        <v>1299309</v>
      </c>
      <c r="H315">
        <v>12009</v>
      </c>
      <c r="K315">
        <v>1389466.7757778764</v>
      </c>
      <c r="L315">
        <f t="shared" si="11"/>
        <v>82345000</v>
      </c>
      <c r="M315">
        <v>128560</v>
      </c>
      <c r="N315">
        <v>148508</v>
      </c>
      <c r="O315">
        <v>-19948</v>
      </c>
      <c r="P315" s="188">
        <f t="shared" si="10"/>
        <v>0.64051804604853768</v>
      </c>
      <c r="Q315">
        <v>6841</v>
      </c>
      <c r="R315">
        <v>5117</v>
      </c>
      <c r="S315" s="188">
        <v>7.51E-2</v>
      </c>
    </row>
    <row r="316" spans="1:19" x14ac:dyDescent="0.25">
      <c r="A316" t="s">
        <v>207</v>
      </c>
      <c r="B316">
        <v>26871249.28400521</v>
      </c>
      <c r="C316">
        <v>24106961.28400521</v>
      </c>
      <c r="D316">
        <v>644070</v>
      </c>
      <c r="E316">
        <v>0</v>
      </c>
      <c r="F316">
        <v>1457931</v>
      </c>
      <c r="G316">
        <v>662287</v>
      </c>
      <c r="H316">
        <v>5282</v>
      </c>
      <c r="K316">
        <v>399750.7159947902</v>
      </c>
      <c r="L316">
        <f t="shared" si="11"/>
        <v>32553000</v>
      </c>
      <c r="M316">
        <v>42367</v>
      </c>
      <c r="N316">
        <v>43636</v>
      </c>
      <c r="O316">
        <v>-1269</v>
      </c>
      <c r="P316" s="188">
        <f t="shared" si="10"/>
        <v>0.76835744801378436</v>
      </c>
      <c r="Q316">
        <v>166</v>
      </c>
      <c r="R316">
        <v>75</v>
      </c>
      <c r="S316" s="188">
        <v>5.3699999999999998E-2</v>
      </c>
    </row>
    <row r="317" spans="1:19" x14ac:dyDescent="0.25">
      <c r="A317" t="s">
        <v>608</v>
      </c>
      <c r="B317">
        <v>105768386.10471262</v>
      </c>
      <c r="C317">
        <v>92058707.10471262</v>
      </c>
      <c r="D317">
        <v>3006981</v>
      </c>
      <c r="E317">
        <v>0</v>
      </c>
      <c r="F317">
        <v>9018494</v>
      </c>
      <c r="G317">
        <v>1684204</v>
      </c>
      <c r="H317">
        <v>20369</v>
      </c>
      <c r="K317">
        <v>1789613.8952873796</v>
      </c>
      <c r="L317">
        <f t="shared" si="11"/>
        <v>127927000</v>
      </c>
      <c r="M317">
        <v>160359</v>
      </c>
      <c r="N317">
        <v>161898</v>
      </c>
      <c r="O317">
        <v>-1539</v>
      </c>
      <c r="P317" s="188">
        <f t="shared" si="10"/>
        <v>0.79775378993383594</v>
      </c>
      <c r="Q317">
        <v>1902</v>
      </c>
      <c r="R317">
        <v>189</v>
      </c>
      <c r="S317" s="188">
        <v>4.4900000000000002E-2</v>
      </c>
    </row>
    <row r="318" spans="1:19" x14ac:dyDescent="0.25">
      <c r="A318" t="s">
        <v>116</v>
      </c>
      <c r="B318">
        <v>32674850.577740338</v>
      </c>
      <c r="C318">
        <v>28184216.577740338</v>
      </c>
      <c r="D318">
        <v>525237</v>
      </c>
      <c r="E318">
        <v>0</v>
      </c>
      <c r="F318">
        <v>3167478</v>
      </c>
      <c r="G318">
        <v>797919</v>
      </c>
      <c r="H318">
        <v>6738</v>
      </c>
      <c r="K318">
        <v>192149.4222596623</v>
      </c>
      <c r="L318">
        <f t="shared" si="11"/>
        <v>39605000</v>
      </c>
      <c r="M318">
        <v>52822</v>
      </c>
      <c r="N318">
        <v>54156</v>
      </c>
      <c r="O318">
        <v>-1334</v>
      </c>
      <c r="P318" s="188">
        <f t="shared" si="10"/>
        <v>0.74978228768316235</v>
      </c>
      <c r="Q318">
        <v>240</v>
      </c>
      <c r="R318">
        <v>45</v>
      </c>
      <c r="S318" s="188">
        <v>4.82E-2</v>
      </c>
    </row>
    <row r="319" spans="1:19" x14ac:dyDescent="0.25">
      <c r="A319" t="s">
        <v>208</v>
      </c>
      <c r="B319">
        <v>25061106.724237777</v>
      </c>
      <c r="C319">
        <v>21325013.724237777</v>
      </c>
      <c r="D319">
        <v>525618</v>
      </c>
      <c r="E319">
        <v>0</v>
      </c>
      <c r="F319">
        <v>2657353</v>
      </c>
      <c r="G319">
        <v>553122</v>
      </c>
      <c r="H319">
        <v>7081</v>
      </c>
      <c r="K319">
        <v>727893.27576222271</v>
      </c>
      <c r="L319">
        <f t="shared" si="11"/>
        <v>32870000</v>
      </c>
      <c r="M319">
        <v>39274</v>
      </c>
      <c r="N319">
        <v>40070</v>
      </c>
      <c r="O319">
        <v>-796</v>
      </c>
      <c r="P319" s="188">
        <f t="shared" si="10"/>
        <v>0.83694046952182111</v>
      </c>
      <c r="Q319">
        <v>520</v>
      </c>
      <c r="R319">
        <v>10</v>
      </c>
      <c r="S319" s="188">
        <v>5.5399999999999998E-2</v>
      </c>
    </row>
    <row r="320" spans="1:19" x14ac:dyDescent="0.25">
      <c r="A320" t="s">
        <v>609</v>
      </c>
      <c r="B320">
        <v>60958259.366247326</v>
      </c>
      <c r="C320">
        <v>44851391.366247326</v>
      </c>
      <c r="D320">
        <v>1382658</v>
      </c>
      <c r="E320">
        <v>0</v>
      </c>
      <c r="F320">
        <v>9499506</v>
      </c>
      <c r="G320">
        <v>5224704</v>
      </c>
      <c r="H320">
        <v>9709</v>
      </c>
      <c r="K320">
        <v>6243740.6337526739</v>
      </c>
      <c r="L320">
        <f t="shared" si="11"/>
        <v>76911000</v>
      </c>
      <c r="M320">
        <v>91315</v>
      </c>
      <c r="N320">
        <v>91244</v>
      </c>
      <c r="O320">
        <v>71</v>
      </c>
      <c r="P320" s="188">
        <f t="shared" si="10"/>
        <v>0.84226030772600335</v>
      </c>
      <c r="Q320">
        <v>705</v>
      </c>
      <c r="R320">
        <v>15</v>
      </c>
      <c r="S320" s="188">
        <v>5.57E-2</v>
      </c>
    </row>
    <row r="321" spans="1:19" x14ac:dyDescent="0.25">
      <c r="A321" t="s">
        <v>324</v>
      </c>
      <c r="B321">
        <v>142868850.15122011</v>
      </c>
      <c r="C321">
        <v>130352629.15122011</v>
      </c>
      <c r="D321">
        <v>2465991</v>
      </c>
      <c r="E321">
        <v>0</v>
      </c>
      <c r="F321">
        <v>7864033</v>
      </c>
      <c r="G321">
        <v>2186197</v>
      </c>
      <c r="H321">
        <v>29060</v>
      </c>
      <c r="K321">
        <v>2380149.848779887</v>
      </c>
      <c r="L321">
        <f t="shared" si="11"/>
        <v>174309000</v>
      </c>
      <c r="M321">
        <v>293516</v>
      </c>
      <c r="N321">
        <v>320183</v>
      </c>
      <c r="O321">
        <v>-26667</v>
      </c>
      <c r="P321" s="188">
        <f t="shared" si="10"/>
        <v>0.59386541108491531</v>
      </c>
      <c r="Q321">
        <v>4719</v>
      </c>
      <c r="R321">
        <v>81</v>
      </c>
      <c r="S321" s="188">
        <v>3.5299999999999998E-2</v>
      </c>
    </row>
    <row r="322" spans="1:19" x14ac:dyDescent="0.25">
      <c r="A322" t="s">
        <v>140</v>
      </c>
      <c r="B322">
        <v>47758832.066301361</v>
      </c>
      <c r="C322">
        <v>41195930.066301361</v>
      </c>
      <c r="D322">
        <v>791030</v>
      </c>
      <c r="E322">
        <v>0</v>
      </c>
      <c r="F322">
        <v>4868270</v>
      </c>
      <c r="G322">
        <v>903602</v>
      </c>
      <c r="H322">
        <v>10350</v>
      </c>
      <c r="K322">
        <v>626167.93369863927</v>
      </c>
      <c r="L322">
        <f t="shared" si="11"/>
        <v>58735000</v>
      </c>
      <c r="M322">
        <v>79576</v>
      </c>
      <c r="N322">
        <v>77409</v>
      </c>
      <c r="O322">
        <v>2167</v>
      </c>
      <c r="P322" s="188">
        <f t="shared" si="10"/>
        <v>0.73809942696290343</v>
      </c>
      <c r="Q322">
        <v>2701</v>
      </c>
      <c r="R322">
        <v>2366</v>
      </c>
      <c r="S322" s="188">
        <v>0.03</v>
      </c>
    </row>
    <row r="323" spans="1:19" x14ac:dyDescent="0.25">
      <c r="A323" t="s">
        <v>325</v>
      </c>
      <c r="B323">
        <v>17470135.047347955</v>
      </c>
      <c r="C323">
        <v>16157853.047347955</v>
      </c>
      <c r="D323">
        <v>529288</v>
      </c>
      <c r="E323">
        <v>0</v>
      </c>
      <c r="F323">
        <v>58212</v>
      </c>
      <c r="G323">
        <v>724782</v>
      </c>
      <c r="H323">
        <v>3645</v>
      </c>
      <c r="K323">
        <v>259864.95265204459</v>
      </c>
      <c r="L323">
        <f t="shared" si="11"/>
        <v>21375000</v>
      </c>
      <c r="M323">
        <v>44997</v>
      </c>
      <c r="N323">
        <v>49325</v>
      </c>
      <c r="O323">
        <v>-4328</v>
      </c>
      <c r="P323" s="188">
        <f t="shared" si="10"/>
        <v>0.47503166877791853</v>
      </c>
      <c r="Q323">
        <v>7357</v>
      </c>
      <c r="R323">
        <v>140</v>
      </c>
      <c r="S323" s="188">
        <v>3.4200000000000001E-2</v>
      </c>
    </row>
    <row r="324" spans="1:19" x14ac:dyDescent="0.25">
      <c r="A324" t="s">
        <v>162</v>
      </c>
      <c r="B324">
        <v>33279251.758516978</v>
      </c>
      <c r="C324">
        <v>29319834.758516978</v>
      </c>
      <c r="D324">
        <v>932397</v>
      </c>
      <c r="E324">
        <v>0</v>
      </c>
      <c r="F324">
        <v>2417761</v>
      </c>
      <c r="G324">
        <v>609259</v>
      </c>
      <c r="H324">
        <v>6337</v>
      </c>
      <c r="K324">
        <v>192748.24148302153</v>
      </c>
      <c r="L324">
        <f t="shared" si="11"/>
        <v>39809000</v>
      </c>
      <c r="M324">
        <v>57002</v>
      </c>
      <c r="N324">
        <v>57546</v>
      </c>
      <c r="O324">
        <v>-544</v>
      </c>
      <c r="P324" s="188">
        <f t="shared" si="10"/>
        <v>0.69837900424546506</v>
      </c>
      <c r="Q324">
        <v>375</v>
      </c>
      <c r="R324">
        <v>96</v>
      </c>
      <c r="S324" s="188">
        <v>5.4100000000000002E-2</v>
      </c>
    </row>
    <row r="325" spans="1:19" x14ac:dyDescent="0.25">
      <c r="A325" t="s">
        <v>209</v>
      </c>
      <c r="B325">
        <v>62026919.447795905</v>
      </c>
      <c r="C325">
        <v>55508110.447795905</v>
      </c>
      <c r="D325">
        <v>704260</v>
      </c>
      <c r="E325">
        <v>0</v>
      </c>
      <c r="F325">
        <v>4808764</v>
      </c>
      <c r="G325">
        <v>1005785</v>
      </c>
      <c r="H325">
        <v>14233</v>
      </c>
      <c r="K325">
        <v>975080.55220409483</v>
      </c>
      <c r="L325">
        <f t="shared" si="11"/>
        <v>77235000</v>
      </c>
      <c r="M325">
        <v>101353</v>
      </c>
      <c r="N325">
        <v>102515</v>
      </c>
      <c r="O325">
        <v>-1162</v>
      </c>
      <c r="P325" s="188">
        <f t="shared" si="10"/>
        <v>0.76203960415577243</v>
      </c>
      <c r="Q325">
        <v>1028</v>
      </c>
      <c r="R325">
        <v>38</v>
      </c>
      <c r="S325" s="188">
        <v>5.21E-2</v>
      </c>
    </row>
    <row r="326" spans="1:19" x14ac:dyDescent="0.25">
      <c r="A326" t="s">
        <v>279</v>
      </c>
      <c r="B326">
        <v>27190447.456294075</v>
      </c>
      <c r="C326">
        <v>25535171.456294075</v>
      </c>
      <c r="D326">
        <v>210167</v>
      </c>
      <c r="E326">
        <v>0</v>
      </c>
      <c r="F326">
        <v>804797</v>
      </c>
      <c r="G326">
        <v>640312</v>
      </c>
      <c r="H326">
        <v>6802</v>
      </c>
      <c r="K326">
        <v>448552.54370592535</v>
      </c>
      <c r="L326">
        <f t="shared" si="11"/>
        <v>34441000</v>
      </c>
      <c r="M326">
        <v>51501</v>
      </c>
      <c r="N326">
        <v>55026</v>
      </c>
      <c r="O326">
        <v>-3525</v>
      </c>
      <c r="P326" s="188">
        <f t="shared" si="10"/>
        <v>0.66874429622725773</v>
      </c>
      <c r="Q326">
        <v>545</v>
      </c>
      <c r="R326">
        <v>34</v>
      </c>
      <c r="S326" s="188">
        <v>5.0700000000000002E-2</v>
      </c>
    </row>
    <row r="327" spans="1:19" x14ac:dyDescent="0.25">
      <c r="A327" t="s">
        <v>234</v>
      </c>
      <c r="B327">
        <v>32252789.167752437</v>
      </c>
      <c r="C327">
        <v>29036668.167752437</v>
      </c>
      <c r="D327">
        <v>1144191</v>
      </c>
      <c r="E327">
        <v>0</v>
      </c>
      <c r="F327">
        <v>1485976</v>
      </c>
      <c r="G327">
        <v>585954</v>
      </c>
      <c r="H327">
        <v>6590</v>
      </c>
      <c r="K327">
        <v>540210.83224756271</v>
      </c>
      <c r="L327">
        <f t="shared" si="11"/>
        <v>39383000</v>
      </c>
      <c r="M327">
        <v>55273</v>
      </c>
      <c r="N327">
        <v>54993</v>
      </c>
      <c r="O327">
        <v>280</v>
      </c>
      <c r="P327" s="188">
        <f t="shared" si="10"/>
        <v>0.71251786586579346</v>
      </c>
      <c r="Q327">
        <v>1724</v>
      </c>
      <c r="R327">
        <v>1148</v>
      </c>
      <c r="S327" s="188">
        <v>0.04</v>
      </c>
    </row>
    <row r="328" spans="1:19" x14ac:dyDescent="0.25">
      <c r="A328" t="s">
        <v>210</v>
      </c>
      <c r="B328">
        <v>53799440.629801326</v>
      </c>
      <c r="C328">
        <v>44803209.629801326</v>
      </c>
      <c r="D328">
        <v>441227</v>
      </c>
      <c r="E328">
        <v>0</v>
      </c>
      <c r="F328">
        <v>6670740</v>
      </c>
      <c r="G328">
        <v>1884264</v>
      </c>
      <c r="H328">
        <v>8751</v>
      </c>
      <c r="K328">
        <v>6921559.3701986745</v>
      </c>
      <c r="L328">
        <f t="shared" si="11"/>
        <v>69472000</v>
      </c>
      <c r="M328">
        <v>102471</v>
      </c>
      <c r="N328">
        <v>103361</v>
      </c>
      <c r="O328">
        <v>-890</v>
      </c>
      <c r="P328" s="188">
        <f t="shared" si="10"/>
        <v>0.67796742492998019</v>
      </c>
      <c r="Q328">
        <v>736</v>
      </c>
      <c r="R328">
        <v>61</v>
      </c>
      <c r="S328" s="188">
        <v>3.7100000000000001E-2</v>
      </c>
    </row>
    <row r="329" spans="1:19" x14ac:dyDescent="0.25">
      <c r="A329" t="s">
        <v>398</v>
      </c>
      <c r="B329">
        <v>31948159.552379392</v>
      </c>
      <c r="C329">
        <v>27570950.552379392</v>
      </c>
      <c r="D329">
        <v>1334460</v>
      </c>
      <c r="E329">
        <v>0</v>
      </c>
      <c r="F329">
        <v>2421424</v>
      </c>
      <c r="G329">
        <v>621325</v>
      </c>
      <c r="H329">
        <v>6674</v>
      </c>
      <c r="K329">
        <v>27840.447620607913</v>
      </c>
      <c r="L329">
        <f t="shared" si="11"/>
        <v>38650000</v>
      </c>
      <c r="M329">
        <v>50116</v>
      </c>
      <c r="N329">
        <v>50501</v>
      </c>
      <c r="O329">
        <v>-385</v>
      </c>
      <c r="P329" s="188">
        <f t="shared" si="10"/>
        <v>0.77121079096496126</v>
      </c>
      <c r="Q329">
        <v>229</v>
      </c>
      <c r="R329">
        <v>22</v>
      </c>
      <c r="S329" s="188">
        <v>5.0599999999999999E-2</v>
      </c>
    </row>
    <row r="330" spans="1:19" x14ac:dyDescent="0.25">
      <c r="A330" t="s">
        <v>235</v>
      </c>
      <c r="B330">
        <v>76831890.052703947</v>
      </c>
      <c r="C330">
        <v>68567325.052703947</v>
      </c>
      <c r="D330">
        <v>879321</v>
      </c>
      <c r="E330">
        <v>0</v>
      </c>
      <c r="F330">
        <v>6037120</v>
      </c>
      <c r="G330">
        <v>1348124</v>
      </c>
      <c r="H330">
        <v>14118</v>
      </c>
      <c r="K330">
        <v>1764109.9472960532</v>
      </c>
      <c r="L330">
        <f t="shared" si="11"/>
        <v>92714000</v>
      </c>
      <c r="M330">
        <v>137060</v>
      </c>
      <c r="N330">
        <v>138039</v>
      </c>
      <c r="O330">
        <v>-979</v>
      </c>
      <c r="P330" s="188">
        <f t="shared" si="10"/>
        <v>0.67644827083029335</v>
      </c>
      <c r="Q330">
        <v>2807</v>
      </c>
      <c r="R330">
        <v>164</v>
      </c>
      <c r="S330" s="188">
        <v>2.98E-2</v>
      </c>
    </row>
    <row r="331" spans="1:19" x14ac:dyDescent="0.25">
      <c r="A331" t="s">
        <v>280</v>
      </c>
      <c r="B331">
        <v>22399208.442049719</v>
      </c>
      <c r="C331">
        <v>20772664.442049719</v>
      </c>
      <c r="D331">
        <v>386256</v>
      </c>
      <c r="E331">
        <v>0</v>
      </c>
      <c r="F331">
        <v>687435</v>
      </c>
      <c r="G331">
        <v>552853</v>
      </c>
      <c r="H331">
        <v>6215</v>
      </c>
      <c r="K331">
        <v>318791.55795028061</v>
      </c>
      <c r="L331">
        <f t="shared" si="11"/>
        <v>28933000</v>
      </c>
      <c r="M331">
        <v>37579</v>
      </c>
      <c r="N331">
        <v>37490</v>
      </c>
      <c r="O331">
        <v>89</v>
      </c>
      <c r="P331" s="188">
        <f t="shared" si="10"/>
        <v>0.76992469198222413</v>
      </c>
      <c r="Q331">
        <v>1288</v>
      </c>
      <c r="R331">
        <v>366</v>
      </c>
      <c r="S331" s="188">
        <v>4.8899999999999999E-2</v>
      </c>
    </row>
    <row r="332" spans="1:19" x14ac:dyDescent="0.25">
      <c r="A332" t="s">
        <v>236</v>
      </c>
      <c r="B332">
        <v>17312522.354633283</v>
      </c>
      <c r="C332">
        <v>15867898.354633283</v>
      </c>
      <c r="D332">
        <v>551523</v>
      </c>
      <c r="E332">
        <v>0</v>
      </c>
      <c r="F332">
        <v>428231</v>
      </c>
      <c r="G332">
        <v>464870</v>
      </c>
      <c r="H332">
        <v>2409</v>
      </c>
      <c r="K332">
        <v>316477.64536671713</v>
      </c>
      <c r="L332">
        <f t="shared" si="11"/>
        <v>20038000</v>
      </c>
      <c r="M332">
        <v>47961</v>
      </c>
      <c r="N332">
        <v>48702</v>
      </c>
      <c r="O332">
        <v>-741</v>
      </c>
      <c r="P332" s="188">
        <f t="shared" si="10"/>
        <v>0.41779779404099165</v>
      </c>
      <c r="Q332">
        <v>308</v>
      </c>
      <c r="R332">
        <v>0</v>
      </c>
      <c r="S332" s="188">
        <v>5.6500000000000002E-2</v>
      </c>
    </row>
    <row r="333" spans="1:19" x14ac:dyDescent="0.25">
      <c r="A333" t="s">
        <v>281</v>
      </c>
      <c r="B333">
        <v>304377568.06702173</v>
      </c>
      <c r="C333">
        <v>251646025.06702176</v>
      </c>
      <c r="D333">
        <v>4800479</v>
      </c>
      <c r="E333">
        <v>13572194</v>
      </c>
      <c r="F333">
        <v>10298120</v>
      </c>
      <c r="G333">
        <v>24060750</v>
      </c>
      <c r="H333">
        <v>87463</v>
      </c>
      <c r="K333">
        <v>18350431.932978272</v>
      </c>
      <c r="L333">
        <f t="shared" si="11"/>
        <v>410191000</v>
      </c>
      <c r="M333">
        <v>545367</v>
      </c>
      <c r="N333">
        <v>545934</v>
      </c>
      <c r="O333">
        <v>-567</v>
      </c>
      <c r="P333" s="188">
        <f t="shared" si="10"/>
        <v>0.75213755141033467</v>
      </c>
      <c r="Q333">
        <v>9389</v>
      </c>
      <c r="R333">
        <v>2271</v>
      </c>
      <c r="S333" s="188">
        <v>3.5000000000000003E-2</v>
      </c>
    </row>
    <row r="334" spans="1:19" x14ac:dyDescent="0.25">
      <c r="A334" t="s">
        <v>211</v>
      </c>
      <c r="B334">
        <v>43590680.98960308</v>
      </c>
      <c r="C334">
        <v>37767826.98960308</v>
      </c>
      <c r="D334">
        <v>1217339</v>
      </c>
      <c r="E334">
        <v>0</v>
      </c>
      <c r="F334">
        <v>3622609</v>
      </c>
      <c r="G334">
        <v>982906</v>
      </c>
      <c r="H334">
        <v>7507</v>
      </c>
      <c r="K334">
        <v>1041319.0103969201</v>
      </c>
      <c r="L334">
        <f t="shared" si="11"/>
        <v>52139000</v>
      </c>
      <c r="M334">
        <v>80336</v>
      </c>
      <c r="N334">
        <v>77803</v>
      </c>
      <c r="O334">
        <v>2533</v>
      </c>
      <c r="P334" s="188">
        <f t="shared" si="10"/>
        <v>0.64901165106552483</v>
      </c>
      <c r="Q334">
        <v>3038</v>
      </c>
      <c r="R334">
        <v>91</v>
      </c>
      <c r="S334" s="188">
        <v>3.6699999999999997E-2</v>
      </c>
    </row>
    <row r="335" spans="1:19" x14ac:dyDescent="0.25">
      <c r="A335" t="s">
        <v>282</v>
      </c>
      <c r="B335">
        <v>27263585.340325896</v>
      </c>
      <c r="C335">
        <v>24314213.340325896</v>
      </c>
      <c r="D335">
        <v>287109</v>
      </c>
      <c r="E335">
        <v>0</v>
      </c>
      <c r="F335">
        <v>713904</v>
      </c>
      <c r="G335">
        <v>1948359</v>
      </c>
      <c r="H335">
        <v>11028</v>
      </c>
      <c r="K335">
        <v>297414.6596741043</v>
      </c>
      <c r="L335">
        <f t="shared" si="11"/>
        <v>38589000</v>
      </c>
      <c r="M335">
        <v>57945</v>
      </c>
      <c r="N335">
        <v>58406</v>
      </c>
      <c r="O335">
        <v>-461</v>
      </c>
      <c r="P335" s="188">
        <f t="shared" si="10"/>
        <v>0.6659590991457417</v>
      </c>
      <c r="Q335">
        <v>2842</v>
      </c>
      <c r="R335">
        <v>2556</v>
      </c>
      <c r="S335" s="188">
        <v>2.9500000000000002E-2</v>
      </c>
    </row>
    <row r="336" spans="1:19" x14ac:dyDescent="0.25">
      <c r="A336" t="s">
        <v>434</v>
      </c>
      <c r="B336">
        <v>31573670.98177268</v>
      </c>
      <c r="C336">
        <v>28858766.98177268</v>
      </c>
      <c r="D336">
        <v>925023</v>
      </c>
      <c r="E336">
        <v>0</v>
      </c>
      <c r="F336">
        <v>472125</v>
      </c>
      <c r="G336">
        <v>1317756</v>
      </c>
      <c r="H336">
        <v>7763</v>
      </c>
      <c r="K336">
        <v>332329.01822732016</v>
      </c>
      <c r="L336">
        <f t="shared" si="11"/>
        <v>39669000</v>
      </c>
      <c r="M336">
        <v>54194</v>
      </c>
      <c r="N336">
        <v>55220</v>
      </c>
      <c r="O336">
        <v>-1026</v>
      </c>
      <c r="P336" s="188">
        <f t="shared" si="10"/>
        <v>0.73198140015499868</v>
      </c>
      <c r="Q336">
        <v>1354</v>
      </c>
      <c r="R336">
        <v>1029</v>
      </c>
      <c r="S336" s="188">
        <v>4.7400000000000005E-2</v>
      </c>
    </row>
    <row r="337" spans="1:19" x14ac:dyDescent="0.25">
      <c r="A337" t="s">
        <v>237</v>
      </c>
      <c r="B337">
        <v>104970387.21914852</v>
      </c>
      <c r="C337">
        <v>92097542.219148517</v>
      </c>
      <c r="D337">
        <v>4122075</v>
      </c>
      <c r="E337">
        <v>0</v>
      </c>
      <c r="F337">
        <v>5991670</v>
      </c>
      <c r="G337">
        <v>2759100</v>
      </c>
      <c r="H337">
        <v>30350</v>
      </c>
      <c r="K337">
        <v>2057612.7808514833</v>
      </c>
      <c r="L337">
        <f t="shared" si="11"/>
        <v>137378000</v>
      </c>
      <c r="M337">
        <v>167587</v>
      </c>
      <c r="N337">
        <v>167226</v>
      </c>
      <c r="O337">
        <v>361</v>
      </c>
      <c r="P337" s="188">
        <f t="shared" si="10"/>
        <v>0.81974138805515939</v>
      </c>
      <c r="Q337">
        <v>2863</v>
      </c>
      <c r="R337">
        <v>308</v>
      </c>
      <c r="S337" s="188">
        <v>4.36E-2</v>
      </c>
    </row>
    <row r="338" spans="1:19" x14ac:dyDescent="0.25">
      <c r="A338" t="s">
        <v>212</v>
      </c>
      <c r="B338">
        <v>72262886.129281804</v>
      </c>
      <c r="C338">
        <v>64729473.129281804</v>
      </c>
      <c r="D338">
        <v>1114856</v>
      </c>
      <c r="E338">
        <v>0</v>
      </c>
      <c r="F338">
        <v>5056144</v>
      </c>
      <c r="G338">
        <v>1362413</v>
      </c>
      <c r="H338">
        <v>17901</v>
      </c>
      <c r="K338">
        <v>1730113.870718196</v>
      </c>
      <c r="L338">
        <f t="shared" si="11"/>
        <v>91894000</v>
      </c>
      <c r="M338">
        <v>140344</v>
      </c>
      <c r="N338">
        <v>145095</v>
      </c>
      <c r="O338">
        <v>-4751</v>
      </c>
      <c r="P338" s="188">
        <f t="shared" si="10"/>
        <v>0.6547768340648692</v>
      </c>
      <c r="Q338">
        <v>4186</v>
      </c>
      <c r="R338">
        <v>3047</v>
      </c>
      <c r="S338" s="188">
        <v>4.7100000000000003E-2</v>
      </c>
    </row>
    <row r="339" spans="1:19" x14ac:dyDescent="0.25">
      <c r="A339" t="s">
        <v>326</v>
      </c>
      <c r="B339">
        <v>212928631.86975983</v>
      </c>
      <c r="C339">
        <v>193345105.86975983</v>
      </c>
      <c r="D339">
        <v>4776916</v>
      </c>
      <c r="E339">
        <v>0</v>
      </c>
      <c r="F339">
        <v>9116574</v>
      </c>
      <c r="G339">
        <v>5690036</v>
      </c>
      <c r="H339">
        <v>59109</v>
      </c>
      <c r="K339">
        <v>6560368.1302401721</v>
      </c>
      <c r="L339">
        <f t="shared" si="11"/>
        <v>278598000</v>
      </c>
      <c r="M339">
        <v>376905</v>
      </c>
      <c r="N339">
        <v>390463</v>
      </c>
      <c r="O339">
        <v>-13558</v>
      </c>
      <c r="P339" s="188">
        <f t="shared" si="10"/>
        <v>0.73917300115413698</v>
      </c>
      <c r="Q339">
        <v>10788</v>
      </c>
      <c r="R339">
        <v>2920</v>
      </c>
      <c r="S339" s="188">
        <v>5.2300000000000006E-2</v>
      </c>
    </row>
    <row r="340" spans="1:19" x14ac:dyDescent="0.25">
      <c r="A340" t="s">
        <v>327</v>
      </c>
      <c r="B340">
        <v>11290939.269207632</v>
      </c>
      <c r="C340">
        <v>10786588.269207632</v>
      </c>
      <c r="D340">
        <v>161220</v>
      </c>
      <c r="E340">
        <v>0</v>
      </c>
      <c r="F340">
        <v>47801</v>
      </c>
      <c r="G340">
        <v>295330</v>
      </c>
      <c r="H340">
        <v>1466</v>
      </c>
      <c r="K340">
        <v>196060.73079236783</v>
      </c>
      <c r="L340">
        <f t="shared" si="11"/>
        <v>12953000</v>
      </c>
      <c r="M340">
        <v>23087</v>
      </c>
      <c r="N340">
        <v>23373</v>
      </c>
      <c r="O340">
        <v>-286</v>
      </c>
      <c r="P340" s="188">
        <f t="shared" si="10"/>
        <v>0.56105167410230861</v>
      </c>
      <c r="Q340">
        <v>1168</v>
      </c>
      <c r="R340">
        <v>840</v>
      </c>
      <c r="S340" s="188">
        <v>3.2500000000000001E-2</v>
      </c>
    </row>
    <row r="341" spans="1:19" x14ac:dyDescent="0.25">
      <c r="A341" t="s">
        <v>328</v>
      </c>
      <c r="B341">
        <v>56280371.205300547</v>
      </c>
      <c r="C341">
        <v>51762476.205300547</v>
      </c>
      <c r="D341">
        <v>1268733</v>
      </c>
      <c r="E341">
        <v>0</v>
      </c>
      <c r="F341">
        <v>2245913</v>
      </c>
      <c r="G341">
        <v>1003249</v>
      </c>
      <c r="H341">
        <v>12961</v>
      </c>
      <c r="K341">
        <v>1051628.7946994528</v>
      </c>
      <c r="L341">
        <f t="shared" si="11"/>
        <v>70293000</v>
      </c>
      <c r="M341">
        <v>104859</v>
      </c>
      <c r="N341">
        <v>109769</v>
      </c>
      <c r="O341">
        <v>-4910</v>
      </c>
      <c r="P341" s="188">
        <f t="shared" si="10"/>
        <v>0.67035733699539379</v>
      </c>
      <c r="Q341">
        <v>4112</v>
      </c>
      <c r="R341">
        <v>2106</v>
      </c>
      <c r="S341" s="188">
        <v>4.9200000000000001E-2</v>
      </c>
    </row>
    <row r="342" spans="1:19" x14ac:dyDescent="0.25">
      <c r="A342" t="s">
        <v>399</v>
      </c>
      <c r="B342">
        <v>30672886.480006449</v>
      </c>
      <c r="C342">
        <v>26855764.480006449</v>
      </c>
      <c r="D342">
        <v>1061666</v>
      </c>
      <c r="E342">
        <v>0</v>
      </c>
      <c r="F342">
        <v>2220381</v>
      </c>
      <c r="G342">
        <v>535075</v>
      </c>
      <c r="H342">
        <v>3095</v>
      </c>
      <c r="K342">
        <v>760113.51999355108</v>
      </c>
      <c r="L342">
        <f t="shared" si="11"/>
        <v>34528000</v>
      </c>
      <c r="M342">
        <v>50593</v>
      </c>
      <c r="N342">
        <v>50763</v>
      </c>
      <c r="O342">
        <v>-170</v>
      </c>
      <c r="P342" s="188">
        <f t="shared" si="10"/>
        <v>0.6824659537880734</v>
      </c>
      <c r="Q342">
        <v>333</v>
      </c>
      <c r="R342">
        <v>26</v>
      </c>
      <c r="S342" s="188">
        <v>3.3399999999999999E-2</v>
      </c>
    </row>
    <row r="343" spans="1:19" x14ac:dyDescent="0.25">
      <c r="A343" t="s">
        <v>213</v>
      </c>
      <c r="B343">
        <v>98569090.676672548</v>
      </c>
      <c r="C343">
        <v>82918829.676672548</v>
      </c>
      <c r="D343">
        <v>2206481</v>
      </c>
      <c r="E343">
        <v>0</v>
      </c>
      <c r="F343">
        <v>11348871</v>
      </c>
      <c r="G343">
        <v>2094909</v>
      </c>
      <c r="H343">
        <v>28649</v>
      </c>
      <c r="K343">
        <v>2483909.3233274519</v>
      </c>
      <c r="L343">
        <f t="shared" si="11"/>
        <v>129702000</v>
      </c>
      <c r="M343">
        <v>169406</v>
      </c>
      <c r="N343">
        <v>169439</v>
      </c>
      <c r="O343">
        <v>-33</v>
      </c>
      <c r="P343" s="188">
        <f t="shared" si="10"/>
        <v>0.76562813595740409</v>
      </c>
      <c r="Q343">
        <v>4607</v>
      </c>
      <c r="R343">
        <v>2629</v>
      </c>
      <c r="S343" s="188">
        <v>3.4099999999999998E-2</v>
      </c>
    </row>
    <row r="344" spans="1:19" x14ac:dyDescent="0.25">
      <c r="A344" t="s">
        <v>163</v>
      </c>
      <c r="B344" s="128">
        <v>31217775.941769373</v>
      </c>
      <c r="C344" s="128">
        <v>28484978.941769373</v>
      </c>
      <c r="D344" s="128">
        <v>708242</v>
      </c>
      <c r="E344" s="128">
        <v>0</v>
      </c>
      <c r="F344" s="128">
        <v>1110787</v>
      </c>
      <c r="G344" s="128">
        <v>913768</v>
      </c>
      <c r="H344" s="128">
        <v>4540</v>
      </c>
      <c r="I344" s="128"/>
      <c r="J344" s="128"/>
      <c r="K344" s="128">
        <v>1052224.0582306273</v>
      </c>
      <c r="L344">
        <f t="shared" si="11"/>
        <v>36810000</v>
      </c>
      <c r="M344" s="128">
        <v>54830</v>
      </c>
      <c r="N344" s="128">
        <v>55563</v>
      </c>
      <c r="O344" s="128">
        <v>-733</v>
      </c>
      <c r="P344" s="188">
        <f t="shared" si="10"/>
        <v>0.67134780229801205</v>
      </c>
      <c r="Q344" s="128">
        <v>907</v>
      </c>
      <c r="R344">
        <v>333</v>
      </c>
      <c r="S344" s="188">
        <v>3.9900000000000005E-2</v>
      </c>
    </row>
    <row r="345" spans="1:19" x14ac:dyDescent="0.25">
      <c r="A345" t="s">
        <v>329</v>
      </c>
      <c r="B345">
        <v>77244807.873840436</v>
      </c>
      <c r="C345">
        <v>70685082.873840436</v>
      </c>
      <c r="D345">
        <v>1273801</v>
      </c>
      <c r="E345">
        <v>0</v>
      </c>
      <c r="F345">
        <v>3939772</v>
      </c>
      <c r="G345">
        <v>1346152</v>
      </c>
      <c r="H345">
        <v>20267</v>
      </c>
      <c r="K345">
        <v>2601192.1261595637</v>
      </c>
      <c r="L345">
        <f t="shared" si="11"/>
        <v>100113000</v>
      </c>
      <c r="M345">
        <v>136450</v>
      </c>
      <c r="N345">
        <v>138959</v>
      </c>
      <c r="O345">
        <v>-2509</v>
      </c>
      <c r="P345" s="188">
        <f t="shared" si="10"/>
        <v>0.73369732502748264</v>
      </c>
      <c r="Q345">
        <v>3280</v>
      </c>
      <c r="R345">
        <v>2602</v>
      </c>
      <c r="S345" s="188">
        <v>3.9699999999999999E-2</v>
      </c>
    </row>
    <row r="346" spans="1:19" x14ac:dyDescent="0.25">
      <c r="A346" t="s">
        <v>164</v>
      </c>
      <c r="B346">
        <v>331703968.28310221</v>
      </c>
      <c r="C346">
        <v>203291458.28310221</v>
      </c>
      <c r="D346">
        <v>5655394</v>
      </c>
      <c r="E346">
        <v>79697144</v>
      </c>
      <c r="F346">
        <v>15319619</v>
      </c>
      <c r="G346">
        <v>27740353</v>
      </c>
      <c r="H346">
        <v>66480</v>
      </c>
      <c r="K346">
        <v>7723031.7168977857</v>
      </c>
      <c r="L346">
        <f t="shared" si="11"/>
        <v>405907000</v>
      </c>
      <c r="M346">
        <v>510521</v>
      </c>
      <c r="N346">
        <v>520487</v>
      </c>
      <c r="O346">
        <v>-9966</v>
      </c>
      <c r="P346" s="188">
        <f t="shared" si="10"/>
        <v>0.79508384571839352</v>
      </c>
      <c r="Q346">
        <v>15215</v>
      </c>
      <c r="R346">
        <v>1127</v>
      </c>
      <c r="S346" s="188">
        <v>5.3600000000000002E-2</v>
      </c>
    </row>
    <row r="347" spans="1:19" x14ac:dyDescent="0.25">
      <c r="A347" t="s">
        <v>442</v>
      </c>
      <c r="B347">
        <f t="shared" ref="B347:K347" si="12">SUM(B2:B346)</f>
        <v>33462346916.652935</v>
      </c>
      <c r="C347">
        <f t="shared" si="12"/>
        <v>26874350661.255764</v>
      </c>
      <c r="D347">
        <f t="shared" si="12"/>
        <v>704591947.6333847</v>
      </c>
      <c r="E347">
        <f t="shared" si="12"/>
        <v>1938273998</v>
      </c>
      <c r="F347">
        <f t="shared" si="12"/>
        <v>2122679303.8033886</v>
      </c>
      <c r="G347">
        <f t="shared" si="12"/>
        <v>1822451005.9603698</v>
      </c>
      <c r="H347" s="129">
        <f t="shared" si="12"/>
        <v>8797326.6347430348</v>
      </c>
      <c r="I347">
        <f t="shared" si="12"/>
        <v>0</v>
      </c>
      <c r="J347">
        <f t="shared" si="12"/>
        <v>0</v>
      </c>
      <c r="K347">
        <f t="shared" si="12"/>
        <v>1371979825.8555348</v>
      </c>
      <c r="L347">
        <f t="shared" si="11"/>
        <v>43631653377.251503</v>
      </c>
      <c r="M347" s="129">
        <f>SUM(M2:M346)</f>
        <v>60434566.034588993</v>
      </c>
      <c r="N347" s="129">
        <f>SUM(N2:N346)</f>
        <v>61649685.387900859</v>
      </c>
      <c r="O347" s="129">
        <f>SUM(O2:O346)</f>
        <v>-1215119.3533118609</v>
      </c>
      <c r="P347" s="188">
        <f t="shared" si="10"/>
        <v>0.72196519707412898</v>
      </c>
      <c r="Q347" s="129">
        <f>SUM(Q2:Q346)</f>
        <v>1620890.5644867667</v>
      </c>
      <c r="R347">
        <v>691427</v>
      </c>
      <c r="S347" s="188">
        <v>4.41E-2</v>
      </c>
    </row>
    <row r="351" spans="1:19" x14ac:dyDescent="0.25">
      <c r="A351" t="s">
        <v>270</v>
      </c>
      <c r="B351">
        <v>144431687.75733179</v>
      </c>
      <c r="C351">
        <v>124043896.75733179</v>
      </c>
      <c r="D351">
        <v>1492788</v>
      </c>
      <c r="E351">
        <v>7542419</v>
      </c>
      <c r="F351">
        <v>7135035</v>
      </c>
      <c r="G351">
        <v>4217549</v>
      </c>
      <c r="H351">
        <v>39546</v>
      </c>
      <c r="K351">
        <v>3177312.2426682115</v>
      </c>
      <c r="L351">
        <f>SUM(B351,H351*1000,K351)</f>
        <v>187155000</v>
      </c>
      <c r="M351">
        <v>244017</v>
      </c>
      <c r="N351">
        <v>244496</v>
      </c>
      <c r="O351">
        <v>-479</v>
      </c>
      <c r="P351" s="188">
        <f>L351/(M351*1000)</f>
        <v>0.76697525172426506</v>
      </c>
      <c r="Q351">
        <v>3114</v>
      </c>
    </row>
    <row r="352" spans="1:19" x14ac:dyDescent="0.25">
      <c r="A352" t="s">
        <v>242</v>
      </c>
      <c r="B352">
        <v>12812133.415454512</v>
      </c>
      <c r="C352">
        <v>11994711.415454512</v>
      </c>
      <c r="D352">
        <v>326130</v>
      </c>
      <c r="E352">
        <v>0</v>
      </c>
      <c r="F352">
        <v>58212</v>
      </c>
      <c r="G352">
        <v>433080</v>
      </c>
      <c r="H352">
        <v>2508</v>
      </c>
      <c r="K352">
        <v>106866.58454548754</v>
      </c>
      <c r="L352">
        <f>SUM(B352,H352*1000,K352)</f>
        <v>15427000</v>
      </c>
      <c r="M352">
        <v>21970</v>
      </c>
      <c r="N352">
        <v>21949</v>
      </c>
      <c r="O352">
        <v>21</v>
      </c>
      <c r="P352" s="188">
        <f>L352/(M352*1000)</f>
        <v>0.70218479745106965</v>
      </c>
      <c r="Q352">
        <v>222</v>
      </c>
    </row>
    <row r="353" spans="1:17" x14ac:dyDescent="0.25">
      <c r="A353" t="s">
        <v>270</v>
      </c>
      <c r="B353">
        <f>SUM(B351:B352)</f>
        <v>157243821.1727863</v>
      </c>
      <c r="C353">
        <f t="shared" ref="C353:Q353" si="13">SUM(C351:C352)</f>
        <v>136038608.1727863</v>
      </c>
      <c r="D353">
        <f t="shared" si="13"/>
        <v>1818918</v>
      </c>
      <c r="E353">
        <f t="shared" si="13"/>
        <v>7542419</v>
      </c>
      <c r="F353">
        <f t="shared" si="13"/>
        <v>7193247</v>
      </c>
      <c r="G353">
        <f t="shared" si="13"/>
        <v>4650629</v>
      </c>
      <c r="H353">
        <f t="shared" si="13"/>
        <v>42054</v>
      </c>
      <c r="K353">
        <f t="shared" si="13"/>
        <v>3284178.827213699</v>
      </c>
      <c r="L353">
        <f t="shared" si="13"/>
        <v>202582000</v>
      </c>
      <c r="M353">
        <f t="shared" si="13"/>
        <v>265987</v>
      </c>
      <c r="N353">
        <f t="shared" si="13"/>
        <v>266445</v>
      </c>
      <c r="O353">
        <f t="shared" si="13"/>
        <v>-458</v>
      </c>
      <c r="P353" s="188">
        <f>L353/(M353*1000)</f>
        <v>0.76162368837574768</v>
      </c>
      <c r="Q353">
        <f t="shared" si="13"/>
        <v>3336</v>
      </c>
    </row>
    <row r="355" spans="1:17" x14ac:dyDescent="0.25">
      <c r="A355" t="s">
        <v>376</v>
      </c>
      <c r="B355">
        <v>24121791.811281029</v>
      </c>
      <c r="C355">
        <v>19270805.811281029</v>
      </c>
      <c r="D355">
        <v>1994786</v>
      </c>
      <c r="E355">
        <v>0</v>
      </c>
      <c r="F355">
        <v>2281390</v>
      </c>
      <c r="G355">
        <v>574810</v>
      </c>
      <c r="H355">
        <v>3294</v>
      </c>
      <c r="K355">
        <v>393208.18871897087</v>
      </c>
      <c r="L355">
        <f>SUM(B355,H355*1000,K355)</f>
        <v>27809000</v>
      </c>
      <c r="M355">
        <v>36879</v>
      </c>
      <c r="N355">
        <v>39035</v>
      </c>
      <c r="O355">
        <v>-2156</v>
      </c>
      <c r="P355" s="188">
        <f>L355/(M355*1000)</f>
        <v>0.75406057647983948</v>
      </c>
      <c r="Q355">
        <v>563</v>
      </c>
    </row>
    <row r="356" spans="1:17" x14ac:dyDescent="0.25">
      <c r="A356" t="s">
        <v>392</v>
      </c>
      <c r="B356">
        <v>70828769.13156952</v>
      </c>
      <c r="C356">
        <v>59487181.13156952</v>
      </c>
      <c r="D356">
        <v>1257621</v>
      </c>
      <c r="E356">
        <v>0</v>
      </c>
      <c r="F356">
        <v>8642175</v>
      </c>
      <c r="G356">
        <v>1441792</v>
      </c>
      <c r="H356">
        <v>14005</v>
      </c>
      <c r="K356">
        <v>1801230.8684304804</v>
      </c>
      <c r="L356">
        <f>SUM(B356,H356*1000,K356)</f>
        <v>86635000</v>
      </c>
      <c r="M356">
        <v>112785</v>
      </c>
      <c r="N356">
        <v>115661</v>
      </c>
      <c r="O356">
        <v>-2876</v>
      </c>
      <c r="P356" s="188">
        <f>L356/(M356*1000)</f>
        <v>0.76814292680764285</v>
      </c>
      <c r="Q356">
        <v>2736</v>
      </c>
    </row>
    <row r="357" spans="1:17" x14ac:dyDescent="0.25">
      <c r="A357" t="s">
        <v>869</v>
      </c>
      <c r="B357">
        <f>SUM(B355:B356)</f>
        <v>94950560.942850545</v>
      </c>
      <c r="C357">
        <f t="shared" ref="C357:Q357" si="14">SUM(C355:C356)</f>
        <v>78757986.942850545</v>
      </c>
      <c r="D357">
        <f t="shared" si="14"/>
        <v>3252407</v>
      </c>
      <c r="E357">
        <f t="shared" si="14"/>
        <v>0</v>
      </c>
      <c r="F357">
        <f t="shared" si="14"/>
        <v>10923565</v>
      </c>
      <c r="G357">
        <f t="shared" si="14"/>
        <v>2016602</v>
      </c>
      <c r="H357">
        <f t="shared" si="14"/>
        <v>17299</v>
      </c>
      <c r="K357">
        <f t="shared" si="14"/>
        <v>2194439.0571494512</v>
      </c>
      <c r="L357">
        <f t="shared" si="14"/>
        <v>114444000</v>
      </c>
      <c r="M357">
        <f t="shared" si="14"/>
        <v>149664</v>
      </c>
      <c r="N357">
        <f t="shared" si="14"/>
        <v>154696</v>
      </c>
      <c r="O357">
        <f t="shared" si="14"/>
        <v>-5032</v>
      </c>
      <c r="P357" s="188">
        <f>L357/(M357*1000)</f>
        <v>0.76467286722257855</v>
      </c>
      <c r="Q357">
        <f t="shared" si="14"/>
        <v>3299</v>
      </c>
    </row>
    <row r="359" spans="1:17" x14ac:dyDescent="0.25">
      <c r="A359" t="s">
        <v>256</v>
      </c>
      <c r="B359">
        <v>92231029.147686064</v>
      </c>
      <c r="C359">
        <v>80907300.147686064</v>
      </c>
      <c r="D359">
        <v>4724279</v>
      </c>
      <c r="E359">
        <v>0</v>
      </c>
      <c r="F359">
        <v>4815554</v>
      </c>
      <c r="G359">
        <v>1783896</v>
      </c>
      <c r="H359">
        <v>22018</v>
      </c>
      <c r="K359">
        <v>1970970.8523139358</v>
      </c>
      <c r="L359">
        <f>SUM(B359,H359*1000,K359)</f>
        <v>116220000</v>
      </c>
      <c r="M359">
        <v>163206</v>
      </c>
      <c r="N359">
        <v>173023</v>
      </c>
      <c r="O359">
        <v>-9817</v>
      </c>
      <c r="P359" s="188">
        <f>L359/(M359*1000)</f>
        <v>0.712106172567185</v>
      </c>
      <c r="Q359">
        <v>2655</v>
      </c>
    </row>
    <row r="360" spans="1:17" x14ac:dyDescent="0.25">
      <c r="A360" t="s">
        <v>264</v>
      </c>
      <c r="B360">
        <v>37542574.040242441</v>
      </c>
      <c r="C360">
        <v>33931122.040242441</v>
      </c>
      <c r="D360">
        <v>1216332</v>
      </c>
      <c r="E360">
        <v>0</v>
      </c>
      <c r="F360">
        <v>1738409</v>
      </c>
      <c r="G360">
        <v>656711</v>
      </c>
      <c r="H360">
        <v>4839</v>
      </c>
      <c r="K360">
        <v>0</v>
      </c>
      <c r="L360">
        <f>SUM(B360,H360*1000,K360)</f>
        <v>42381574.040242441</v>
      </c>
      <c r="M360">
        <v>72891</v>
      </c>
      <c r="N360">
        <v>75772</v>
      </c>
      <c r="O360">
        <v>-2881</v>
      </c>
      <c r="P360" s="188">
        <f>L360/(M360*1000)</f>
        <v>0.58143768147291763</v>
      </c>
      <c r="Q360">
        <v>3103</v>
      </c>
    </row>
    <row r="361" spans="1:17" x14ac:dyDescent="0.25">
      <c r="A361" t="s">
        <v>867</v>
      </c>
      <c r="B361">
        <f>SUM(B359:B360)</f>
        <v>129773603.1879285</v>
      </c>
      <c r="C361">
        <f t="shared" ref="C361:Q361" si="15">SUM(C359:C360)</f>
        <v>114838422.1879285</v>
      </c>
      <c r="D361">
        <f t="shared" si="15"/>
        <v>5940611</v>
      </c>
      <c r="E361">
        <f t="shared" si="15"/>
        <v>0</v>
      </c>
      <c r="F361">
        <f t="shared" si="15"/>
        <v>6553963</v>
      </c>
      <c r="G361">
        <f t="shared" si="15"/>
        <v>2440607</v>
      </c>
      <c r="H361">
        <f t="shared" si="15"/>
        <v>26857</v>
      </c>
      <c r="K361">
        <f t="shared" si="15"/>
        <v>1970970.8523139358</v>
      </c>
      <c r="L361">
        <f t="shared" si="15"/>
        <v>158601574.04024243</v>
      </c>
      <c r="M361">
        <f t="shared" si="15"/>
        <v>236097</v>
      </c>
      <c r="N361">
        <f t="shared" si="15"/>
        <v>248795</v>
      </c>
      <c r="O361">
        <f t="shared" si="15"/>
        <v>-12698</v>
      </c>
      <c r="P361" s="188">
        <f>L361/(M361*1000)</f>
        <v>0.67176446138766033</v>
      </c>
      <c r="Q361">
        <f t="shared" si="15"/>
        <v>5758</v>
      </c>
    </row>
    <row r="363" spans="1:17" s="86" customFormat="1" x14ac:dyDescent="0.25">
      <c r="A363" s="86" t="s">
        <v>119</v>
      </c>
      <c r="B363" s="86">
        <v>29965120.237361606</v>
      </c>
      <c r="C363" s="86">
        <v>23358002.237361606</v>
      </c>
      <c r="D363" s="86">
        <v>559841</v>
      </c>
      <c r="E363" s="86">
        <v>0</v>
      </c>
      <c r="F363" s="86">
        <v>4637310</v>
      </c>
      <c r="G363" s="86">
        <v>1409967</v>
      </c>
      <c r="H363" s="86">
        <v>7199</v>
      </c>
      <c r="K363" s="86">
        <v>5556879.7626383938</v>
      </c>
      <c r="L363" s="86">
        <f>SUM(B363,H363*1000,K363)</f>
        <v>42721000</v>
      </c>
      <c r="M363" s="86">
        <v>61607</v>
      </c>
      <c r="P363" s="273">
        <f>L363/(M363*1000)</f>
        <v>0.69344392682649703</v>
      </c>
      <c r="Q363" s="86">
        <v>401</v>
      </c>
    </row>
    <row r="364" spans="1:17" s="86" customFormat="1" x14ac:dyDescent="0.25">
      <c r="A364" s="86" t="s">
        <v>120</v>
      </c>
      <c r="B364" s="86">
        <v>56064583.805530675</v>
      </c>
      <c r="C364" s="86">
        <v>46862630.805530675</v>
      </c>
      <c r="D364" s="86">
        <v>1277566</v>
      </c>
      <c r="E364" s="86">
        <v>0</v>
      </c>
      <c r="F364" s="86">
        <v>4969557</v>
      </c>
      <c r="G364" s="86">
        <v>2954830</v>
      </c>
      <c r="H364" s="86">
        <v>14941</v>
      </c>
      <c r="K364" s="86">
        <v>14480416.194469325</v>
      </c>
      <c r="L364" s="86">
        <f>SUM(B364,H364*1000,K364)</f>
        <v>85486000</v>
      </c>
      <c r="M364" s="86">
        <v>134947</v>
      </c>
      <c r="P364" s="273">
        <f>L364/(M364*1000)</f>
        <v>0.63347832852897801</v>
      </c>
      <c r="Q364" s="86">
        <v>1426</v>
      </c>
    </row>
    <row r="365" spans="1:17" s="86" customFormat="1" x14ac:dyDescent="0.25">
      <c r="A365" s="86" t="s">
        <v>122</v>
      </c>
      <c r="B365" s="86">
        <v>19597857.478868131</v>
      </c>
      <c r="C365" s="86">
        <v>16914441.478868131</v>
      </c>
      <c r="D365" s="86">
        <v>601819</v>
      </c>
      <c r="E365" s="86">
        <v>0</v>
      </c>
      <c r="F365" s="86">
        <v>1117115</v>
      </c>
      <c r="G365" s="86">
        <v>964482</v>
      </c>
      <c r="H365" s="86">
        <v>3941</v>
      </c>
      <c r="K365" s="86">
        <v>2313142.5211318694</v>
      </c>
      <c r="L365" s="86">
        <f>SUM(B365,H365*1000,K365)</f>
        <v>25852000</v>
      </c>
      <c r="M365" s="86">
        <v>35598</v>
      </c>
      <c r="P365" s="273">
        <f>L365/(M365*1000)</f>
        <v>0.72622057418956121</v>
      </c>
      <c r="Q365" s="86">
        <v>274</v>
      </c>
    </row>
    <row r="366" spans="1:17" x14ac:dyDescent="0.25">
      <c r="A366" t="s">
        <v>754</v>
      </c>
      <c r="B366">
        <f>SUM(B363:B365)</f>
        <v>105627561.5217604</v>
      </c>
      <c r="C366">
        <f t="shared" ref="C366:Q366" si="16">SUM(C363:C365)</f>
        <v>87135074.521760404</v>
      </c>
      <c r="D366">
        <f t="shared" si="16"/>
        <v>2439226</v>
      </c>
      <c r="E366">
        <f t="shared" si="16"/>
        <v>0</v>
      </c>
      <c r="F366">
        <f t="shared" si="16"/>
        <v>10723982</v>
      </c>
      <c r="G366">
        <f t="shared" si="16"/>
        <v>5329279</v>
      </c>
      <c r="H366">
        <f t="shared" si="16"/>
        <v>26081</v>
      </c>
      <c r="K366">
        <f t="shared" si="16"/>
        <v>22350438.478239588</v>
      </c>
      <c r="L366">
        <f t="shared" si="16"/>
        <v>154059000</v>
      </c>
      <c r="M366">
        <f t="shared" si="16"/>
        <v>232152</v>
      </c>
      <c r="N366">
        <v>179904</v>
      </c>
      <c r="O366">
        <f>SUM(M366,-N366)</f>
        <v>52248</v>
      </c>
      <c r="P366" s="188">
        <f>L366/(M366*1000)</f>
        <v>0.66361263310245011</v>
      </c>
      <c r="Q366">
        <f t="shared" si="16"/>
        <v>2101</v>
      </c>
    </row>
    <row r="368" spans="1:17" x14ac:dyDescent="0.25">
      <c r="A368" t="s">
        <v>378</v>
      </c>
      <c r="B368">
        <v>18033193.68290332</v>
      </c>
      <c r="C368">
        <v>14410080.68290332</v>
      </c>
      <c r="D368">
        <v>456579</v>
      </c>
      <c r="E368">
        <v>0</v>
      </c>
      <c r="F368">
        <v>2737911</v>
      </c>
      <c r="G368">
        <v>428623</v>
      </c>
      <c r="H368">
        <v>2554</v>
      </c>
      <c r="K368">
        <v>182806.3170966804</v>
      </c>
      <c r="L368">
        <f>SUM(B368,H368*1000,K368)</f>
        <v>20770000</v>
      </c>
      <c r="M368">
        <v>29020</v>
      </c>
      <c r="N368">
        <v>29677</v>
      </c>
      <c r="O368">
        <v>-657</v>
      </c>
      <c r="P368" s="188">
        <f t="shared" ref="P368:P373" si="17">L368/(M368*1000)</f>
        <v>0.71571330117160581</v>
      </c>
      <c r="Q368">
        <v>355</v>
      </c>
    </row>
    <row r="369" spans="1:17" x14ac:dyDescent="0.25">
      <c r="A369" t="s">
        <v>352</v>
      </c>
      <c r="B369">
        <v>46402276.624130681</v>
      </c>
      <c r="C369">
        <v>39264506.624130681</v>
      </c>
      <c r="D369">
        <v>599367</v>
      </c>
      <c r="E369">
        <v>0</v>
      </c>
      <c r="F369">
        <v>4920996</v>
      </c>
      <c r="G369">
        <v>1617407</v>
      </c>
      <c r="H369">
        <v>7040</v>
      </c>
      <c r="K369">
        <v>528723.37586931884</v>
      </c>
      <c r="L369">
        <f>SUM(B369,H369*1000,K369)</f>
        <v>53971000</v>
      </c>
      <c r="M369">
        <v>71330</v>
      </c>
      <c r="N369">
        <v>71933</v>
      </c>
      <c r="O369">
        <v>-603</v>
      </c>
      <c r="P369" s="188">
        <f t="shared" si="17"/>
        <v>0.75663816066171319</v>
      </c>
      <c r="Q369">
        <v>854</v>
      </c>
    </row>
    <row r="370" spans="1:17" x14ac:dyDescent="0.25">
      <c r="A370" t="s">
        <v>356</v>
      </c>
      <c r="B370">
        <v>42736664.13051337</v>
      </c>
      <c r="C370">
        <v>35597582.13051337</v>
      </c>
      <c r="D370">
        <v>685353</v>
      </c>
      <c r="E370">
        <v>0</v>
      </c>
      <c r="F370">
        <v>5638600</v>
      </c>
      <c r="G370">
        <v>815129</v>
      </c>
      <c r="H370">
        <v>8638</v>
      </c>
      <c r="K370">
        <v>860335.86948662996</v>
      </c>
      <c r="L370">
        <f>SUM(B370,H370*1000,K370)</f>
        <v>52235000</v>
      </c>
      <c r="M370">
        <v>77371</v>
      </c>
      <c r="N370">
        <v>78540</v>
      </c>
      <c r="O370">
        <v>-1169</v>
      </c>
      <c r="P370" s="188">
        <f t="shared" si="17"/>
        <v>0.67512375437825545</v>
      </c>
      <c r="Q370">
        <v>772</v>
      </c>
    </row>
    <row r="371" spans="1:17" x14ac:dyDescent="0.25">
      <c r="A371" t="s">
        <v>368</v>
      </c>
      <c r="B371">
        <v>19949007.898252983</v>
      </c>
      <c r="C371">
        <v>16419498.898252983</v>
      </c>
      <c r="D371">
        <v>651893</v>
      </c>
      <c r="E371">
        <v>0</v>
      </c>
      <c r="F371">
        <v>1860892</v>
      </c>
      <c r="G371">
        <v>1016724</v>
      </c>
      <c r="H371">
        <v>3122</v>
      </c>
      <c r="K371">
        <v>185992.10174701735</v>
      </c>
      <c r="L371">
        <f>SUM(B371,H371*1000,K371)</f>
        <v>23257000</v>
      </c>
      <c r="M371">
        <v>29354</v>
      </c>
      <c r="N371">
        <v>30911</v>
      </c>
      <c r="O371">
        <v>-1557</v>
      </c>
      <c r="P371" s="188">
        <f t="shared" si="17"/>
        <v>0.79229406554472981</v>
      </c>
      <c r="Q371">
        <v>342</v>
      </c>
    </row>
    <row r="372" spans="1:17" x14ac:dyDescent="0.25">
      <c r="A372" t="s">
        <v>439</v>
      </c>
      <c r="B372">
        <v>18335509.236606468</v>
      </c>
      <c r="C372">
        <v>15979278.236606468</v>
      </c>
      <c r="D372">
        <v>278554</v>
      </c>
      <c r="E372">
        <v>0</v>
      </c>
      <c r="F372">
        <v>1458595</v>
      </c>
      <c r="G372">
        <v>619082</v>
      </c>
      <c r="H372">
        <v>2042</v>
      </c>
      <c r="K372">
        <v>114490.76339353248</v>
      </c>
      <c r="L372">
        <f>SUM(B372,H372*1000,K372)</f>
        <v>20492000</v>
      </c>
      <c r="M372">
        <v>35473</v>
      </c>
      <c r="N372">
        <v>30816</v>
      </c>
      <c r="O372">
        <v>4657</v>
      </c>
      <c r="P372" s="188">
        <f t="shared" si="17"/>
        <v>0.57767879795901111</v>
      </c>
      <c r="Q372">
        <v>796</v>
      </c>
    </row>
    <row r="373" spans="1:17" x14ac:dyDescent="0.25">
      <c r="A373" t="s">
        <v>868</v>
      </c>
      <c r="B373">
        <f>SUM(B368:B372)</f>
        <v>145456651.57240683</v>
      </c>
      <c r="C373">
        <f t="shared" ref="C373:Q373" si="18">SUM(C368:C372)</f>
        <v>121670946.57240681</v>
      </c>
      <c r="D373">
        <f t="shared" si="18"/>
        <v>2671746</v>
      </c>
      <c r="E373">
        <f t="shared" si="18"/>
        <v>0</v>
      </c>
      <c r="F373">
        <f t="shared" si="18"/>
        <v>16616994</v>
      </c>
      <c r="G373">
        <f t="shared" si="18"/>
        <v>4496965</v>
      </c>
      <c r="H373">
        <f t="shared" si="18"/>
        <v>23396</v>
      </c>
      <c r="K373">
        <f t="shared" si="18"/>
        <v>1872348.427593179</v>
      </c>
      <c r="L373">
        <f t="shared" si="18"/>
        <v>170725000</v>
      </c>
      <c r="M373">
        <f t="shared" si="18"/>
        <v>242548</v>
      </c>
      <c r="N373">
        <f t="shared" si="18"/>
        <v>241877</v>
      </c>
      <c r="O373">
        <f t="shared" si="18"/>
        <v>671</v>
      </c>
      <c r="P373" s="188">
        <f t="shared" si="17"/>
        <v>0.70388129359961737</v>
      </c>
      <c r="Q373">
        <f t="shared" si="18"/>
        <v>3119</v>
      </c>
    </row>
    <row r="375" spans="1:17" s="86" customFormat="1" x14ac:dyDescent="0.25">
      <c r="A375" s="86" t="s">
        <v>369</v>
      </c>
      <c r="B375" s="86">
        <v>19010594.013120595</v>
      </c>
      <c r="C375" s="86">
        <v>16664345.013120595</v>
      </c>
      <c r="D375" s="86">
        <v>165933</v>
      </c>
      <c r="E375" s="86">
        <v>0</v>
      </c>
      <c r="F375" s="86">
        <v>1925354</v>
      </c>
      <c r="G375" s="86">
        <v>254962</v>
      </c>
      <c r="H375" s="86">
        <v>2903</v>
      </c>
      <c r="K375" s="86">
        <v>280405.98687940463</v>
      </c>
      <c r="L375" s="86">
        <f>SUM(B375,H375*1000,K375)</f>
        <v>22194000</v>
      </c>
      <c r="M375" s="86">
        <v>33538</v>
      </c>
      <c r="N375" s="86">
        <v>35428</v>
      </c>
      <c r="O375" s="86">
        <f>SUM(M375,-N375)</f>
        <v>-1890</v>
      </c>
      <c r="P375" s="273">
        <f>L375/(M375*1000)</f>
        <v>0.66175681316715362</v>
      </c>
      <c r="Q375" s="86">
        <v>311</v>
      </c>
    </row>
    <row r="376" spans="1:17" x14ac:dyDescent="0.25">
      <c r="A376" t="s">
        <v>353</v>
      </c>
      <c r="B376">
        <v>58178381.596045442</v>
      </c>
      <c r="C376">
        <v>42942731.596045442</v>
      </c>
      <c r="D376">
        <v>4748728</v>
      </c>
      <c r="E376">
        <v>0</v>
      </c>
      <c r="F376">
        <v>9575109</v>
      </c>
      <c r="G376">
        <v>911813</v>
      </c>
      <c r="H376">
        <v>9551</v>
      </c>
      <c r="K376">
        <v>1572618.4039545581</v>
      </c>
      <c r="L376">
        <f>SUM(B376,H376*1000,K376)</f>
        <v>69302000</v>
      </c>
      <c r="M376">
        <v>92962</v>
      </c>
      <c r="N376">
        <v>92640</v>
      </c>
      <c r="O376">
        <v>322</v>
      </c>
      <c r="P376" s="188">
        <f>L376/(M376*1000)</f>
        <v>0.74548740345517528</v>
      </c>
      <c r="Q376">
        <v>1576</v>
      </c>
    </row>
    <row r="377" spans="1:17" x14ac:dyDescent="0.25">
      <c r="A377" t="s">
        <v>353</v>
      </c>
      <c r="B377">
        <f>SUM(B376,2150/14282*B375)</f>
        <v>61040220.073024109</v>
      </c>
      <c r="C377">
        <f t="shared" ref="C377:N377" si="19">SUM(C376,2150/14282*C375)</f>
        <v>45451367.76592426</v>
      </c>
      <c r="D377">
        <f t="shared" si="19"/>
        <v>4773707.4111468978</v>
      </c>
      <c r="E377">
        <f t="shared" si="19"/>
        <v>0</v>
      </c>
      <c r="F377">
        <f t="shared" si="19"/>
        <v>9864950.1356952805</v>
      </c>
      <c r="G377">
        <f t="shared" si="19"/>
        <v>950194.76025766705</v>
      </c>
      <c r="H377">
        <f t="shared" si="19"/>
        <v>9988.0151239322222</v>
      </c>
      <c r="K377">
        <f t="shared" si="19"/>
        <v>1614830.4801197115</v>
      </c>
      <c r="L377">
        <f t="shared" si="19"/>
        <v>72643065.677076042</v>
      </c>
      <c r="M377">
        <f t="shared" si="19"/>
        <v>98010.781683237641</v>
      </c>
      <c r="N377">
        <f t="shared" si="19"/>
        <v>97973.300658171123</v>
      </c>
      <c r="O377" s="86">
        <f>SUM(M377,-N377)</f>
        <v>37.481025066517759</v>
      </c>
      <c r="P377" s="273">
        <f>L377/(M377*1000)</f>
        <v>0.74117423031939622</v>
      </c>
      <c r="Q377" s="128">
        <f t="shared" ref="Q377" si="20">SUM(Q376,2150/14282*Q375)</f>
        <v>1622.8176725948747</v>
      </c>
    </row>
    <row r="379" spans="1:17" x14ac:dyDescent="0.25">
      <c r="A379" t="s">
        <v>381</v>
      </c>
      <c r="B379">
        <v>40203535.291106388</v>
      </c>
      <c r="C379">
        <v>32991396.291106392</v>
      </c>
      <c r="D379">
        <v>2448364</v>
      </c>
      <c r="E379">
        <v>0</v>
      </c>
      <c r="F379">
        <v>3662641</v>
      </c>
      <c r="G379">
        <v>1101134</v>
      </c>
      <c r="H379">
        <v>6494</v>
      </c>
      <c r="K379">
        <v>635464.70889361203</v>
      </c>
      <c r="L379">
        <f>SUM(B379,H379*1000,K379)</f>
        <v>47333000</v>
      </c>
      <c r="M379">
        <v>70530</v>
      </c>
      <c r="N379">
        <v>69485</v>
      </c>
      <c r="O379">
        <v>1045</v>
      </c>
      <c r="P379" s="188">
        <f>L379/(M379*1000)</f>
        <v>0.67110449454132992</v>
      </c>
      <c r="Q379">
        <v>3287</v>
      </c>
    </row>
    <row r="380" spans="1:17" x14ac:dyDescent="0.25">
      <c r="A380" t="s">
        <v>381</v>
      </c>
      <c r="B380">
        <f>SUM(B379,5842/14282*B375)</f>
        <v>47979749.422506087</v>
      </c>
      <c r="C380">
        <f t="shared" ref="C380:N380" si="21">SUM(C379,5842/14282*C375)</f>
        <v>39807885.828051537</v>
      </c>
      <c r="D380">
        <f t="shared" si="21"/>
        <v>2516238.2883349671</v>
      </c>
      <c r="E380">
        <f t="shared" si="21"/>
        <v>0</v>
      </c>
      <c r="F380">
        <f t="shared" si="21"/>
        <v>4450200.0301078279</v>
      </c>
      <c r="G380">
        <f t="shared" si="21"/>
        <v>1205425.2760117631</v>
      </c>
      <c r="H380">
        <f t="shared" si="21"/>
        <v>7681.4615600056013</v>
      </c>
      <c r="I380">
        <f t="shared" si="21"/>
        <v>0</v>
      </c>
      <c r="J380">
        <f t="shared" si="21"/>
        <v>0</v>
      </c>
      <c r="K380">
        <f t="shared" si="21"/>
        <v>750163.75492004259</v>
      </c>
      <c r="L380">
        <f t="shared" si="21"/>
        <v>56411374.737431735</v>
      </c>
      <c r="M380">
        <f t="shared" si="21"/>
        <v>84248.596555104334</v>
      </c>
      <c r="N380">
        <f t="shared" si="21"/>
        <v>83976.694160481726</v>
      </c>
      <c r="O380" s="86">
        <f>SUM(M380,-N380)</f>
        <v>271.90239462260797</v>
      </c>
      <c r="P380" s="273">
        <f>L380/(M380*1000)</f>
        <v>0.66958236747047584</v>
      </c>
      <c r="Q380" s="128">
        <f t="shared" ref="Q380" si="22">SUM(Q379,5842/14282*Q375)</f>
        <v>3414.2134154880268</v>
      </c>
    </row>
    <row r="382" spans="1:17" x14ac:dyDescent="0.25">
      <c r="A382" t="s">
        <v>391</v>
      </c>
      <c r="B382">
        <v>507205891.69014645</v>
      </c>
      <c r="C382">
        <v>362410365.69014645</v>
      </c>
      <c r="D382">
        <v>9970413</v>
      </c>
      <c r="E382">
        <v>63873046</v>
      </c>
      <c r="F382">
        <v>33797888</v>
      </c>
      <c r="G382">
        <v>37154179</v>
      </c>
      <c r="H382">
        <v>130172</v>
      </c>
      <c r="K382">
        <v>17240108.309853554</v>
      </c>
      <c r="L382">
        <f>SUM(B382,H382*1000,K382)</f>
        <v>654618000</v>
      </c>
      <c r="M382">
        <v>807886</v>
      </c>
      <c r="N382">
        <v>858469</v>
      </c>
      <c r="O382">
        <v>-50583</v>
      </c>
      <c r="P382" s="188">
        <f>L382/(M382*1000)</f>
        <v>0.81028511448397422</v>
      </c>
      <c r="Q382">
        <v>19080</v>
      </c>
    </row>
    <row r="383" spans="1:17" x14ac:dyDescent="0.25">
      <c r="A383" t="s">
        <v>391</v>
      </c>
      <c r="B383">
        <f>SUM(B382,1435/14282*B375)</f>
        <v>509116002.48757172</v>
      </c>
      <c r="C383">
        <f t="shared" ref="C383:N383" si="23">SUM(C382,1435/14282*C375)</f>
        <v>364084734.48260045</v>
      </c>
      <c r="D383">
        <f t="shared" si="23"/>
        <v>9987085.3046492096</v>
      </c>
      <c r="E383">
        <f t="shared" si="23"/>
        <v>63873046</v>
      </c>
      <c r="F383">
        <f t="shared" si="23"/>
        <v>33991340.106847778</v>
      </c>
      <c r="G383">
        <f t="shared" si="23"/>
        <v>37179796.593474306</v>
      </c>
      <c r="H383">
        <f t="shared" si="23"/>
        <v>130463.68218736871</v>
      </c>
      <c r="I383">
        <f t="shared" si="23"/>
        <v>0</v>
      </c>
      <c r="J383">
        <f t="shared" si="23"/>
        <v>0</v>
      </c>
      <c r="K383">
        <f t="shared" si="23"/>
        <v>17268282.416503318</v>
      </c>
      <c r="L383">
        <f t="shared" si="23"/>
        <v>656847967.09144378</v>
      </c>
      <c r="M383">
        <f t="shared" si="23"/>
        <v>811255.76823974238</v>
      </c>
      <c r="N383">
        <f t="shared" si="23"/>
        <v>862028.66811370954</v>
      </c>
      <c r="O383" s="86">
        <f>SUM(M383,-N383)</f>
        <v>-50772.899873967166</v>
      </c>
      <c r="P383" s="273">
        <f>L383/(M383*1000)</f>
        <v>0.80966816238073513</v>
      </c>
      <c r="Q383" s="129">
        <f t="shared" ref="Q383" si="24">SUM(Q382,1435/14282*Q375)</f>
        <v>19111.24807449937</v>
      </c>
    </row>
    <row r="385" spans="1:17" x14ac:dyDescent="0.25">
      <c r="A385" t="s">
        <v>395</v>
      </c>
      <c r="B385">
        <v>39277899.982099779</v>
      </c>
      <c r="C385">
        <v>33720786.982099779</v>
      </c>
      <c r="D385">
        <v>385526</v>
      </c>
      <c r="E385">
        <v>0</v>
      </c>
      <c r="F385">
        <v>4510668</v>
      </c>
      <c r="G385">
        <v>660919</v>
      </c>
      <c r="H385">
        <v>7990</v>
      </c>
      <c r="K385">
        <v>817100.01790022105</v>
      </c>
      <c r="L385">
        <f>SUM(B385,H385*1000,K385)</f>
        <v>48085000</v>
      </c>
      <c r="M385">
        <v>67453</v>
      </c>
      <c r="N385">
        <v>74797</v>
      </c>
      <c r="O385">
        <v>-7344</v>
      </c>
      <c r="P385" s="188">
        <f>L385/(M385*1000)</f>
        <v>0.71286673683898416</v>
      </c>
      <c r="Q385">
        <v>1181</v>
      </c>
    </row>
    <row r="386" spans="1:17" x14ac:dyDescent="0.25">
      <c r="A386" t="s">
        <v>395</v>
      </c>
      <c r="B386">
        <f>SUM(B385,4835/14282*B375)</f>
        <v>45713708.836142495</v>
      </c>
      <c r="C386">
        <f t="shared" ref="C386:N386" si="25">SUM(C385,4835/14282*C375)</f>
        <v>39362301.345524937</v>
      </c>
      <c r="D386">
        <f t="shared" si="25"/>
        <v>441700.62925360596</v>
      </c>
      <c r="E386">
        <f t="shared" si="25"/>
        <v>0</v>
      </c>
      <c r="F386">
        <f t="shared" si="25"/>
        <v>5162473.5307379914</v>
      </c>
      <c r="G386">
        <f t="shared" si="25"/>
        <v>747233.3306259627</v>
      </c>
      <c r="H386">
        <f t="shared" si="25"/>
        <v>8972.7758717266497</v>
      </c>
      <c r="I386">
        <f t="shared" si="25"/>
        <v>0</v>
      </c>
      <c r="J386">
        <f t="shared" si="25"/>
        <v>0</v>
      </c>
      <c r="K386">
        <f t="shared" si="25"/>
        <v>912028.10546232166</v>
      </c>
      <c r="L386">
        <f t="shared" si="25"/>
        <v>55598512.81333147</v>
      </c>
      <c r="M386">
        <f t="shared" si="25"/>
        <v>78806.88811090884</v>
      </c>
      <c r="N386">
        <f t="shared" si="25"/>
        <v>86790.724968491806</v>
      </c>
      <c r="O386" s="86">
        <f>SUM(M386,-N386)</f>
        <v>-7983.8368575829663</v>
      </c>
      <c r="P386" s="273">
        <f>L386/(M386*1000)</f>
        <v>0.70550321356535395</v>
      </c>
      <c r="Q386" s="129">
        <f t="shared" ref="Q386" si="26">SUM(Q385,4835/14282*Q375)</f>
        <v>1286.2853241842879</v>
      </c>
    </row>
  </sheetData>
  <sheetProtection algorithmName="SHA-512" hashValue="QXlhYMzmcIFhhg6NotorRFC88iF7KY4UfjmV4q97Mcpln2Fnwmh5eodxdUMDlQiT2QRG536Db2iloFAr/rgpPg==" saltValue="07RKmEX1BCWCwOB4b+B8lg==" spinCount="100000" sheet="1" objects="1" scenarios="1"/>
  <sortState xmlns:xlrd2="http://schemas.microsoft.com/office/spreadsheetml/2017/richdata2" ref="AE2:AG346">
    <sortCondition ref="AF2:AF346"/>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16</vt:i4>
      </vt:variant>
    </vt:vector>
  </HeadingPairs>
  <TitlesOfParts>
    <vt:vector size="16" baseType="lpstr">
      <vt:lpstr>Financiele conditie</vt:lpstr>
      <vt:lpstr>Inkomsten</vt:lpstr>
      <vt:lpstr>Balansprognose</vt:lpstr>
      <vt:lpstr>Investeringen &amp; financiering</vt:lpstr>
      <vt:lpstr>Inkomsten &amp; uitgaven</vt:lpstr>
      <vt:lpstr>Macrogegevens</vt:lpstr>
      <vt:lpstr>Data investeringen</vt:lpstr>
      <vt:lpstr>Data macro</vt:lpstr>
      <vt:lpstr>Inkomsten 2021</vt:lpstr>
      <vt:lpstr>Uitgaven</vt:lpstr>
      <vt:lpstr>Uitgaven 2021</vt:lpstr>
      <vt:lpstr>Data belastingen 2020</vt:lpstr>
      <vt:lpstr>Kengetallen 2020</vt:lpstr>
      <vt:lpstr>Kengetallen 2019</vt:lpstr>
      <vt:lpstr>Data belastingen 2022</vt:lpstr>
      <vt:lpstr>Data belastingen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Houdbaarheidstest gemeentefinancien 2013</dc:title>
  <dc:creator>Jan van der Lei</dc:creator>
  <cp:keywords>Jan van der Lei</cp:keywords>
  <cp:lastModifiedBy>Jan van der Lei</cp:lastModifiedBy>
  <cp:lastPrinted>2021-03-10T09:02:02Z</cp:lastPrinted>
  <dcterms:created xsi:type="dcterms:W3CDTF">2013-03-05T13:22:00Z</dcterms:created>
  <dcterms:modified xsi:type="dcterms:W3CDTF">2022-03-17T11:19:17Z</dcterms:modified>
</cp:coreProperties>
</file>